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E584D05-4052-4797-B0FE-3B4645AE9E2B}" xr6:coauthVersionLast="47" xr6:coauthVersionMax="47" xr10:uidLastSave="{00000000-0000-0000-0000-000000000000}"/>
  <bookViews>
    <workbookView xWindow="1428" yWindow="1428" windowWidth="17280" windowHeight="9960" tabRatio="708" activeTab="4" xr2:uid="{00000000-000D-0000-FFFF-FFFF00000000}"/>
  </bookViews>
  <sheets>
    <sheet name="Investimentos" sheetId="6" r:id="rId1"/>
    <sheet name="Simples Nacional" sheetId="10" state="hidden" r:id="rId2"/>
    <sheet name="Folha de Pagamento" sheetId="15" r:id="rId3"/>
    <sheet name="Viabilidade" sheetId="1" r:id="rId4"/>
    <sheet name="Comparação" sheetId="17" r:id="rId5"/>
    <sheet name="Planilha1" sheetId="16" state="hidden" r:id="rId6"/>
  </sheets>
  <definedNames>
    <definedName name="_xlnm.Print_Area" localSheetId="2">'Folha de Pagamento'!$A$1:$I$91</definedName>
    <definedName name="_xlnm.Print_Area" localSheetId="0">Investimentos!$A$1:$J$31</definedName>
    <definedName name="_xlnm.Print_Area" localSheetId="3">Viabilidade!$B$58:$BJ$99</definedName>
    <definedName name="_xlnm.Print_Titles" localSheetId="3">Viabilidade!$B:$B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7" l="1"/>
  <c r="K5" i="17"/>
  <c r="K15" i="17"/>
  <c r="K14" i="17"/>
  <c r="K13" i="17"/>
  <c r="K12" i="17"/>
  <c r="K11" i="17"/>
  <c r="K10" i="17"/>
  <c r="K9" i="17"/>
  <c r="K8" i="17"/>
  <c r="K7" i="17"/>
  <c r="K6" i="17"/>
  <c r="H15" i="17"/>
  <c r="I5" i="17"/>
  <c r="I6" i="17"/>
  <c r="I7" i="17"/>
  <c r="I8" i="17"/>
  <c r="I9" i="17"/>
  <c r="I10" i="17"/>
  <c r="I11" i="17"/>
  <c r="I12" i="17"/>
  <c r="I13" i="17"/>
  <c r="I14" i="17"/>
  <c r="I15" i="17"/>
  <c r="D15" i="17"/>
  <c r="D20" i="17"/>
  <c r="F15" i="17"/>
  <c r="G5" i="17"/>
  <c r="G6" i="17"/>
  <c r="G7" i="17"/>
  <c r="G8" i="17"/>
  <c r="G9" i="17"/>
  <c r="G10" i="17"/>
  <c r="G11" i="17"/>
  <c r="G12" i="17"/>
  <c r="G13" i="17"/>
  <c r="G14" i="17"/>
  <c r="G15" i="17"/>
  <c r="E5" i="17"/>
  <c r="E6" i="17"/>
  <c r="E7" i="17"/>
  <c r="E8" i="17"/>
  <c r="E9" i="17"/>
  <c r="E10" i="17"/>
  <c r="E11" i="17"/>
  <c r="E12" i="17"/>
  <c r="E13" i="17"/>
  <c r="E14" i="17"/>
  <c r="E15" i="17"/>
  <c r="B15" i="17"/>
  <c r="C14" i="17"/>
  <c r="C13" i="17"/>
  <c r="C12" i="17"/>
  <c r="C11" i="17"/>
  <c r="C10" i="17"/>
  <c r="C9" i="17"/>
  <c r="C8" i="17"/>
  <c r="C7" i="17"/>
  <c r="C6" i="17"/>
  <c r="C5" i="17"/>
  <c r="B20" i="17"/>
  <c r="C15" i="17"/>
  <c r="AM86" i="1"/>
  <c r="AA86" i="1"/>
  <c r="O86" i="1"/>
  <c r="P86" i="1"/>
  <c r="Q86" i="1"/>
  <c r="R86" i="1"/>
  <c r="S86" i="1"/>
  <c r="T86" i="1"/>
  <c r="U86" i="1"/>
  <c r="V86" i="1"/>
  <c r="W86" i="1"/>
  <c r="X86" i="1"/>
  <c r="Y86" i="1"/>
  <c r="Z86" i="1"/>
  <c r="AM85" i="1"/>
  <c r="AA85" i="1"/>
  <c r="P85" i="1"/>
  <c r="Q85" i="1"/>
  <c r="R85" i="1"/>
  <c r="S85" i="1"/>
  <c r="T85" i="1"/>
  <c r="U85" i="1"/>
  <c r="V85" i="1"/>
  <c r="W85" i="1"/>
  <c r="X85" i="1"/>
  <c r="Y85" i="1"/>
  <c r="Z85" i="1"/>
  <c r="O85" i="1"/>
  <c r="E98" i="15"/>
  <c r="E100" i="15"/>
  <c r="AY83" i="1"/>
  <c r="D98" i="15"/>
  <c r="D100" i="15"/>
  <c r="AA83" i="1"/>
  <c r="C98" i="15"/>
  <c r="D39" i="15"/>
  <c r="D40" i="15"/>
  <c r="D41" i="15"/>
  <c r="D42" i="15"/>
  <c r="AB86" i="1"/>
  <c r="AC86" i="1"/>
  <c r="AD86" i="1"/>
  <c r="AE86" i="1"/>
  <c r="AF86" i="1"/>
  <c r="AG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B85" i="1"/>
  <c r="AC85" i="1"/>
  <c r="AD85" i="1"/>
  <c r="AE85" i="1"/>
  <c r="AF85" i="1"/>
  <c r="AG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Z83" i="1"/>
  <c r="AN83" i="1"/>
  <c r="AC83" i="1"/>
  <c r="AO83" i="1"/>
  <c r="BA83" i="1"/>
  <c r="BB83" i="1"/>
  <c r="AE83" i="1"/>
  <c r="AQ83" i="1"/>
  <c r="BC83" i="1"/>
  <c r="AF83" i="1"/>
  <c r="AR83" i="1"/>
  <c r="BD83" i="1"/>
  <c r="AP83" i="1"/>
  <c r="U83" i="1"/>
  <c r="AG83" i="1"/>
  <c r="AS83" i="1"/>
  <c r="BE83" i="1"/>
  <c r="BF83" i="1"/>
  <c r="BG83" i="1"/>
  <c r="AB83" i="1"/>
  <c r="V83" i="1"/>
  <c r="BH83" i="1"/>
  <c r="BI83" i="1"/>
  <c r="AT83" i="1"/>
  <c r="AV83" i="1"/>
  <c r="BJ83" i="1"/>
  <c r="AD83" i="1"/>
  <c r="AH83" i="1"/>
  <c r="W83" i="1"/>
  <c r="AI83" i="1"/>
  <c r="AU83" i="1"/>
  <c r="X83" i="1"/>
  <c r="AJ83" i="1"/>
  <c r="Y83" i="1"/>
  <c r="AK83" i="1"/>
  <c r="AW83" i="1"/>
  <c r="Z83" i="1"/>
  <c r="AL83" i="1"/>
  <c r="AX83" i="1"/>
  <c r="AM83" i="1"/>
  <c r="F20" i="15"/>
  <c r="G31" i="15"/>
  <c r="F31" i="15"/>
  <c r="E31" i="15"/>
  <c r="G30" i="15"/>
  <c r="F30" i="15"/>
  <c r="E30" i="15"/>
  <c r="G29" i="15"/>
  <c r="F29" i="15"/>
  <c r="E29" i="15"/>
  <c r="H29" i="15"/>
  <c r="I29" i="15"/>
  <c r="G28" i="15"/>
  <c r="F28" i="15"/>
  <c r="E28" i="15"/>
  <c r="F19" i="15"/>
  <c r="F18" i="15"/>
  <c r="F17" i="15"/>
  <c r="G20" i="15"/>
  <c r="G19" i="15"/>
  <c r="G18" i="15"/>
  <c r="G17" i="15"/>
  <c r="E20" i="15"/>
  <c r="E19" i="15"/>
  <c r="E18" i="15"/>
  <c r="E17" i="15"/>
  <c r="AY85" i="1"/>
  <c r="AZ85" i="1"/>
  <c r="BA85" i="1"/>
  <c r="BB85" i="1"/>
  <c r="BC85" i="1"/>
  <c r="BD85" i="1"/>
  <c r="BE85" i="1"/>
  <c r="BF85" i="1"/>
  <c r="BG85" i="1"/>
  <c r="BH85" i="1"/>
  <c r="BI85" i="1"/>
  <c r="BJ85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H28" i="15"/>
  <c r="I28" i="15"/>
  <c r="H18" i="15"/>
  <c r="I18" i="15"/>
  <c r="H31" i="15"/>
  <c r="I31" i="15"/>
  <c r="H30" i="15"/>
  <c r="I30" i="15"/>
  <c r="H19" i="15"/>
  <c r="I19" i="15"/>
  <c r="H17" i="15"/>
  <c r="I17" i="15"/>
  <c r="H20" i="15"/>
  <c r="I20" i="15"/>
  <c r="H5" i="16"/>
  <c r="H4" i="16"/>
  <c r="F5" i="16"/>
  <c r="F6" i="16"/>
  <c r="H6" i="16"/>
  <c r="F7" i="16"/>
  <c r="H7" i="16"/>
  <c r="F8" i="16"/>
  <c r="H8" i="16"/>
  <c r="F9" i="16"/>
  <c r="F93" i="1"/>
  <c r="E93" i="1"/>
  <c r="D93" i="1"/>
  <c r="C93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I35" i="15"/>
  <c r="M82" i="1"/>
  <c r="I82" i="1"/>
  <c r="N82" i="1"/>
  <c r="L82" i="1"/>
  <c r="K82" i="1"/>
  <c r="J82" i="1"/>
  <c r="I24" i="15"/>
  <c r="C84" i="1"/>
  <c r="H82" i="1"/>
  <c r="F82" i="1"/>
  <c r="G82" i="1"/>
  <c r="E82" i="1"/>
  <c r="D82" i="1"/>
  <c r="C82" i="1"/>
  <c r="O47" i="1"/>
  <c r="E84" i="1"/>
  <c r="D84" i="1"/>
  <c r="D45" i="15"/>
  <c r="D57" i="15"/>
  <c r="D68" i="15"/>
  <c r="D79" i="15"/>
  <c r="D90" i="15"/>
  <c r="C80" i="15"/>
  <c r="C69" i="15"/>
  <c r="C58" i="15"/>
  <c r="C35" i="15"/>
  <c r="C24" i="15"/>
  <c r="E39" i="15"/>
  <c r="G39" i="15"/>
  <c r="F39" i="15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U59" i="1"/>
  <c r="H39" i="15"/>
  <c r="I39" i="15"/>
  <c r="O59" i="1"/>
  <c r="O71" i="1"/>
  <c r="C46" i="15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D59" i="1"/>
  <c r="D71" i="1"/>
  <c r="C91" i="15"/>
  <c r="D44" i="15"/>
  <c r="D56" i="15"/>
  <c r="D43" i="15"/>
  <c r="D55" i="15"/>
  <c r="D51" i="15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A59" i="1"/>
  <c r="AA71" i="1"/>
  <c r="E42" i="15"/>
  <c r="G42" i="15"/>
  <c r="F42" i="15"/>
  <c r="D52" i="15"/>
  <c r="G40" i="15"/>
  <c r="F40" i="15"/>
  <c r="E40" i="15"/>
  <c r="H40" i="15"/>
  <c r="I40" i="15"/>
  <c r="F41" i="15"/>
  <c r="E41" i="15"/>
  <c r="G41" i="15"/>
  <c r="D62" i="15"/>
  <c r="G51" i="15"/>
  <c r="F51" i="15"/>
  <c r="E51" i="15"/>
  <c r="D53" i="15"/>
  <c r="D54" i="15"/>
  <c r="D63" i="15"/>
  <c r="D67" i="15"/>
  <c r="D78" i="15"/>
  <c r="D89" i="15"/>
  <c r="D66" i="15"/>
  <c r="D77" i="15"/>
  <c r="D88" i="15"/>
  <c r="H51" i="15"/>
  <c r="I51" i="15"/>
  <c r="F89" i="15"/>
  <c r="E89" i="15"/>
  <c r="H89" i="15"/>
  <c r="I89" i="15"/>
  <c r="G89" i="15"/>
  <c r="H42" i="15"/>
  <c r="I42" i="15"/>
  <c r="D74" i="15"/>
  <c r="G63" i="15"/>
  <c r="F63" i="15"/>
  <c r="E63" i="15"/>
  <c r="G53" i="15"/>
  <c r="F53" i="15"/>
  <c r="E53" i="15"/>
  <c r="F52" i="15"/>
  <c r="G52" i="15"/>
  <c r="E52" i="15"/>
  <c r="F54" i="15"/>
  <c r="E54" i="15"/>
  <c r="G54" i="15"/>
  <c r="H41" i="15"/>
  <c r="I41" i="15"/>
  <c r="I46" i="15"/>
  <c r="D73" i="15"/>
  <c r="G62" i="15"/>
  <c r="F62" i="15"/>
  <c r="E62" i="15"/>
  <c r="D64" i="15"/>
  <c r="D65" i="15"/>
  <c r="H63" i="15"/>
  <c r="I63" i="15"/>
  <c r="T82" i="1"/>
  <c r="R82" i="1"/>
  <c r="P82" i="1"/>
  <c r="Q82" i="1"/>
  <c r="O82" i="1"/>
  <c r="S82" i="1"/>
  <c r="H62" i="15"/>
  <c r="I62" i="15"/>
  <c r="H52" i="15"/>
  <c r="I52" i="15"/>
  <c r="H54" i="15"/>
  <c r="I54" i="15"/>
  <c r="H53" i="15"/>
  <c r="I53" i="15"/>
  <c r="D76" i="15"/>
  <c r="G65" i="15"/>
  <c r="F65" i="15"/>
  <c r="E65" i="15"/>
  <c r="F64" i="15"/>
  <c r="G64" i="15"/>
  <c r="E64" i="15"/>
  <c r="D85" i="15"/>
  <c r="G74" i="15"/>
  <c r="F74" i="15"/>
  <c r="E74" i="15"/>
  <c r="D84" i="15"/>
  <c r="F73" i="15"/>
  <c r="E73" i="15"/>
  <c r="G73" i="15"/>
  <c r="D75" i="15"/>
  <c r="I58" i="15"/>
  <c r="Z82" i="1"/>
  <c r="H64" i="15"/>
  <c r="I64" i="15"/>
  <c r="H74" i="15"/>
  <c r="I74" i="15"/>
  <c r="G84" i="15"/>
  <c r="F84" i="15"/>
  <c r="E84" i="15"/>
  <c r="H65" i="15"/>
  <c r="I65" i="15"/>
  <c r="E85" i="15"/>
  <c r="G85" i="15"/>
  <c r="F85" i="15"/>
  <c r="D87" i="15"/>
  <c r="F76" i="15"/>
  <c r="G76" i="15"/>
  <c r="E76" i="15"/>
  <c r="D86" i="15"/>
  <c r="G75" i="15"/>
  <c r="F75" i="15"/>
  <c r="E75" i="15"/>
  <c r="H73" i="15"/>
  <c r="I73" i="15"/>
  <c r="V82" i="1"/>
  <c r="X82" i="1"/>
  <c r="Y82" i="1"/>
  <c r="U82" i="1"/>
  <c r="W82" i="1"/>
  <c r="I69" i="15"/>
  <c r="H76" i="15"/>
  <c r="I76" i="15"/>
  <c r="G86" i="15"/>
  <c r="F86" i="15"/>
  <c r="E86" i="15"/>
  <c r="H75" i="15"/>
  <c r="I75" i="15"/>
  <c r="H84" i="15"/>
  <c r="I84" i="15"/>
  <c r="H85" i="15"/>
  <c r="I85" i="15"/>
  <c r="G87" i="15"/>
  <c r="F87" i="15"/>
  <c r="E87" i="15"/>
  <c r="D13" i="15"/>
  <c r="I13" i="15"/>
  <c r="K81" i="1"/>
  <c r="C85" i="1"/>
  <c r="C91" i="1"/>
  <c r="C86" i="1"/>
  <c r="C87" i="1"/>
  <c r="C88" i="1"/>
  <c r="C89" i="1"/>
  <c r="C95" i="1"/>
  <c r="C59" i="1"/>
  <c r="C71" i="1"/>
  <c r="C20" i="6"/>
  <c r="C25" i="6"/>
  <c r="C118" i="1"/>
  <c r="D85" i="1"/>
  <c r="D86" i="1"/>
  <c r="D87" i="1"/>
  <c r="D88" i="1"/>
  <c r="D89" i="1"/>
  <c r="D91" i="1"/>
  <c r="D95" i="1"/>
  <c r="E85" i="1"/>
  <c r="E86" i="1"/>
  <c r="E87" i="1"/>
  <c r="E88" i="1"/>
  <c r="E89" i="1"/>
  <c r="E91" i="1"/>
  <c r="E95" i="1"/>
  <c r="F84" i="1"/>
  <c r="F85" i="1"/>
  <c r="F86" i="1"/>
  <c r="F87" i="1"/>
  <c r="F88" i="1"/>
  <c r="F89" i="1"/>
  <c r="F91" i="1"/>
  <c r="F95" i="1"/>
  <c r="G84" i="1"/>
  <c r="G85" i="1"/>
  <c r="G86" i="1"/>
  <c r="G87" i="1"/>
  <c r="G88" i="1"/>
  <c r="G89" i="1"/>
  <c r="G91" i="1"/>
  <c r="G93" i="1"/>
  <c r="G95" i="1"/>
  <c r="H84" i="1"/>
  <c r="H85" i="1"/>
  <c r="H86" i="1"/>
  <c r="H87" i="1"/>
  <c r="H88" i="1"/>
  <c r="H89" i="1"/>
  <c r="H91" i="1"/>
  <c r="H93" i="1"/>
  <c r="H95" i="1"/>
  <c r="I84" i="1"/>
  <c r="I85" i="1"/>
  <c r="I86" i="1"/>
  <c r="I87" i="1"/>
  <c r="I88" i="1"/>
  <c r="I89" i="1"/>
  <c r="I91" i="1"/>
  <c r="I93" i="1"/>
  <c r="I95" i="1"/>
  <c r="J84" i="1"/>
  <c r="J85" i="1"/>
  <c r="J86" i="1"/>
  <c r="J87" i="1"/>
  <c r="J88" i="1"/>
  <c r="J89" i="1"/>
  <c r="J91" i="1"/>
  <c r="J93" i="1"/>
  <c r="J95" i="1"/>
  <c r="K84" i="1"/>
  <c r="K85" i="1"/>
  <c r="K86" i="1"/>
  <c r="K87" i="1"/>
  <c r="K88" i="1"/>
  <c r="K89" i="1"/>
  <c r="K91" i="1"/>
  <c r="K93" i="1"/>
  <c r="K95" i="1"/>
  <c r="L84" i="1"/>
  <c r="L85" i="1"/>
  <c r="L86" i="1"/>
  <c r="L87" i="1"/>
  <c r="L88" i="1"/>
  <c r="L89" i="1"/>
  <c r="L91" i="1"/>
  <c r="L93" i="1"/>
  <c r="L95" i="1"/>
  <c r="M84" i="1"/>
  <c r="M85" i="1"/>
  <c r="M86" i="1"/>
  <c r="M87" i="1"/>
  <c r="M88" i="1"/>
  <c r="M89" i="1"/>
  <c r="M91" i="1"/>
  <c r="M93" i="1"/>
  <c r="M95" i="1"/>
  <c r="N84" i="1"/>
  <c r="O84" i="1"/>
  <c r="N85" i="1"/>
  <c r="N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N89" i="1"/>
  <c r="N91" i="1"/>
  <c r="N93" i="1"/>
  <c r="N95" i="1"/>
  <c r="O89" i="1"/>
  <c r="O91" i="1"/>
  <c r="O93" i="1"/>
  <c r="O95" i="1"/>
  <c r="P89" i="1"/>
  <c r="P91" i="1"/>
  <c r="P93" i="1"/>
  <c r="P95" i="1"/>
  <c r="Q89" i="1"/>
  <c r="Q91" i="1"/>
  <c r="Q93" i="1"/>
  <c r="Q95" i="1"/>
  <c r="R89" i="1"/>
  <c r="R91" i="1"/>
  <c r="R93" i="1"/>
  <c r="R95" i="1"/>
  <c r="S89" i="1"/>
  <c r="S91" i="1"/>
  <c r="S93" i="1"/>
  <c r="S95" i="1"/>
  <c r="T89" i="1"/>
  <c r="T91" i="1"/>
  <c r="T93" i="1"/>
  <c r="T95" i="1"/>
  <c r="U89" i="1"/>
  <c r="U91" i="1"/>
  <c r="U93" i="1"/>
  <c r="U95" i="1"/>
  <c r="V89" i="1"/>
  <c r="V91" i="1"/>
  <c r="V93" i="1"/>
  <c r="V95" i="1"/>
  <c r="W89" i="1"/>
  <c r="W91" i="1"/>
  <c r="W93" i="1"/>
  <c r="W95" i="1"/>
  <c r="X89" i="1"/>
  <c r="X91" i="1"/>
  <c r="X93" i="1"/>
  <c r="X95" i="1"/>
  <c r="Y89" i="1"/>
  <c r="Y91" i="1"/>
  <c r="Y93" i="1"/>
  <c r="Y95" i="1"/>
  <c r="Z89" i="1"/>
  <c r="Z91" i="1"/>
  <c r="Z93" i="1"/>
  <c r="Z95" i="1"/>
  <c r="AA89" i="1"/>
  <c r="AA91" i="1"/>
  <c r="AA93" i="1"/>
  <c r="AA95" i="1"/>
  <c r="AB89" i="1"/>
  <c r="AB91" i="1"/>
  <c r="AB93" i="1"/>
  <c r="AB95" i="1"/>
  <c r="AC89" i="1"/>
  <c r="AC91" i="1"/>
  <c r="AC93" i="1"/>
  <c r="AC95" i="1"/>
  <c r="AD89" i="1"/>
  <c r="AD91" i="1"/>
  <c r="AD93" i="1"/>
  <c r="AD95" i="1"/>
  <c r="AE89" i="1"/>
  <c r="AE91" i="1"/>
  <c r="AE93" i="1"/>
  <c r="AE95" i="1"/>
  <c r="AF89" i="1"/>
  <c r="AF91" i="1"/>
  <c r="AF93" i="1"/>
  <c r="AF95" i="1"/>
  <c r="AG89" i="1"/>
  <c r="AG91" i="1"/>
  <c r="AG93" i="1"/>
  <c r="AG95" i="1"/>
  <c r="AH89" i="1"/>
  <c r="AH91" i="1"/>
  <c r="AH93" i="1"/>
  <c r="AH95" i="1"/>
  <c r="AI89" i="1"/>
  <c r="AI91" i="1"/>
  <c r="AI93" i="1"/>
  <c r="AI95" i="1"/>
  <c r="AJ89" i="1"/>
  <c r="AJ91" i="1"/>
  <c r="AJ93" i="1"/>
  <c r="AJ95" i="1"/>
  <c r="AK89" i="1"/>
  <c r="AK91" i="1"/>
  <c r="AK93" i="1"/>
  <c r="AK95" i="1"/>
  <c r="AL89" i="1"/>
  <c r="AL91" i="1"/>
  <c r="AL93" i="1"/>
  <c r="AL95" i="1"/>
  <c r="AM89" i="1"/>
  <c r="AM91" i="1"/>
  <c r="AM93" i="1"/>
  <c r="AM95" i="1"/>
  <c r="AN89" i="1"/>
  <c r="AN91" i="1"/>
  <c r="AN93" i="1"/>
  <c r="AN95" i="1"/>
  <c r="AO89" i="1"/>
  <c r="AO91" i="1"/>
  <c r="AO93" i="1"/>
  <c r="AO95" i="1"/>
  <c r="AP89" i="1"/>
  <c r="AP91" i="1"/>
  <c r="AP93" i="1"/>
  <c r="AP95" i="1"/>
  <c r="AQ89" i="1"/>
  <c r="AQ91" i="1"/>
  <c r="AQ93" i="1"/>
  <c r="AQ95" i="1"/>
  <c r="AR89" i="1"/>
  <c r="AR91" i="1"/>
  <c r="AR93" i="1"/>
  <c r="AR95" i="1"/>
  <c r="AS89" i="1"/>
  <c r="AS91" i="1"/>
  <c r="AS93" i="1"/>
  <c r="AS95" i="1"/>
  <c r="AT89" i="1"/>
  <c r="AT91" i="1"/>
  <c r="AT93" i="1"/>
  <c r="AT95" i="1"/>
  <c r="AU89" i="1"/>
  <c r="AU91" i="1"/>
  <c r="AU93" i="1"/>
  <c r="AU95" i="1"/>
  <c r="AV89" i="1"/>
  <c r="AV91" i="1"/>
  <c r="AV93" i="1"/>
  <c r="AV95" i="1"/>
  <c r="AW89" i="1"/>
  <c r="AW91" i="1"/>
  <c r="AW93" i="1"/>
  <c r="AW95" i="1"/>
  <c r="AX89" i="1"/>
  <c r="AX91" i="1"/>
  <c r="AX93" i="1"/>
  <c r="AX95" i="1"/>
  <c r="AY89" i="1"/>
  <c r="AY91" i="1"/>
  <c r="AY93" i="1"/>
  <c r="AY95" i="1"/>
  <c r="AZ89" i="1"/>
  <c r="AZ91" i="1"/>
  <c r="AZ93" i="1"/>
  <c r="AZ95" i="1"/>
  <c r="BA89" i="1"/>
  <c r="BA91" i="1"/>
  <c r="BA93" i="1"/>
  <c r="BA95" i="1"/>
  <c r="BB89" i="1"/>
  <c r="BB91" i="1"/>
  <c r="BB93" i="1"/>
  <c r="BB95" i="1"/>
  <c r="BC89" i="1"/>
  <c r="BC91" i="1"/>
  <c r="BC93" i="1"/>
  <c r="BC95" i="1"/>
  <c r="BD89" i="1"/>
  <c r="BD91" i="1"/>
  <c r="BD93" i="1"/>
  <c r="BD95" i="1"/>
  <c r="BE89" i="1"/>
  <c r="BE91" i="1"/>
  <c r="BE93" i="1"/>
  <c r="BE95" i="1"/>
  <c r="BF89" i="1"/>
  <c r="BF91" i="1"/>
  <c r="BF93" i="1"/>
  <c r="BF95" i="1"/>
  <c r="BG89" i="1"/>
  <c r="BG91" i="1"/>
  <c r="BG93" i="1"/>
  <c r="BG95" i="1"/>
  <c r="BH89" i="1"/>
  <c r="BH91" i="1"/>
  <c r="BH93" i="1"/>
  <c r="BH95" i="1"/>
  <c r="BI89" i="1"/>
  <c r="BI91" i="1"/>
  <c r="BI93" i="1"/>
  <c r="BI95" i="1"/>
  <c r="BJ89" i="1"/>
  <c r="BJ91" i="1"/>
  <c r="BJ93" i="1"/>
  <c r="BJ95" i="1"/>
  <c r="I80" i="15"/>
  <c r="AL82" i="1"/>
  <c r="AB82" i="1"/>
  <c r="AA82" i="1"/>
  <c r="AE82" i="1"/>
  <c r="AF82" i="1"/>
  <c r="AD82" i="1"/>
  <c r="AC82" i="1"/>
  <c r="H86" i="15"/>
  <c r="I86" i="15"/>
  <c r="H87" i="15"/>
  <c r="I87" i="15"/>
  <c r="U81" i="1"/>
  <c r="C94" i="1"/>
  <c r="C77" i="1"/>
  <c r="C78" i="1"/>
  <c r="V84" i="1"/>
  <c r="AQ81" i="1"/>
  <c r="BH81" i="1"/>
  <c r="X81" i="1"/>
  <c r="P81" i="1"/>
  <c r="AZ81" i="1"/>
  <c r="J81" i="1"/>
  <c r="AJ81" i="1"/>
  <c r="G4" i="10"/>
  <c r="C67" i="1"/>
  <c r="C66" i="1"/>
  <c r="D16" i="6"/>
  <c r="D39" i="1"/>
  <c r="M81" i="1"/>
  <c r="W81" i="1"/>
  <c r="Z81" i="1"/>
  <c r="L81" i="1"/>
  <c r="AF81" i="1"/>
  <c r="AM81" i="1"/>
  <c r="BJ81" i="1"/>
  <c r="BE81" i="1"/>
  <c r="AV81" i="1"/>
  <c r="I81" i="1"/>
  <c r="E81" i="1"/>
  <c r="AC81" i="1"/>
  <c r="Y81" i="1"/>
  <c r="H81" i="1"/>
  <c r="D81" i="1"/>
  <c r="T81" i="1"/>
  <c r="AE81" i="1"/>
  <c r="AG81" i="1"/>
  <c r="AK81" i="1"/>
  <c r="AO81" i="1"/>
  <c r="AR81" i="1"/>
  <c r="BI81" i="1"/>
  <c r="BF81" i="1"/>
  <c r="BB81" i="1"/>
  <c r="AW81" i="1"/>
  <c r="R81" i="1"/>
  <c r="D10" i="6"/>
  <c r="D15" i="6"/>
  <c r="D11" i="6"/>
  <c r="D18" i="6"/>
  <c r="D12" i="6"/>
  <c r="C74" i="1"/>
  <c r="C60" i="1"/>
  <c r="C65" i="1"/>
  <c r="D52" i="1"/>
  <c r="D53" i="1"/>
  <c r="D54" i="1"/>
  <c r="D55" i="1"/>
  <c r="C73" i="1"/>
  <c r="C76" i="1"/>
  <c r="C53" i="1"/>
  <c r="C54" i="1"/>
  <c r="C55" i="1"/>
  <c r="D19" i="6"/>
  <c r="D13" i="6"/>
  <c r="D17" i="6"/>
  <c r="D14" i="6"/>
  <c r="C81" i="1"/>
  <c r="AU81" i="1"/>
  <c r="AY81" i="1"/>
  <c r="BC81" i="1"/>
  <c r="BG81" i="1"/>
  <c r="AT81" i="1"/>
  <c r="AP81" i="1"/>
  <c r="AL81" i="1"/>
  <c r="AH81" i="1"/>
  <c r="AD81" i="1"/>
  <c r="Q81" i="1"/>
  <c r="AA81" i="1"/>
  <c r="S81" i="1"/>
  <c r="N81" i="1"/>
  <c r="O81" i="1"/>
  <c r="G81" i="1"/>
  <c r="AB81" i="1"/>
  <c r="F81" i="1"/>
  <c r="V81" i="1"/>
  <c r="AI81" i="1"/>
  <c r="AN81" i="1"/>
  <c r="AS81" i="1"/>
  <c r="BD81" i="1"/>
  <c r="BA81" i="1"/>
  <c r="AX81" i="1"/>
  <c r="C75" i="1"/>
  <c r="C72" i="1"/>
  <c r="AI82" i="1"/>
  <c r="AG82" i="1"/>
  <c r="AH82" i="1"/>
  <c r="AJ82" i="1"/>
  <c r="I91" i="15"/>
  <c r="BE82" i="1"/>
  <c r="F39" i="1"/>
  <c r="AK82" i="1"/>
  <c r="BH82" i="1"/>
  <c r="AZ82" i="1"/>
  <c r="AR82" i="1"/>
  <c r="BG82" i="1"/>
  <c r="BF82" i="1"/>
  <c r="AO82" i="1"/>
  <c r="BD82" i="1"/>
  <c r="AV82" i="1"/>
  <c r="AN82" i="1"/>
  <c r="AU82" i="1"/>
  <c r="BC82" i="1"/>
  <c r="BJ82" i="1"/>
  <c r="BB82" i="1"/>
  <c r="AQ82" i="1"/>
  <c r="U84" i="1"/>
  <c r="R84" i="1"/>
  <c r="S84" i="1"/>
  <c r="C70" i="1"/>
  <c r="G8" i="10"/>
  <c r="X84" i="1"/>
  <c r="Q84" i="1"/>
  <c r="Y84" i="1"/>
  <c r="P84" i="1"/>
  <c r="W84" i="1"/>
  <c r="T84" i="1"/>
  <c r="Z84" i="1"/>
  <c r="AA84" i="1"/>
  <c r="C64" i="1"/>
  <c r="C100" i="15"/>
  <c r="G6" i="10"/>
  <c r="D20" i="6"/>
  <c r="AS82" i="1"/>
  <c r="AW82" i="1"/>
  <c r="BA82" i="1"/>
  <c r="AM82" i="1"/>
  <c r="AY82" i="1"/>
  <c r="AP82" i="1"/>
  <c r="AT82" i="1"/>
  <c r="AX82" i="1"/>
  <c r="BI82" i="1"/>
  <c r="C122" i="1"/>
  <c r="T83" i="1"/>
  <c r="L83" i="1"/>
  <c r="I83" i="1"/>
  <c r="P83" i="1"/>
  <c r="N83" i="1"/>
  <c r="S83" i="1"/>
  <c r="K83" i="1"/>
  <c r="R83" i="1"/>
  <c r="J83" i="1"/>
  <c r="Q83" i="1"/>
  <c r="O83" i="1"/>
  <c r="M83" i="1"/>
  <c r="D77" i="1"/>
  <c r="D94" i="1"/>
  <c r="D78" i="1"/>
  <c r="AK84" i="1"/>
  <c r="AB84" i="1"/>
  <c r="AI84" i="1"/>
  <c r="AF84" i="1"/>
  <c r="AD84" i="1"/>
  <c r="AJ84" i="1"/>
  <c r="AH84" i="1"/>
  <c r="AC84" i="1"/>
  <c r="AL84" i="1"/>
  <c r="AG84" i="1"/>
  <c r="AE84" i="1"/>
  <c r="H83" i="1"/>
  <c r="D83" i="1"/>
  <c r="G83" i="1"/>
  <c r="C83" i="1"/>
  <c r="F83" i="1"/>
  <c r="E83" i="1"/>
  <c r="D66" i="1"/>
  <c r="D67" i="1"/>
  <c r="D60" i="1"/>
  <c r="D65" i="1"/>
  <c r="H4" i="10"/>
  <c r="G9" i="10"/>
  <c r="G11" i="10"/>
  <c r="G12" i="10"/>
  <c r="G13" i="10"/>
  <c r="C62" i="1"/>
  <c r="C61" i="1"/>
  <c r="E59" i="1"/>
  <c r="E71" i="1"/>
  <c r="D74" i="1"/>
  <c r="D75" i="1"/>
  <c r="D76" i="1"/>
  <c r="D72" i="1"/>
  <c r="D73" i="1"/>
  <c r="E52" i="1"/>
  <c r="D80" i="1"/>
  <c r="C80" i="1"/>
  <c r="E94" i="1"/>
  <c r="E80" i="1"/>
  <c r="E78" i="1"/>
  <c r="E77" i="1"/>
  <c r="D70" i="1"/>
  <c r="H8" i="10"/>
  <c r="AM84" i="1"/>
  <c r="AV84" i="1"/>
  <c r="D64" i="1"/>
  <c r="E66" i="1"/>
  <c r="E67" i="1"/>
  <c r="C63" i="1"/>
  <c r="E60" i="1"/>
  <c r="E65" i="1"/>
  <c r="I4" i="10"/>
  <c r="F52" i="1"/>
  <c r="E53" i="1"/>
  <c r="E54" i="1"/>
  <c r="E55" i="1"/>
  <c r="F59" i="1"/>
  <c r="F71" i="1"/>
  <c r="E75" i="1"/>
  <c r="E76" i="1"/>
  <c r="E73" i="1"/>
  <c r="E74" i="1"/>
  <c r="E72" i="1"/>
  <c r="AU84" i="1"/>
  <c r="AQ84" i="1"/>
  <c r="AO84" i="1"/>
  <c r="AR84" i="1"/>
  <c r="AX84" i="1"/>
  <c r="AY84" i="1"/>
  <c r="BB84" i="1"/>
  <c r="E70" i="1"/>
  <c r="F77" i="1"/>
  <c r="F94" i="1"/>
  <c r="F80" i="1"/>
  <c r="F78" i="1"/>
  <c r="I8" i="10"/>
  <c r="AS84" i="1"/>
  <c r="AT84" i="1"/>
  <c r="AP84" i="1"/>
  <c r="AN84" i="1"/>
  <c r="AW84" i="1"/>
  <c r="E64" i="1"/>
  <c r="F66" i="1"/>
  <c r="F67" i="1"/>
  <c r="C68" i="1"/>
  <c r="F60" i="1"/>
  <c r="F65" i="1"/>
  <c r="J4" i="10"/>
  <c r="J8" i="10"/>
  <c r="H6" i="10"/>
  <c r="F53" i="1"/>
  <c r="F54" i="1"/>
  <c r="F55" i="1"/>
  <c r="G52" i="1"/>
  <c r="F74" i="1"/>
  <c r="F72" i="1"/>
  <c r="F75" i="1"/>
  <c r="F76" i="1"/>
  <c r="F73" i="1"/>
  <c r="G59" i="1"/>
  <c r="G71" i="1"/>
  <c r="BJ84" i="1"/>
  <c r="F70" i="1"/>
  <c r="G94" i="1"/>
  <c r="G80" i="1"/>
  <c r="G78" i="1"/>
  <c r="G77" i="1"/>
  <c r="AZ84" i="1"/>
  <c r="BF84" i="1"/>
  <c r="BH84" i="1"/>
  <c r="BE84" i="1"/>
  <c r="BC84" i="1"/>
  <c r="BG84" i="1"/>
  <c r="BI84" i="1"/>
  <c r="BD84" i="1"/>
  <c r="BA84" i="1"/>
  <c r="F64" i="1"/>
  <c r="G66" i="1"/>
  <c r="G67" i="1"/>
  <c r="C69" i="1"/>
  <c r="C79" i="1"/>
  <c r="C96" i="1"/>
  <c r="C107" i="1"/>
  <c r="I6" i="10"/>
  <c r="G60" i="1"/>
  <c r="G65" i="1"/>
  <c r="K4" i="10"/>
  <c r="H9" i="10"/>
  <c r="H11" i="10"/>
  <c r="H12" i="10"/>
  <c r="H13" i="10"/>
  <c r="D62" i="1"/>
  <c r="G73" i="1"/>
  <c r="G74" i="1"/>
  <c r="G75" i="1"/>
  <c r="G72" i="1"/>
  <c r="G76" i="1"/>
  <c r="H59" i="1"/>
  <c r="H71" i="1"/>
  <c r="G53" i="1"/>
  <c r="G54" i="1"/>
  <c r="G55" i="1"/>
  <c r="H52" i="1"/>
  <c r="H77" i="1"/>
  <c r="H94" i="1"/>
  <c r="H80" i="1"/>
  <c r="H78" i="1"/>
  <c r="G70" i="1"/>
  <c r="K8" i="10"/>
  <c r="D61" i="1"/>
  <c r="D63" i="1"/>
  <c r="D68" i="1"/>
  <c r="G64" i="1"/>
  <c r="H66" i="1"/>
  <c r="H67" i="1"/>
  <c r="C99" i="1"/>
  <c r="C100" i="1"/>
  <c r="C97" i="1"/>
  <c r="I9" i="10"/>
  <c r="I11" i="10"/>
  <c r="I12" i="10"/>
  <c r="I13" i="10"/>
  <c r="E62" i="1"/>
  <c r="H60" i="1"/>
  <c r="H65" i="1"/>
  <c r="L4" i="10"/>
  <c r="L8" i="10"/>
  <c r="J6" i="10"/>
  <c r="H72" i="1"/>
  <c r="H75" i="1"/>
  <c r="H76" i="1"/>
  <c r="H73" i="1"/>
  <c r="H74" i="1"/>
  <c r="I52" i="1"/>
  <c r="H53" i="1"/>
  <c r="H54" i="1"/>
  <c r="H55" i="1"/>
  <c r="I59" i="1"/>
  <c r="I71" i="1"/>
  <c r="I94" i="1"/>
  <c r="I80" i="1"/>
  <c r="I78" i="1"/>
  <c r="I77" i="1"/>
  <c r="H70" i="1"/>
  <c r="H64" i="1"/>
  <c r="D69" i="1"/>
  <c r="D79" i="1"/>
  <c r="E61" i="1"/>
  <c r="E63" i="1"/>
  <c r="E68" i="1"/>
  <c r="I66" i="1"/>
  <c r="I67" i="1"/>
  <c r="I60" i="1"/>
  <c r="I65" i="1"/>
  <c r="M4" i="10"/>
  <c r="K6" i="10"/>
  <c r="J9" i="10"/>
  <c r="J11" i="10"/>
  <c r="J12" i="10"/>
  <c r="J13" i="10"/>
  <c r="F62" i="1"/>
  <c r="I75" i="1"/>
  <c r="I74" i="1"/>
  <c r="I73" i="1"/>
  <c r="I72" i="1"/>
  <c r="I76" i="1"/>
  <c r="J59" i="1"/>
  <c r="J71" i="1"/>
  <c r="J52" i="1"/>
  <c r="I53" i="1"/>
  <c r="I54" i="1"/>
  <c r="I55" i="1"/>
  <c r="D96" i="1"/>
  <c r="D107" i="1"/>
  <c r="J77" i="1"/>
  <c r="J94" i="1"/>
  <c r="J80" i="1"/>
  <c r="J78" i="1"/>
  <c r="I70" i="1"/>
  <c r="M8" i="10"/>
  <c r="E79" i="1"/>
  <c r="E69" i="1"/>
  <c r="F61" i="1"/>
  <c r="F63" i="1"/>
  <c r="F68" i="1"/>
  <c r="F79" i="1"/>
  <c r="F96" i="1"/>
  <c r="F107" i="1"/>
  <c r="I64" i="1"/>
  <c r="J66" i="1"/>
  <c r="J67" i="1"/>
  <c r="J60" i="1"/>
  <c r="J65" i="1"/>
  <c r="N4" i="10"/>
  <c r="K9" i="10"/>
  <c r="K11" i="10"/>
  <c r="K12" i="10"/>
  <c r="K13" i="10"/>
  <c r="G62" i="1"/>
  <c r="L6" i="10"/>
  <c r="K59" i="1"/>
  <c r="K71" i="1"/>
  <c r="J75" i="1"/>
  <c r="J74" i="1"/>
  <c r="J73" i="1"/>
  <c r="J72" i="1"/>
  <c r="J76" i="1"/>
  <c r="K52" i="1"/>
  <c r="J53" i="1"/>
  <c r="J54" i="1"/>
  <c r="J55" i="1"/>
  <c r="D99" i="1"/>
  <c r="D100" i="1"/>
  <c r="D97" i="1"/>
  <c r="D98" i="1"/>
  <c r="E96" i="1"/>
  <c r="E107" i="1"/>
  <c r="K94" i="1"/>
  <c r="K80" i="1"/>
  <c r="K78" i="1"/>
  <c r="K77" i="1"/>
  <c r="J70" i="1"/>
  <c r="N8" i="10"/>
  <c r="G61" i="1"/>
  <c r="G63" i="1"/>
  <c r="G68" i="1"/>
  <c r="F69" i="1"/>
  <c r="J64" i="1"/>
  <c r="K66" i="1"/>
  <c r="K67" i="1"/>
  <c r="K60" i="1"/>
  <c r="K65" i="1"/>
  <c r="O4" i="10"/>
  <c r="M6" i="10"/>
  <c r="L9" i="10"/>
  <c r="L11" i="10"/>
  <c r="L12" i="10"/>
  <c r="L13" i="10"/>
  <c r="H62" i="1"/>
  <c r="F97" i="1"/>
  <c r="F98" i="1"/>
  <c r="K75" i="1"/>
  <c r="K74" i="1"/>
  <c r="K73" i="1"/>
  <c r="K72" i="1"/>
  <c r="K76" i="1"/>
  <c r="L52" i="1"/>
  <c r="K53" i="1"/>
  <c r="K54" i="1"/>
  <c r="K55" i="1"/>
  <c r="L59" i="1"/>
  <c r="L71" i="1"/>
  <c r="E97" i="1"/>
  <c r="E99" i="1"/>
  <c r="E100" i="1"/>
  <c r="E98" i="1"/>
  <c r="L77" i="1"/>
  <c r="L94" i="1"/>
  <c r="L78" i="1"/>
  <c r="K70" i="1"/>
  <c r="O8" i="10"/>
  <c r="K64" i="1"/>
  <c r="G79" i="1"/>
  <c r="G96" i="1"/>
  <c r="G107" i="1"/>
  <c r="G69" i="1"/>
  <c r="H61" i="1"/>
  <c r="H63" i="1"/>
  <c r="H68" i="1"/>
  <c r="L66" i="1"/>
  <c r="L67" i="1"/>
  <c r="L60" i="1"/>
  <c r="L65" i="1"/>
  <c r="P4" i="10"/>
  <c r="N6" i="10"/>
  <c r="M9" i="10"/>
  <c r="M11" i="10"/>
  <c r="M12" i="10"/>
  <c r="M13" i="10"/>
  <c r="I62" i="1"/>
  <c r="M52" i="1"/>
  <c r="L53" i="1"/>
  <c r="L54" i="1"/>
  <c r="L55" i="1"/>
  <c r="M59" i="1"/>
  <c r="M71" i="1"/>
  <c r="L75" i="1"/>
  <c r="L74" i="1"/>
  <c r="L72" i="1"/>
  <c r="L73" i="1"/>
  <c r="L76" i="1"/>
  <c r="L80" i="1"/>
  <c r="G97" i="1"/>
  <c r="F99" i="1"/>
  <c r="F100" i="1"/>
  <c r="L70" i="1"/>
  <c r="M94" i="1"/>
  <c r="M80" i="1"/>
  <c r="M78" i="1"/>
  <c r="M77" i="1"/>
  <c r="L64" i="1"/>
  <c r="P8" i="10"/>
  <c r="G98" i="1"/>
  <c r="H69" i="1"/>
  <c r="H79" i="1"/>
  <c r="H96" i="1"/>
  <c r="H107" i="1"/>
  <c r="I61" i="1"/>
  <c r="I63" i="1"/>
  <c r="I68" i="1"/>
  <c r="I69" i="1"/>
  <c r="M66" i="1"/>
  <c r="M67" i="1"/>
  <c r="M60" i="1"/>
  <c r="M65" i="1"/>
  <c r="Q4" i="10"/>
  <c r="O6" i="10"/>
  <c r="N9" i="10"/>
  <c r="N11" i="10"/>
  <c r="N12" i="10"/>
  <c r="N13" i="10"/>
  <c r="J62" i="1"/>
  <c r="M74" i="1"/>
  <c r="M72" i="1"/>
  <c r="M76" i="1"/>
  <c r="M75" i="1"/>
  <c r="M73" i="1"/>
  <c r="N59" i="1"/>
  <c r="M53" i="1"/>
  <c r="M54" i="1"/>
  <c r="M55" i="1"/>
  <c r="N52" i="1"/>
  <c r="N53" i="1"/>
  <c r="N54" i="1"/>
  <c r="N55" i="1"/>
  <c r="B4" i="16"/>
  <c r="C4" i="16"/>
  <c r="N71" i="1"/>
  <c r="H97" i="1"/>
  <c r="G99" i="1"/>
  <c r="G100" i="1"/>
  <c r="N77" i="1"/>
  <c r="N94" i="1"/>
  <c r="N80" i="1"/>
  <c r="N78" i="1"/>
  <c r="M70" i="1"/>
  <c r="Q8" i="10"/>
  <c r="M64" i="1"/>
  <c r="H98" i="1"/>
  <c r="J61" i="1"/>
  <c r="J63" i="1"/>
  <c r="J68" i="1"/>
  <c r="I79" i="1"/>
  <c r="I96" i="1"/>
  <c r="I107" i="1"/>
  <c r="R4" i="10"/>
  <c r="S8" i="10"/>
  <c r="N66" i="1"/>
  <c r="N67" i="1"/>
  <c r="O9" i="10"/>
  <c r="O11" i="10"/>
  <c r="O12" i="10"/>
  <c r="O13" i="10"/>
  <c r="K62" i="1"/>
  <c r="P6" i="10"/>
  <c r="O52" i="1"/>
  <c r="O55" i="1"/>
  <c r="N60" i="1"/>
  <c r="N65" i="1"/>
  <c r="N76" i="1"/>
  <c r="N74" i="1"/>
  <c r="N72" i="1"/>
  <c r="N75" i="1"/>
  <c r="N73" i="1"/>
  <c r="I97" i="1"/>
  <c r="H99" i="1"/>
  <c r="H100" i="1"/>
  <c r="P52" i="1"/>
  <c r="P55" i="1"/>
  <c r="O94" i="1"/>
  <c r="O80" i="1"/>
  <c r="O78" i="1"/>
  <c r="O77" i="1"/>
  <c r="N70" i="1"/>
  <c r="R8" i="10"/>
  <c r="J79" i="1"/>
  <c r="J96" i="1"/>
  <c r="J107" i="1"/>
  <c r="J69" i="1"/>
  <c r="I98" i="1"/>
  <c r="O76" i="1"/>
  <c r="N46" i="1"/>
  <c r="K61" i="1"/>
  <c r="K63" i="1"/>
  <c r="K68" i="1"/>
  <c r="N64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N47" i="1"/>
  <c r="O67" i="1"/>
  <c r="O60" i="1"/>
  <c r="O65" i="1"/>
  <c r="S4" i="10"/>
  <c r="S6" i="10"/>
  <c r="Q6" i="10"/>
  <c r="P9" i="10"/>
  <c r="P11" i="10"/>
  <c r="P12" i="10"/>
  <c r="P13" i="10"/>
  <c r="L62" i="1"/>
  <c r="O74" i="1"/>
  <c r="O72" i="1"/>
  <c r="O75" i="1"/>
  <c r="O73" i="1"/>
  <c r="P59" i="1"/>
  <c r="P71" i="1"/>
  <c r="J98" i="1"/>
  <c r="I99" i="1"/>
  <c r="I100" i="1"/>
  <c r="P77" i="1"/>
  <c r="P94" i="1"/>
  <c r="P80" i="1"/>
  <c r="P78" i="1"/>
  <c r="P76" i="1"/>
  <c r="O70" i="1"/>
  <c r="J97" i="1"/>
  <c r="K69" i="1"/>
  <c r="K79" i="1"/>
  <c r="K96" i="1"/>
  <c r="K107" i="1"/>
  <c r="L61" i="1"/>
  <c r="L63" i="1"/>
  <c r="L68" i="1"/>
  <c r="O64" i="1"/>
  <c r="T4" i="10"/>
  <c r="U8" i="10"/>
  <c r="P67" i="1"/>
  <c r="Q9" i="10"/>
  <c r="Q11" i="10"/>
  <c r="Q12" i="10"/>
  <c r="Q13" i="10"/>
  <c r="M62" i="1"/>
  <c r="R6" i="10"/>
  <c r="S9" i="10"/>
  <c r="S11" i="10"/>
  <c r="S12" i="10"/>
  <c r="S13" i="10"/>
  <c r="O62" i="1"/>
  <c r="T8" i="10"/>
  <c r="Q52" i="1"/>
  <c r="Q55" i="1"/>
  <c r="P60" i="1"/>
  <c r="P65" i="1"/>
  <c r="P73" i="1"/>
  <c r="P74" i="1"/>
  <c r="P72" i="1"/>
  <c r="P75" i="1"/>
  <c r="Q59" i="1"/>
  <c r="Q71" i="1"/>
  <c r="P64" i="1"/>
  <c r="J99" i="1"/>
  <c r="J100" i="1"/>
  <c r="Q94" i="1"/>
  <c r="Q80" i="1"/>
  <c r="Q78" i="1"/>
  <c r="Q77" i="1"/>
  <c r="Q76" i="1"/>
  <c r="P70" i="1"/>
  <c r="K97" i="1"/>
  <c r="K98" i="1"/>
  <c r="L69" i="1"/>
  <c r="L79" i="1"/>
  <c r="L96" i="1"/>
  <c r="L107" i="1"/>
  <c r="O61" i="1"/>
  <c r="O63" i="1"/>
  <c r="O68" i="1"/>
  <c r="O69" i="1"/>
  <c r="M61" i="1"/>
  <c r="M63" i="1"/>
  <c r="M68" i="1"/>
  <c r="Q67" i="1"/>
  <c r="T6" i="10"/>
  <c r="Q60" i="1"/>
  <c r="Q65" i="1"/>
  <c r="U4" i="10"/>
  <c r="U6" i="10"/>
  <c r="R9" i="10"/>
  <c r="R11" i="10"/>
  <c r="R12" i="10"/>
  <c r="R13" i="10"/>
  <c r="N62" i="1"/>
  <c r="R59" i="1"/>
  <c r="R71" i="1"/>
  <c r="Q74" i="1"/>
  <c r="Q72" i="1"/>
  <c r="Q73" i="1"/>
  <c r="Q75" i="1"/>
  <c r="R52" i="1"/>
  <c r="R55" i="1"/>
  <c r="L98" i="1"/>
  <c r="K99" i="1"/>
  <c r="K100" i="1"/>
  <c r="R77" i="1"/>
  <c r="R94" i="1"/>
  <c r="R80" i="1"/>
  <c r="R78" i="1"/>
  <c r="R76" i="1"/>
  <c r="Q70" i="1"/>
  <c r="L97" i="1"/>
  <c r="Q64" i="1"/>
  <c r="M69" i="1"/>
  <c r="M79" i="1"/>
  <c r="M96" i="1"/>
  <c r="M107" i="1"/>
  <c r="N61" i="1"/>
  <c r="N63" i="1"/>
  <c r="N68" i="1"/>
  <c r="O79" i="1"/>
  <c r="O96" i="1"/>
  <c r="O107" i="1"/>
  <c r="R67" i="1"/>
  <c r="U9" i="10"/>
  <c r="U11" i="10"/>
  <c r="U12" i="10"/>
  <c r="U13" i="10"/>
  <c r="Q62" i="1"/>
  <c r="T9" i="10"/>
  <c r="T11" i="10"/>
  <c r="T12" i="10"/>
  <c r="T13" i="10"/>
  <c r="P62" i="1"/>
  <c r="R60" i="1"/>
  <c r="R65" i="1"/>
  <c r="V4" i="10"/>
  <c r="V8" i="10"/>
  <c r="S52" i="1"/>
  <c r="S55" i="1"/>
  <c r="R74" i="1"/>
  <c r="R75" i="1"/>
  <c r="R72" i="1"/>
  <c r="R73" i="1"/>
  <c r="S59" i="1"/>
  <c r="S71" i="1"/>
  <c r="O98" i="1"/>
  <c r="L99" i="1"/>
  <c r="L100" i="1"/>
  <c r="M97" i="1"/>
  <c r="S94" i="1"/>
  <c r="S80" i="1"/>
  <c r="S78" i="1"/>
  <c r="S77" i="1"/>
  <c r="S76" i="1"/>
  <c r="R70" i="1"/>
  <c r="M98" i="1"/>
  <c r="N69" i="1"/>
  <c r="N79" i="1"/>
  <c r="N96" i="1"/>
  <c r="N107" i="1"/>
  <c r="D118" i="1"/>
  <c r="Q61" i="1"/>
  <c r="Q63" i="1"/>
  <c r="Q68" i="1"/>
  <c r="R64" i="1"/>
  <c r="P61" i="1"/>
  <c r="P63" i="1"/>
  <c r="P68" i="1"/>
  <c r="O97" i="1"/>
  <c r="W4" i="10"/>
  <c r="X8" i="10"/>
  <c r="S67" i="1"/>
  <c r="W8" i="10"/>
  <c r="V6" i="10"/>
  <c r="T52" i="1"/>
  <c r="T55" i="1"/>
  <c r="S60" i="1"/>
  <c r="S65" i="1"/>
  <c r="T59" i="1"/>
  <c r="T71" i="1"/>
  <c r="S74" i="1"/>
  <c r="S72" i="1"/>
  <c r="S75" i="1"/>
  <c r="S73" i="1"/>
  <c r="D119" i="1"/>
  <c r="D122" i="1"/>
  <c r="M99" i="1"/>
  <c r="M100" i="1"/>
  <c r="N98" i="1"/>
  <c r="T77" i="1"/>
  <c r="T94" i="1"/>
  <c r="T80" i="1"/>
  <c r="T78" i="1"/>
  <c r="T76" i="1"/>
  <c r="S70" i="1"/>
  <c r="D40" i="1"/>
  <c r="F40" i="1"/>
  <c r="S64" i="1"/>
  <c r="N97" i="1"/>
  <c r="Q69" i="1"/>
  <c r="Q79" i="1"/>
  <c r="Q96" i="1"/>
  <c r="Q107" i="1"/>
  <c r="P69" i="1"/>
  <c r="P79" i="1"/>
  <c r="P96" i="1"/>
  <c r="P107" i="1"/>
  <c r="T67" i="1"/>
  <c r="T60" i="1"/>
  <c r="T65" i="1"/>
  <c r="X4" i="10"/>
  <c r="V9" i="10"/>
  <c r="V11" i="10"/>
  <c r="V12" i="10"/>
  <c r="V13" i="10"/>
  <c r="R62" i="1"/>
  <c r="W6" i="10"/>
  <c r="X6" i="10"/>
  <c r="U71" i="1"/>
  <c r="T72" i="1"/>
  <c r="T74" i="1"/>
  <c r="T75" i="1"/>
  <c r="T73" i="1"/>
  <c r="U52" i="1"/>
  <c r="U55" i="1"/>
  <c r="D123" i="1"/>
  <c r="N99" i="1"/>
  <c r="N100" i="1"/>
  <c r="Q98" i="1"/>
  <c r="P97" i="1"/>
  <c r="U94" i="1"/>
  <c r="U80" i="1"/>
  <c r="U78" i="1"/>
  <c r="U77" i="1"/>
  <c r="U76" i="1"/>
  <c r="T70" i="1"/>
  <c r="Q97" i="1"/>
  <c r="T64" i="1"/>
  <c r="R61" i="1"/>
  <c r="R63" i="1"/>
  <c r="R68" i="1"/>
  <c r="P98" i="1"/>
  <c r="Y4" i="10"/>
  <c r="Z8" i="10"/>
  <c r="U67" i="1"/>
  <c r="X9" i="10"/>
  <c r="X11" i="10"/>
  <c r="X12" i="10"/>
  <c r="X13" i="10"/>
  <c r="T62" i="1"/>
  <c r="W9" i="10"/>
  <c r="W11" i="10"/>
  <c r="W12" i="10"/>
  <c r="W13" i="10"/>
  <c r="S62" i="1"/>
  <c r="Y8" i="10"/>
  <c r="V52" i="1"/>
  <c r="V55" i="1"/>
  <c r="U60" i="1"/>
  <c r="U65" i="1"/>
  <c r="V59" i="1"/>
  <c r="V71" i="1"/>
  <c r="U75" i="1"/>
  <c r="U73" i="1"/>
  <c r="U72" i="1"/>
  <c r="U74" i="1"/>
  <c r="O99" i="1"/>
  <c r="O100" i="1"/>
  <c r="V77" i="1"/>
  <c r="V94" i="1"/>
  <c r="V80" i="1"/>
  <c r="V78" i="1"/>
  <c r="V76" i="1"/>
  <c r="U70" i="1"/>
  <c r="U64" i="1"/>
  <c r="R69" i="1"/>
  <c r="R79" i="1"/>
  <c r="R96" i="1"/>
  <c r="R107" i="1"/>
  <c r="S61" i="1"/>
  <c r="S63" i="1"/>
  <c r="S68" i="1"/>
  <c r="T61" i="1"/>
  <c r="T63" i="1"/>
  <c r="T68" i="1"/>
  <c r="T69" i="1"/>
  <c r="W52" i="1"/>
  <c r="W55" i="1"/>
  <c r="V67" i="1"/>
  <c r="V60" i="1"/>
  <c r="V65" i="1"/>
  <c r="Z4" i="10"/>
  <c r="Z6" i="10"/>
  <c r="Y6" i="10"/>
  <c r="W59" i="1"/>
  <c r="W71" i="1"/>
  <c r="V74" i="1"/>
  <c r="V73" i="1"/>
  <c r="V75" i="1"/>
  <c r="V72" i="1"/>
  <c r="P99" i="1"/>
  <c r="P100" i="1"/>
  <c r="R98" i="1"/>
  <c r="W77" i="1"/>
  <c r="W94" i="1"/>
  <c r="W80" i="1"/>
  <c r="W78" i="1"/>
  <c r="W76" i="1"/>
  <c r="V70" i="1"/>
  <c r="R97" i="1"/>
  <c r="V64" i="1"/>
  <c r="S69" i="1"/>
  <c r="S79" i="1"/>
  <c r="S96" i="1"/>
  <c r="S107" i="1"/>
  <c r="T79" i="1"/>
  <c r="T96" i="1"/>
  <c r="T107" i="1"/>
  <c r="W67" i="1"/>
  <c r="Z9" i="10"/>
  <c r="Z11" i="10"/>
  <c r="Z12" i="10"/>
  <c r="Z13" i="10"/>
  <c r="V62" i="1"/>
  <c r="Y9" i="10"/>
  <c r="Y11" i="10"/>
  <c r="Y12" i="10"/>
  <c r="Y13" i="10"/>
  <c r="U62" i="1"/>
  <c r="W60" i="1"/>
  <c r="W65" i="1"/>
  <c r="AA4" i="10"/>
  <c r="AB8" i="10"/>
  <c r="AA8" i="10"/>
  <c r="W73" i="1"/>
  <c r="W72" i="1"/>
  <c r="W74" i="1"/>
  <c r="W75" i="1"/>
  <c r="X52" i="1"/>
  <c r="X55" i="1"/>
  <c r="X59" i="1"/>
  <c r="X71" i="1"/>
  <c r="Q99" i="1"/>
  <c r="Q100" i="1"/>
  <c r="S98" i="1"/>
  <c r="T98" i="1"/>
  <c r="X77" i="1"/>
  <c r="X94" i="1"/>
  <c r="X80" i="1"/>
  <c r="X78" i="1"/>
  <c r="X76" i="1"/>
  <c r="W70" i="1"/>
  <c r="W64" i="1"/>
  <c r="S97" i="1"/>
  <c r="V61" i="1"/>
  <c r="V63" i="1"/>
  <c r="V68" i="1"/>
  <c r="V69" i="1"/>
  <c r="T97" i="1"/>
  <c r="U61" i="1"/>
  <c r="U63" i="1"/>
  <c r="U68" i="1"/>
  <c r="X67" i="1"/>
  <c r="X60" i="1"/>
  <c r="X65" i="1"/>
  <c r="AB4" i="10"/>
  <c r="AB6" i="10"/>
  <c r="AA6" i="10"/>
  <c r="X74" i="1"/>
  <c r="X73" i="1"/>
  <c r="X72" i="1"/>
  <c r="X75" i="1"/>
  <c r="Y52" i="1"/>
  <c r="Y55" i="1"/>
  <c r="Y59" i="1"/>
  <c r="Y71" i="1"/>
  <c r="R99" i="1"/>
  <c r="R100" i="1"/>
  <c r="Y94" i="1"/>
  <c r="Y80" i="1"/>
  <c r="Y78" i="1"/>
  <c r="Y77" i="1"/>
  <c r="Y76" i="1"/>
  <c r="X70" i="1"/>
  <c r="U69" i="1"/>
  <c r="U79" i="1"/>
  <c r="U96" i="1"/>
  <c r="U107" i="1"/>
  <c r="X64" i="1"/>
  <c r="V79" i="1"/>
  <c r="V96" i="1"/>
  <c r="V107" i="1"/>
  <c r="Y67" i="1"/>
  <c r="AA9" i="10"/>
  <c r="AA11" i="10"/>
  <c r="AA12" i="10"/>
  <c r="AA13" i="10"/>
  <c r="W62" i="1"/>
  <c r="AB9" i="10"/>
  <c r="AB11" i="10"/>
  <c r="AB12" i="10"/>
  <c r="AB13" i="10"/>
  <c r="X62" i="1"/>
  <c r="AC8" i="10"/>
  <c r="Y60" i="1"/>
  <c r="Y65" i="1"/>
  <c r="AC4" i="10"/>
  <c r="Z52" i="1"/>
  <c r="Z55" i="1"/>
  <c r="Z59" i="1"/>
  <c r="Y73" i="1"/>
  <c r="Y74" i="1"/>
  <c r="Y72" i="1"/>
  <c r="Y75" i="1"/>
  <c r="B5" i="16"/>
  <c r="C5" i="16"/>
  <c r="Z71" i="1"/>
  <c r="S99" i="1"/>
  <c r="S100" i="1"/>
  <c r="V98" i="1"/>
  <c r="U97" i="1"/>
  <c r="Y64" i="1"/>
  <c r="Z77" i="1"/>
  <c r="Z94" i="1"/>
  <c r="Z80" i="1"/>
  <c r="Z78" i="1"/>
  <c r="Z76" i="1"/>
  <c r="Y70" i="1"/>
  <c r="U98" i="1"/>
  <c r="X61" i="1"/>
  <c r="X63" i="1"/>
  <c r="X68" i="1"/>
  <c r="X69" i="1"/>
  <c r="W61" i="1"/>
  <c r="W63" i="1"/>
  <c r="W68" i="1"/>
  <c r="V97" i="1"/>
  <c r="Z67" i="1"/>
  <c r="AC6" i="10"/>
  <c r="Z60" i="1"/>
  <c r="Z65" i="1"/>
  <c r="AD4" i="10"/>
  <c r="AD8" i="10"/>
  <c r="Z75" i="1"/>
  <c r="Z74" i="1"/>
  <c r="Z72" i="1"/>
  <c r="Z73" i="1"/>
  <c r="AA52" i="1"/>
  <c r="AA55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T99" i="1"/>
  <c r="T100" i="1"/>
  <c r="AA77" i="1"/>
  <c r="AA94" i="1"/>
  <c r="AA80" i="1"/>
  <c r="AA78" i="1"/>
  <c r="AA76" i="1"/>
  <c r="Z70" i="1"/>
  <c r="W69" i="1"/>
  <c r="W79" i="1"/>
  <c r="W96" i="1"/>
  <c r="W107" i="1"/>
  <c r="Z64" i="1"/>
  <c r="X79" i="1"/>
  <c r="X96" i="1"/>
  <c r="X107" i="1"/>
  <c r="AA67" i="1"/>
  <c r="AA60" i="1"/>
  <c r="AA65" i="1"/>
  <c r="AE4" i="10"/>
  <c r="AE8" i="10"/>
  <c r="AD6" i="10"/>
  <c r="AC9" i="10"/>
  <c r="AC11" i="10"/>
  <c r="AC12" i="10"/>
  <c r="AC13" i="10"/>
  <c r="Y62" i="1"/>
  <c r="AB52" i="1"/>
  <c r="AB55" i="1"/>
  <c r="AB59" i="1"/>
  <c r="AB71" i="1"/>
  <c r="AA72" i="1"/>
  <c r="AA73" i="1"/>
  <c r="AA75" i="1"/>
  <c r="AA74" i="1"/>
  <c r="U99" i="1"/>
  <c r="U100" i="1"/>
  <c r="W98" i="1"/>
  <c r="X97" i="1"/>
  <c r="AB77" i="1"/>
  <c r="AB94" i="1"/>
  <c r="AB80" i="1"/>
  <c r="AB78" i="1"/>
  <c r="AB76" i="1"/>
  <c r="AA70" i="1"/>
  <c r="W97" i="1"/>
  <c r="X98" i="1"/>
  <c r="Y61" i="1"/>
  <c r="Y63" i="1"/>
  <c r="Y68" i="1"/>
  <c r="AA64" i="1"/>
  <c r="AF4" i="10"/>
  <c r="AG8" i="10"/>
  <c r="AB67" i="1"/>
  <c r="AD9" i="10"/>
  <c r="AD11" i="10"/>
  <c r="AD12" i="10"/>
  <c r="AD13" i="10"/>
  <c r="Z62" i="1"/>
  <c r="AF8" i="10"/>
  <c r="AE6" i="10"/>
  <c r="AC52" i="1"/>
  <c r="AC55" i="1"/>
  <c r="AB60" i="1"/>
  <c r="AB65" i="1"/>
  <c r="AC59" i="1"/>
  <c r="AC71" i="1"/>
  <c r="AB74" i="1"/>
  <c r="AB72" i="1"/>
  <c r="AB75" i="1"/>
  <c r="AB73" i="1"/>
  <c r="V99" i="1"/>
  <c r="V100" i="1"/>
  <c r="AB64" i="1"/>
  <c r="AC94" i="1"/>
  <c r="AC80" i="1"/>
  <c r="AC78" i="1"/>
  <c r="AC77" i="1"/>
  <c r="AC76" i="1"/>
  <c r="AB70" i="1"/>
  <c r="Y69" i="1"/>
  <c r="Y79" i="1"/>
  <c r="Y96" i="1"/>
  <c r="Y107" i="1"/>
  <c r="Z61" i="1"/>
  <c r="Z63" i="1"/>
  <c r="Z68" i="1"/>
  <c r="AC67" i="1"/>
  <c r="AF6" i="10"/>
  <c r="AC60" i="1"/>
  <c r="AC65" i="1"/>
  <c r="AG4" i="10"/>
  <c r="AE9" i="10"/>
  <c r="AE11" i="10"/>
  <c r="AE12" i="10"/>
  <c r="AE13" i="10"/>
  <c r="AA62" i="1"/>
  <c r="AG6" i="10"/>
  <c r="AD52" i="1"/>
  <c r="AD55" i="1"/>
  <c r="AC73" i="1"/>
  <c r="AC74" i="1"/>
  <c r="AC72" i="1"/>
  <c r="AC75" i="1"/>
  <c r="AD59" i="1"/>
  <c r="AD71" i="1"/>
  <c r="W99" i="1"/>
  <c r="W100" i="1"/>
  <c r="Y97" i="1"/>
  <c r="AC64" i="1"/>
  <c r="AD77" i="1"/>
  <c r="AD94" i="1"/>
  <c r="AD80" i="1"/>
  <c r="AD78" i="1"/>
  <c r="AD76" i="1"/>
  <c r="AC70" i="1"/>
  <c r="Y98" i="1"/>
  <c r="Z69" i="1"/>
  <c r="Z79" i="1"/>
  <c r="Z96" i="1"/>
  <c r="Z107" i="1"/>
  <c r="E118" i="1"/>
  <c r="AA61" i="1"/>
  <c r="AA63" i="1"/>
  <c r="AA68" i="1"/>
  <c r="AD67" i="1"/>
  <c r="AH8" i="10"/>
  <c r="AD60" i="1"/>
  <c r="AD65" i="1"/>
  <c r="AH4" i="10"/>
  <c r="AG9" i="10"/>
  <c r="AG11" i="10"/>
  <c r="AG12" i="10"/>
  <c r="AG13" i="10"/>
  <c r="AC62" i="1"/>
  <c r="AF9" i="10"/>
  <c r="AF11" i="10"/>
  <c r="AF12" i="10"/>
  <c r="AF13" i="10"/>
  <c r="AB62" i="1"/>
  <c r="AD73" i="1"/>
  <c r="AD72" i="1"/>
  <c r="AD74" i="1"/>
  <c r="AD75" i="1"/>
  <c r="AE52" i="1"/>
  <c r="AE55" i="1"/>
  <c r="AE59" i="1"/>
  <c r="AE71" i="1"/>
  <c r="E119" i="1"/>
  <c r="E122" i="1"/>
  <c r="X99" i="1"/>
  <c r="X100" i="1"/>
  <c r="Z97" i="1"/>
  <c r="AE77" i="1"/>
  <c r="AE94" i="1"/>
  <c r="AE80" i="1"/>
  <c r="AE78" i="1"/>
  <c r="AD64" i="1"/>
  <c r="AE76" i="1"/>
  <c r="AD70" i="1"/>
  <c r="D41" i="1"/>
  <c r="F41" i="1"/>
  <c r="AA69" i="1"/>
  <c r="AA79" i="1"/>
  <c r="AA96" i="1"/>
  <c r="AA107" i="1"/>
  <c r="AB61" i="1"/>
  <c r="AB63" i="1"/>
  <c r="AB68" i="1"/>
  <c r="AC61" i="1"/>
  <c r="AC63" i="1"/>
  <c r="AC68" i="1"/>
  <c r="AC69" i="1"/>
  <c r="Z98" i="1"/>
  <c r="AI4" i="10"/>
  <c r="AJ8" i="10"/>
  <c r="AE67" i="1"/>
  <c r="AH6" i="10"/>
  <c r="AI8" i="10"/>
  <c r="AF52" i="1"/>
  <c r="AF55" i="1"/>
  <c r="AE60" i="1"/>
  <c r="AE65" i="1"/>
  <c r="AF59" i="1"/>
  <c r="AF71" i="1"/>
  <c r="AE72" i="1"/>
  <c r="AE75" i="1"/>
  <c r="AE73" i="1"/>
  <c r="AE74" i="1"/>
  <c r="E123" i="1"/>
  <c r="Y99" i="1"/>
  <c r="Z99" i="1"/>
  <c r="Z100" i="1"/>
  <c r="AA98" i="1"/>
  <c r="AF77" i="1"/>
  <c r="AF94" i="1"/>
  <c r="AF80" i="1"/>
  <c r="AF78" i="1"/>
  <c r="AF76" i="1"/>
  <c r="AE70" i="1"/>
  <c r="AA97" i="1"/>
  <c r="AB69" i="1"/>
  <c r="AB79" i="1"/>
  <c r="AB96" i="1"/>
  <c r="AB107" i="1"/>
  <c r="AE64" i="1"/>
  <c r="AC79" i="1"/>
  <c r="AC96" i="1"/>
  <c r="AC107" i="1"/>
  <c r="AF67" i="1"/>
  <c r="AJ6" i="10"/>
  <c r="AI6" i="10"/>
  <c r="AH9" i="10"/>
  <c r="AH11" i="10"/>
  <c r="AH12" i="10"/>
  <c r="AH13" i="10"/>
  <c r="AD62" i="1"/>
  <c r="AF60" i="1"/>
  <c r="AF65" i="1"/>
  <c r="AJ4" i="10"/>
  <c r="AG52" i="1"/>
  <c r="AG55" i="1"/>
  <c r="AF74" i="1"/>
  <c r="AF75" i="1"/>
  <c r="AF72" i="1"/>
  <c r="AF73" i="1"/>
  <c r="AG59" i="1"/>
  <c r="AG71" i="1"/>
  <c r="AA99" i="1"/>
  <c r="AA100" i="1"/>
  <c r="Y100" i="1"/>
  <c r="AB98" i="1"/>
  <c r="AC97" i="1"/>
  <c r="AG94" i="1"/>
  <c r="AG80" i="1"/>
  <c r="AG78" i="1"/>
  <c r="AG77" i="1"/>
  <c r="AG76" i="1"/>
  <c r="AF70" i="1"/>
  <c r="AF64" i="1"/>
  <c r="AC98" i="1"/>
  <c r="AB97" i="1"/>
  <c r="AD61" i="1"/>
  <c r="AD63" i="1"/>
  <c r="AD68" i="1"/>
  <c r="AK4" i="10"/>
  <c r="AL8" i="10"/>
  <c r="AG67" i="1"/>
  <c r="AK8" i="10"/>
  <c r="AI9" i="10"/>
  <c r="AI11" i="10"/>
  <c r="AI12" i="10"/>
  <c r="AI13" i="10"/>
  <c r="AE62" i="1"/>
  <c r="AJ9" i="10"/>
  <c r="AJ11" i="10"/>
  <c r="AJ12" i="10"/>
  <c r="AJ13" i="10"/>
  <c r="AF62" i="1"/>
  <c r="AH52" i="1"/>
  <c r="AH55" i="1"/>
  <c r="AG60" i="1"/>
  <c r="AG65" i="1"/>
  <c r="AH59" i="1"/>
  <c r="AH71" i="1"/>
  <c r="AG73" i="1"/>
  <c r="AG75" i="1"/>
  <c r="AG72" i="1"/>
  <c r="AG74" i="1"/>
  <c r="AB99" i="1"/>
  <c r="AB100" i="1"/>
  <c r="AH77" i="1"/>
  <c r="AH94" i="1"/>
  <c r="AH80" i="1"/>
  <c r="AH78" i="1"/>
  <c r="AH76" i="1"/>
  <c r="AG70" i="1"/>
  <c r="AG64" i="1"/>
  <c r="AD69" i="1"/>
  <c r="AD79" i="1"/>
  <c r="AD96" i="1"/>
  <c r="AD107" i="1"/>
  <c r="AF61" i="1"/>
  <c r="AF63" i="1"/>
  <c r="AF68" i="1"/>
  <c r="AE61" i="1"/>
  <c r="AE63" i="1"/>
  <c r="AE68" i="1"/>
  <c r="AH67" i="1"/>
  <c r="AH60" i="1"/>
  <c r="AH65" i="1"/>
  <c r="AL4" i="10"/>
  <c r="AL6" i="10"/>
  <c r="AK6" i="10"/>
  <c r="AI59" i="1"/>
  <c r="AI71" i="1"/>
  <c r="AH75" i="1"/>
  <c r="AH72" i="1"/>
  <c r="AH74" i="1"/>
  <c r="AH73" i="1"/>
  <c r="AI52" i="1"/>
  <c r="AI55" i="1"/>
  <c r="AC99" i="1"/>
  <c r="AC100" i="1"/>
  <c r="AD98" i="1"/>
  <c r="AI77" i="1"/>
  <c r="AI94" i="1"/>
  <c r="AI80" i="1"/>
  <c r="AI78" i="1"/>
  <c r="AI76" i="1"/>
  <c r="AH70" i="1"/>
  <c r="AD97" i="1"/>
  <c r="AF69" i="1"/>
  <c r="AF79" i="1"/>
  <c r="AF96" i="1"/>
  <c r="AF107" i="1"/>
  <c r="AE69" i="1"/>
  <c r="AE79" i="1"/>
  <c r="AE96" i="1"/>
  <c r="AE107" i="1"/>
  <c r="AH64" i="1"/>
  <c r="AI67" i="1"/>
  <c r="AK9" i="10"/>
  <c r="AK11" i="10"/>
  <c r="AK12" i="10"/>
  <c r="AK13" i="10"/>
  <c r="AG62" i="1"/>
  <c r="AM8" i="10"/>
  <c r="AI60" i="1"/>
  <c r="AI65" i="1"/>
  <c r="AM4" i="10"/>
  <c r="AL9" i="10"/>
  <c r="AL11" i="10"/>
  <c r="AL12" i="10"/>
  <c r="AL13" i="10"/>
  <c r="AH62" i="1"/>
  <c r="AJ52" i="1"/>
  <c r="AJ55" i="1"/>
  <c r="AI72" i="1"/>
  <c r="AI75" i="1"/>
  <c r="AI74" i="1"/>
  <c r="AI73" i="1"/>
  <c r="AJ59" i="1"/>
  <c r="AJ71" i="1"/>
  <c r="AD99" i="1"/>
  <c r="AD100" i="1"/>
  <c r="AE98" i="1"/>
  <c r="AF98" i="1"/>
  <c r="AJ77" i="1"/>
  <c r="AJ94" i="1"/>
  <c r="AJ80" i="1"/>
  <c r="AJ78" i="1"/>
  <c r="AJ76" i="1"/>
  <c r="AI70" i="1"/>
  <c r="AF97" i="1"/>
  <c r="AH61" i="1"/>
  <c r="AH63" i="1"/>
  <c r="AH68" i="1"/>
  <c r="AG61" i="1"/>
  <c r="AG63" i="1"/>
  <c r="AG68" i="1"/>
  <c r="AE97" i="1"/>
  <c r="AI64" i="1"/>
  <c r="AJ67" i="1"/>
  <c r="AM6" i="10"/>
  <c r="AJ60" i="1"/>
  <c r="AJ65" i="1"/>
  <c r="AN4" i="10"/>
  <c r="AN8" i="10"/>
  <c r="AK52" i="1"/>
  <c r="AK55" i="1"/>
  <c r="AJ74" i="1"/>
  <c r="AJ73" i="1"/>
  <c r="AJ72" i="1"/>
  <c r="AJ75" i="1"/>
  <c r="AK59" i="1"/>
  <c r="AK71" i="1"/>
  <c r="AE99" i="1"/>
  <c r="AE100" i="1"/>
  <c r="AK94" i="1"/>
  <c r="AK80" i="1"/>
  <c r="AK78" i="1"/>
  <c r="AK77" i="1"/>
  <c r="AK76" i="1"/>
  <c r="AJ70" i="1"/>
  <c r="AG69" i="1"/>
  <c r="AG79" i="1"/>
  <c r="AG96" i="1"/>
  <c r="AG107" i="1"/>
  <c r="AH69" i="1"/>
  <c r="AH79" i="1"/>
  <c r="AH96" i="1"/>
  <c r="AH107" i="1"/>
  <c r="AJ64" i="1"/>
  <c r="AO4" i="10"/>
  <c r="AP8" i="10"/>
  <c r="AK67" i="1"/>
  <c r="AN6" i="10"/>
  <c r="AM9" i="10"/>
  <c r="AM11" i="10"/>
  <c r="AM12" i="10"/>
  <c r="AM13" i="10"/>
  <c r="AI62" i="1"/>
  <c r="AO8" i="10"/>
  <c r="AL52" i="1"/>
  <c r="AL55" i="1"/>
  <c r="AK60" i="1"/>
  <c r="AK65" i="1"/>
  <c r="AK72" i="1"/>
  <c r="AK74" i="1"/>
  <c r="AK73" i="1"/>
  <c r="AK75" i="1"/>
  <c r="AL59" i="1"/>
  <c r="B6" i="16"/>
  <c r="C6" i="16"/>
  <c r="AL71" i="1"/>
  <c r="AF99" i="1"/>
  <c r="AF100" i="1"/>
  <c r="AG97" i="1"/>
  <c r="AH98" i="1"/>
  <c r="AL77" i="1"/>
  <c r="AL94" i="1"/>
  <c r="AL80" i="1"/>
  <c r="AL78" i="1"/>
  <c r="AL76" i="1"/>
  <c r="AK70" i="1"/>
  <c r="AK64" i="1"/>
  <c r="AG98" i="1"/>
  <c r="AH97" i="1"/>
  <c r="AI61" i="1"/>
  <c r="AI63" i="1"/>
  <c r="AI68" i="1"/>
  <c r="AL67" i="1"/>
  <c r="AO6" i="10"/>
  <c r="AP6" i="10"/>
  <c r="AL60" i="1"/>
  <c r="AL65" i="1"/>
  <c r="AP4" i="10"/>
  <c r="AN9" i="10"/>
  <c r="AN11" i="10"/>
  <c r="AN12" i="10"/>
  <c r="AN13" i="10"/>
  <c r="AJ62" i="1"/>
  <c r="AM52" i="1"/>
  <c r="AM55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L72" i="1"/>
  <c r="AL75" i="1"/>
  <c r="AL74" i="1"/>
  <c r="AL73" i="1"/>
  <c r="AM59" i="1"/>
  <c r="AM71" i="1"/>
  <c r="AG99" i="1"/>
  <c r="AG100" i="1"/>
  <c r="AM77" i="1"/>
  <c r="AM94" i="1"/>
  <c r="AM80" i="1"/>
  <c r="AM78" i="1"/>
  <c r="AM76" i="1"/>
  <c r="AL70" i="1"/>
  <c r="AL64" i="1"/>
  <c r="AI69" i="1"/>
  <c r="AI79" i="1"/>
  <c r="AI96" i="1"/>
  <c r="AI107" i="1"/>
  <c r="AJ61" i="1"/>
  <c r="AJ63" i="1"/>
  <c r="AJ68" i="1"/>
  <c r="AJ69" i="1"/>
  <c r="AM67" i="1"/>
  <c r="AO9" i="10"/>
  <c r="AO11" i="10"/>
  <c r="AO12" i="10"/>
  <c r="AO13" i="10"/>
  <c r="AK62" i="1"/>
  <c r="AQ8" i="10"/>
  <c r="AM60" i="1"/>
  <c r="AM65" i="1"/>
  <c r="AQ4" i="10"/>
  <c r="AP9" i="10"/>
  <c r="AP11" i="10"/>
  <c r="AP12" i="10"/>
  <c r="AP13" i="10"/>
  <c r="AL62" i="1"/>
  <c r="AM72" i="1"/>
  <c r="AM74" i="1"/>
  <c r="AM73" i="1"/>
  <c r="AM75" i="1"/>
  <c r="AN59" i="1"/>
  <c r="AN71" i="1"/>
  <c r="AN52" i="1"/>
  <c r="AN55" i="1"/>
  <c r="AH99" i="1"/>
  <c r="AH100" i="1"/>
  <c r="AI97" i="1"/>
  <c r="AN77" i="1"/>
  <c r="AN94" i="1"/>
  <c r="AN80" i="1"/>
  <c r="AN78" i="1"/>
  <c r="AN76" i="1"/>
  <c r="AM70" i="1"/>
  <c r="AI98" i="1"/>
  <c r="AL61" i="1"/>
  <c r="AL63" i="1"/>
  <c r="AL68" i="1"/>
  <c r="AK61" i="1"/>
  <c r="AK63" i="1"/>
  <c r="AK68" i="1"/>
  <c r="AM64" i="1"/>
  <c r="AJ79" i="1"/>
  <c r="AJ96" i="1"/>
  <c r="AJ107" i="1"/>
  <c r="AN67" i="1"/>
  <c r="AQ6" i="10"/>
  <c r="AN60" i="1"/>
  <c r="AN65" i="1"/>
  <c r="AR4" i="10"/>
  <c r="AR8" i="10"/>
  <c r="AO52" i="1"/>
  <c r="AO55" i="1"/>
  <c r="AN74" i="1"/>
  <c r="AN72" i="1"/>
  <c r="AN75" i="1"/>
  <c r="AN73" i="1"/>
  <c r="AO59" i="1"/>
  <c r="AO71" i="1"/>
  <c r="AI99" i="1"/>
  <c r="AI100" i="1"/>
  <c r="AJ98" i="1"/>
  <c r="AO94" i="1"/>
  <c r="AO80" i="1"/>
  <c r="AO78" i="1"/>
  <c r="AO77" i="1"/>
  <c r="AO76" i="1"/>
  <c r="AN70" i="1"/>
  <c r="AJ97" i="1"/>
  <c r="AL69" i="1"/>
  <c r="AL79" i="1"/>
  <c r="AL96" i="1"/>
  <c r="AL107" i="1"/>
  <c r="AN64" i="1"/>
  <c r="AK69" i="1"/>
  <c r="AK79" i="1"/>
  <c r="AK96" i="1"/>
  <c r="AK107" i="1"/>
  <c r="AO67" i="1"/>
  <c r="AQ9" i="10"/>
  <c r="AQ11" i="10"/>
  <c r="AQ12" i="10"/>
  <c r="AQ13" i="10"/>
  <c r="AM62" i="1"/>
  <c r="AS8" i="10"/>
  <c r="AO60" i="1"/>
  <c r="AO65" i="1"/>
  <c r="AS4" i="10"/>
  <c r="AR6" i="10"/>
  <c r="AP52" i="1"/>
  <c r="AP55" i="1"/>
  <c r="AP59" i="1"/>
  <c r="AP71" i="1"/>
  <c r="AO73" i="1"/>
  <c r="AO75" i="1"/>
  <c r="AO72" i="1"/>
  <c r="AO74" i="1"/>
  <c r="F118" i="1"/>
  <c r="AJ99" i="1"/>
  <c r="AJ100" i="1"/>
  <c r="AL97" i="1"/>
  <c r="AK98" i="1"/>
  <c r="AP77" i="1"/>
  <c r="AP94" i="1"/>
  <c r="AP80" i="1"/>
  <c r="AP78" i="1"/>
  <c r="AP76" i="1"/>
  <c r="AO70" i="1"/>
  <c r="AL98" i="1"/>
  <c r="D42" i="1"/>
  <c r="F42" i="1"/>
  <c r="AO64" i="1"/>
  <c r="AM61" i="1"/>
  <c r="AM63" i="1"/>
  <c r="AM68" i="1"/>
  <c r="AK97" i="1"/>
  <c r="AP67" i="1"/>
  <c r="AS6" i="10"/>
  <c r="AP60" i="1"/>
  <c r="AP65" i="1"/>
  <c r="AT4" i="10"/>
  <c r="AR9" i="10"/>
  <c r="AR11" i="10"/>
  <c r="AR12" i="10"/>
  <c r="AR13" i="10"/>
  <c r="AN62" i="1"/>
  <c r="AT8" i="10"/>
  <c r="AQ59" i="1"/>
  <c r="AQ71" i="1"/>
  <c r="AP74" i="1"/>
  <c r="AP73" i="1"/>
  <c r="AP72" i="1"/>
  <c r="AP75" i="1"/>
  <c r="AQ52" i="1"/>
  <c r="AQ55" i="1"/>
  <c r="F119" i="1"/>
  <c r="F122" i="1"/>
  <c r="AK99" i="1"/>
  <c r="AK100" i="1"/>
  <c r="AQ77" i="1"/>
  <c r="AQ94" i="1"/>
  <c r="AQ80" i="1"/>
  <c r="AQ78" i="1"/>
  <c r="AQ76" i="1"/>
  <c r="AP70" i="1"/>
  <c r="AP64" i="1"/>
  <c r="AM69" i="1"/>
  <c r="AM79" i="1"/>
  <c r="AM96" i="1"/>
  <c r="AM107" i="1"/>
  <c r="AN61" i="1"/>
  <c r="AN63" i="1"/>
  <c r="AN68" i="1"/>
  <c r="AN69" i="1"/>
  <c r="AQ67" i="1"/>
  <c r="AQ60" i="1"/>
  <c r="AQ65" i="1"/>
  <c r="AU4" i="10"/>
  <c r="AU8" i="10"/>
  <c r="AT6" i="10"/>
  <c r="AS9" i="10"/>
  <c r="AS11" i="10"/>
  <c r="AS12" i="10"/>
  <c r="AS13" i="10"/>
  <c r="AO62" i="1"/>
  <c r="AR52" i="1"/>
  <c r="AR55" i="1"/>
  <c r="AR59" i="1"/>
  <c r="AR71" i="1"/>
  <c r="AQ73" i="1"/>
  <c r="AQ75" i="1"/>
  <c r="AQ74" i="1"/>
  <c r="AQ72" i="1"/>
  <c r="F123" i="1"/>
  <c r="AL99" i="1"/>
  <c r="AL100" i="1"/>
  <c r="AM98" i="1"/>
  <c r="AR77" i="1"/>
  <c r="AR94" i="1"/>
  <c r="AR80" i="1"/>
  <c r="AR78" i="1"/>
  <c r="AR76" i="1"/>
  <c r="AQ70" i="1"/>
  <c r="AN79" i="1"/>
  <c r="AN96" i="1"/>
  <c r="AN107" i="1"/>
  <c r="AM97" i="1"/>
  <c r="AO61" i="1"/>
  <c r="AO63" i="1"/>
  <c r="AO68" i="1"/>
  <c r="AQ64" i="1"/>
  <c r="AR67" i="1"/>
  <c r="AR60" i="1"/>
  <c r="AR65" i="1"/>
  <c r="AV4" i="10"/>
  <c r="AT9" i="10"/>
  <c r="AT11" i="10"/>
  <c r="AT12" i="10"/>
  <c r="AT13" i="10"/>
  <c r="AP62" i="1"/>
  <c r="AV8" i="10"/>
  <c r="AU6" i="10"/>
  <c r="AR74" i="1"/>
  <c r="AR75" i="1"/>
  <c r="AR73" i="1"/>
  <c r="AR72" i="1"/>
  <c r="AS52" i="1"/>
  <c r="AS55" i="1"/>
  <c r="AS59" i="1"/>
  <c r="AS71" i="1"/>
  <c r="AM99" i="1"/>
  <c r="AM100" i="1"/>
  <c r="AN97" i="1"/>
  <c r="AS94" i="1"/>
  <c r="AS80" i="1"/>
  <c r="AS78" i="1"/>
  <c r="AS77" i="1"/>
  <c r="AS76" i="1"/>
  <c r="AR70" i="1"/>
  <c r="AN98" i="1"/>
  <c r="AO69" i="1"/>
  <c r="AO79" i="1"/>
  <c r="AO96" i="1"/>
  <c r="AO107" i="1"/>
  <c r="AP61" i="1"/>
  <c r="AP63" i="1"/>
  <c r="AP68" i="1"/>
  <c r="AR64" i="1"/>
  <c r="AS67" i="1"/>
  <c r="AS60" i="1"/>
  <c r="AS65" i="1"/>
  <c r="AW4" i="10"/>
  <c r="AV6" i="10"/>
  <c r="AW8" i="10"/>
  <c r="AU9" i="10"/>
  <c r="AU11" i="10"/>
  <c r="AU12" i="10"/>
  <c r="AU13" i="10"/>
  <c r="AQ62" i="1"/>
  <c r="AT52" i="1"/>
  <c r="AT55" i="1"/>
  <c r="AT59" i="1"/>
  <c r="AT71" i="1"/>
  <c r="AS72" i="1"/>
  <c r="AS75" i="1"/>
  <c r="AS74" i="1"/>
  <c r="AS73" i="1"/>
  <c r="AN99" i="1"/>
  <c r="AN100" i="1"/>
  <c r="AO98" i="1"/>
  <c r="AT77" i="1"/>
  <c r="AT94" i="1"/>
  <c r="AT80" i="1"/>
  <c r="AT78" i="1"/>
  <c r="AT76" i="1"/>
  <c r="AS70" i="1"/>
  <c r="AS64" i="1"/>
  <c r="AO97" i="1"/>
  <c r="AP69" i="1"/>
  <c r="AP79" i="1"/>
  <c r="AP96" i="1"/>
  <c r="AP107" i="1"/>
  <c r="AQ61" i="1"/>
  <c r="AQ63" i="1"/>
  <c r="AQ68" i="1"/>
  <c r="AT67" i="1"/>
  <c r="AW6" i="10"/>
  <c r="AX8" i="10"/>
  <c r="AT60" i="1"/>
  <c r="AT65" i="1"/>
  <c r="AX4" i="10"/>
  <c r="AV9" i="10"/>
  <c r="AV11" i="10"/>
  <c r="AV12" i="10"/>
  <c r="AV13" i="10"/>
  <c r="AR62" i="1"/>
  <c r="AU52" i="1"/>
  <c r="AU55" i="1"/>
  <c r="AU59" i="1"/>
  <c r="AU71" i="1"/>
  <c r="AT72" i="1"/>
  <c r="AT74" i="1"/>
  <c r="AT75" i="1"/>
  <c r="AT73" i="1"/>
  <c r="AO99" i="1"/>
  <c r="AO100" i="1"/>
  <c r="AP98" i="1"/>
  <c r="AU77" i="1"/>
  <c r="AU94" i="1"/>
  <c r="AU80" i="1"/>
  <c r="AU78" i="1"/>
  <c r="AU76" i="1"/>
  <c r="AT70" i="1"/>
  <c r="AP97" i="1"/>
  <c r="AT64" i="1"/>
  <c r="AQ69" i="1"/>
  <c r="AQ79" i="1"/>
  <c r="AQ96" i="1"/>
  <c r="AQ107" i="1"/>
  <c r="AR61" i="1"/>
  <c r="AR63" i="1"/>
  <c r="AR68" i="1"/>
  <c r="AU67" i="1"/>
  <c r="AW9" i="10"/>
  <c r="AW11" i="10"/>
  <c r="AW12" i="10"/>
  <c r="AW13" i="10"/>
  <c r="AS62" i="1"/>
  <c r="AU60" i="1"/>
  <c r="AU65" i="1"/>
  <c r="AY4" i="10"/>
  <c r="AY8" i="10"/>
  <c r="AX6" i="10"/>
  <c r="AV52" i="1"/>
  <c r="AV55" i="1"/>
  <c r="AV59" i="1"/>
  <c r="AV71" i="1"/>
  <c r="AU73" i="1"/>
  <c r="AU74" i="1"/>
  <c r="AU72" i="1"/>
  <c r="AU75" i="1"/>
  <c r="AP99" i="1"/>
  <c r="AP100" i="1"/>
  <c r="AQ97" i="1"/>
  <c r="AV77" i="1"/>
  <c r="AV94" i="1"/>
  <c r="AV80" i="1"/>
  <c r="AV78" i="1"/>
  <c r="AV76" i="1"/>
  <c r="AU70" i="1"/>
  <c r="AU64" i="1"/>
  <c r="AQ98" i="1"/>
  <c r="AR69" i="1"/>
  <c r="AR79" i="1"/>
  <c r="AR96" i="1"/>
  <c r="AR107" i="1"/>
  <c r="AS61" i="1"/>
  <c r="AS63" i="1"/>
  <c r="AS68" i="1"/>
  <c r="AZ4" i="10"/>
  <c r="BA8" i="10"/>
  <c r="AV67" i="1"/>
  <c r="AY6" i="10"/>
  <c r="AX9" i="10"/>
  <c r="AX11" i="10"/>
  <c r="AX12" i="10"/>
  <c r="AX13" i="10"/>
  <c r="AT62" i="1"/>
  <c r="AZ8" i="10"/>
  <c r="AW52" i="1"/>
  <c r="AW55" i="1"/>
  <c r="AV60" i="1"/>
  <c r="AV65" i="1"/>
  <c r="AW59" i="1"/>
  <c r="AW71" i="1"/>
  <c r="AV73" i="1"/>
  <c r="AV72" i="1"/>
  <c r="AV75" i="1"/>
  <c r="AV74" i="1"/>
  <c r="AQ99" i="1"/>
  <c r="AQ100" i="1"/>
  <c r="AV64" i="1"/>
  <c r="AW94" i="1"/>
  <c r="AW80" i="1"/>
  <c r="AW78" i="1"/>
  <c r="AW77" i="1"/>
  <c r="AW76" i="1"/>
  <c r="AV70" i="1"/>
  <c r="AR98" i="1"/>
  <c r="AR97" i="1"/>
  <c r="AS69" i="1"/>
  <c r="AS79" i="1"/>
  <c r="AS96" i="1"/>
  <c r="AS107" i="1"/>
  <c r="AT61" i="1"/>
  <c r="AT63" i="1"/>
  <c r="AT68" i="1"/>
  <c r="AT69" i="1"/>
  <c r="BA4" i="10"/>
  <c r="BB8" i="10"/>
  <c r="AW67" i="1"/>
  <c r="AZ6" i="10"/>
  <c r="AY9" i="10"/>
  <c r="AY11" i="10"/>
  <c r="AY12" i="10"/>
  <c r="AY13" i="10"/>
  <c r="AU62" i="1"/>
  <c r="BA6" i="10"/>
  <c r="AX52" i="1"/>
  <c r="AX55" i="1"/>
  <c r="AW60" i="1"/>
  <c r="AW65" i="1"/>
  <c r="AX59" i="1"/>
  <c r="AY59" i="1"/>
  <c r="AY71" i="1"/>
  <c r="AW74" i="1"/>
  <c r="AW73" i="1"/>
  <c r="AW72" i="1"/>
  <c r="AW75" i="1"/>
  <c r="B7" i="16"/>
  <c r="C7" i="16"/>
  <c r="AX71" i="1"/>
  <c r="AR99" i="1"/>
  <c r="AR100" i="1"/>
  <c r="AS97" i="1"/>
  <c r="AY77" i="1"/>
  <c r="AY94" i="1"/>
  <c r="AY78" i="1"/>
  <c r="AX77" i="1"/>
  <c r="AX94" i="1"/>
  <c r="AX80" i="1"/>
  <c r="AX78" i="1"/>
  <c r="AX76" i="1"/>
  <c r="AW70" i="1"/>
  <c r="AS98" i="1"/>
  <c r="AW64" i="1"/>
  <c r="AT79" i="1"/>
  <c r="AT96" i="1"/>
  <c r="AT107" i="1"/>
  <c r="AU61" i="1"/>
  <c r="AU63" i="1"/>
  <c r="AU68" i="1"/>
  <c r="AX67" i="1"/>
  <c r="BA9" i="10"/>
  <c r="BA11" i="10"/>
  <c r="BA12" i="10"/>
  <c r="BA13" i="10"/>
  <c r="AW62" i="1"/>
  <c r="AZ9" i="10"/>
  <c r="AZ11" i="10"/>
  <c r="AZ12" i="10"/>
  <c r="AZ13" i="10"/>
  <c r="AV62" i="1"/>
  <c r="BB6" i="10"/>
  <c r="AX60" i="1"/>
  <c r="AX65" i="1"/>
  <c r="BB4" i="10"/>
  <c r="AY52" i="1"/>
  <c r="AY55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AX75" i="1"/>
  <c r="AX74" i="1"/>
  <c r="AX72" i="1"/>
  <c r="AX73" i="1"/>
  <c r="AY80" i="1"/>
  <c r="AS99" i="1"/>
  <c r="AS100" i="1"/>
  <c r="AT98" i="1"/>
  <c r="AY76" i="1"/>
  <c r="AX70" i="1"/>
  <c r="AT97" i="1"/>
  <c r="AX64" i="1"/>
  <c r="AU69" i="1"/>
  <c r="AU79" i="1"/>
  <c r="AU96" i="1"/>
  <c r="AU107" i="1"/>
  <c r="AW61" i="1"/>
  <c r="AW63" i="1"/>
  <c r="AW68" i="1"/>
  <c r="AW69" i="1"/>
  <c r="AV61" i="1"/>
  <c r="AV63" i="1"/>
  <c r="AV68" i="1"/>
  <c r="BC4" i="10"/>
  <c r="BD8" i="10"/>
  <c r="AY67" i="1"/>
  <c r="BB9" i="10"/>
  <c r="BB11" i="10"/>
  <c r="BB12" i="10"/>
  <c r="BB13" i="10"/>
  <c r="AX62" i="1"/>
  <c r="BC8" i="10"/>
  <c r="AZ52" i="1"/>
  <c r="AZ55" i="1"/>
  <c r="AY60" i="1"/>
  <c r="AY65" i="1"/>
  <c r="AZ59" i="1"/>
  <c r="AZ71" i="1"/>
  <c r="AY72" i="1"/>
  <c r="AY74" i="1"/>
  <c r="AY75" i="1"/>
  <c r="AY73" i="1"/>
  <c r="AT99" i="1"/>
  <c r="AT100" i="1"/>
  <c r="AZ77" i="1"/>
  <c r="AZ94" i="1"/>
  <c r="AZ80" i="1"/>
  <c r="AZ78" i="1"/>
  <c r="AZ76" i="1"/>
  <c r="AY70" i="1"/>
  <c r="AU97" i="1"/>
  <c r="AU98" i="1"/>
  <c r="AY64" i="1"/>
  <c r="AV69" i="1"/>
  <c r="AV79" i="1"/>
  <c r="AV96" i="1"/>
  <c r="AV107" i="1"/>
  <c r="AX61" i="1"/>
  <c r="AX63" i="1"/>
  <c r="AX68" i="1"/>
  <c r="AW79" i="1"/>
  <c r="AW96" i="1"/>
  <c r="AW107" i="1"/>
  <c r="AZ67" i="1"/>
  <c r="BD6" i="10"/>
  <c r="AZ60" i="1"/>
  <c r="AZ65" i="1"/>
  <c r="BD4" i="10"/>
  <c r="BD9" i="10"/>
  <c r="BD11" i="10"/>
  <c r="BD12" i="10"/>
  <c r="BC6" i="10"/>
  <c r="BA52" i="1"/>
  <c r="BA55" i="1"/>
  <c r="BA59" i="1"/>
  <c r="BA71" i="1"/>
  <c r="AZ72" i="1"/>
  <c r="AZ75" i="1"/>
  <c r="AZ74" i="1"/>
  <c r="AZ73" i="1"/>
  <c r="AU99" i="1"/>
  <c r="AU100" i="1"/>
  <c r="AV98" i="1"/>
  <c r="AW98" i="1"/>
  <c r="BA94" i="1"/>
  <c r="BA80" i="1"/>
  <c r="BA78" i="1"/>
  <c r="BA77" i="1"/>
  <c r="BA76" i="1"/>
  <c r="AZ70" i="1"/>
  <c r="AZ64" i="1"/>
  <c r="AW97" i="1"/>
  <c r="AV97" i="1"/>
  <c r="AX69" i="1"/>
  <c r="AX79" i="1"/>
  <c r="AX96" i="1"/>
  <c r="AX107" i="1"/>
  <c r="G118" i="1"/>
  <c r="BA67" i="1"/>
  <c r="BD13" i="10"/>
  <c r="AZ62" i="1"/>
  <c r="BC9" i="10"/>
  <c r="BC11" i="10"/>
  <c r="BC12" i="10"/>
  <c r="BC13" i="10"/>
  <c r="AY62" i="1"/>
  <c r="BA60" i="1"/>
  <c r="BA65" i="1"/>
  <c r="BE4" i="10"/>
  <c r="BF8" i="10"/>
  <c r="BB52" i="1"/>
  <c r="BB55" i="1"/>
  <c r="BE8" i="10"/>
  <c r="BB59" i="1"/>
  <c r="BB71" i="1"/>
  <c r="BA74" i="1"/>
  <c r="BA72" i="1"/>
  <c r="BA75" i="1"/>
  <c r="BA73" i="1"/>
  <c r="G119" i="1"/>
  <c r="G122" i="1"/>
  <c r="AV99" i="1"/>
  <c r="AV100" i="1"/>
  <c r="AX97" i="1"/>
  <c r="BB77" i="1"/>
  <c r="BB94" i="1"/>
  <c r="BB80" i="1"/>
  <c r="BB78" i="1"/>
  <c r="BB76" i="1"/>
  <c r="BA70" i="1"/>
  <c r="D43" i="1"/>
  <c r="F43" i="1"/>
  <c r="AY61" i="1"/>
  <c r="AY63" i="1"/>
  <c r="AY68" i="1"/>
  <c r="AZ61" i="1"/>
  <c r="AZ63" i="1"/>
  <c r="AZ68" i="1"/>
  <c r="BA64" i="1"/>
  <c r="AX98" i="1"/>
  <c r="BB67" i="1"/>
  <c r="BE6" i="10"/>
  <c r="BB60" i="1"/>
  <c r="BB65" i="1"/>
  <c r="BF4" i="10"/>
  <c r="BF6" i="10"/>
  <c r="BB73" i="1"/>
  <c r="BB75" i="1"/>
  <c r="BB74" i="1"/>
  <c r="BB72" i="1"/>
  <c r="BC52" i="1"/>
  <c r="BC55" i="1"/>
  <c r="BC59" i="1"/>
  <c r="BC71" i="1"/>
  <c r="G123" i="1"/>
  <c r="AW99" i="1"/>
  <c r="AW100" i="1"/>
  <c r="BB64" i="1"/>
  <c r="BC77" i="1"/>
  <c r="BC94" i="1"/>
  <c r="BC80" i="1"/>
  <c r="BC78" i="1"/>
  <c r="BC76" i="1"/>
  <c r="BB70" i="1"/>
  <c r="AY69" i="1"/>
  <c r="AY79" i="1"/>
  <c r="AY96" i="1"/>
  <c r="AY107" i="1"/>
  <c r="AZ69" i="1"/>
  <c r="AZ79" i="1"/>
  <c r="AZ96" i="1"/>
  <c r="AZ107" i="1"/>
  <c r="BC67" i="1"/>
  <c r="BF9" i="10"/>
  <c r="BF11" i="10"/>
  <c r="BF12" i="10"/>
  <c r="BF13" i="10"/>
  <c r="BB62" i="1"/>
  <c r="BC60" i="1"/>
  <c r="BC65" i="1"/>
  <c r="BG4" i="10"/>
  <c r="BH8" i="10"/>
  <c r="BE9" i="10"/>
  <c r="BE11" i="10"/>
  <c r="BE12" i="10"/>
  <c r="BE13" i="10"/>
  <c r="BA62" i="1"/>
  <c r="BG8" i="10"/>
  <c r="BD59" i="1"/>
  <c r="BD71" i="1"/>
  <c r="BC72" i="1"/>
  <c r="BC74" i="1"/>
  <c r="BC75" i="1"/>
  <c r="BC73" i="1"/>
  <c r="BD52" i="1"/>
  <c r="BD55" i="1"/>
  <c r="AX99" i="1"/>
  <c r="AX100" i="1"/>
  <c r="AZ97" i="1"/>
  <c r="BD77" i="1"/>
  <c r="BD94" i="1"/>
  <c r="BD80" i="1"/>
  <c r="BD78" i="1"/>
  <c r="BD76" i="1"/>
  <c r="BC70" i="1"/>
  <c r="AY97" i="1"/>
  <c r="AY98" i="1"/>
  <c r="AZ98" i="1"/>
  <c r="BA61" i="1"/>
  <c r="BA63" i="1"/>
  <c r="BA68" i="1"/>
  <c r="BB61" i="1"/>
  <c r="BB63" i="1"/>
  <c r="BB68" i="1"/>
  <c r="BC64" i="1"/>
  <c r="BE52" i="1"/>
  <c r="BE55" i="1"/>
  <c r="BD67" i="1"/>
  <c r="BD60" i="1"/>
  <c r="BD65" i="1"/>
  <c r="BH4" i="10"/>
  <c r="BH6" i="10"/>
  <c r="BG6" i="10"/>
  <c r="BE59" i="1"/>
  <c r="BE71" i="1"/>
  <c r="BD74" i="1"/>
  <c r="BD72" i="1"/>
  <c r="BD75" i="1"/>
  <c r="BD73" i="1"/>
  <c r="AY99" i="1"/>
  <c r="AY100" i="1"/>
  <c r="BE94" i="1"/>
  <c r="BE80" i="1"/>
  <c r="BE78" i="1"/>
  <c r="BE77" i="1"/>
  <c r="BE76" i="1"/>
  <c r="BD70" i="1"/>
  <c r="BD64" i="1"/>
  <c r="BA69" i="1"/>
  <c r="BA79" i="1"/>
  <c r="BA96" i="1"/>
  <c r="BA107" i="1"/>
  <c r="BB69" i="1"/>
  <c r="BB79" i="1"/>
  <c r="BB96" i="1"/>
  <c r="BB107" i="1"/>
  <c r="BE67" i="1"/>
  <c r="BG9" i="10"/>
  <c r="BG11" i="10"/>
  <c r="BG12" i="10"/>
  <c r="BG13" i="10"/>
  <c r="BC62" i="1"/>
  <c r="BE60" i="1"/>
  <c r="BE65" i="1"/>
  <c r="BI4" i="10"/>
  <c r="BJ8" i="10"/>
  <c r="BI8" i="10"/>
  <c r="BH9" i="10"/>
  <c r="BH11" i="10"/>
  <c r="BH12" i="10"/>
  <c r="BH13" i="10"/>
  <c r="BD62" i="1"/>
  <c r="BF59" i="1"/>
  <c r="BF71" i="1"/>
  <c r="BE75" i="1"/>
  <c r="BE72" i="1"/>
  <c r="BE74" i="1"/>
  <c r="BE73" i="1"/>
  <c r="BF52" i="1"/>
  <c r="BF55" i="1"/>
  <c r="AZ99" i="1"/>
  <c r="AZ100" i="1"/>
  <c r="BB97" i="1"/>
  <c r="BA98" i="1"/>
  <c r="BF77" i="1"/>
  <c r="BF94" i="1"/>
  <c r="BF80" i="1"/>
  <c r="BF78" i="1"/>
  <c r="BF76" i="1"/>
  <c r="BE70" i="1"/>
  <c r="BE64" i="1"/>
  <c r="BA97" i="1"/>
  <c r="BB98" i="1"/>
  <c r="BC61" i="1"/>
  <c r="BC63" i="1"/>
  <c r="BC68" i="1"/>
  <c r="BD61" i="1"/>
  <c r="BD63" i="1"/>
  <c r="BD68" i="1"/>
  <c r="BD69" i="1"/>
  <c r="BG52" i="1"/>
  <c r="BG55" i="1"/>
  <c r="BF67" i="1"/>
  <c r="BF60" i="1"/>
  <c r="BF65" i="1"/>
  <c r="BJ4" i="10"/>
  <c r="BI6" i="10"/>
  <c r="BJ6" i="10"/>
  <c r="BF72" i="1"/>
  <c r="BF73" i="1"/>
  <c r="BF75" i="1"/>
  <c r="BF74" i="1"/>
  <c r="BG59" i="1"/>
  <c r="BG71" i="1"/>
  <c r="BA99" i="1"/>
  <c r="BA100" i="1"/>
  <c r="BG77" i="1"/>
  <c r="BG94" i="1"/>
  <c r="BG80" i="1"/>
  <c r="BG78" i="1"/>
  <c r="BG76" i="1"/>
  <c r="BF70" i="1"/>
  <c r="BD79" i="1"/>
  <c r="BD96" i="1"/>
  <c r="BD107" i="1"/>
  <c r="BC69" i="1"/>
  <c r="BC79" i="1"/>
  <c r="BC96" i="1"/>
  <c r="BC107" i="1"/>
  <c r="BF64" i="1"/>
  <c r="BK8" i="10"/>
  <c r="BK6" i="10"/>
  <c r="BG67" i="1"/>
  <c r="BI9" i="10"/>
  <c r="BI11" i="10"/>
  <c r="BI12" i="10"/>
  <c r="BI13" i="10"/>
  <c r="BE62" i="1"/>
  <c r="BG60" i="1"/>
  <c r="BG65" i="1"/>
  <c r="BK4" i="10"/>
  <c r="BL8" i="10"/>
  <c r="BJ9" i="10"/>
  <c r="BG73" i="1"/>
  <c r="BG75" i="1"/>
  <c r="BG74" i="1"/>
  <c r="BG72" i="1"/>
  <c r="BH52" i="1"/>
  <c r="BH55" i="1"/>
  <c r="BH59" i="1"/>
  <c r="BH71" i="1"/>
  <c r="BB99" i="1"/>
  <c r="BB100" i="1"/>
  <c r="BD98" i="1"/>
  <c r="BC97" i="1"/>
  <c r="BH77" i="1"/>
  <c r="BH94" i="1"/>
  <c r="BH80" i="1"/>
  <c r="BH78" i="1"/>
  <c r="BH76" i="1"/>
  <c r="BG70" i="1"/>
  <c r="BG64" i="1"/>
  <c r="BD97" i="1"/>
  <c r="BC98" i="1"/>
  <c r="BE61" i="1"/>
  <c r="BE63" i="1"/>
  <c r="BE68" i="1"/>
  <c r="BJ11" i="10"/>
  <c r="BJ12" i="10"/>
  <c r="BL4" i="10"/>
  <c r="BM8" i="10"/>
  <c r="BH67" i="1"/>
  <c r="BL6" i="10"/>
  <c r="BI52" i="1"/>
  <c r="BI55" i="1"/>
  <c r="BH60" i="1"/>
  <c r="BH65" i="1"/>
  <c r="BI59" i="1"/>
  <c r="BI71" i="1"/>
  <c r="BJ59" i="1"/>
  <c r="BH72" i="1"/>
  <c r="BH74" i="1"/>
  <c r="BH75" i="1"/>
  <c r="BH73" i="1"/>
  <c r="B8" i="16"/>
  <c r="C8" i="16"/>
  <c r="BJ71" i="1"/>
  <c r="BC99" i="1"/>
  <c r="BC100" i="1"/>
  <c r="BJ77" i="1"/>
  <c r="BJ94" i="1"/>
  <c r="BJ80" i="1"/>
  <c r="BJ78" i="1"/>
  <c r="BI94" i="1"/>
  <c r="BI80" i="1"/>
  <c r="BI78" i="1"/>
  <c r="BI77" i="1"/>
  <c r="BI76" i="1"/>
  <c r="BH70" i="1"/>
  <c r="BK9" i="10"/>
  <c r="BK11" i="10"/>
  <c r="BK12" i="10"/>
  <c r="BK13" i="10"/>
  <c r="BG62" i="1"/>
  <c r="BG61" i="1"/>
  <c r="BG63" i="1"/>
  <c r="BG68" i="1"/>
  <c r="BE69" i="1"/>
  <c r="BE79" i="1"/>
  <c r="BE96" i="1"/>
  <c r="BE107" i="1"/>
  <c r="BH64" i="1"/>
  <c r="BJ13" i="10"/>
  <c r="BF62" i="1"/>
  <c r="BJ67" i="1"/>
  <c r="BI67" i="1"/>
  <c r="BM6" i="10"/>
  <c r="BI60" i="1"/>
  <c r="BI65" i="1"/>
  <c r="BM4" i="10"/>
  <c r="BN8" i="10"/>
  <c r="BL9" i="10"/>
  <c r="BL11" i="10"/>
  <c r="BL12" i="10"/>
  <c r="BL13" i="10"/>
  <c r="BH62" i="1"/>
  <c r="BM9" i="10"/>
  <c r="BM11" i="10"/>
  <c r="BM12" i="10"/>
  <c r="BJ60" i="1"/>
  <c r="BJ65" i="1"/>
  <c r="BN4" i="10"/>
  <c r="BJ72" i="1"/>
  <c r="BJ74" i="1"/>
  <c r="BJ73" i="1"/>
  <c r="BJ75" i="1"/>
  <c r="BI72" i="1"/>
  <c r="BI75" i="1"/>
  <c r="BI74" i="1"/>
  <c r="BI73" i="1"/>
  <c r="BJ52" i="1"/>
  <c r="BJ55" i="1"/>
  <c r="BD99" i="1"/>
  <c r="BD100" i="1"/>
  <c r="BJ76" i="1"/>
  <c r="BJ70" i="1"/>
  <c r="BI70" i="1"/>
  <c r="BE98" i="1"/>
  <c r="BE97" i="1"/>
  <c r="BI64" i="1"/>
  <c r="BG69" i="1"/>
  <c r="BG79" i="1"/>
  <c r="BG96" i="1"/>
  <c r="BG107" i="1"/>
  <c r="BJ64" i="1"/>
  <c r="BF61" i="1"/>
  <c r="BF63" i="1"/>
  <c r="BF68" i="1"/>
  <c r="BH61" i="1"/>
  <c r="BH63" i="1"/>
  <c r="BH68" i="1"/>
  <c r="BM13" i="10"/>
  <c r="BI62" i="1"/>
  <c r="BN6" i="10"/>
  <c r="BE99" i="1"/>
  <c r="BE100" i="1"/>
  <c r="BG97" i="1"/>
  <c r="BG98" i="1"/>
  <c r="BH69" i="1"/>
  <c r="BH79" i="1"/>
  <c r="BH96" i="1"/>
  <c r="BH107" i="1"/>
  <c r="BF69" i="1"/>
  <c r="BF79" i="1"/>
  <c r="BF96" i="1"/>
  <c r="BF107" i="1"/>
  <c r="BI61" i="1"/>
  <c r="BI63" i="1"/>
  <c r="BI68" i="1"/>
  <c r="BN9" i="10"/>
  <c r="BN11" i="10"/>
  <c r="BN12" i="10"/>
  <c r="BN13" i="10"/>
  <c r="BJ62" i="1"/>
  <c r="BF99" i="1"/>
  <c r="BF100" i="1"/>
  <c r="BH97" i="1"/>
  <c r="BF97" i="1"/>
  <c r="BH98" i="1"/>
  <c r="BI69" i="1"/>
  <c r="BI79" i="1"/>
  <c r="BI96" i="1"/>
  <c r="BI107" i="1"/>
  <c r="BJ61" i="1"/>
  <c r="BJ63" i="1"/>
  <c r="BJ68" i="1"/>
  <c r="BF98" i="1"/>
  <c r="BG99" i="1"/>
  <c r="BG100" i="1"/>
  <c r="BI98" i="1"/>
  <c r="BI97" i="1"/>
  <c r="BJ69" i="1"/>
  <c r="BJ79" i="1"/>
  <c r="BJ96" i="1"/>
  <c r="BJ107" i="1"/>
  <c r="H118" i="1"/>
  <c r="C131" i="1"/>
  <c r="C128" i="1"/>
  <c r="C129" i="1"/>
  <c r="H119" i="1"/>
  <c r="C133" i="1"/>
  <c r="C127" i="1"/>
  <c r="H122" i="1"/>
  <c r="H123" i="1"/>
  <c r="B132" i="1"/>
  <c r="BH99" i="1"/>
  <c r="BH100" i="1"/>
  <c r="BJ97" i="1"/>
  <c r="BJ98" i="1"/>
  <c r="D44" i="1"/>
  <c r="F44" i="1"/>
  <c r="C130" i="1"/>
  <c r="BI99" i="1"/>
  <c r="BI100" i="1"/>
  <c r="BJ99" i="1"/>
  <c r="BJ100" i="1"/>
  <c r="B38" i="1"/>
</calcChain>
</file>

<file path=xl/sharedStrings.xml><?xml version="1.0" encoding="utf-8"?>
<sst xmlns="http://schemas.openxmlformats.org/spreadsheetml/2006/main" count="473" uniqueCount="239">
  <si>
    <t>1º MÊS</t>
  </si>
  <si>
    <t>2º MÊS</t>
  </si>
  <si>
    <t>3º MÊS</t>
  </si>
  <si>
    <t>4º MÊS</t>
  </si>
  <si>
    <t>5º MÊS</t>
  </si>
  <si>
    <t>6º MÊS</t>
  </si>
  <si>
    <t>7º MÊS</t>
  </si>
  <si>
    <t>8º MÊS</t>
  </si>
  <si>
    <t>9º MÊS</t>
  </si>
  <si>
    <t>10º MÊS</t>
  </si>
  <si>
    <t>11º MÊS</t>
  </si>
  <si>
    <t>12º MÊS</t>
  </si>
  <si>
    <t>Contador</t>
  </si>
  <si>
    <t>VALORES ESTIMADOS</t>
  </si>
  <si>
    <t>13º MÊS</t>
  </si>
  <si>
    <t>14º MÊS</t>
  </si>
  <si>
    <t>15º MÊS</t>
  </si>
  <si>
    <t>16º MÊS</t>
  </si>
  <si>
    <t>17º MÊS</t>
  </si>
  <si>
    <t>18º MÊS</t>
  </si>
  <si>
    <t>19º MÊS</t>
  </si>
  <si>
    <t>20º MÊS</t>
  </si>
  <si>
    <t>21º MÊS</t>
  </si>
  <si>
    <t>22º MÊS</t>
  </si>
  <si>
    <t>23º MÊS</t>
  </si>
  <si>
    <t>24º MÊS</t>
  </si>
  <si>
    <t>25º MÊS</t>
  </si>
  <si>
    <t>26º MÊS</t>
  </si>
  <si>
    <t>27º MÊS</t>
  </si>
  <si>
    <t>28º MÊS</t>
  </si>
  <si>
    <t>29º MÊS</t>
  </si>
  <si>
    <t>30º MÊS</t>
  </si>
  <si>
    <t>31º MÊS</t>
  </si>
  <si>
    <t>32º MÊS</t>
  </si>
  <si>
    <t>33º MÊS</t>
  </si>
  <si>
    <t>34º MÊS</t>
  </si>
  <si>
    <t>35º MÊS</t>
  </si>
  <si>
    <t>36º MÊS</t>
  </si>
  <si>
    <t>37º MÊS</t>
  </si>
  <si>
    <t>38º MÊS</t>
  </si>
  <si>
    <t>39º MÊS</t>
  </si>
  <si>
    <t>40º MÊS</t>
  </si>
  <si>
    <t>41º MÊS</t>
  </si>
  <si>
    <t>42º MÊS</t>
  </si>
  <si>
    <t>43º MÊS</t>
  </si>
  <si>
    <t>44º MÊS</t>
  </si>
  <si>
    <t>45º MÊS</t>
  </si>
  <si>
    <t>46º MÊS</t>
  </si>
  <si>
    <t>47º MÊS</t>
  </si>
  <si>
    <t>48º MÊS</t>
  </si>
  <si>
    <t>49º MÊS</t>
  </si>
  <si>
    <t>50º MÊS</t>
  </si>
  <si>
    <t>51º MÊS</t>
  </si>
  <si>
    <t>52º MÊS</t>
  </si>
  <si>
    <t>53º MÊS</t>
  </si>
  <si>
    <t>54º MÊS</t>
  </si>
  <si>
    <t>55º MÊS</t>
  </si>
  <si>
    <t>56º MÊS</t>
  </si>
  <si>
    <t>57º MÊS</t>
  </si>
  <si>
    <t>58º MÊS</t>
  </si>
  <si>
    <t>59º MÊS</t>
  </si>
  <si>
    <t>60º MÊS</t>
  </si>
  <si>
    <t>INVESTIMENTOS INICIAIS</t>
  </si>
  <si>
    <t>ITEM</t>
  </si>
  <si>
    <t>INVESTIMENTO</t>
  </si>
  <si>
    <t>Aluguel e IPTU</t>
  </si>
  <si>
    <t>Folha de pagamento</t>
  </si>
  <si>
    <t>Os valores de investimentos, citados neste projeto, devem ser avaliados somente como simples projeções e estão sujeitos a alteração de acordo com a região. Não caracterizam promessas ou compromissos.</t>
  </si>
  <si>
    <t>Taxa de Publicidade e Propaganda</t>
  </si>
  <si>
    <t>TABELA DO SIMPLES NACIONAL - COMÉRCIO</t>
  </si>
  <si>
    <t>Taxa de Franquia</t>
  </si>
  <si>
    <t>TOTAL DA FOLHA DE PAGAMENTO</t>
  </si>
  <si>
    <t>Gerente</t>
  </si>
  <si>
    <t>RECEITA BRUTA</t>
  </si>
  <si>
    <t>RECEITA LÍQUIDA</t>
  </si>
  <si>
    <t>Ramp Up no 1º mês</t>
  </si>
  <si>
    <t>Taxa de Royalties</t>
  </si>
  <si>
    <t>% do faturamento pago com cartão</t>
  </si>
  <si>
    <t>Taxa do cartão</t>
  </si>
  <si>
    <t>Comissão sobre o faturamento</t>
  </si>
  <si>
    <t>Ramp Up</t>
  </si>
  <si>
    <t>IMPOSTOS</t>
  </si>
  <si>
    <t>-</t>
  </si>
  <si>
    <t>LUCRO BRUTO</t>
  </si>
  <si>
    <t>Total de meses</t>
  </si>
  <si>
    <t>Receita acumulada</t>
  </si>
  <si>
    <t>Receita média mês</t>
  </si>
  <si>
    <t>Receita média acumulada</t>
  </si>
  <si>
    <t>Alíquota do Simples Nacional</t>
  </si>
  <si>
    <t>Taxa de royalties</t>
  </si>
  <si>
    <t>Taxa de publicidade e propaganda</t>
  </si>
  <si>
    <t>Energia</t>
  </si>
  <si>
    <t>MARGEM DE CONTRIBUIÇÃO</t>
  </si>
  <si>
    <t>Pro labore</t>
  </si>
  <si>
    <t>Água</t>
  </si>
  <si>
    <t>Marketing local</t>
  </si>
  <si>
    <t>Seguro</t>
  </si>
  <si>
    <t>Manutenção da loja</t>
  </si>
  <si>
    <t>Materiais de consumo</t>
  </si>
  <si>
    <t>Banco</t>
  </si>
  <si>
    <t>MARGEM BRUTA</t>
  </si>
  <si>
    <t>RESULTADO OPERACIONAL</t>
  </si>
  <si>
    <t>FOLHA DE PAGAMENTO</t>
  </si>
  <si>
    <t>PREMISSAS DA SIMULAÇÃO</t>
  </si>
  <si>
    <t>VALOR</t>
  </si>
  <si>
    <t>% DE ENCARGOS</t>
  </si>
  <si>
    <t>VALOR DOS ENCARGOS</t>
  </si>
  <si>
    <t>VALOR TOTAL</t>
  </si>
  <si>
    <t>MARGEM OPERACIONAL LÍQUIDA</t>
  </si>
  <si>
    <t>Faturamento</t>
  </si>
  <si>
    <t>RETORNO SOBRE O INVESTIMENTO</t>
  </si>
  <si>
    <t>ANO</t>
  </si>
  <si>
    <t>FLUXO DE CAIXA ANUAL</t>
  </si>
  <si>
    <t>FLUXO DE CAIXA ACUMULADO</t>
  </si>
  <si>
    <t>Capital giro indicado</t>
  </si>
  <si>
    <t>Estoque inicial (produtos, insumos, embalagens etc)</t>
  </si>
  <si>
    <t>Mobiliário</t>
  </si>
  <si>
    <t>Equipamentos</t>
  </si>
  <si>
    <t>Marketing inaugural e materiais gráficos</t>
  </si>
  <si>
    <t>FUNÇÃO</t>
  </si>
  <si>
    <t>QUANTIDADE</t>
  </si>
  <si>
    <t>SALÁRIO MENSAL</t>
  </si>
  <si>
    <t>PROVISÕES E ENCARGOS</t>
  </si>
  <si>
    <t>ESTUDO DE VIABILIDADE</t>
  </si>
  <si>
    <t xml:space="preserve">PREMISSAS DO ESTUDO </t>
  </si>
  <si>
    <t>Simples Nacional</t>
  </si>
  <si>
    <t>INVESTIMENTO PARTIR DE</t>
  </si>
  <si>
    <t>Gás GLP</t>
  </si>
  <si>
    <t>Aluguel de máquinas de cartões</t>
  </si>
  <si>
    <t>INFORMAÇÕES FINANCEIRAS - FRANQUIA BELLA CAPRI</t>
  </si>
  <si>
    <t>Pizzaiolo</t>
  </si>
  <si>
    <t>Identidade Visual</t>
  </si>
  <si>
    <t>Utensílios</t>
  </si>
  <si>
    <t>CALCULO DO SIMPLES NACIONAL</t>
  </si>
  <si>
    <t>DESPESAS VARIÁVEIS</t>
  </si>
  <si>
    <t>DESPESAS OPERACIONAIS</t>
  </si>
  <si>
    <t>Venda de mercadorias</t>
  </si>
  <si>
    <t xml:space="preserve">% </t>
  </si>
  <si>
    <t>Operador Comercial</t>
  </si>
  <si>
    <t>Aspectos Administrativos</t>
  </si>
  <si>
    <t>Encarregado de Atendimento</t>
  </si>
  <si>
    <t>Encarregado de Qualidade</t>
  </si>
  <si>
    <t>Auxiliar de cozinha / limpeza</t>
  </si>
  <si>
    <t>Calculo do Simples Nacional 2018</t>
  </si>
  <si>
    <t>Meses ano</t>
  </si>
  <si>
    <t>Fat/ meses ano</t>
  </si>
  <si>
    <t>aliquota</t>
  </si>
  <si>
    <t>Fat. Acumualado</t>
  </si>
  <si>
    <t>Aliq. X Fat. Acum</t>
  </si>
  <si>
    <t>Vlr para Dedução</t>
  </si>
  <si>
    <t>% aliq. Efetiva</t>
  </si>
  <si>
    <t>Valor DAS</t>
  </si>
  <si>
    <t>Descartáveis</t>
  </si>
  <si>
    <t>Quebras</t>
  </si>
  <si>
    <t>FORNECEDORES</t>
  </si>
  <si>
    <t>Reajuste Aluguel</t>
  </si>
  <si>
    <t>Internet</t>
  </si>
  <si>
    <t>Mensalidade (Software + Informática)</t>
  </si>
  <si>
    <t>Limpadora / Dedetizadora</t>
  </si>
  <si>
    <t>Outras Despesas Pessoal</t>
  </si>
  <si>
    <t>Outras Despesas Pessoais</t>
  </si>
  <si>
    <t>dps - outros</t>
  </si>
  <si>
    <t>dps - uniformes - reposicao</t>
  </si>
  <si>
    <t>dps - alimentacao</t>
  </si>
  <si>
    <t>dps - beneficios</t>
  </si>
  <si>
    <t>dps - extras</t>
  </si>
  <si>
    <t>1° a 6° MÊS DE OPERAÇÃO - REGIME CLT</t>
  </si>
  <si>
    <t>7° A 12° MÊS DE OPERAÇÃO - REGIME CLT</t>
  </si>
  <si>
    <t>13° A 18° MÊS DE OPERAÇÃO - REGIME CLT</t>
  </si>
  <si>
    <t>19° A 24° MÊS DE OPERAÇÃO - REGIME CLT</t>
  </si>
  <si>
    <t>25° A 30° MÊS DE OPERAÇÃO - REGIME CLT</t>
  </si>
  <si>
    <t>31° A 36° MÊS DE OPERAÇÃO - REGIME CLT</t>
  </si>
  <si>
    <t>37° MÊS PARA FRENTE DE OPERAÇÃO - REGIME CLT</t>
  </si>
  <si>
    <t>PRO LABORE (ADM)</t>
  </si>
  <si>
    <t>Garçom</t>
  </si>
  <si>
    <t>Rateio Central Atendimento</t>
  </si>
  <si>
    <t>Comissão Vendas ( Parceiros)</t>
  </si>
  <si>
    <t>Comissão Vendas ( Moto Entregadores)</t>
  </si>
  <si>
    <t>Material de Limpeza</t>
  </si>
  <si>
    <t>Projetos / Gestão de Obra</t>
  </si>
  <si>
    <t>Formação e Treinamento / Apoio Inauguração</t>
  </si>
  <si>
    <t>Manutenção da loja ( a partir 4 mês)</t>
  </si>
  <si>
    <t xml:space="preserve">Encarregado de Atendimento </t>
  </si>
  <si>
    <t>Infraestrutura de Tecnologia + Segurança</t>
  </si>
  <si>
    <t>Uniformes - Enxoval</t>
  </si>
  <si>
    <t>AGILE</t>
  </si>
  <si>
    <t>mrd</t>
  </si>
  <si>
    <t>Ramp Up % de crescimento mensal 1 º ano</t>
  </si>
  <si>
    <t>ENCARGOS SOBRE FOLHA</t>
  </si>
  <si>
    <t>FERIAS + ENCARGOS</t>
  </si>
  <si>
    <t>DECIMO + ENCARGOS</t>
  </si>
  <si>
    <t>ENCARGOS. TOTAL</t>
  </si>
  <si>
    <t>INDICADORES DE ANÁLISE DE INVESTIMENTOS</t>
  </si>
  <si>
    <t>TMA (Taxa Mínima de Atratividade) a.a.</t>
  </si>
  <si>
    <t>VP Valor Residual</t>
  </si>
  <si>
    <t>VPL Efetivo</t>
  </si>
  <si>
    <t>TIR (Taxa Interna de Retorno) ao ano</t>
  </si>
  <si>
    <t>DISTRIBUIÇÃO DE DIVIDENDOS</t>
  </si>
  <si>
    <t>SÓCIO OSTENSIVO</t>
  </si>
  <si>
    <t>SÓCIOS PARTICIPANTES</t>
  </si>
  <si>
    <t>PROJEÇÃO DE DISTRIBUIÇÃO DE DIVIDENDOS</t>
  </si>
  <si>
    <t>PERÍODO</t>
  </si>
  <si>
    <t>Mês 25 a 60</t>
  </si>
  <si>
    <t>Mês 61 a 72</t>
  </si>
  <si>
    <t>A partir Mês 73</t>
  </si>
  <si>
    <t>Ano 1</t>
  </si>
  <si>
    <t>Ano 2</t>
  </si>
  <si>
    <t>Ano 3</t>
  </si>
  <si>
    <t>Ano 4</t>
  </si>
  <si>
    <t>Ano 5</t>
  </si>
  <si>
    <t>Curva de Crescimento (g)</t>
  </si>
  <si>
    <t>Fluxo Acumulado Dividendos</t>
  </si>
  <si>
    <t>Fluxo de Caixa Dividendos</t>
  </si>
  <si>
    <t>ANO 0</t>
  </si>
  <si>
    <t>SÓCIOS</t>
  </si>
  <si>
    <t>Rentabilidade sobre o investimento</t>
  </si>
  <si>
    <t>VPL (Valor Presente Líquido) fluxo 5 anos</t>
  </si>
  <si>
    <t>Valor na Perpetuidade Ano 5</t>
  </si>
  <si>
    <t>Retorno anual médio do Ano 1 ao Ano 5</t>
  </si>
  <si>
    <t>CMV + Descartáveis</t>
  </si>
  <si>
    <t>Custo da Mercadoria Vendida (CMV) + Descartáveis</t>
  </si>
  <si>
    <t>Taxa do cartão + Alguel de Maquinas</t>
  </si>
  <si>
    <t>1 ano</t>
  </si>
  <si>
    <t>19 a 30 meses</t>
  </si>
  <si>
    <t>31 a 60</t>
  </si>
  <si>
    <t>VALOR TOTAL COM ESTOQUE INICIAL + TAXA</t>
  </si>
  <si>
    <t>BC</t>
  </si>
  <si>
    <t>DU</t>
  </si>
  <si>
    <t>INVESTIMENTO2</t>
  </si>
  <si>
    <t>% 3</t>
  </si>
  <si>
    <t>INVESTIMENTO3</t>
  </si>
  <si>
    <t>% 4</t>
  </si>
  <si>
    <t>% 2</t>
  </si>
  <si>
    <t>B.Lm</t>
  </si>
  <si>
    <t>DB</t>
  </si>
  <si>
    <t>% 5</t>
  </si>
  <si>
    <t>INVESTIMENTO4</t>
  </si>
  <si>
    <t>ZNG</t>
  </si>
  <si>
    <t>INVESTIMENTO5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</si>
</sst>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#,##0.00;[Red]#,##0.00"/>
    <numFmt numFmtId="167" formatCode="0_ ;\-0\ "/>
    <numFmt numFmtId="168" formatCode="#,##0.00_ ;\-#,##0.00\ "/>
    <numFmt numFmtId="169" formatCode="#,##0.00_ ;[Red]\-#,##0.00\ "/>
    <numFmt numFmtId="170" formatCode="_(* #,##0.0_);_(* \(#,##0.0\);_(* &quot;-&quot;??_);_(@_)"/>
    <numFmt numFmtId="171" formatCode="0.0000%"/>
    <numFmt numFmtId="172" formatCode="_-* #,##0_-;\-* #,##0_-;_-* &quot;-&quot;??_-;_-@_-"/>
    <numFmt numFmtId="17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7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4" fontId="2" fillId="2" borderId="0" xfId="1" applyNumberFormat="1" applyFont="1" applyFill="1" applyAlignment="1" applyProtection="1">
      <alignment vertical="center"/>
      <protection hidden="1"/>
    </xf>
    <xf numFmtId="0" fontId="7" fillId="2" borderId="0" xfId="0" applyFont="1" applyFill="1"/>
    <xf numFmtId="4" fontId="2" fillId="2" borderId="0" xfId="1" applyNumberFormat="1" applyFont="1" applyFill="1" applyAlignment="1" applyProtection="1">
      <alignment horizontal="left" vertical="center"/>
      <protection hidden="1"/>
    </xf>
    <xf numFmtId="4" fontId="6" fillId="2" borderId="7" xfId="0" applyNumberFormat="1" applyFont="1" applyFill="1" applyBorder="1" applyAlignment="1" applyProtection="1">
      <alignment horizontal="center" vertical="center" wrapText="1"/>
      <protection hidden="1"/>
    </xf>
    <xf numFmtId="166" fontId="2" fillId="4" borderId="29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/>
    </xf>
    <xf numFmtId="10" fontId="6" fillId="2" borderId="7" xfId="0" applyNumberFormat="1" applyFont="1" applyFill="1" applyBorder="1" applyAlignment="1" applyProtection="1">
      <alignment horizontal="center" vertical="center" wrapText="1"/>
      <protection hidden="1"/>
    </xf>
    <xf numFmtId="4" fontId="7" fillId="2" borderId="7" xfId="0" applyNumberFormat="1" applyFont="1" applyFill="1" applyBorder="1"/>
    <xf numFmtId="10" fontId="7" fillId="2" borderId="0" xfId="3" applyNumberFormat="1" applyFont="1" applyFill="1"/>
    <xf numFmtId="4" fontId="6" fillId="2" borderId="0" xfId="0" applyNumberFormat="1" applyFont="1" applyFill="1" applyAlignment="1" applyProtection="1">
      <alignment horizontal="center" vertical="center" wrapText="1"/>
      <protection hidden="1"/>
    </xf>
    <xf numFmtId="10" fontId="6" fillId="2" borderId="0" xfId="0" applyNumberFormat="1" applyFont="1" applyFill="1" applyAlignment="1" applyProtection="1">
      <alignment horizontal="center" vertical="center" wrapText="1"/>
      <protection hidden="1"/>
    </xf>
    <xf numFmtId="0" fontId="5" fillId="2" borderId="0" xfId="0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36" xfId="0" applyFont="1" applyFill="1" applyBorder="1" applyAlignment="1">
      <alignment vertical="center"/>
    </xf>
    <xf numFmtId="166" fontId="3" fillId="2" borderId="38" xfId="0" applyNumberFormat="1" applyFont="1" applyFill="1" applyBorder="1" applyAlignment="1">
      <alignment horizontal="right" vertical="center"/>
    </xf>
    <xf numFmtId="166" fontId="3" fillId="2" borderId="5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vertical="center"/>
    </xf>
    <xf numFmtId="4" fontId="8" fillId="2" borderId="40" xfId="0" applyNumberFormat="1" applyFont="1" applyFill="1" applyBorder="1" applyAlignment="1">
      <alignment vertical="center"/>
    </xf>
    <xf numFmtId="165" fontId="8" fillId="2" borderId="56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8" fillId="2" borderId="37" xfId="0" applyFont="1" applyFill="1" applyBorder="1" applyAlignment="1">
      <alignment vertical="center"/>
    </xf>
    <xf numFmtId="4" fontId="8" fillId="2" borderId="46" xfId="0" applyNumberFormat="1" applyFont="1" applyFill="1" applyBorder="1" applyAlignment="1">
      <alignment vertical="center"/>
    </xf>
    <xf numFmtId="165" fontId="8" fillId="2" borderId="57" xfId="0" applyNumberFormat="1" applyFont="1" applyFill="1" applyBorder="1" applyAlignment="1">
      <alignment horizontal="right" vertical="center"/>
    </xf>
    <xf numFmtId="0" fontId="3" fillId="2" borderId="27" xfId="0" applyFont="1" applyFill="1" applyBorder="1" applyAlignment="1">
      <alignment vertical="center"/>
    </xf>
    <xf numFmtId="4" fontId="4" fillId="2" borderId="42" xfId="0" applyNumberFormat="1" applyFont="1" applyFill="1" applyBorder="1" applyAlignment="1">
      <alignment vertical="center"/>
    </xf>
    <xf numFmtId="9" fontId="3" fillId="2" borderId="58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Alignment="1">
      <alignment vertical="center"/>
    </xf>
    <xf numFmtId="9" fontId="3" fillId="2" borderId="0" xfId="0" applyNumberFormat="1" applyFont="1" applyFill="1" applyAlignment="1">
      <alignment horizontal="center" vertical="center"/>
    </xf>
    <xf numFmtId="0" fontId="8" fillId="2" borderId="59" xfId="0" applyFont="1" applyFill="1" applyBorder="1" applyAlignment="1">
      <alignment vertical="center"/>
    </xf>
    <xf numFmtId="4" fontId="8" fillId="2" borderId="60" xfId="0" applyNumberFormat="1" applyFont="1" applyFill="1" applyBorder="1" applyAlignment="1">
      <alignment vertical="center"/>
    </xf>
    <xf numFmtId="165" fontId="8" fillId="2" borderId="0" xfId="0" applyNumberFormat="1" applyFont="1" applyFill="1" applyAlignment="1">
      <alignment horizontal="right" vertical="center"/>
    </xf>
    <xf numFmtId="0" fontId="8" fillId="2" borderId="46" xfId="0" applyFont="1" applyFill="1" applyBorder="1" applyAlignment="1">
      <alignment vertical="center"/>
    </xf>
    <xf numFmtId="44" fontId="8" fillId="2" borderId="0" xfId="0" applyNumberFormat="1" applyFont="1" applyFill="1" applyAlignment="1">
      <alignment vertical="center"/>
    </xf>
    <xf numFmtId="4" fontId="8" fillId="2" borderId="0" xfId="0" applyNumberFormat="1" applyFont="1" applyFill="1" applyAlignment="1">
      <alignment vertical="center"/>
    </xf>
    <xf numFmtId="0" fontId="2" fillId="2" borderId="29" xfId="0" applyFont="1" applyFill="1" applyBorder="1" applyAlignment="1">
      <alignment vertical="center"/>
    </xf>
    <xf numFmtId="4" fontId="2" fillId="2" borderId="35" xfId="0" applyNumberFormat="1" applyFont="1" applyFill="1" applyBorder="1" applyAlignment="1">
      <alignment vertical="center"/>
    </xf>
    <xf numFmtId="44" fontId="2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43" xfId="0" applyFont="1" applyFill="1" applyBorder="1" applyAlignment="1">
      <alignment horizontal="right" vertical="center"/>
    </xf>
    <xf numFmtId="0" fontId="2" fillId="2" borderId="44" xfId="0" applyFont="1" applyFill="1" applyBorder="1" applyAlignment="1">
      <alignment horizontal="right" vertical="center"/>
    </xf>
    <xf numFmtId="9" fontId="8" fillId="2" borderId="45" xfId="0" applyNumberFormat="1" applyFont="1" applyFill="1" applyBorder="1" applyAlignment="1">
      <alignment horizontal="right" vertical="center"/>
    </xf>
    <xf numFmtId="4" fontId="8" fillId="2" borderId="45" xfId="0" applyNumberFormat="1" applyFont="1" applyFill="1" applyBorder="1" applyAlignment="1">
      <alignment horizontal="right" vertical="center"/>
    </xf>
    <xf numFmtId="4" fontId="3" fillId="2" borderId="14" xfId="0" applyNumberFormat="1" applyFont="1" applyFill="1" applyBorder="1" applyAlignment="1">
      <alignment horizontal="right" vertical="center"/>
    </xf>
    <xf numFmtId="0" fontId="2" fillId="2" borderId="36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41" xfId="0" applyFont="1" applyFill="1" applyBorder="1" applyAlignment="1">
      <alignment horizontal="right" vertical="center"/>
    </xf>
    <xf numFmtId="4" fontId="8" fillId="2" borderId="41" xfId="0" applyNumberFormat="1" applyFont="1" applyFill="1" applyBorder="1" applyAlignment="1">
      <alignment horizontal="right" vertical="center"/>
    </xf>
    <xf numFmtId="4" fontId="8" fillId="2" borderId="39" xfId="0" applyNumberFormat="1" applyFont="1" applyFill="1" applyBorder="1" applyAlignment="1">
      <alignment horizontal="right" vertical="center"/>
    </xf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right" vertical="center"/>
    </xf>
    <xf numFmtId="9" fontId="2" fillId="2" borderId="13" xfId="0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4" fontId="6" fillId="2" borderId="0" xfId="0" applyNumberFormat="1" applyFont="1" applyFill="1" applyAlignment="1">
      <alignment vertical="center"/>
    </xf>
    <xf numFmtId="4" fontId="8" fillId="2" borderId="10" xfId="1" applyNumberFormat="1" applyFont="1" applyFill="1" applyBorder="1" applyAlignment="1" applyProtection="1">
      <alignment horizontal="right" vertical="center"/>
      <protection locked="0"/>
    </xf>
    <xf numFmtId="4" fontId="8" fillId="2" borderId="0" xfId="1" applyNumberFormat="1" applyFont="1" applyFill="1" applyAlignment="1" applyProtection="1">
      <alignment horizontal="right" vertical="center"/>
    </xf>
    <xf numFmtId="164" fontId="8" fillId="2" borderId="0" xfId="1" applyNumberFormat="1" applyFont="1" applyFill="1" applyAlignment="1" applyProtection="1">
      <alignment horizontal="left" vertical="center"/>
    </xf>
    <xf numFmtId="164" fontId="8" fillId="2" borderId="0" xfId="1" applyNumberFormat="1" applyFont="1" applyFill="1" applyAlignment="1" applyProtection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9" fontId="6" fillId="2" borderId="0" xfId="1" applyNumberFormat="1" applyFont="1" applyFill="1" applyAlignment="1" applyProtection="1">
      <alignment horizontal="right" vertical="center"/>
    </xf>
    <xf numFmtId="170" fontId="6" fillId="2" borderId="0" xfId="1" applyNumberFormat="1" applyFont="1" applyFill="1" applyAlignment="1" applyProtection="1">
      <alignment horizontal="center" vertical="center"/>
    </xf>
    <xf numFmtId="164" fontId="6" fillId="2" borderId="0" xfId="1" applyNumberFormat="1" applyFont="1" applyFill="1" applyAlignment="1" applyProtection="1">
      <alignment horizontal="center" vertical="center"/>
    </xf>
    <xf numFmtId="164" fontId="6" fillId="2" borderId="0" xfId="1" applyNumberFormat="1" applyFont="1" applyFill="1" applyAlignment="1" applyProtection="1">
      <alignment horizontal="left" vertical="center"/>
    </xf>
    <xf numFmtId="10" fontId="6" fillId="2" borderId="0" xfId="1" applyNumberFormat="1" applyFont="1" applyFill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2" borderId="0" xfId="1" applyNumberFormat="1" applyFont="1" applyFill="1" applyAlignment="1" applyProtection="1">
      <alignment horizontal="left" vertical="center"/>
    </xf>
    <xf numFmtId="167" fontId="8" fillId="2" borderId="21" xfId="1" applyNumberFormat="1" applyFont="1" applyFill="1" applyBorder="1" applyAlignment="1" applyProtection="1">
      <alignment horizontal="right" vertical="center"/>
    </xf>
    <xf numFmtId="167" fontId="8" fillId="2" borderId="8" xfId="1" applyNumberFormat="1" applyFont="1" applyFill="1" applyBorder="1" applyAlignment="1" applyProtection="1">
      <alignment horizontal="right" vertical="center"/>
    </xf>
    <xf numFmtId="167" fontId="8" fillId="2" borderId="23" xfId="1" applyNumberFormat="1" applyFont="1" applyFill="1" applyBorder="1" applyAlignment="1" applyProtection="1">
      <alignment horizontal="right" vertical="center"/>
    </xf>
    <xf numFmtId="164" fontId="8" fillId="2" borderId="0" xfId="1" applyNumberFormat="1" applyFont="1" applyFill="1" applyAlignment="1" applyProtection="1">
      <alignment horizontal="right" vertical="center"/>
    </xf>
    <xf numFmtId="164" fontId="8" fillId="2" borderId="23" xfId="1" applyNumberFormat="1" applyFont="1" applyFill="1" applyBorder="1" applyAlignment="1" applyProtection="1">
      <alignment horizontal="right" vertical="center"/>
    </xf>
    <xf numFmtId="0" fontId="8" fillId="2" borderId="5" xfId="1" applyNumberFormat="1" applyFont="1" applyFill="1" applyBorder="1" applyAlignment="1" applyProtection="1">
      <alignment horizontal="left" vertical="center"/>
    </xf>
    <xf numFmtId="168" fontId="8" fillId="2" borderId="22" xfId="1" applyNumberFormat="1" applyFont="1" applyFill="1" applyBorder="1" applyAlignment="1" applyProtection="1">
      <alignment horizontal="right" vertical="center"/>
    </xf>
    <xf numFmtId="168" fontId="8" fillId="2" borderId="7" xfId="1" applyNumberFormat="1" applyFont="1" applyFill="1" applyBorder="1" applyAlignment="1" applyProtection="1">
      <alignment horizontal="right" vertical="center"/>
    </xf>
    <xf numFmtId="168" fontId="8" fillId="2" borderId="24" xfId="1" applyNumberFormat="1" applyFont="1" applyFill="1" applyBorder="1" applyAlignment="1" applyProtection="1">
      <alignment horizontal="right" vertical="center"/>
    </xf>
    <xf numFmtId="164" fontId="8" fillId="2" borderId="3" xfId="1" applyNumberFormat="1" applyFont="1" applyFill="1" applyBorder="1" applyAlignment="1" applyProtection="1">
      <alignment horizontal="right" vertical="center"/>
    </xf>
    <xf numFmtId="164" fontId="8" fillId="2" borderId="24" xfId="1" applyNumberFormat="1" applyFont="1" applyFill="1" applyBorder="1" applyAlignment="1" applyProtection="1">
      <alignment horizontal="right" vertical="center"/>
    </xf>
    <xf numFmtId="0" fontId="8" fillId="2" borderId="4" xfId="1" applyNumberFormat="1" applyFont="1" applyFill="1" applyBorder="1" applyAlignment="1" applyProtection="1">
      <alignment horizontal="left" vertical="center"/>
    </xf>
    <xf numFmtId="168" fontId="8" fillId="2" borderId="20" xfId="1" applyNumberFormat="1" applyFont="1" applyFill="1" applyBorder="1" applyAlignment="1" applyProtection="1">
      <alignment horizontal="right" vertical="center"/>
    </xf>
    <xf numFmtId="168" fontId="8" fillId="2" borderId="26" xfId="1" applyNumberFormat="1" applyFont="1" applyFill="1" applyBorder="1" applyAlignment="1" applyProtection="1">
      <alignment horizontal="right" vertical="center"/>
    </xf>
    <xf numFmtId="164" fontId="8" fillId="2" borderId="7" xfId="1" applyNumberFormat="1" applyFont="1" applyFill="1" applyBorder="1" applyAlignment="1" applyProtection="1">
      <alignment horizontal="right" vertical="center"/>
    </xf>
    <xf numFmtId="10" fontId="8" fillId="2" borderId="22" xfId="1" applyNumberFormat="1" applyFont="1" applyFill="1" applyBorder="1" applyAlignment="1" applyProtection="1">
      <alignment horizontal="right" vertical="center"/>
    </xf>
    <xf numFmtId="10" fontId="8" fillId="2" borderId="7" xfId="1" applyNumberFormat="1" applyFont="1" applyFill="1" applyBorder="1" applyAlignment="1" applyProtection="1">
      <alignment horizontal="right" vertical="center"/>
    </xf>
    <xf numFmtId="10" fontId="8" fillId="2" borderId="24" xfId="1" applyNumberFormat="1" applyFont="1" applyFill="1" applyBorder="1" applyAlignment="1" applyProtection="1">
      <alignment horizontal="right" vertical="center"/>
    </xf>
    <xf numFmtId="10" fontId="8" fillId="2" borderId="5" xfId="1" applyNumberFormat="1" applyFont="1" applyFill="1" applyBorder="1" applyAlignment="1" applyProtection="1">
      <alignment horizontal="right" vertical="center"/>
    </xf>
    <xf numFmtId="10" fontId="8" fillId="2" borderId="10" xfId="1" applyNumberFormat="1" applyFont="1" applyFill="1" applyBorder="1" applyAlignment="1" applyProtection="1">
      <alignment horizontal="right" vertical="center"/>
    </xf>
    <xf numFmtId="0" fontId="6" fillId="2" borderId="23" xfId="0" applyFont="1" applyFill="1" applyBorder="1" applyAlignment="1">
      <alignment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23" xfId="0" applyNumberFormat="1" applyFont="1" applyFill="1" applyBorder="1" applyAlignment="1">
      <alignment horizontal="center" vertical="center"/>
    </xf>
    <xf numFmtId="0" fontId="2" fillId="4" borderId="47" xfId="1" applyNumberFormat="1" applyFont="1" applyFill="1" applyBorder="1" applyAlignment="1" applyProtection="1">
      <alignment horizontal="left" vertical="center"/>
    </xf>
    <xf numFmtId="166" fontId="2" fillId="4" borderId="34" xfId="0" applyNumberFormat="1" applyFont="1" applyFill="1" applyBorder="1" applyAlignment="1">
      <alignment horizontal="right" vertical="center"/>
    </xf>
    <xf numFmtId="166" fontId="2" fillId="4" borderId="28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8" fillId="3" borderId="48" xfId="0" applyFont="1" applyFill="1" applyBorder="1" applyAlignment="1">
      <alignment vertical="center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26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0" fontId="2" fillId="6" borderId="47" xfId="1" applyNumberFormat="1" applyFont="1" applyFill="1" applyBorder="1" applyAlignment="1" applyProtection="1">
      <alignment horizontal="left" vertical="center"/>
    </xf>
    <xf numFmtId="168" fontId="2" fillId="6" borderId="29" xfId="1" applyNumberFormat="1" applyFont="1" applyFill="1" applyBorder="1" applyAlignment="1" applyProtection="1">
      <alignment horizontal="right" vertical="center"/>
    </xf>
    <xf numFmtId="168" fontId="2" fillId="6" borderId="34" xfId="1" applyNumberFormat="1" applyFont="1" applyFill="1" applyBorder="1" applyAlignment="1" applyProtection="1">
      <alignment horizontal="right" vertical="center"/>
    </xf>
    <xf numFmtId="168" fontId="2" fillId="6" borderId="28" xfId="1" applyNumberFormat="1" applyFont="1" applyFill="1" applyBorder="1" applyAlignment="1" applyProtection="1">
      <alignment horizontal="right" vertical="center"/>
    </xf>
    <xf numFmtId="164" fontId="6" fillId="2" borderId="0" xfId="1" applyNumberFormat="1" applyFont="1" applyFill="1" applyAlignment="1" applyProtection="1">
      <alignment horizontal="righ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168" fontId="8" fillId="2" borderId="52" xfId="1" applyNumberFormat="1" applyFont="1" applyFill="1" applyBorder="1" applyAlignment="1" applyProtection="1">
      <alignment horizontal="right" vertical="center"/>
    </xf>
    <xf numFmtId="168" fontId="8" fillId="2" borderId="50" xfId="1" applyNumberFormat="1" applyFont="1" applyFill="1" applyBorder="1" applyAlignment="1" applyProtection="1">
      <alignment horizontal="right" vertical="center"/>
    </xf>
    <xf numFmtId="168" fontId="8" fillId="2" borderId="51" xfId="1" applyNumberFormat="1" applyFont="1" applyFill="1" applyBorder="1" applyAlignment="1" applyProtection="1">
      <alignment horizontal="right" vertical="center"/>
    </xf>
    <xf numFmtId="0" fontId="2" fillId="5" borderId="47" xfId="1" applyNumberFormat="1" applyFont="1" applyFill="1" applyBorder="1" applyAlignment="1" applyProtection="1">
      <alignment horizontal="left" vertical="center"/>
    </xf>
    <xf numFmtId="168" fontId="2" fillId="5" borderId="29" xfId="1" applyNumberFormat="1" applyFont="1" applyFill="1" applyBorder="1" applyAlignment="1" applyProtection="1">
      <alignment horizontal="right" vertical="center"/>
    </xf>
    <xf numFmtId="168" fontId="2" fillId="5" borderId="34" xfId="1" applyNumberFormat="1" applyFont="1" applyFill="1" applyBorder="1" applyAlignment="1" applyProtection="1">
      <alignment horizontal="right" vertical="center"/>
    </xf>
    <xf numFmtId="168" fontId="2" fillId="5" borderId="28" xfId="1" applyNumberFormat="1" applyFont="1" applyFill="1" applyBorder="1" applyAlignment="1" applyProtection="1">
      <alignment horizontal="right" vertical="center"/>
    </xf>
    <xf numFmtId="168" fontId="8" fillId="2" borderId="2" xfId="1" applyNumberFormat="1" applyFont="1" applyFill="1" applyBorder="1" applyAlignment="1" applyProtection="1">
      <alignment horizontal="right" vertical="center"/>
    </xf>
    <xf numFmtId="168" fontId="8" fillId="2" borderId="61" xfId="1" applyNumberFormat="1" applyFont="1" applyFill="1" applyBorder="1" applyAlignment="1" applyProtection="1">
      <alignment horizontal="right" vertical="center"/>
    </xf>
    <xf numFmtId="168" fontId="8" fillId="2" borderId="62" xfId="1" applyNumberFormat="1" applyFont="1" applyFill="1" applyBorder="1" applyAlignment="1" applyProtection="1">
      <alignment horizontal="right" vertical="center"/>
    </xf>
    <xf numFmtId="10" fontId="2" fillId="5" borderId="29" xfId="1" applyNumberFormat="1" applyFont="1" applyFill="1" applyBorder="1" applyAlignment="1" applyProtection="1">
      <alignment horizontal="right" vertical="center"/>
    </xf>
    <xf numFmtId="10" fontId="2" fillId="5" borderId="34" xfId="1" applyNumberFormat="1" applyFont="1" applyFill="1" applyBorder="1" applyAlignment="1" applyProtection="1">
      <alignment horizontal="right" vertical="center"/>
    </xf>
    <xf numFmtId="10" fontId="2" fillId="5" borderId="28" xfId="1" applyNumberFormat="1" applyFont="1" applyFill="1" applyBorder="1" applyAlignment="1" applyProtection="1">
      <alignment horizontal="right" vertical="center"/>
    </xf>
    <xf numFmtId="0" fontId="8" fillId="2" borderId="48" xfId="1" applyNumberFormat="1" applyFont="1" applyFill="1" applyBorder="1" applyAlignment="1" applyProtection="1">
      <alignment horizontal="left" vertical="center"/>
    </xf>
    <xf numFmtId="168" fontId="8" fillId="2" borderId="8" xfId="1" applyNumberFormat="1" applyFont="1" applyFill="1" applyBorder="1" applyAlignment="1" applyProtection="1">
      <alignment horizontal="right" vertical="center"/>
    </xf>
    <xf numFmtId="0" fontId="8" fillId="2" borderId="49" xfId="1" applyNumberFormat="1" applyFont="1" applyFill="1" applyBorder="1" applyAlignment="1" applyProtection="1">
      <alignment horizontal="left" vertical="center"/>
    </xf>
    <xf numFmtId="168" fontId="8" fillId="2" borderId="3" xfId="1" applyNumberFormat="1" applyFont="1" applyFill="1" applyBorder="1" applyAlignment="1" applyProtection="1">
      <alignment horizontal="right" vertical="center"/>
    </xf>
    <xf numFmtId="0" fontId="8" fillId="2" borderId="53" xfId="1" applyNumberFormat="1" applyFont="1" applyFill="1" applyBorder="1" applyAlignment="1" applyProtection="1">
      <alignment horizontal="left" vertical="center"/>
    </xf>
    <xf numFmtId="168" fontId="8" fillId="2" borderId="1" xfId="1" applyNumberFormat="1" applyFont="1" applyFill="1" applyBorder="1" applyAlignment="1" applyProtection="1">
      <alignment horizontal="right" vertical="center"/>
    </xf>
    <xf numFmtId="168" fontId="8" fillId="2" borderId="11" xfId="1" applyNumberFormat="1" applyFont="1" applyFill="1" applyBorder="1" applyAlignment="1" applyProtection="1">
      <alignment horizontal="right" vertical="center"/>
    </xf>
    <xf numFmtId="168" fontId="8" fillId="2" borderId="25" xfId="1" applyNumberFormat="1" applyFont="1" applyFill="1" applyBorder="1" applyAlignment="1" applyProtection="1">
      <alignment horizontal="right" vertical="center"/>
    </xf>
    <xf numFmtId="4" fontId="8" fillId="2" borderId="3" xfId="1" applyNumberFormat="1" applyFont="1" applyFill="1" applyBorder="1" applyAlignment="1" applyProtection="1">
      <alignment horizontal="right" vertical="center"/>
    </xf>
    <xf numFmtId="4" fontId="8" fillId="2" borderId="7" xfId="1" applyNumberFormat="1" applyFont="1" applyFill="1" applyBorder="1" applyAlignment="1" applyProtection="1">
      <alignment horizontal="right" vertical="center"/>
    </xf>
    <xf numFmtId="4" fontId="8" fillId="2" borderId="24" xfId="1" applyNumberFormat="1" applyFont="1" applyFill="1" applyBorder="1" applyAlignment="1" applyProtection="1">
      <alignment horizontal="right" vertical="center"/>
    </xf>
    <xf numFmtId="169" fontId="2" fillId="4" borderId="29" xfId="1" applyNumberFormat="1" applyFont="1" applyFill="1" applyBorder="1" applyAlignment="1" applyProtection="1">
      <alignment horizontal="right" vertical="center"/>
    </xf>
    <xf numFmtId="169" fontId="2" fillId="4" borderId="34" xfId="1" applyNumberFormat="1" applyFont="1" applyFill="1" applyBorder="1" applyAlignment="1" applyProtection="1">
      <alignment horizontal="right" vertical="center"/>
    </xf>
    <xf numFmtId="169" fontId="2" fillId="4" borderId="28" xfId="1" applyNumberFormat="1" applyFont="1" applyFill="1" applyBorder="1" applyAlignment="1" applyProtection="1">
      <alignment horizontal="right" vertical="center"/>
    </xf>
    <xf numFmtId="10" fontId="2" fillId="4" borderId="29" xfId="1" applyNumberFormat="1" applyFont="1" applyFill="1" applyBorder="1" applyAlignment="1" applyProtection="1">
      <alignment horizontal="right" vertical="center"/>
    </xf>
    <xf numFmtId="10" fontId="2" fillId="4" borderId="34" xfId="1" applyNumberFormat="1" applyFont="1" applyFill="1" applyBorder="1" applyAlignment="1" applyProtection="1">
      <alignment horizontal="right" vertical="center"/>
    </xf>
    <xf numFmtId="10" fontId="2" fillId="4" borderId="28" xfId="1" applyNumberFormat="1" applyFont="1" applyFill="1" applyBorder="1" applyAlignment="1" applyProtection="1">
      <alignment horizontal="right" vertical="center"/>
    </xf>
    <xf numFmtId="4" fontId="2" fillId="4" borderId="47" xfId="1" applyNumberFormat="1" applyFont="1" applyFill="1" applyBorder="1" applyAlignment="1" applyProtection="1">
      <alignment horizontal="left" vertical="center"/>
    </xf>
    <xf numFmtId="4" fontId="2" fillId="4" borderId="29" xfId="1" applyNumberFormat="1" applyFont="1" applyFill="1" applyBorder="1" applyAlignment="1" applyProtection="1">
      <alignment horizontal="right" vertical="center"/>
    </xf>
    <xf numFmtId="4" fontId="2" fillId="4" borderId="34" xfId="1" applyNumberFormat="1" applyFont="1" applyFill="1" applyBorder="1" applyAlignment="1" applyProtection="1">
      <alignment horizontal="right" vertical="center"/>
    </xf>
    <xf numFmtId="4" fontId="2" fillId="4" borderId="28" xfId="1" applyNumberFormat="1" applyFont="1" applyFill="1" applyBorder="1" applyAlignment="1" applyProtection="1">
      <alignment horizontal="right" vertical="center"/>
    </xf>
    <xf numFmtId="4" fontId="6" fillId="2" borderId="0" xfId="1" applyNumberFormat="1" applyFont="1" applyFill="1" applyAlignment="1" applyProtection="1">
      <alignment horizontal="left" vertical="center"/>
    </xf>
    <xf numFmtId="0" fontId="2" fillId="2" borderId="0" xfId="1" applyNumberFormat="1" applyFont="1" applyFill="1" applyAlignment="1" applyProtection="1">
      <alignment horizontal="left" vertical="center"/>
    </xf>
    <xf numFmtId="168" fontId="2" fillId="2" borderId="0" xfId="1" applyNumberFormat="1" applyFont="1" applyFill="1" applyAlignment="1" applyProtection="1">
      <alignment horizontal="center" vertical="center"/>
    </xf>
    <xf numFmtId="4" fontId="6" fillId="2" borderId="0" xfId="1" applyNumberFormat="1" applyFont="1" applyFill="1" applyAlignment="1" applyProtection="1">
      <alignment horizontal="right" vertical="center"/>
    </xf>
    <xf numFmtId="4" fontId="2" fillId="2" borderId="0" xfId="1" applyNumberFormat="1" applyFont="1" applyFill="1" applyAlignment="1" applyProtection="1">
      <alignment horizontal="center" vertical="center"/>
    </xf>
    <xf numFmtId="44" fontId="2" fillId="2" borderId="0" xfId="1" applyNumberFormat="1" applyFont="1" applyFill="1" applyAlignment="1" applyProtection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54" xfId="0" applyFont="1" applyFill="1" applyBorder="1" applyAlignment="1">
      <alignment vertical="center"/>
    </xf>
    <xf numFmtId="164" fontId="6" fillId="2" borderId="36" xfId="1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>
      <alignment vertical="center"/>
    </xf>
    <xf numFmtId="4" fontId="8" fillId="2" borderId="9" xfId="1" applyNumberFormat="1" applyFont="1" applyFill="1" applyBorder="1" applyAlignment="1" applyProtection="1">
      <alignment horizontal="right" vertical="center"/>
    </xf>
    <xf numFmtId="165" fontId="8" fillId="2" borderId="10" xfId="1" applyNumberFormat="1" applyFont="1" applyFill="1" applyBorder="1" applyAlignment="1" applyProtection="1">
      <alignment horizontal="right" vertical="center"/>
    </xf>
    <xf numFmtId="0" fontId="8" fillId="2" borderId="1" xfId="0" applyFont="1" applyFill="1" applyBorder="1" applyAlignment="1">
      <alignment vertical="center"/>
    </xf>
    <xf numFmtId="10" fontId="8" fillId="2" borderId="10" xfId="1" applyNumberFormat="1" applyFont="1" applyFill="1" applyBorder="1" applyAlignment="1">
      <alignment horizontal="right" vertical="center"/>
    </xf>
    <xf numFmtId="10" fontId="8" fillId="2" borderId="0" xfId="3" applyNumberFormat="1" applyFont="1" applyFill="1" applyAlignment="1" applyProtection="1">
      <alignment horizontal="left" vertical="center"/>
    </xf>
    <xf numFmtId="168" fontId="8" fillId="8" borderId="14" xfId="0" applyNumberFormat="1" applyFont="1" applyFill="1" applyBorder="1" applyAlignment="1">
      <alignment horizontal="right" vertical="center"/>
    </xf>
    <xf numFmtId="3" fontId="0" fillId="0" borderId="0" xfId="0" applyNumberFormat="1"/>
    <xf numFmtId="171" fontId="8" fillId="2" borderId="10" xfId="1" applyNumberFormat="1" applyFont="1" applyFill="1" applyBorder="1" applyAlignment="1" applyProtection="1">
      <alignment horizontal="right" vertical="center"/>
    </xf>
    <xf numFmtId="165" fontId="8" fillId="8" borderId="12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right" vertical="center"/>
    </xf>
    <xf numFmtId="4" fontId="8" fillId="2" borderId="63" xfId="0" applyNumberFormat="1" applyFont="1" applyFill="1" applyBorder="1" applyAlignment="1">
      <alignment horizontal="right" vertical="center"/>
    </xf>
    <xf numFmtId="0" fontId="9" fillId="2" borderId="44" xfId="0" applyFont="1" applyFill="1" applyBorder="1" applyAlignment="1">
      <alignment horizontal="center" vertical="center"/>
    </xf>
    <xf numFmtId="165" fontId="8" fillId="8" borderId="64" xfId="0" applyNumberFormat="1" applyFont="1" applyFill="1" applyBorder="1" applyAlignment="1">
      <alignment horizontal="center" vertical="center"/>
    </xf>
    <xf numFmtId="165" fontId="8" fillId="8" borderId="65" xfId="0" applyNumberFormat="1" applyFont="1" applyFill="1" applyBorder="1" applyAlignment="1">
      <alignment horizontal="center" vertical="center"/>
    </xf>
    <xf numFmtId="4" fontId="8" fillId="2" borderId="60" xfId="0" applyNumberFormat="1" applyFont="1" applyFill="1" applyBorder="1" applyAlignment="1">
      <alignment horizontal="right" vertical="center"/>
    </xf>
    <xf numFmtId="4" fontId="8" fillId="2" borderId="40" xfId="0" applyNumberFormat="1" applyFont="1" applyFill="1" applyBorder="1" applyAlignment="1">
      <alignment horizontal="right" vertical="center"/>
    </xf>
    <xf numFmtId="164" fontId="6" fillId="2" borderId="0" xfId="1" applyNumberFormat="1" applyFont="1" applyFill="1" applyAlignment="1">
      <alignment horizontal="left" vertical="center"/>
    </xf>
    <xf numFmtId="9" fontId="6" fillId="2" borderId="0" xfId="3" applyFont="1" applyFill="1" applyAlignment="1">
      <alignment horizontal="center" vertical="center"/>
    </xf>
    <xf numFmtId="164" fontId="6" fillId="10" borderId="0" xfId="1" applyNumberFormat="1" applyFont="1" applyFill="1" applyAlignment="1">
      <alignment horizontal="left" vertical="center"/>
    </xf>
    <xf numFmtId="164" fontId="11" fillId="10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6" fillId="10" borderId="0" xfId="1" applyNumberFormat="1" applyFont="1" applyFill="1" applyAlignment="1">
      <alignment horizontal="center" vertical="center"/>
    </xf>
    <xf numFmtId="164" fontId="11" fillId="2" borderId="0" xfId="1" applyNumberFormat="1" applyFont="1" applyFill="1" applyAlignment="1">
      <alignment horizontal="left" vertical="center"/>
    </xf>
    <xf numFmtId="164" fontId="11" fillId="2" borderId="0" xfId="1" applyNumberFormat="1" applyFont="1" applyFill="1" applyAlignment="1">
      <alignment horizontal="center" vertical="center"/>
    </xf>
    <xf numFmtId="164" fontId="10" fillId="11" borderId="0" xfId="1" applyNumberFormat="1" applyFont="1" applyFill="1" applyAlignment="1">
      <alignment horizontal="left" vertical="center"/>
    </xf>
    <xf numFmtId="9" fontId="10" fillId="11" borderId="0" xfId="3" applyFont="1" applyFill="1" applyAlignment="1">
      <alignment horizontal="center" vertical="center"/>
    </xf>
    <xf numFmtId="9" fontId="6" fillId="10" borderId="0" xfId="3" applyFont="1" applyFill="1" applyAlignment="1">
      <alignment horizontal="center" vertical="center"/>
    </xf>
    <xf numFmtId="10" fontId="6" fillId="2" borderId="0" xfId="3" applyNumberFormat="1" applyFont="1" applyFill="1" applyAlignment="1">
      <alignment horizontal="center" vertical="center"/>
    </xf>
    <xf numFmtId="0" fontId="2" fillId="12" borderId="47" xfId="1" applyNumberFormat="1" applyFont="1" applyFill="1" applyBorder="1" applyAlignment="1">
      <alignment horizontal="left" vertical="center"/>
    </xf>
    <xf numFmtId="169" fontId="2" fillId="12" borderId="29" xfId="1" applyNumberFormat="1" applyFont="1" applyFill="1" applyBorder="1" applyAlignment="1">
      <alignment horizontal="right" vertical="center"/>
    </xf>
    <xf numFmtId="169" fontId="2" fillId="12" borderId="34" xfId="1" applyNumberFormat="1" applyFont="1" applyFill="1" applyBorder="1" applyAlignment="1">
      <alignment horizontal="right" vertical="center"/>
    </xf>
    <xf numFmtId="169" fontId="2" fillId="12" borderId="28" xfId="1" applyNumberFormat="1" applyFont="1" applyFill="1" applyBorder="1" applyAlignment="1">
      <alignment horizontal="right" vertical="center"/>
    </xf>
    <xf numFmtId="166" fontId="6" fillId="2" borderId="0" xfId="0" applyNumberFormat="1" applyFont="1" applyFill="1" applyAlignment="1">
      <alignment horizontal="right" vertical="center"/>
    </xf>
    <xf numFmtId="9" fontId="6" fillId="2" borderId="0" xfId="3" applyFont="1" applyFill="1" applyAlignment="1">
      <alignment vertical="center"/>
    </xf>
    <xf numFmtId="164" fontId="10" fillId="11" borderId="0" xfId="1" applyNumberFormat="1" applyFont="1" applyFill="1" applyAlignment="1">
      <alignment horizontal="center" vertical="center"/>
    </xf>
    <xf numFmtId="164" fontId="2" fillId="13" borderId="0" xfId="1" applyNumberFormat="1" applyFont="1" applyFill="1" applyAlignment="1">
      <alignment horizontal="left" vertical="center"/>
    </xf>
    <xf numFmtId="164" fontId="2" fillId="13" borderId="0" xfId="1" applyNumberFormat="1" applyFont="1" applyFill="1" applyAlignment="1">
      <alignment horizontal="center" vertical="center"/>
    </xf>
    <xf numFmtId="164" fontId="6" fillId="14" borderId="0" xfId="1" applyNumberFormat="1" applyFont="1" applyFill="1" applyAlignment="1">
      <alignment horizontal="left" vertical="center"/>
    </xf>
    <xf numFmtId="9" fontId="6" fillId="14" borderId="0" xfId="3" applyFont="1" applyFill="1" applyAlignment="1">
      <alignment horizontal="center" vertical="center"/>
    </xf>
    <xf numFmtId="164" fontId="10" fillId="9" borderId="0" xfId="1" applyNumberFormat="1" applyFont="1" applyFill="1" applyBorder="1" applyAlignment="1">
      <alignment horizontal="left" vertical="center"/>
    </xf>
    <xf numFmtId="164" fontId="10" fillId="9" borderId="0" xfId="1" applyNumberFormat="1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>
      <alignment horizontal="left" vertical="center"/>
    </xf>
    <xf numFmtId="164" fontId="6" fillId="2" borderId="0" xfId="1" applyNumberFormat="1" applyFont="1" applyFill="1" applyBorder="1" applyAlignment="1">
      <alignment horizontal="center" vertical="center"/>
    </xf>
    <xf numFmtId="164" fontId="2" fillId="15" borderId="0" xfId="1" applyNumberFormat="1" applyFont="1" applyFill="1" applyBorder="1" applyAlignment="1">
      <alignment horizontal="left" vertical="center"/>
    </xf>
    <xf numFmtId="172" fontId="12" fillId="15" borderId="0" xfId="1" applyNumberFormat="1" applyFont="1" applyFill="1" applyBorder="1" applyAlignment="1">
      <alignment vertical="center"/>
    </xf>
    <xf numFmtId="172" fontId="2" fillId="15" borderId="0" xfId="1" applyNumberFormat="1" applyFont="1" applyFill="1" applyBorder="1" applyAlignment="1">
      <alignment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left" vertical="center"/>
    </xf>
    <xf numFmtId="164" fontId="6" fillId="10" borderId="0" xfId="1" applyNumberFormat="1" applyFont="1" applyFill="1" applyBorder="1" applyAlignment="1">
      <alignment horizontal="left" vertical="center"/>
    </xf>
    <xf numFmtId="172" fontId="13" fillId="10" borderId="0" xfId="1" applyNumberFormat="1" applyFont="1" applyFill="1" applyBorder="1" applyAlignment="1">
      <alignment horizontal="center" vertical="center"/>
    </xf>
    <xf numFmtId="9" fontId="6" fillId="10" borderId="0" xfId="3" applyFont="1" applyFill="1" applyBorder="1" applyAlignment="1">
      <alignment horizontal="right" vertical="center"/>
    </xf>
    <xf numFmtId="164" fontId="2" fillId="2" borderId="0" xfId="1" applyNumberFormat="1" applyFont="1" applyFill="1" applyBorder="1" applyAlignment="1">
      <alignment horizontal="left" vertical="center"/>
    </xf>
    <xf numFmtId="172" fontId="12" fillId="2" borderId="0" xfId="1" applyNumberFormat="1" applyFont="1" applyFill="1" applyBorder="1" applyAlignment="1">
      <alignment vertical="center"/>
    </xf>
    <xf numFmtId="172" fontId="2" fillId="2" borderId="0" xfId="1" applyNumberFormat="1" applyFont="1" applyFill="1" applyBorder="1" applyAlignment="1">
      <alignment vertical="center"/>
    </xf>
    <xf numFmtId="168" fontId="2" fillId="2" borderId="0" xfId="1" applyNumberFormat="1" applyFont="1" applyFill="1" applyAlignment="1">
      <alignment horizontal="center" vertical="center"/>
    </xf>
    <xf numFmtId="44" fontId="6" fillId="2" borderId="0" xfId="4" applyFont="1" applyFill="1" applyAlignment="1">
      <alignment horizontal="center" vertical="center"/>
    </xf>
    <xf numFmtId="173" fontId="8" fillId="2" borderId="0" xfId="1" applyNumberFormat="1" applyFont="1" applyFill="1" applyAlignment="1" applyProtection="1">
      <alignment horizontal="right" vertical="center"/>
    </xf>
    <xf numFmtId="9" fontId="8" fillId="2" borderId="0" xfId="3" applyFont="1" applyFill="1" applyAlignment="1" applyProtection="1">
      <alignment horizontal="left" vertical="center"/>
    </xf>
    <xf numFmtId="4" fontId="8" fillId="2" borderId="10" xfId="1" applyNumberFormat="1" applyFont="1" applyFill="1" applyBorder="1" applyAlignment="1" applyProtection="1">
      <alignment horizontal="right" vertical="center"/>
    </xf>
    <xf numFmtId="168" fontId="8" fillId="2" borderId="10" xfId="1" applyNumberFormat="1" applyFont="1" applyFill="1" applyBorder="1" applyAlignment="1" applyProtection="1">
      <alignment horizontal="right" vertical="center"/>
    </xf>
    <xf numFmtId="168" fontId="8" fillId="2" borderId="67" xfId="1" applyNumberFormat="1" applyFont="1" applyFill="1" applyBorder="1" applyAlignment="1" applyProtection="1">
      <alignment horizontal="right" vertical="center"/>
    </xf>
    <xf numFmtId="4" fontId="8" fillId="2" borderId="68" xfId="1" applyNumberFormat="1" applyFont="1" applyFill="1" applyBorder="1" applyAlignment="1" applyProtection="1">
      <alignment horizontal="right" vertical="center"/>
    </xf>
    <xf numFmtId="168" fontId="8" fillId="2" borderId="68" xfId="1" applyNumberFormat="1" applyFont="1" applyFill="1" applyBorder="1" applyAlignment="1" applyProtection="1">
      <alignment horizontal="right" vertical="center"/>
    </xf>
    <xf numFmtId="168" fontId="8" fillId="2" borderId="69" xfId="1" applyNumberFormat="1" applyFont="1" applyFill="1" applyBorder="1" applyAlignment="1" applyProtection="1">
      <alignment horizontal="right" vertical="center"/>
    </xf>
    <xf numFmtId="168" fontId="8" fillId="2" borderId="66" xfId="1" applyNumberFormat="1" applyFont="1" applyFill="1" applyBorder="1" applyAlignment="1" applyProtection="1">
      <alignment horizontal="right" vertical="center"/>
    </xf>
    <xf numFmtId="164" fontId="10" fillId="9" borderId="0" xfId="1" applyNumberFormat="1" applyFont="1" applyFill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0" fontId="2" fillId="7" borderId="32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169" fontId="6" fillId="2" borderId="7" xfId="1" applyNumberFormat="1" applyFont="1" applyFill="1" applyBorder="1" applyAlignment="1" applyProtection="1">
      <alignment horizontal="right" vertical="center"/>
    </xf>
    <xf numFmtId="169" fontId="6" fillId="2" borderId="10" xfId="1" applyNumberFormat="1" applyFont="1" applyFill="1" applyBorder="1" applyAlignment="1" applyProtection="1">
      <alignment horizontal="right" vertical="center"/>
    </xf>
    <xf numFmtId="169" fontId="6" fillId="2" borderId="17" xfId="1" applyNumberFormat="1" applyFont="1" applyFill="1" applyBorder="1" applyAlignment="1" applyProtection="1">
      <alignment horizontal="right" vertical="center"/>
    </xf>
    <xf numFmtId="169" fontId="6" fillId="2" borderId="31" xfId="1" applyNumberFormat="1" applyFont="1" applyFill="1" applyBorder="1" applyAlignment="1" applyProtection="1">
      <alignment horizontal="right" vertical="center"/>
    </xf>
    <xf numFmtId="0" fontId="2" fillId="2" borderId="34" xfId="0" applyFont="1" applyFill="1" applyBorder="1" applyAlignment="1">
      <alignment horizontal="center" vertical="center"/>
    </xf>
    <xf numFmtId="169" fontId="6" fillId="2" borderId="8" xfId="1" applyNumberFormat="1" applyFont="1" applyFill="1" applyBorder="1" applyAlignment="1" applyProtection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169" fontId="6" fillId="2" borderId="9" xfId="1" applyNumberFormat="1" applyFont="1" applyFill="1" applyBorder="1" applyAlignment="1" applyProtection="1">
      <alignment horizontal="right" vertical="center"/>
    </xf>
    <xf numFmtId="0" fontId="0" fillId="0" borderId="42" xfId="0" applyBorder="1" applyAlignment="1">
      <alignment vertical="center"/>
    </xf>
    <xf numFmtId="10" fontId="0" fillId="0" borderId="0" xfId="0" applyNumberFormat="1"/>
    <xf numFmtId="10" fontId="0" fillId="0" borderId="42" xfId="0" applyNumberFormat="1" applyBorder="1" applyAlignment="1">
      <alignment vertical="center"/>
    </xf>
    <xf numFmtId="44" fontId="0" fillId="0" borderId="0" xfId="4" applyFont="1"/>
    <xf numFmtId="44" fontId="0" fillId="0" borderId="42" xfId="4" applyFont="1" applyBorder="1" applyAlignment="1">
      <alignment vertical="center"/>
    </xf>
    <xf numFmtId="0" fontId="0" fillId="7" borderId="42" xfId="0" applyFill="1" applyBorder="1" applyAlignment="1">
      <alignment horizontal="center" vertical="center"/>
    </xf>
    <xf numFmtId="0" fontId="14" fillId="16" borderId="42" xfId="0" applyFont="1" applyFill="1" applyBorder="1" applyAlignment="1">
      <alignment horizontal="center" vertical="center"/>
    </xf>
    <xf numFmtId="0" fontId="0" fillId="17" borderId="70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8" borderId="42" xfId="0" applyFill="1" applyBorder="1" applyAlignment="1">
      <alignment horizontal="center" vertical="center"/>
    </xf>
    <xf numFmtId="44" fontId="0" fillId="0" borderId="63" xfId="4" applyFont="1" applyBorder="1" applyAlignment="1">
      <alignment vertical="center"/>
    </xf>
    <xf numFmtId="10" fontId="0" fillId="0" borderId="63" xfId="0" applyNumberFormat="1" applyBorder="1" applyAlignment="1">
      <alignment vertical="center"/>
    </xf>
    <xf numFmtId="0" fontId="0" fillId="8" borderId="0" xfId="0" applyFill="1" applyAlignment="1">
      <alignment horizontal="center"/>
    </xf>
  </cellXfs>
  <cellStyles count="5">
    <cellStyle name="Moeda" xfId="4" builtinId="4"/>
    <cellStyle name="Normal" xfId="0" builtinId="0"/>
    <cellStyle name="Porcentagem" xfId="3" builtinId="5"/>
    <cellStyle name="Vírgula" xfId="1" builtinId="3"/>
    <cellStyle name="Vírgula 2" xfId="2" xr:uid="{00000000-0005-0000-0000-000003000000}"/>
  </cellStyles>
  <dxfs count="16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  <vertical/>
        <horizontal/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F086CE-8ED1-456B-83C0-7903B0DA51B3}" name="Tabela1" displayName="Tabela1" ref="A4:K22" totalsRowShown="0" headerRowDxfId="7" dataDxfId="12">
  <autoFilter ref="A4:K22" xr:uid="{D6F086CE-8ED1-456B-83C0-7903B0DA51B3}"/>
  <tableColumns count="11">
    <tableColumn id="1" xr3:uid="{31905E3F-8D1A-4901-9D56-7C35E9855139}" name="ITEM" dataDxfId="11"/>
    <tableColumn id="2" xr3:uid="{CE15193A-43D4-4ED0-8079-F03DE334C235}" name="INVESTIMENTO" dataDxfId="10" dataCellStyle="Moeda"/>
    <tableColumn id="3" xr3:uid="{CB65C964-3AE3-4998-B8D5-0CB674582174}" name="% " dataDxfId="6"/>
    <tableColumn id="4" xr3:uid="{06194C27-128A-44A8-A1DB-FCF7E381AE21}" name="INVESTIMENTO2" dataDxfId="9" dataCellStyle="Moeda"/>
    <tableColumn id="5" xr3:uid="{870F32F3-6DEC-407B-9078-A6837BFB59C0}" name="% 2" dataDxfId="5"/>
    <tableColumn id="6" xr3:uid="{A618E24C-A7A6-44DC-9DEB-9F1A30C57FAE}" name="INVESTIMENTO3" dataDxfId="8" dataCellStyle="Moeda"/>
    <tableColumn id="7" xr3:uid="{81900379-D3A1-491A-AAF9-A73CF320C008}" name="% 3" dataDxfId="4"/>
    <tableColumn id="8" xr3:uid="{48168CB3-7292-4857-AC6B-537D05799A22}" name="INVESTIMENTO4" dataDxfId="3" dataCellStyle="Moeda"/>
    <tableColumn id="9" xr3:uid="{F4B2A14E-57DC-43D1-926F-92278A96C1F8}" name="% 4" dataDxfId="2"/>
    <tableColumn id="10" xr3:uid="{3F55FF65-8C0D-4FF2-A174-23623D3113C4}" name="INVESTIMENTO5" dataDxfId="1"/>
    <tableColumn id="11" xr3:uid="{24F84F33-DF0E-4426-8172-FD4C2C41D4C6}" name="% 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4"/>
  <sheetViews>
    <sheetView zoomScale="125" zoomScaleNormal="125" workbookViewId="0">
      <selection activeCell="D10" sqref="D10"/>
    </sheetView>
  </sheetViews>
  <sheetFormatPr defaultColWidth="11.44140625" defaultRowHeight="14.4" x14ac:dyDescent="0.3"/>
  <cols>
    <col min="1" max="1" width="5.6640625" style="12" customWidth="1"/>
    <col min="2" max="2" width="49.6640625" style="12" customWidth="1"/>
    <col min="3" max="3" width="18.6640625" style="13" customWidth="1"/>
    <col min="4" max="4" width="9" style="14" bestFit="1" customWidth="1"/>
    <col min="5" max="16384" width="11.44140625" style="12"/>
  </cols>
  <sheetData>
    <row r="1" spans="2:4" ht="4.95" customHeight="1" x14ac:dyDescent="0.3"/>
    <row r="2" spans="2:4" ht="15" customHeight="1" x14ac:dyDescent="0.3">
      <c r="B2" s="15" t="s">
        <v>129</v>
      </c>
    </row>
    <row r="3" spans="2:4" ht="4.95" customHeight="1" x14ac:dyDescent="0.3">
      <c r="B3" s="15"/>
    </row>
    <row r="4" spans="2:4" ht="15.9" customHeight="1" x14ac:dyDescent="0.3">
      <c r="B4" s="16" t="s">
        <v>62</v>
      </c>
    </row>
    <row r="5" spans="2:4" ht="15.9" customHeight="1" x14ac:dyDescent="0.3">
      <c r="B5" s="17" t="s">
        <v>185</v>
      </c>
    </row>
    <row r="6" spans="2:4" ht="4.95" customHeight="1" x14ac:dyDescent="0.3">
      <c r="B6" s="16"/>
    </row>
    <row r="7" spans="2:4" s="18" customFormat="1" ht="4.95" customHeight="1" x14ac:dyDescent="0.3">
      <c r="B7" s="15"/>
      <c r="D7" s="19"/>
    </row>
    <row r="8" spans="2:4" s="18" customFormat="1" ht="4.95" customHeight="1" x14ac:dyDescent="0.3">
      <c r="B8" s="15"/>
      <c r="D8" s="19"/>
    </row>
    <row r="9" spans="2:4" ht="18" customHeight="1" x14ac:dyDescent="0.3">
      <c r="B9" s="20" t="s">
        <v>63</v>
      </c>
      <c r="C9" s="21" t="s">
        <v>64</v>
      </c>
      <c r="D9" s="22" t="s">
        <v>137</v>
      </c>
    </row>
    <row r="10" spans="2:4" s="26" customFormat="1" ht="15" customHeight="1" x14ac:dyDescent="0.3">
      <c r="B10" s="23" t="s">
        <v>139</v>
      </c>
      <c r="C10" s="24">
        <v>2500</v>
      </c>
      <c r="D10" s="25">
        <f t="shared" ref="D10:D19" si="0">C10/$C$20</f>
        <v>1.0641361225901839E-2</v>
      </c>
    </row>
    <row r="11" spans="2:4" s="26" customFormat="1" ht="15" customHeight="1" x14ac:dyDescent="0.3">
      <c r="B11" s="23" t="s">
        <v>179</v>
      </c>
      <c r="C11" s="24">
        <v>26900</v>
      </c>
      <c r="D11" s="25">
        <f t="shared" si="0"/>
        <v>0.11450104679070379</v>
      </c>
    </row>
    <row r="12" spans="2:4" s="26" customFormat="1" ht="15" customHeight="1" x14ac:dyDescent="0.3">
      <c r="B12" s="23" t="s">
        <v>131</v>
      </c>
      <c r="C12" s="24">
        <v>13190</v>
      </c>
      <c r="D12" s="25">
        <f t="shared" si="0"/>
        <v>5.6143821827858105E-2</v>
      </c>
    </row>
    <row r="13" spans="2:4" s="26" customFormat="1" ht="15" customHeight="1" x14ac:dyDescent="0.3">
      <c r="B13" s="23" t="s">
        <v>116</v>
      </c>
      <c r="C13" s="24">
        <v>3499.98</v>
      </c>
      <c r="D13" s="25">
        <f t="shared" si="0"/>
        <v>1.4897820585372768E-2</v>
      </c>
    </row>
    <row r="14" spans="2:4" s="26" customFormat="1" ht="15" customHeight="1" x14ac:dyDescent="0.3">
      <c r="B14" s="23" t="s">
        <v>117</v>
      </c>
      <c r="C14" s="24">
        <v>139793.79999999999</v>
      </c>
      <c r="D14" s="25">
        <f t="shared" si="0"/>
        <v>0.59503852917659061</v>
      </c>
    </row>
    <row r="15" spans="2:4" s="26" customFormat="1" ht="15" customHeight="1" x14ac:dyDescent="0.3">
      <c r="B15" s="23" t="s">
        <v>132</v>
      </c>
      <c r="C15" s="24">
        <v>13813.54</v>
      </c>
      <c r="D15" s="25">
        <f t="shared" si="0"/>
        <v>5.8797947579377639E-2</v>
      </c>
    </row>
    <row r="16" spans="2:4" s="26" customFormat="1" ht="15" customHeight="1" x14ac:dyDescent="0.3">
      <c r="B16" s="23" t="s">
        <v>118</v>
      </c>
      <c r="C16" s="24">
        <v>9628</v>
      </c>
      <c r="D16" s="25">
        <f t="shared" si="0"/>
        <v>4.0982010353193161E-2</v>
      </c>
    </row>
    <row r="17" spans="2:4" s="26" customFormat="1" ht="15" customHeight="1" x14ac:dyDescent="0.3">
      <c r="B17" s="23" t="s">
        <v>183</v>
      </c>
      <c r="C17" s="24">
        <v>23467.75</v>
      </c>
      <c r="D17" s="25">
        <f t="shared" si="0"/>
        <v>9.989152196366316E-2</v>
      </c>
    </row>
    <row r="18" spans="2:4" s="26" customFormat="1" ht="15" customHeight="1" x14ac:dyDescent="0.3">
      <c r="B18" s="23" t="s">
        <v>184</v>
      </c>
      <c r="C18" s="24">
        <v>2139.2800000000002</v>
      </c>
      <c r="D18" s="25">
        <f t="shared" si="0"/>
        <v>9.1059404973389147E-3</v>
      </c>
    </row>
    <row r="19" spans="2:4" s="26" customFormat="1" ht="15" customHeight="1" x14ac:dyDescent="0.3">
      <c r="B19" s="27" t="s">
        <v>180</v>
      </c>
      <c r="C19" s="28">
        <v>0</v>
      </c>
      <c r="D19" s="29">
        <f t="shared" si="0"/>
        <v>0</v>
      </c>
    </row>
    <row r="20" spans="2:4" ht="18" customHeight="1" x14ac:dyDescent="0.3">
      <c r="B20" s="30" t="s">
        <v>126</v>
      </c>
      <c r="C20" s="31">
        <f>SUM(C10:C19)</f>
        <v>234932.35</v>
      </c>
      <c r="D20" s="32">
        <f>SUM(D10:D19)</f>
        <v>0.99999999999999989</v>
      </c>
    </row>
    <row r="21" spans="2:4" ht="4.95" customHeight="1" x14ac:dyDescent="0.3">
      <c r="B21" s="16"/>
      <c r="C21" s="33"/>
      <c r="D21" s="34"/>
    </row>
    <row r="22" spans="2:4" s="26" customFormat="1" ht="15" customHeight="1" x14ac:dyDescent="0.3">
      <c r="B22" s="35" t="s">
        <v>70</v>
      </c>
      <c r="C22" s="36">
        <v>40000</v>
      </c>
      <c r="D22" s="37"/>
    </row>
    <row r="23" spans="2:4" s="26" customFormat="1" ht="15" customHeight="1" x14ac:dyDescent="0.3">
      <c r="B23" s="38" t="s">
        <v>115</v>
      </c>
      <c r="C23" s="28">
        <v>25000</v>
      </c>
      <c r="D23" s="39"/>
    </row>
    <row r="24" spans="2:4" s="26" customFormat="1" ht="4.95" customHeight="1" x14ac:dyDescent="0.3">
      <c r="C24" s="40"/>
      <c r="D24" s="39"/>
    </row>
    <row r="25" spans="2:4" ht="15" customHeight="1" x14ac:dyDescent="0.3">
      <c r="B25" s="41" t="s">
        <v>225</v>
      </c>
      <c r="C25" s="42">
        <f>C20+C22+C23</f>
        <v>299932.34999999998</v>
      </c>
      <c r="D25" s="43"/>
    </row>
    <row r="26" spans="2:4" s="26" customFormat="1" ht="4.95" customHeight="1" x14ac:dyDescent="0.3">
      <c r="C26" s="40"/>
      <c r="D26" s="39"/>
    </row>
    <row r="27" spans="2:4" s="26" customFormat="1" ht="15" customHeight="1" x14ac:dyDescent="0.3">
      <c r="B27" s="38" t="s">
        <v>114</v>
      </c>
      <c r="C27" s="28">
        <v>29000</v>
      </c>
      <c r="D27" s="39"/>
    </row>
    <row r="28" spans="2:4" x14ac:dyDescent="0.3">
      <c r="B28" s="44" t="s">
        <v>13</v>
      </c>
      <c r="C28" s="26"/>
      <c r="D28" s="45"/>
    </row>
    <row r="29" spans="2:4" x14ac:dyDescent="0.3">
      <c r="B29" s="26" t="s">
        <v>67</v>
      </c>
      <c r="C29" s="26"/>
      <c r="D29" s="26"/>
    </row>
    <row r="30" spans="2:4" x14ac:dyDescent="0.3">
      <c r="B30" s="26"/>
    </row>
    <row r="37" spans="2:4" x14ac:dyDescent="0.3">
      <c r="B37" s="46"/>
      <c r="C37" s="46"/>
      <c r="D37" s="46"/>
    </row>
    <row r="38" spans="2:4" x14ac:dyDescent="0.3">
      <c r="B38" s="47"/>
      <c r="C38" s="47"/>
    </row>
    <row r="50" spans="2:4" x14ac:dyDescent="0.3">
      <c r="B50" s="46"/>
      <c r="C50" s="46"/>
      <c r="D50" s="46"/>
    </row>
    <row r="51" spans="2:4" x14ac:dyDescent="0.3">
      <c r="B51" s="47"/>
      <c r="C51" s="47"/>
    </row>
    <row r="63" spans="2:4" x14ac:dyDescent="0.3">
      <c r="B63" s="46"/>
      <c r="C63" s="46"/>
      <c r="D63" s="46"/>
    </row>
    <row r="64" spans="2:4" x14ac:dyDescent="0.3">
      <c r="B64" s="47"/>
      <c r="C64" s="47"/>
    </row>
  </sheetData>
  <sheetProtection algorithmName="SHA-512" hashValue="zetSPBC0kTFbYAwBTO8n2EUyR6wjNgg/C8qlJ0FdPnCBzV32lWMDIh2ig2ckGmU6ea0/Fz+n/ueLomHsoaI8RA==" saltValue="faod2jz+qH1NDuEr4DZ6WQ==" spinCount="100000" sheet="1" objects="1" scenarios="1"/>
  <pageMargins left="0.51181102362204722" right="0.51181102362204722" top="0.78740157480314965" bottom="0.78740157480314965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N23"/>
  <sheetViews>
    <sheetView zoomScaleNormal="100" workbookViewId="0">
      <selection activeCell="A7" sqref="A7"/>
    </sheetView>
  </sheetViews>
  <sheetFormatPr defaultColWidth="11.44140625" defaultRowHeight="13.8" x14ac:dyDescent="0.3"/>
  <cols>
    <col min="1" max="1" width="5.6640625" style="2" customWidth="1"/>
    <col min="2" max="3" width="11.6640625" style="2" bestFit="1" customWidth="1"/>
    <col min="4" max="4" width="17.44140625" style="2" customWidth="1"/>
    <col min="5" max="5" width="11.44140625" style="2"/>
    <col min="6" max="6" width="14.88671875" style="6" bestFit="1" customWidth="1"/>
    <col min="7" max="65" width="11.44140625" style="2"/>
    <col min="66" max="66" width="12.33203125" style="2" bestFit="1" customWidth="1"/>
    <col min="67" max="16384" width="11.44140625" style="2"/>
  </cols>
  <sheetData>
    <row r="1" spans="2:66" ht="15.9" customHeight="1" x14ac:dyDescent="0.3">
      <c r="G1" s="2" t="s">
        <v>143</v>
      </c>
    </row>
    <row r="2" spans="2:66" x14ac:dyDescent="0.3">
      <c r="B2" s="1" t="s">
        <v>69</v>
      </c>
      <c r="C2" s="1"/>
      <c r="D2" s="1"/>
    </row>
    <row r="3" spans="2:66" x14ac:dyDescent="0.3">
      <c r="B3" s="3"/>
      <c r="C3" s="3"/>
      <c r="D3" s="3"/>
      <c r="G3" s="6">
        <v>1</v>
      </c>
      <c r="H3" s="6">
        <v>2</v>
      </c>
      <c r="I3" s="6">
        <v>3</v>
      </c>
      <c r="J3" s="6">
        <v>4</v>
      </c>
      <c r="K3" s="6">
        <v>5</v>
      </c>
      <c r="L3" s="6">
        <v>6</v>
      </c>
      <c r="M3" s="6">
        <v>7</v>
      </c>
      <c r="N3" s="6">
        <v>8</v>
      </c>
      <c r="O3" s="6">
        <v>9</v>
      </c>
      <c r="P3" s="6">
        <v>10</v>
      </c>
      <c r="Q3" s="6">
        <v>11</v>
      </c>
      <c r="R3" s="6">
        <v>12</v>
      </c>
      <c r="S3" s="6">
        <v>13</v>
      </c>
      <c r="T3" s="6">
        <v>14</v>
      </c>
      <c r="U3" s="6">
        <v>15</v>
      </c>
      <c r="V3" s="6">
        <v>16</v>
      </c>
      <c r="W3" s="6">
        <v>17</v>
      </c>
      <c r="X3" s="6">
        <v>18</v>
      </c>
      <c r="Y3" s="6">
        <v>19</v>
      </c>
      <c r="Z3" s="6">
        <v>20</v>
      </c>
      <c r="AA3" s="6">
        <v>21</v>
      </c>
      <c r="AB3" s="6">
        <v>22</v>
      </c>
      <c r="AC3" s="6">
        <v>23</v>
      </c>
      <c r="AD3" s="6">
        <v>24</v>
      </c>
      <c r="AE3" s="6">
        <v>25</v>
      </c>
      <c r="AF3" s="6">
        <v>26</v>
      </c>
      <c r="AG3" s="6">
        <v>27</v>
      </c>
      <c r="AH3" s="6">
        <v>28</v>
      </c>
      <c r="AI3" s="6">
        <v>29</v>
      </c>
      <c r="AJ3" s="6">
        <v>30</v>
      </c>
      <c r="AK3" s="6">
        <v>31</v>
      </c>
      <c r="AL3" s="6">
        <v>32</v>
      </c>
      <c r="AM3" s="6">
        <v>33</v>
      </c>
      <c r="AN3" s="6">
        <v>34</v>
      </c>
      <c r="AO3" s="6">
        <v>35</v>
      </c>
      <c r="AP3" s="6">
        <v>36</v>
      </c>
      <c r="AQ3" s="6">
        <v>37</v>
      </c>
      <c r="AR3" s="6">
        <v>38</v>
      </c>
      <c r="AS3" s="6">
        <v>39</v>
      </c>
      <c r="AT3" s="6">
        <v>40</v>
      </c>
      <c r="AU3" s="6">
        <v>41</v>
      </c>
      <c r="AV3" s="6">
        <v>42</v>
      </c>
      <c r="AW3" s="6">
        <v>43</v>
      </c>
      <c r="AX3" s="6">
        <v>44</v>
      </c>
      <c r="AY3" s="6">
        <v>45</v>
      </c>
      <c r="AZ3" s="6">
        <v>46</v>
      </c>
      <c r="BA3" s="6">
        <v>47</v>
      </c>
      <c r="BB3" s="6">
        <v>48</v>
      </c>
      <c r="BC3" s="6">
        <v>49</v>
      </c>
      <c r="BD3" s="6">
        <v>50</v>
      </c>
      <c r="BE3" s="6">
        <v>51</v>
      </c>
      <c r="BF3" s="6">
        <v>52</v>
      </c>
      <c r="BG3" s="6">
        <v>53</v>
      </c>
      <c r="BH3" s="6">
        <v>54</v>
      </c>
      <c r="BI3" s="6">
        <v>55</v>
      </c>
      <c r="BJ3" s="6">
        <v>56</v>
      </c>
      <c r="BK3" s="6">
        <v>57</v>
      </c>
      <c r="BL3" s="6">
        <v>58</v>
      </c>
      <c r="BM3" s="6">
        <v>59</v>
      </c>
      <c r="BN3" s="6">
        <v>60</v>
      </c>
    </row>
    <row r="4" spans="2:66" x14ac:dyDescent="0.3">
      <c r="B4" s="4">
        <v>0</v>
      </c>
      <c r="C4" s="4">
        <v>180000</v>
      </c>
      <c r="D4" s="7">
        <v>0.04</v>
      </c>
      <c r="E4" s="8">
        <v>0</v>
      </c>
      <c r="F4" s="6" t="s">
        <v>109</v>
      </c>
      <c r="G4" s="5">
        <f>Viabilidade!C59</f>
        <v>98000</v>
      </c>
      <c r="H4" s="5">
        <f>Viabilidade!D59</f>
        <v>99707.999999999985</v>
      </c>
      <c r="I4" s="5">
        <f>Viabilidade!E59</f>
        <v>101415.99999999999</v>
      </c>
      <c r="J4" s="5">
        <f>Viabilidade!F59</f>
        <v>103123.99999999999</v>
      </c>
      <c r="K4" s="5">
        <f>Viabilidade!G59</f>
        <v>104831.99999999999</v>
      </c>
      <c r="L4" s="5">
        <f>Viabilidade!H59</f>
        <v>106539.99999999999</v>
      </c>
      <c r="M4" s="5">
        <f>Viabilidade!I59</f>
        <v>108247.99999999999</v>
      </c>
      <c r="N4" s="5">
        <f>Viabilidade!J59</f>
        <v>109955.99999999999</v>
      </c>
      <c r="O4" s="5">
        <f>Viabilidade!K59</f>
        <v>111663.99999999999</v>
      </c>
      <c r="P4" s="5">
        <f>Viabilidade!L59</f>
        <v>113371.99999999999</v>
      </c>
      <c r="Q4" s="5">
        <f>Viabilidade!M59</f>
        <v>115079.99999999997</v>
      </c>
      <c r="R4" s="5">
        <f>Viabilidade!N59</f>
        <v>116787.99999999997</v>
      </c>
      <c r="S4" s="5">
        <f>Viabilidade!O59</f>
        <v>118495.99999999997</v>
      </c>
      <c r="T4" s="5">
        <f>Viabilidade!P59</f>
        <v>120203.99999999997</v>
      </c>
      <c r="U4" s="5">
        <f>Viabilidade!Q59</f>
        <v>121911.99999999997</v>
      </c>
      <c r="V4" s="5">
        <f>Viabilidade!R59</f>
        <v>123619.99999999997</v>
      </c>
      <c r="W4" s="5">
        <f>Viabilidade!S59</f>
        <v>125327.99999999997</v>
      </c>
      <c r="X4" s="5">
        <f>Viabilidade!T59</f>
        <v>127035.99999999997</v>
      </c>
      <c r="Y4" s="5">
        <f>Viabilidade!U59</f>
        <v>134343.99999999997</v>
      </c>
      <c r="Z4" s="5">
        <f>Viabilidade!V59</f>
        <v>136051.99999999997</v>
      </c>
      <c r="AA4" s="5">
        <f>Viabilidade!W59</f>
        <v>137759.99999999997</v>
      </c>
      <c r="AB4" s="5">
        <f>Viabilidade!X59</f>
        <v>139467.99999999997</v>
      </c>
      <c r="AC4" s="5">
        <f>Viabilidade!Y59</f>
        <v>141175.99999999997</v>
      </c>
      <c r="AD4" s="5">
        <f>Viabilidade!Z59</f>
        <v>142883.99999999997</v>
      </c>
      <c r="AE4" s="5">
        <f>Viabilidade!AA59</f>
        <v>144591.99999999997</v>
      </c>
      <c r="AF4" s="5">
        <f>Viabilidade!AB59</f>
        <v>146299.99999999997</v>
      </c>
      <c r="AG4" s="5">
        <f>Viabilidade!AC59</f>
        <v>148007.99999999997</v>
      </c>
      <c r="AH4" s="5">
        <f>Viabilidade!AD59</f>
        <v>149715.99999999994</v>
      </c>
      <c r="AI4" s="5">
        <f>Viabilidade!AE59</f>
        <v>151423.99999999994</v>
      </c>
      <c r="AJ4" s="5">
        <f>Viabilidade!AF59</f>
        <v>153131.99999999994</v>
      </c>
      <c r="AK4" s="5">
        <f>Viabilidade!AG59</f>
        <v>159039.99999999994</v>
      </c>
      <c r="AL4" s="5">
        <f>Viabilidade!AH59</f>
        <v>160747.99999999994</v>
      </c>
      <c r="AM4" s="5">
        <f>Viabilidade!AI59</f>
        <v>162455.99999999994</v>
      </c>
      <c r="AN4" s="5">
        <f>Viabilidade!AJ59</f>
        <v>164163.99999999994</v>
      </c>
      <c r="AO4" s="5">
        <f>Viabilidade!AK59</f>
        <v>165871.99999999994</v>
      </c>
      <c r="AP4" s="5">
        <f>Viabilidade!AL59</f>
        <v>167579.99999999994</v>
      </c>
      <c r="AQ4" s="5">
        <f>Viabilidade!AM59</f>
        <v>169287.99999999994</v>
      </c>
      <c r="AR4" s="5">
        <f>Viabilidade!AN59</f>
        <v>170995.99999999994</v>
      </c>
      <c r="AS4" s="5">
        <f>Viabilidade!AO59</f>
        <v>172703.99999999994</v>
      </c>
      <c r="AT4" s="5">
        <f>Viabilidade!AP59</f>
        <v>174411.99999999994</v>
      </c>
      <c r="AU4" s="5">
        <f>Viabilidade!AQ59</f>
        <v>176119.99999999994</v>
      </c>
      <c r="AV4" s="5">
        <f>Viabilidade!AR59</f>
        <v>177827.99999999994</v>
      </c>
      <c r="AW4" s="5">
        <f>Viabilidade!AS59</f>
        <v>179535.99999999994</v>
      </c>
      <c r="AX4" s="5">
        <f>Viabilidade!AT59</f>
        <v>181243.99999999994</v>
      </c>
      <c r="AY4" s="5">
        <f>Viabilidade!AU59</f>
        <v>182951.99999999994</v>
      </c>
      <c r="AZ4" s="5">
        <f>Viabilidade!AV59</f>
        <v>184659.99999999994</v>
      </c>
      <c r="BA4" s="5">
        <f>Viabilidade!AW59</f>
        <v>186367.99999999994</v>
      </c>
      <c r="BB4" s="5">
        <f>Viabilidade!AX59</f>
        <v>188075.99999999994</v>
      </c>
      <c r="BC4" s="5">
        <f>Viabilidade!AY59</f>
        <v>189783.99999999991</v>
      </c>
      <c r="BD4" s="5">
        <f>Viabilidade!AZ59</f>
        <v>191491.99999999991</v>
      </c>
      <c r="BE4" s="5">
        <f>Viabilidade!BA59</f>
        <v>193199.99999999991</v>
      </c>
      <c r="BF4" s="5">
        <f>Viabilidade!BB59</f>
        <v>194907.99999999991</v>
      </c>
      <c r="BG4" s="5">
        <f>Viabilidade!BC59</f>
        <v>196615.99999999991</v>
      </c>
      <c r="BH4" s="5">
        <f>Viabilidade!BD59</f>
        <v>196000</v>
      </c>
      <c r="BI4" s="5">
        <f>Viabilidade!BE59</f>
        <v>196000</v>
      </c>
      <c r="BJ4" s="5">
        <f>Viabilidade!BF59</f>
        <v>196000</v>
      </c>
      <c r="BK4" s="5">
        <f>Viabilidade!BG59</f>
        <v>196000</v>
      </c>
      <c r="BL4" s="5">
        <f>Viabilidade!BH59</f>
        <v>196000</v>
      </c>
      <c r="BM4" s="5">
        <f>Viabilidade!BI59</f>
        <v>196000</v>
      </c>
      <c r="BN4" s="5">
        <f>Viabilidade!BJ59</f>
        <v>196000</v>
      </c>
    </row>
    <row r="5" spans="2:66" x14ac:dyDescent="0.3">
      <c r="B5" s="4">
        <v>180000.01</v>
      </c>
      <c r="C5" s="4">
        <v>360000</v>
      </c>
      <c r="D5" s="7">
        <v>7.2999999999999995E-2</v>
      </c>
      <c r="E5" s="8">
        <v>5940</v>
      </c>
      <c r="F5" s="6" t="s">
        <v>144</v>
      </c>
      <c r="G5" s="2">
        <v>12</v>
      </c>
      <c r="H5" s="2">
        <v>12</v>
      </c>
      <c r="I5" s="2">
        <v>12</v>
      </c>
      <c r="J5" s="2">
        <v>12</v>
      </c>
      <c r="K5" s="2">
        <v>12</v>
      </c>
      <c r="L5" s="2">
        <v>12</v>
      </c>
      <c r="M5" s="2">
        <v>12</v>
      </c>
      <c r="N5" s="2">
        <v>12</v>
      </c>
      <c r="O5" s="2">
        <v>12</v>
      </c>
      <c r="P5" s="2">
        <v>12</v>
      </c>
      <c r="Q5" s="2">
        <v>12</v>
      </c>
      <c r="R5" s="2">
        <v>12</v>
      </c>
      <c r="S5" s="2">
        <v>12</v>
      </c>
      <c r="T5" s="2">
        <v>12</v>
      </c>
      <c r="U5" s="2">
        <v>12</v>
      </c>
      <c r="V5" s="2">
        <v>12</v>
      </c>
      <c r="W5" s="2">
        <v>12</v>
      </c>
      <c r="X5" s="2">
        <v>12</v>
      </c>
      <c r="Y5" s="2">
        <v>12</v>
      </c>
      <c r="Z5" s="2">
        <v>12</v>
      </c>
      <c r="AA5" s="2">
        <v>12</v>
      </c>
      <c r="AB5" s="2">
        <v>12</v>
      </c>
      <c r="AC5" s="2">
        <v>12</v>
      </c>
      <c r="AD5" s="2">
        <v>12</v>
      </c>
      <c r="AE5" s="2">
        <v>12</v>
      </c>
      <c r="AF5" s="2">
        <v>12</v>
      </c>
      <c r="AG5" s="2">
        <v>12</v>
      </c>
      <c r="AH5" s="2">
        <v>12</v>
      </c>
      <c r="AI5" s="2">
        <v>12</v>
      </c>
      <c r="AJ5" s="2">
        <v>12</v>
      </c>
      <c r="AK5" s="2">
        <v>12</v>
      </c>
      <c r="AL5" s="2">
        <v>12</v>
      </c>
      <c r="AM5" s="2">
        <v>12</v>
      </c>
      <c r="AN5" s="2">
        <v>12</v>
      </c>
      <c r="AO5" s="2">
        <v>12</v>
      </c>
      <c r="AP5" s="2">
        <v>12</v>
      </c>
      <c r="AQ5" s="2">
        <v>12</v>
      </c>
      <c r="AR5" s="2">
        <v>12</v>
      </c>
      <c r="AS5" s="2">
        <v>12</v>
      </c>
      <c r="AT5" s="2">
        <v>12</v>
      </c>
      <c r="AU5" s="2">
        <v>12</v>
      </c>
      <c r="AV5" s="2">
        <v>12</v>
      </c>
      <c r="AW5" s="2">
        <v>12</v>
      </c>
      <c r="AX5" s="2">
        <v>12</v>
      </c>
      <c r="AY5" s="2">
        <v>12</v>
      </c>
      <c r="AZ5" s="2">
        <v>12</v>
      </c>
      <c r="BA5" s="2">
        <v>12</v>
      </c>
      <c r="BB5" s="2">
        <v>12</v>
      </c>
      <c r="BC5" s="2">
        <v>12</v>
      </c>
      <c r="BD5" s="2">
        <v>12</v>
      </c>
      <c r="BE5" s="2">
        <v>12</v>
      </c>
      <c r="BF5" s="2">
        <v>12</v>
      </c>
      <c r="BG5" s="2">
        <v>12</v>
      </c>
      <c r="BH5" s="2">
        <v>12</v>
      </c>
      <c r="BI5" s="2">
        <v>12</v>
      </c>
      <c r="BJ5" s="2">
        <v>12</v>
      </c>
      <c r="BK5" s="2">
        <v>12</v>
      </c>
      <c r="BL5" s="2">
        <v>12</v>
      </c>
      <c r="BM5" s="2">
        <v>12</v>
      </c>
      <c r="BN5" s="2">
        <v>12</v>
      </c>
    </row>
    <row r="6" spans="2:66" x14ac:dyDescent="0.3">
      <c r="B6" s="4">
        <v>360000.01</v>
      </c>
      <c r="C6" s="4">
        <v>720000</v>
      </c>
      <c r="D6" s="7">
        <v>9.5000000000000001E-2</v>
      </c>
      <c r="E6" s="8">
        <v>13860</v>
      </c>
      <c r="F6" s="6" t="s">
        <v>145</v>
      </c>
      <c r="G6" s="5">
        <f>G4/G5</f>
        <v>8166.666666666667</v>
      </c>
      <c r="H6" s="5">
        <f>H8/H5</f>
        <v>98854</v>
      </c>
      <c r="I6" s="5">
        <f>I8/I5</f>
        <v>99708</v>
      </c>
      <c r="J6" s="5">
        <f>J8/J5</f>
        <v>100562</v>
      </c>
      <c r="K6" s="5">
        <f t="shared" ref="K6:BN6" si="0">K8/K5</f>
        <v>101416</v>
      </c>
      <c r="L6" s="5">
        <f t="shared" si="0"/>
        <v>102270</v>
      </c>
      <c r="M6" s="5">
        <f t="shared" si="0"/>
        <v>103124</v>
      </c>
      <c r="N6" s="5">
        <f t="shared" si="0"/>
        <v>103978</v>
      </c>
      <c r="O6" s="5">
        <f t="shared" si="0"/>
        <v>104832</v>
      </c>
      <c r="P6" s="5">
        <f t="shared" si="0"/>
        <v>105686</v>
      </c>
      <c r="Q6" s="5">
        <f t="shared" si="0"/>
        <v>106540</v>
      </c>
      <c r="R6" s="5">
        <f t="shared" si="0"/>
        <v>107394</v>
      </c>
      <c r="S6" s="5">
        <f t="shared" si="0"/>
        <v>107394</v>
      </c>
      <c r="T6" s="5">
        <f t="shared" si="0"/>
        <v>109101.99999999999</v>
      </c>
      <c r="U6" s="5">
        <f t="shared" si="0"/>
        <v>110809.99999999999</v>
      </c>
      <c r="V6" s="5">
        <f t="shared" si="0"/>
        <v>112517.99999999999</v>
      </c>
      <c r="W6" s="5">
        <f t="shared" si="0"/>
        <v>114225.99999999999</v>
      </c>
      <c r="X6" s="5">
        <f t="shared" si="0"/>
        <v>115933.99999999999</v>
      </c>
      <c r="Y6" s="5">
        <f t="shared" si="0"/>
        <v>117641.99999999999</v>
      </c>
      <c r="Z6" s="5">
        <f t="shared" si="0"/>
        <v>119816.66666666664</v>
      </c>
      <c r="AA6" s="5">
        <f t="shared" si="0"/>
        <v>121991.33333333331</v>
      </c>
      <c r="AB6" s="5">
        <f t="shared" si="0"/>
        <v>124165.99999999999</v>
      </c>
      <c r="AC6" s="5">
        <f t="shared" si="0"/>
        <v>126340.66666666664</v>
      </c>
      <c r="AD6" s="5">
        <f t="shared" si="0"/>
        <v>128515.33333333331</v>
      </c>
      <c r="AE6" s="5">
        <f t="shared" si="0"/>
        <v>130689.99999999999</v>
      </c>
      <c r="AF6" s="5">
        <f t="shared" si="0"/>
        <v>132864.66666666666</v>
      </c>
      <c r="AG6" s="5">
        <f t="shared" si="0"/>
        <v>135039.33333333331</v>
      </c>
      <c r="AH6" s="5">
        <f t="shared" si="0"/>
        <v>137213.99999999997</v>
      </c>
      <c r="AI6" s="5">
        <f t="shared" si="0"/>
        <v>139388.66666666666</v>
      </c>
      <c r="AJ6" s="5">
        <f t="shared" si="0"/>
        <v>141563.33333333331</v>
      </c>
      <c r="AK6" s="5">
        <f t="shared" si="0"/>
        <v>143737.99999999997</v>
      </c>
      <c r="AL6" s="5">
        <f t="shared" si="0"/>
        <v>145795.99999999997</v>
      </c>
      <c r="AM6" s="5">
        <f t="shared" si="0"/>
        <v>147853.99999999997</v>
      </c>
      <c r="AN6" s="5">
        <f t="shared" si="0"/>
        <v>149911.99999999997</v>
      </c>
      <c r="AO6" s="5">
        <f t="shared" si="0"/>
        <v>151969.99999999997</v>
      </c>
      <c r="AP6" s="5">
        <f t="shared" si="0"/>
        <v>154027.99999999997</v>
      </c>
      <c r="AQ6" s="5">
        <f t="shared" si="0"/>
        <v>156085.99999999997</v>
      </c>
      <c r="AR6" s="5">
        <f t="shared" si="0"/>
        <v>158143.99999999997</v>
      </c>
      <c r="AS6" s="5">
        <f t="shared" si="0"/>
        <v>160201.99999999997</v>
      </c>
      <c r="AT6" s="5">
        <f t="shared" si="0"/>
        <v>162259.99999999997</v>
      </c>
      <c r="AU6" s="5">
        <f t="shared" si="0"/>
        <v>164317.99999999997</v>
      </c>
      <c r="AV6" s="5">
        <f t="shared" si="0"/>
        <v>166375.99999999997</v>
      </c>
      <c r="AW6" s="5">
        <f t="shared" si="0"/>
        <v>168433.99999999997</v>
      </c>
      <c r="AX6" s="5">
        <f t="shared" si="0"/>
        <v>170141.99999999997</v>
      </c>
      <c r="AY6" s="5">
        <f t="shared" si="0"/>
        <v>171849.99999999997</v>
      </c>
      <c r="AZ6" s="5">
        <f t="shared" si="0"/>
        <v>173557.99999999997</v>
      </c>
      <c r="BA6" s="5">
        <f t="shared" si="0"/>
        <v>175265.99999999997</v>
      </c>
      <c r="BB6" s="5">
        <f t="shared" si="0"/>
        <v>176973.99999999997</v>
      </c>
      <c r="BC6" s="5">
        <f t="shared" si="0"/>
        <v>178681.99999999997</v>
      </c>
      <c r="BD6" s="5">
        <f t="shared" si="0"/>
        <v>180389.99999999997</v>
      </c>
      <c r="BE6" s="5">
        <f t="shared" si="0"/>
        <v>182097.99999999997</v>
      </c>
      <c r="BF6" s="5">
        <f t="shared" si="0"/>
        <v>183805.99999999997</v>
      </c>
      <c r="BG6" s="5">
        <f t="shared" si="0"/>
        <v>185513.99999999997</v>
      </c>
      <c r="BH6" s="5">
        <f t="shared" si="0"/>
        <v>187221.99999999997</v>
      </c>
      <c r="BI6" s="5">
        <f t="shared" si="0"/>
        <v>188736.33333333334</v>
      </c>
      <c r="BJ6" s="5">
        <f t="shared" si="0"/>
        <v>190108.33333333334</v>
      </c>
      <c r="BK6" s="5">
        <f t="shared" si="0"/>
        <v>191337.99999999997</v>
      </c>
      <c r="BL6" s="5">
        <f t="shared" si="0"/>
        <v>192425.33333333328</v>
      </c>
      <c r="BM6" s="5">
        <f t="shared" si="0"/>
        <v>193370.33333333328</v>
      </c>
      <c r="BN6" s="5">
        <f t="shared" si="0"/>
        <v>194172.99999999997</v>
      </c>
    </row>
    <row r="7" spans="2:66" x14ac:dyDescent="0.3">
      <c r="B7" s="4">
        <v>720000</v>
      </c>
      <c r="C7" s="4">
        <v>1800000</v>
      </c>
      <c r="D7" s="7">
        <v>0.107</v>
      </c>
      <c r="E7" s="8">
        <v>22500</v>
      </c>
      <c r="F7" s="6" t="s">
        <v>146</v>
      </c>
      <c r="G7" s="9">
        <v>0.04</v>
      </c>
      <c r="H7" s="9">
        <v>0.107</v>
      </c>
      <c r="I7" s="9">
        <v>0.107</v>
      </c>
      <c r="J7" s="9">
        <v>0.107</v>
      </c>
      <c r="K7" s="9">
        <v>0.107</v>
      </c>
      <c r="L7" s="9">
        <v>0.107</v>
      </c>
      <c r="M7" s="9">
        <v>0.107</v>
      </c>
      <c r="N7" s="9">
        <v>0.107</v>
      </c>
      <c r="O7" s="9">
        <v>0.107</v>
      </c>
      <c r="P7" s="9">
        <v>0.107</v>
      </c>
      <c r="Q7" s="9">
        <v>0.107</v>
      </c>
      <c r="R7" s="9">
        <v>0.107</v>
      </c>
      <c r="S7" s="9">
        <v>0.107</v>
      </c>
      <c r="T7" s="9">
        <v>0.107</v>
      </c>
      <c r="U7" s="9">
        <v>0.107</v>
      </c>
      <c r="V7" s="9">
        <v>0.107</v>
      </c>
      <c r="W7" s="9">
        <v>0.107</v>
      </c>
      <c r="X7" s="9">
        <v>0.107</v>
      </c>
      <c r="Y7" s="9">
        <v>0.107</v>
      </c>
      <c r="Z7" s="9">
        <v>0.107</v>
      </c>
      <c r="AA7" s="9">
        <v>0.107</v>
      </c>
      <c r="AB7" s="9">
        <v>0.107</v>
      </c>
      <c r="AC7" s="9">
        <v>0.14299999999999999</v>
      </c>
      <c r="AD7" s="9">
        <v>0.14299999999999999</v>
      </c>
      <c r="AE7" s="9">
        <v>0.14299999999999999</v>
      </c>
      <c r="AF7" s="9">
        <v>0.14299999999999999</v>
      </c>
      <c r="AG7" s="9">
        <v>0.14299999999999999</v>
      </c>
      <c r="AH7" s="9">
        <v>0.14299999999999999</v>
      </c>
      <c r="AI7" s="9">
        <v>0.14299999999999999</v>
      </c>
      <c r="AJ7" s="9">
        <v>0.14299999999999999</v>
      </c>
      <c r="AK7" s="9">
        <v>0.14299999999999999</v>
      </c>
      <c r="AL7" s="9">
        <v>0.14299999999999999</v>
      </c>
      <c r="AM7" s="9">
        <v>0.14299999999999999</v>
      </c>
      <c r="AN7" s="9">
        <v>0.14299999999999999</v>
      </c>
      <c r="AO7" s="9">
        <v>0.14299999999999999</v>
      </c>
      <c r="AP7" s="9">
        <v>0.14299999999999999</v>
      </c>
      <c r="AQ7" s="9">
        <v>0.14299999999999999</v>
      </c>
      <c r="AR7" s="9">
        <v>0.14299999999999999</v>
      </c>
      <c r="AS7" s="9">
        <v>0.14299999999999999</v>
      </c>
      <c r="AT7" s="9">
        <v>0.14299999999999999</v>
      </c>
      <c r="AU7" s="9">
        <v>0.14299999999999999</v>
      </c>
      <c r="AV7" s="9">
        <v>0.14299999999999999</v>
      </c>
      <c r="AW7" s="9">
        <v>0.14299999999999999</v>
      </c>
      <c r="AX7" s="9">
        <v>0.14299999999999999</v>
      </c>
      <c r="AY7" s="9">
        <v>0.14299999999999999</v>
      </c>
      <c r="AZ7" s="9">
        <v>0.14299999999999999</v>
      </c>
      <c r="BA7" s="9">
        <v>0.14299999999999999</v>
      </c>
      <c r="BB7" s="9">
        <v>0.14299999999999999</v>
      </c>
      <c r="BC7" s="9">
        <v>0.14299999999999999</v>
      </c>
      <c r="BD7" s="9">
        <v>0.14299999999999999</v>
      </c>
      <c r="BE7" s="9">
        <v>0.14299999999999999</v>
      </c>
      <c r="BF7" s="9">
        <v>0.14299999999999999</v>
      </c>
      <c r="BG7" s="9">
        <v>0.14299999999999999</v>
      </c>
      <c r="BH7" s="9">
        <v>0.14299999999999999</v>
      </c>
      <c r="BI7" s="9">
        <v>0.14299999999999999</v>
      </c>
      <c r="BJ7" s="9">
        <v>0.14299999999999999</v>
      </c>
      <c r="BK7" s="9">
        <v>0.14299999999999999</v>
      </c>
      <c r="BL7" s="9">
        <v>0.14299999999999999</v>
      </c>
      <c r="BM7" s="9">
        <v>0.14299999999999999</v>
      </c>
      <c r="BN7" s="9">
        <v>0.14299999999999999</v>
      </c>
    </row>
    <row r="8" spans="2:66" x14ac:dyDescent="0.3">
      <c r="B8" s="4">
        <v>1800000</v>
      </c>
      <c r="C8" s="4">
        <v>3600000</v>
      </c>
      <c r="D8" s="7">
        <v>0.14299999999999999</v>
      </c>
      <c r="E8" s="8">
        <v>87300</v>
      </c>
      <c r="F8" s="6" t="s">
        <v>147</v>
      </c>
      <c r="G8" s="5">
        <f>G4</f>
        <v>98000</v>
      </c>
      <c r="H8" s="5">
        <f>(G8+H4)/H3*12</f>
        <v>1186248</v>
      </c>
      <c r="I8" s="5">
        <f>(G4+H4+I4)/I3*12</f>
        <v>1196496</v>
      </c>
      <c r="J8" s="5">
        <f>(+G4+H4+I4+J4)/J3*12</f>
        <v>1206744</v>
      </c>
      <c r="K8" s="5">
        <f>(G4+H4+I4+J4+K4)/K3*12</f>
        <v>1216992</v>
      </c>
      <c r="L8" s="5">
        <f>(G4+H4+I4+J4+K4+L4)/L3*12</f>
        <v>1227240</v>
      </c>
      <c r="M8" s="5">
        <f>(G4+H4+I4+J4+K4+L4+M4)/M3*12</f>
        <v>1237488</v>
      </c>
      <c r="N8" s="5">
        <f>(G4+H4+I4+J4+K4+L4+M4+N4)/N3*12</f>
        <v>1247736</v>
      </c>
      <c r="O8" s="5">
        <f>(G4+H4+I4+J4+K4+L4+M4+N4+O4)/O3*12</f>
        <v>1257984</v>
      </c>
      <c r="P8" s="5">
        <f>(G4+H4+I4+J4+K4+L4+M4+N4+O4+P4)/P3*12</f>
        <v>1268232</v>
      </c>
      <c r="Q8" s="5">
        <f>(G4+H4+I4+J4+K4+L4+M4+N4+O4+P4+Q4)/Q3*12</f>
        <v>1278480</v>
      </c>
      <c r="R8" s="5">
        <f>(G4+H4+I4+J4+K4+L4+M4+N4+O4+P4+Q4+R4)/R3*12</f>
        <v>1288728</v>
      </c>
      <c r="S8" s="5">
        <f t="shared" ref="S8:BN8" si="1">SUM(G4:R4)</f>
        <v>1288728</v>
      </c>
      <c r="T8" s="5">
        <f t="shared" si="1"/>
        <v>1309223.9999999998</v>
      </c>
      <c r="U8" s="5">
        <f t="shared" si="1"/>
        <v>1329719.9999999998</v>
      </c>
      <c r="V8" s="5">
        <f t="shared" si="1"/>
        <v>1350215.9999999998</v>
      </c>
      <c r="W8" s="5">
        <f t="shared" si="1"/>
        <v>1370711.9999999998</v>
      </c>
      <c r="X8" s="5">
        <f t="shared" si="1"/>
        <v>1391207.9999999998</v>
      </c>
      <c r="Y8" s="5">
        <f t="shared" si="1"/>
        <v>1411703.9999999998</v>
      </c>
      <c r="Z8" s="5">
        <f t="shared" si="1"/>
        <v>1437799.9999999998</v>
      </c>
      <c r="AA8" s="5">
        <f t="shared" si="1"/>
        <v>1463895.9999999998</v>
      </c>
      <c r="AB8" s="5">
        <f t="shared" si="1"/>
        <v>1489991.9999999998</v>
      </c>
      <c r="AC8" s="5">
        <f t="shared" si="1"/>
        <v>1516087.9999999998</v>
      </c>
      <c r="AD8" s="5">
        <f t="shared" si="1"/>
        <v>1542183.9999999998</v>
      </c>
      <c r="AE8" s="5">
        <f t="shared" si="1"/>
        <v>1568279.9999999998</v>
      </c>
      <c r="AF8" s="5">
        <f t="shared" si="1"/>
        <v>1594375.9999999998</v>
      </c>
      <c r="AG8" s="5">
        <f t="shared" si="1"/>
        <v>1620471.9999999998</v>
      </c>
      <c r="AH8" s="5">
        <f t="shared" si="1"/>
        <v>1646567.9999999998</v>
      </c>
      <c r="AI8" s="5">
        <f t="shared" si="1"/>
        <v>1672663.9999999998</v>
      </c>
      <c r="AJ8" s="5">
        <f t="shared" si="1"/>
        <v>1698759.9999999998</v>
      </c>
      <c r="AK8" s="5">
        <f t="shared" si="1"/>
        <v>1724855.9999999998</v>
      </c>
      <c r="AL8" s="5">
        <f t="shared" si="1"/>
        <v>1749551.9999999998</v>
      </c>
      <c r="AM8" s="5">
        <f t="shared" si="1"/>
        <v>1774247.9999999998</v>
      </c>
      <c r="AN8" s="5">
        <f t="shared" si="1"/>
        <v>1798943.9999999998</v>
      </c>
      <c r="AO8" s="5">
        <f t="shared" si="1"/>
        <v>1823639.9999999998</v>
      </c>
      <c r="AP8" s="5">
        <f t="shared" si="1"/>
        <v>1848335.9999999998</v>
      </c>
      <c r="AQ8" s="5">
        <f t="shared" si="1"/>
        <v>1873031.9999999998</v>
      </c>
      <c r="AR8" s="5">
        <f t="shared" si="1"/>
        <v>1897727.9999999998</v>
      </c>
      <c r="AS8" s="5">
        <f t="shared" si="1"/>
        <v>1922423.9999999998</v>
      </c>
      <c r="AT8" s="5">
        <f t="shared" si="1"/>
        <v>1947119.9999999998</v>
      </c>
      <c r="AU8" s="5">
        <f t="shared" si="1"/>
        <v>1971815.9999999998</v>
      </c>
      <c r="AV8" s="5">
        <f t="shared" si="1"/>
        <v>1996511.9999999998</v>
      </c>
      <c r="AW8" s="5">
        <f t="shared" si="1"/>
        <v>2021207.9999999998</v>
      </c>
      <c r="AX8" s="5">
        <f t="shared" si="1"/>
        <v>2041703.9999999998</v>
      </c>
      <c r="AY8" s="5">
        <f t="shared" si="1"/>
        <v>2062199.9999999998</v>
      </c>
      <c r="AZ8" s="5">
        <f t="shared" si="1"/>
        <v>2082695.9999999998</v>
      </c>
      <c r="BA8" s="5">
        <f t="shared" si="1"/>
        <v>2103191.9999999995</v>
      </c>
      <c r="BB8" s="5">
        <f t="shared" si="1"/>
        <v>2123687.9999999995</v>
      </c>
      <c r="BC8" s="5">
        <f t="shared" si="1"/>
        <v>2144183.9999999995</v>
      </c>
      <c r="BD8" s="5">
        <f t="shared" si="1"/>
        <v>2164679.9999999995</v>
      </c>
      <c r="BE8" s="5">
        <f t="shared" si="1"/>
        <v>2185175.9999999995</v>
      </c>
      <c r="BF8" s="5">
        <f t="shared" si="1"/>
        <v>2205671.9999999995</v>
      </c>
      <c r="BG8" s="5">
        <f t="shared" si="1"/>
        <v>2226167.9999999995</v>
      </c>
      <c r="BH8" s="5">
        <f t="shared" si="1"/>
        <v>2246663.9999999995</v>
      </c>
      <c r="BI8" s="5">
        <f t="shared" si="1"/>
        <v>2264836</v>
      </c>
      <c r="BJ8" s="5">
        <f t="shared" si="1"/>
        <v>2281300</v>
      </c>
      <c r="BK8" s="5">
        <f t="shared" si="1"/>
        <v>2296055.9999999995</v>
      </c>
      <c r="BL8" s="5">
        <f t="shared" si="1"/>
        <v>2309103.9999999995</v>
      </c>
      <c r="BM8" s="5">
        <f t="shared" si="1"/>
        <v>2320443.9999999995</v>
      </c>
      <c r="BN8" s="5">
        <f t="shared" si="1"/>
        <v>2330075.9999999995</v>
      </c>
    </row>
    <row r="9" spans="2:66" x14ac:dyDescent="0.3">
      <c r="B9" s="4">
        <v>3600000</v>
      </c>
      <c r="C9" s="4">
        <v>4800000</v>
      </c>
      <c r="D9" s="7">
        <v>0.19</v>
      </c>
      <c r="E9" s="8">
        <v>378000</v>
      </c>
      <c r="F9" s="6" t="s">
        <v>148</v>
      </c>
      <c r="G9" s="5">
        <f>G8*G7</f>
        <v>3920</v>
      </c>
      <c r="H9" s="5">
        <f>H8*H7</f>
        <v>126928.53599999999</v>
      </c>
      <c r="I9" s="5">
        <f t="shared" ref="I9:BN9" si="2">I8*I7</f>
        <v>128025.072</v>
      </c>
      <c r="J9" s="5">
        <f t="shared" si="2"/>
        <v>129121.60799999999</v>
      </c>
      <c r="K9" s="5">
        <f t="shared" si="2"/>
        <v>130218.144</v>
      </c>
      <c r="L9" s="5">
        <f t="shared" si="2"/>
        <v>131314.68</v>
      </c>
      <c r="M9" s="5">
        <f t="shared" si="2"/>
        <v>132411.21599999999</v>
      </c>
      <c r="N9" s="5">
        <f t="shared" si="2"/>
        <v>133507.75200000001</v>
      </c>
      <c r="O9" s="5">
        <f t="shared" si="2"/>
        <v>134604.288</v>
      </c>
      <c r="P9" s="5">
        <f t="shared" si="2"/>
        <v>135700.82399999999</v>
      </c>
      <c r="Q9" s="5">
        <f t="shared" si="2"/>
        <v>136797.35999999999</v>
      </c>
      <c r="R9" s="5">
        <f t="shared" si="2"/>
        <v>137893.89600000001</v>
      </c>
      <c r="S9" s="5">
        <f t="shared" si="2"/>
        <v>137893.89600000001</v>
      </c>
      <c r="T9" s="5">
        <f t="shared" si="2"/>
        <v>140086.96799999996</v>
      </c>
      <c r="U9" s="5">
        <f t="shared" si="2"/>
        <v>142280.03999999998</v>
      </c>
      <c r="V9" s="5">
        <f t="shared" si="2"/>
        <v>144473.11199999996</v>
      </c>
      <c r="W9" s="5">
        <f t="shared" si="2"/>
        <v>146666.18399999998</v>
      </c>
      <c r="X9" s="5">
        <f t="shared" si="2"/>
        <v>148859.25599999996</v>
      </c>
      <c r="Y9" s="5">
        <f t="shared" si="2"/>
        <v>151052.32799999998</v>
      </c>
      <c r="Z9" s="5">
        <f t="shared" si="2"/>
        <v>153844.59999999998</v>
      </c>
      <c r="AA9" s="5">
        <f t="shared" si="2"/>
        <v>156636.87199999997</v>
      </c>
      <c r="AB9" s="5">
        <f t="shared" si="2"/>
        <v>159429.14399999997</v>
      </c>
      <c r="AC9" s="5">
        <f t="shared" si="2"/>
        <v>216800.58399999994</v>
      </c>
      <c r="AD9" s="5">
        <f t="shared" si="2"/>
        <v>220532.31199999995</v>
      </c>
      <c r="AE9" s="5">
        <f t="shared" si="2"/>
        <v>224264.03999999995</v>
      </c>
      <c r="AF9" s="5">
        <f t="shared" si="2"/>
        <v>227995.76799999995</v>
      </c>
      <c r="AG9" s="5">
        <f t="shared" si="2"/>
        <v>231727.49599999996</v>
      </c>
      <c r="AH9" s="5">
        <f t="shared" si="2"/>
        <v>235459.22399999996</v>
      </c>
      <c r="AI9" s="5">
        <f t="shared" si="2"/>
        <v>239190.95199999996</v>
      </c>
      <c r="AJ9" s="5">
        <f t="shared" si="2"/>
        <v>242922.67999999993</v>
      </c>
      <c r="AK9" s="5">
        <f t="shared" si="2"/>
        <v>246654.40799999994</v>
      </c>
      <c r="AL9" s="5">
        <f t="shared" si="2"/>
        <v>250185.93599999996</v>
      </c>
      <c r="AM9" s="5">
        <f t="shared" si="2"/>
        <v>253717.46399999995</v>
      </c>
      <c r="AN9" s="5">
        <f t="shared" si="2"/>
        <v>257248.99199999994</v>
      </c>
      <c r="AO9" s="5">
        <f t="shared" si="2"/>
        <v>260780.51999999993</v>
      </c>
      <c r="AP9" s="5">
        <f t="shared" si="2"/>
        <v>264312.04799999995</v>
      </c>
      <c r="AQ9" s="5">
        <f t="shared" si="2"/>
        <v>267843.57599999994</v>
      </c>
      <c r="AR9" s="5">
        <f t="shared" si="2"/>
        <v>271375.10399999993</v>
      </c>
      <c r="AS9" s="5">
        <f t="shared" si="2"/>
        <v>274906.63199999993</v>
      </c>
      <c r="AT9" s="5">
        <f t="shared" si="2"/>
        <v>278438.15999999992</v>
      </c>
      <c r="AU9" s="5">
        <f t="shared" si="2"/>
        <v>281969.68799999997</v>
      </c>
      <c r="AV9" s="5">
        <f t="shared" si="2"/>
        <v>285501.21599999996</v>
      </c>
      <c r="AW9" s="5">
        <f t="shared" si="2"/>
        <v>289032.74399999995</v>
      </c>
      <c r="AX9" s="5">
        <f t="shared" si="2"/>
        <v>291963.67199999996</v>
      </c>
      <c r="AY9" s="5">
        <f t="shared" si="2"/>
        <v>294894.59999999992</v>
      </c>
      <c r="AZ9" s="5">
        <f t="shared" si="2"/>
        <v>297825.52799999993</v>
      </c>
      <c r="BA9" s="5">
        <f t="shared" si="2"/>
        <v>300756.45599999989</v>
      </c>
      <c r="BB9" s="5">
        <f t="shared" si="2"/>
        <v>303687.3839999999</v>
      </c>
      <c r="BC9" s="5">
        <f t="shared" si="2"/>
        <v>306618.31199999992</v>
      </c>
      <c r="BD9" s="5">
        <f t="shared" si="2"/>
        <v>309549.23999999993</v>
      </c>
      <c r="BE9" s="5">
        <f t="shared" si="2"/>
        <v>312480.16799999989</v>
      </c>
      <c r="BF9" s="5">
        <f t="shared" si="2"/>
        <v>315411.0959999999</v>
      </c>
      <c r="BG9" s="5">
        <f t="shared" si="2"/>
        <v>318342.02399999992</v>
      </c>
      <c r="BH9" s="5">
        <f t="shared" si="2"/>
        <v>321272.95199999993</v>
      </c>
      <c r="BI9" s="5">
        <f t="shared" si="2"/>
        <v>323871.54799999995</v>
      </c>
      <c r="BJ9" s="5">
        <f t="shared" si="2"/>
        <v>326225.89999999997</v>
      </c>
      <c r="BK9" s="5">
        <f>BK8*BK7</f>
        <v>328336.00799999991</v>
      </c>
      <c r="BL9" s="5">
        <f t="shared" si="2"/>
        <v>330201.87199999992</v>
      </c>
      <c r="BM9" s="5">
        <f t="shared" si="2"/>
        <v>331823.49199999991</v>
      </c>
      <c r="BN9" s="5">
        <f t="shared" si="2"/>
        <v>333200.8679999999</v>
      </c>
    </row>
    <row r="10" spans="2:66" x14ac:dyDescent="0.3">
      <c r="B10" s="10"/>
      <c r="C10" s="10"/>
      <c r="D10" s="11"/>
      <c r="F10" s="6" t="s">
        <v>149</v>
      </c>
      <c r="G10" s="5">
        <v>0</v>
      </c>
      <c r="H10" s="5">
        <v>22500</v>
      </c>
      <c r="I10" s="5">
        <v>22500</v>
      </c>
      <c r="J10" s="5">
        <v>22500</v>
      </c>
      <c r="K10" s="5">
        <v>22500</v>
      </c>
      <c r="L10" s="5">
        <v>22500</v>
      </c>
      <c r="M10" s="5">
        <v>22500</v>
      </c>
      <c r="N10" s="5">
        <v>22500</v>
      </c>
      <c r="O10" s="5">
        <v>22500</v>
      </c>
      <c r="P10" s="5">
        <v>22500</v>
      </c>
      <c r="Q10" s="5">
        <v>22500</v>
      </c>
      <c r="R10" s="5">
        <v>22500</v>
      </c>
      <c r="S10" s="5">
        <v>22500</v>
      </c>
      <c r="T10" s="5">
        <v>22500</v>
      </c>
      <c r="U10" s="5">
        <v>22500</v>
      </c>
      <c r="V10" s="5">
        <v>22500</v>
      </c>
      <c r="W10" s="5">
        <v>22500</v>
      </c>
      <c r="X10" s="5">
        <v>22500</v>
      </c>
      <c r="Y10" s="5">
        <v>22500</v>
      </c>
      <c r="Z10" s="5">
        <v>22500</v>
      </c>
      <c r="AA10" s="5">
        <v>22500</v>
      </c>
      <c r="AB10" s="5">
        <v>22500</v>
      </c>
      <c r="AC10" s="5">
        <v>87300</v>
      </c>
      <c r="AD10" s="5">
        <v>87300</v>
      </c>
      <c r="AE10" s="5">
        <v>87300</v>
      </c>
      <c r="AF10" s="5">
        <v>87300</v>
      </c>
      <c r="AG10" s="5">
        <v>87300</v>
      </c>
      <c r="AH10" s="5">
        <v>87300</v>
      </c>
      <c r="AI10" s="5">
        <v>87300</v>
      </c>
      <c r="AJ10" s="5">
        <v>87300</v>
      </c>
      <c r="AK10" s="5">
        <v>87300</v>
      </c>
      <c r="AL10" s="5">
        <v>87300</v>
      </c>
      <c r="AM10" s="5">
        <v>87300</v>
      </c>
      <c r="AN10" s="5">
        <v>87300</v>
      </c>
      <c r="AO10" s="5">
        <v>87300</v>
      </c>
      <c r="AP10" s="5">
        <v>87300</v>
      </c>
      <c r="AQ10" s="5">
        <v>87300</v>
      </c>
      <c r="AR10" s="5">
        <v>87300</v>
      </c>
      <c r="AS10" s="5">
        <v>87300</v>
      </c>
      <c r="AT10" s="5">
        <v>87300</v>
      </c>
      <c r="AU10" s="5">
        <v>87300</v>
      </c>
      <c r="AV10" s="5">
        <v>87300</v>
      </c>
      <c r="AW10" s="5">
        <v>87300</v>
      </c>
      <c r="AX10" s="5">
        <v>87300</v>
      </c>
      <c r="AY10" s="5">
        <v>87300</v>
      </c>
      <c r="AZ10" s="5">
        <v>87300</v>
      </c>
      <c r="BA10" s="5">
        <v>87300</v>
      </c>
      <c r="BB10" s="5">
        <v>87300</v>
      </c>
      <c r="BC10" s="5">
        <v>87300</v>
      </c>
      <c r="BD10" s="5">
        <v>87300</v>
      </c>
      <c r="BE10" s="5">
        <v>87300</v>
      </c>
      <c r="BF10" s="5">
        <v>87300</v>
      </c>
      <c r="BG10" s="5">
        <v>87300</v>
      </c>
      <c r="BH10" s="5">
        <v>87300</v>
      </c>
      <c r="BI10" s="5">
        <v>87300</v>
      </c>
      <c r="BJ10" s="5">
        <v>87300</v>
      </c>
      <c r="BK10" s="5">
        <v>87300</v>
      </c>
      <c r="BL10" s="5">
        <v>87300</v>
      </c>
      <c r="BM10" s="5">
        <v>87300</v>
      </c>
      <c r="BN10" s="5">
        <v>87300</v>
      </c>
    </row>
    <row r="11" spans="2:66" x14ac:dyDescent="0.3">
      <c r="B11" s="10"/>
      <c r="C11" s="10"/>
      <c r="D11" s="11"/>
      <c r="G11" s="5">
        <f>G9-G10</f>
        <v>3920</v>
      </c>
      <c r="H11" s="5">
        <f>H9-H10</f>
        <v>104428.53599999999</v>
      </c>
      <c r="I11" s="5">
        <f t="shared" ref="I11:BN11" si="3">I9-I10</f>
        <v>105525.072</v>
      </c>
      <c r="J11" s="5">
        <f t="shared" si="3"/>
        <v>106621.60799999999</v>
      </c>
      <c r="K11" s="5">
        <f t="shared" si="3"/>
        <v>107718.144</v>
      </c>
      <c r="L11" s="5">
        <f t="shared" si="3"/>
        <v>108814.68</v>
      </c>
      <c r="M11" s="5">
        <f t="shared" si="3"/>
        <v>109911.21599999999</v>
      </c>
      <c r="N11" s="5">
        <f t="shared" si="3"/>
        <v>111007.75200000001</v>
      </c>
      <c r="O11" s="5">
        <f t="shared" si="3"/>
        <v>112104.288</v>
      </c>
      <c r="P11" s="5">
        <f t="shared" si="3"/>
        <v>113200.82399999999</v>
      </c>
      <c r="Q11" s="5">
        <f t="shared" si="3"/>
        <v>114297.35999999999</v>
      </c>
      <c r="R11" s="5">
        <f t="shared" si="3"/>
        <v>115393.89600000001</v>
      </c>
      <c r="S11" s="5">
        <f t="shared" si="3"/>
        <v>115393.89600000001</v>
      </c>
      <c r="T11" s="5">
        <f t="shared" si="3"/>
        <v>117586.96799999996</v>
      </c>
      <c r="U11" s="5">
        <f t="shared" si="3"/>
        <v>119780.03999999998</v>
      </c>
      <c r="V11" s="5">
        <f t="shared" si="3"/>
        <v>121973.11199999996</v>
      </c>
      <c r="W11" s="5">
        <f t="shared" si="3"/>
        <v>124166.18399999998</v>
      </c>
      <c r="X11" s="5">
        <f t="shared" si="3"/>
        <v>126359.25599999996</v>
      </c>
      <c r="Y11" s="5">
        <f t="shared" si="3"/>
        <v>128552.32799999998</v>
      </c>
      <c r="Z11" s="5">
        <f t="shared" si="3"/>
        <v>131344.59999999998</v>
      </c>
      <c r="AA11" s="5">
        <f t="shared" si="3"/>
        <v>134136.87199999997</v>
      </c>
      <c r="AB11" s="5">
        <f t="shared" si="3"/>
        <v>136929.14399999997</v>
      </c>
      <c r="AC11" s="5">
        <f t="shared" si="3"/>
        <v>129500.58399999994</v>
      </c>
      <c r="AD11" s="5">
        <f t="shared" si="3"/>
        <v>133232.31199999995</v>
      </c>
      <c r="AE11" s="5">
        <f t="shared" si="3"/>
        <v>136964.03999999995</v>
      </c>
      <c r="AF11" s="5">
        <f t="shared" si="3"/>
        <v>140695.76799999995</v>
      </c>
      <c r="AG11" s="5">
        <f t="shared" si="3"/>
        <v>144427.49599999996</v>
      </c>
      <c r="AH11" s="5">
        <f t="shared" si="3"/>
        <v>148159.22399999996</v>
      </c>
      <c r="AI11" s="5">
        <f t="shared" si="3"/>
        <v>151890.95199999996</v>
      </c>
      <c r="AJ11" s="5">
        <f t="shared" si="3"/>
        <v>155622.67999999993</v>
      </c>
      <c r="AK11" s="5">
        <f t="shared" si="3"/>
        <v>159354.40799999994</v>
      </c>
      <c r="AL11" s="5">
        <f t="shared" si="3"/>
        <v>162885.93599999996</v>
      </c>
      <c r="AM11" s="5">
        <f t="shared" si="3"/>
        <v>166417.46399999995</v>
      </c>
      <c r="AN11" s="5">
        <f t="shared" si="3"/>
        <v>169948.99199999994</v>
      </c>
      <c r="AO11" s="5">
        <f t="shared" si="3"/>
        <v>173480.51999999993</v>
      </c>
      <c r="AP11" s="5">
        <f t="shared" si="3"/>
        <v>177012.04799999995</v>
      </c>
      <c r="AQ11" s="5">
        <f t="shared" si="3"/>
        <v>180543.57599999994</v>
      </c>
      <c r="AR11" s="5">
        <f t="shared" si="3"/>
        <v>184075.10399999993</v>
      </c>
      <c r="AS11" s="5">
        <f t="shared" si="3"/>
        <v>187606.63199999993</v>
      </c>
      <c r="AT11" s="5">
        <f t="shared" si="3"/>
        <v>191138.15999999992</v>
      </c>
      <c r="AU11" s="5">
        <f t="shared" si="3"/>
        <v>194669.68799999997</v>
      </c>
      <c r="AV11" s="5">
        <f t="shared" si="3"/>
        <v>198201.21599999996</v>
      </c>
      <c r="AW11" s="5">
        <f t="shared" si="3"/>
        <v>201732.74399999995</v>
      </c>
      <c r="AX11" s="5">
        <f t="shared" si="3"/>
        <v>204663.67199999996</v>
      </c>
      <c r="AY11" s="5">
        <f t="shared" si="3"/>
        <v>207594.59999999992</v>
      </c>
      <c r="AZ11" s="5">
        <f t="shared" si="3"/>
        <v>210525.52799999993</v>
      </c>
      <c r="BA11" s="5">
        <f t="shared" si="3"/>
        <v>213456.45599999989</v>
      </c>
      <c r="BB11" s="5">
        <f t="shared" si="3"/>
        <v>216387.3839999999</v>
      </c>
      <c r="BC11" s="5">
        <f t="shared" si="3"/>
        <v>219318.31199999992</v>
      </c>
      <c r="BD11" s="5">
        <f t="shared" si="3"/>
        <v>222249.23999999993</v>
      </c>
      <c r="BE11" s="5">
        <f t="shared" si="3"/>
        <v>225180.16799999989</v>
      </c>
      <c r="BF11" s="5">
        <f t="shared" si="3"/>
        <v>228111.0959999999</v>
      </c>
      <c r="BG11" s="5">
        <f t="shared" si="3"/>
        <v>231042.02399999992</v>
      </c>
      <c r="BH11" s="5">
        <f t="shared" si="3"/>
        <v>233972.95199999993</v>
      </c>
      <c r="BI11" s="5">
        <f t="shared" si="3"/>
        <v>236571.54799999995</v>
      </c>
      <c r="BJ11" s="5">
        <f>BJ9-BJ10</f>
        <v>238925.89999999997</v>
      </c>
      <c r="BK11" s="5">
        <f>BK9-BK10</f>
        <v>241036.00799999991</v>
      </c>
      <c r="BL11" s="5">
        <f t="shared" si="3"/>
        <v>242901.87199999992</v>
      </c>
      <c r="BM11" s="5">
        <f t="shared" si="3"/>
        <v>244523.49199999991</v>
      </c>
      <c r="BN11" s="5">
        <f t="shared" si="3"/>
        <v>245900.8679999999</v>
      </c>
    </row>
    <row r="12" spans="2:66" x14ac:dyDescent="0.3">
      <c r="B12" s="10"/>
      <c r="C12" s="10"/>
      <c r="D12" s="11"/>
      <c r="F12" s="6" t="s">
        <v>150</v>
      </c>
      <c r="G12" s="9">
        <f>G11/G8</f>
        <v>0.04</v>
      </c>
      <c r="H12" s="9">
        <f t="shared" ref="H12:BN12" si="4">H11/H8</f>
        <v>8.8032633985473521E-2</v>
      </c>
      <c r="I12" s="9">
        <f t="shared" si="4"/>
        <v>8.8195089661812498E-2</v>
      </c>
      <c r="J12" s="9">
        <f t="shared" si="4"/>
        <v>8.8354786102106161E-2</v>
      </c>
      <c r="K12" s="9">
        <f t="shared" si="4"/>
        <v>8.8511793010964734E-2</v>
      </c>
      <c r="L12" s="9">
        <f t="shared" si="4"/>
        <v>8.8666177764740381E-2</v>
      </c>
      <c r="M12" s="9">
        <f t="shared" si="4"/>
        <v>8.8818005507932188E-2</v>
      </c>
      <c r="N12" s="9">
        <f t="shared" si="4"/>
        <v>8.8967339244840266E-2</v>
      </c>
      <c r="O12" s="9">
        <f t="shared" si="4"/>
        <v>8.9114239926739933E-2</v>
      </c>
      <c r="P12" s="9">
        <f t="shared" si="4"/>
        <v>8.9258766534829587E-2</v>
      </c>
      <c r="Q12" s="9">
        <f t="shared" si="4"/>
        <v>8.940097615918903E-2</v>
      </c>
      <c r="R12" s="9">
        <f t="shared" si="4"/>
        <v>8.9540924073970615E-2</v>
      </c>
      <c r="S12" s="9">
        <f t="shared" si="4"/>
        <v>8.9540924073970615E-2</v>
      </c>
      <c r="T12" s="9">
        <f t="shared" si="4"/>
        <v>8.9814247218199472E-2</v>
      </c>
      <c r="U12" s="9">
        <f t="shared" si="4"/>
        <v>9.0079144481544984E-2</v>
      </c>
      <c r="V12" s="9">
        <f t="shared" si="4"/>
        <v>9.0335999573401576E-2</v>
      </c>
      <c r="W12" s="9">
        <f t="shared" si="4"/>
        <v>9.0585173253024703E-2</v>
      </c>
      <c r="X12" s="9">
        <f t="shared" si="4"/>
        <v>9.0827005020097634E-2</v>
      </c>
      <c r="Y12" s="9">
        <f t="shared" si="4"/>
        <v>9.1061814658030302E-2</v>
      </c>
      <c r="Z12" s="9">
        <f t="shared" si="4"/>
        <v>9.1351091946028654E-2</v>
      </c>
      <c r="AA12" s="9">
        <f t="shared" si="4"/>
        <v>9.1630055687016015E-2</v>
      </c>
      <c r="AB12" s="9">
        <f t="shared" si="4"/>
        <v>9.1899247781196139E-2</v>
      </c>
      <c r="AC12" s="9">
        <f t="shared" si="4"/>
        <v>8.5417590535641713E-2</v>
      </c>
      <c r="AD12" s="9">
        <f t="shared" si="4"/>
        <v>8.6391968792310106E-2</v>
      </c>
      <c r="AE12" s="9">
        <f t="shared" si="4"/>
        <v>8.7333919963271847E-2</v>
      </c>
      <c r="AF12" s="9">
        <f t="shared" si="4"/>
        <v>8.8245036302603636E-2</v>
      </c>
      <c r="AG12" s="9">
        <f t="shared" si="4"/>
        <v>8.9126807498062274E-2</v>
      </c>
      <c r="AH12" s="9">
        <f t="shared" si="4"/>
        <v>8.9980628798810608E-2</v>
      </c>
      <c r="AI12" s="9">
        <f t="shared" si="4"/>
        <v>9.0807808382317057E-2</v>
      </c>
      <c r="AJ12" s="9">
        <f t="shared" si="4"/>
        <v>9.1609574042242556E-2</v>
      </c>
      <c r="AK12" s="9">
        <f t="shared" si="4"/>
        <v>9.238707926922593E-2</v>
      </c>
      <c r="AL12" s="9">
        <f t="shared" si="4"/>
        <v>9.3101511701281225E-2</v>
      </c>
      <c r="AM12" s="9">
        <f t="shared" si="4"/>
        <v>9.3796055568330899E-2</v>
      </c>
      <c r="AN12" s="9">
        <f t="shared" si="4"/>
        <v>9.4471529964245668E-2</v>
      </c>
      <c r="AO12" s="9">
        <f t="shared" si="4"/>
        <v>9.5128709613739523E-2</v>
      </c>
      <c r="AP12" s="9">
        <f t="shared" si="4"/>
        <v>9.5768327836497247E-2</v>
      </c>
      <c r="AQ12" s="9">
        <f t="shared" si="4"/>
        <v>9.6391079276808914E-2</v>
      </c>
      <c r="AR12" s="9">
        <f t="shared" si="4"/>
        <v>9.6997622420072815E-2</v>
      </c>
      <c r="AS12" s="9">
        <f t="shared" si="4"/>
        <v>9.758858191533186E-2</v>
      </c>
      <c r="AT12" s="9">
        <f t="shared" si="4"/>
        <v>9.8164550721064919E-2</v>
      </c>
      <c r="AU12" s="9">
        <f t="shared" si="4"/>
        <v>9.8726092089728448E-2</v>
      </c>
      <c r="AV12" s="9">
        <f t="shared" si="4"/>
        <v>9.927374140501033E-2</v>
      </c>
      <c r="AW12" s="9">
        <f t="shared" si="4"/>
        <v>9.9808007884393868E-2</v>
      </c>
      <c r="AX12" s="9">
        <f t="shared" si="4"/>
        <v>0.10024159819444933</v>
      </c>
      <c r="AY12" s="9">
        <f t="shared" si="4"/>
        <v>0.10066656968286293</v>
      </c>
      <c r="AZ12" s="9">
        <f t="shared" si="4"/>
        <v>0.1010831768054483</v>
      </c>
      <c r="BA12" s="9">
        <f t="shared" si="4"/>
        <v>0.1014916640991407</v>
      </c>
      <c r="BB12" s="9">
        <f t="shared" si="4"/>
        <v>0.1018922666606394</v>
      </c>
      <c r="BC12" s="9">
        <f t="shared" si="4"/>
        <v>0.10228521059759794</v>
      </c>
      <c r="BD12" s="9">
        <f t="shared" si="4"/>
        <v>0.10267071345418259</v>
      </c>
      <c r="BE12" s="9">
        <f t="shared" si="4"/>
        <v>0.10304898461268105</v>
      </c>
      <c r="BF12" s="9">
        <f t="shared" si="4"/>
        <v>0.10342022567272013</v>
      </c>
      <c r="BG12" s="9">
        <f t="shared" si="4"/>
        <v>0.10378463080953458</v>
      </c>
      <c r="BH12" s="9">
        <f t="shared" si="4"/>
        <v>0.10414238711262565</v>
      </c>
      <c r="BI12" s="9">
        <f t="shared" si="4"/>
        <v>0.1044541626855101</v>
      </c>
      <c r="BJ12" s="9">
        <f t="shared" si="4"/>
        <v>0.10473234559242535</v>
      </c>
      <c r="BK12" s="9">
        <f>BK11/BK8</f>
        <v>0.10497827927541835</v>
      </c>
      <c r="BL12" s="9">
        <f t="shared" si="4"/>
        <v>0.10519312772400029</v>
      </c>
      <c r="BM12" s="9">
        <f t="shared" si="4"/>
        <v>0.105377889748686</v>
      </c>
      <c r="BN12" s="9">
        <f t="shared" si="4"/>
        <v>0.10553341092736887</v>
      </c>
    </row>
    <row r="13" spans="2:66" x14ac:dyDescent="0.3">
      <c r="B13" s="10"/>
      <c r="C13" s="10"/>
      <c r="D13" s="11"/>
      <c r="F13" s="6" t="s">
        <v>151</v>
      </c>
      <c r="G13" s="5">
        <f>G4*G12</f>
        <v>3920</v>
      </c>
      <c r="H13" s="5">
        <f>H4*H12</f>
        <v>8777.5578694235919</v>
      </c>
      <c r="I13" s="5">
        <f>I4*I12</f>
        <v>8944.3932131423753</v>
      </c>
      <c r="J13" s="5">
        <f t="shared" ref="J13:BN13" si="5">J4*J12</f>
        <v>9111.498961993595</v>
      </c>
      <c r="K13" s="5">
        <f t="shared" si="5"/>
        <v>9278.8682849254546</v>
      </c>
      <c r="L13" s="5">
        <f t="shared" si="5"/>
        <v>9446.4945790554393</v>
      </c>
      <c r="M13" s="5">
        <f t="shared" si="5"/>
        <v>9614.3714602226428</v>
      </c>
      <c r="N13" s="5">
        <f t="shared" si="5"/>
        <v>9782.4927540056542</v>
      </c>
      <c r="O13" s="5">
        <f t="shared" si="5"/>
        <v>9950.8524871794871</v>
      </c>
      <c r="P13" s="5">
        <f t="shared" si="5"/>
        <v>10119.444879586699</v>
      </c>
      <c r="Q13" s="5">
        <f t="shared" si="5"/>
        <v>10288.26433639947</v>
      </c>
      <c r="R13" s="5">
        <f t="shared" si="5"/>
        <v>10457.305440750877</v>
      </c>
      <c r="S13" s="5">
        <f t="shared" si="5"/>
        <v>10610.24133906922</v>
      </c>
      <c r="T13" s="5">
        <f t="shared" si="5"/>
        <v>10796.031772616447</v>
      </c>
      <c r="U13" s="5">
        <f t="shared" si="5"/>
        <v>10981.728662034109</v>
      </c>
      <c r="V13" s="5">
        <f t="shared" si="5"/>
        <v>11167.3362672639</v>
      </c>
      <c r="W13" s="5">
        <f t="shared" si="5"/>
        <v>11352.858593455077</v>
      </c>
      <c r="X13" s="5">
        <f t="shared" si="5"/>
        <v>11538.299409733121</v>
      </c>
      <c r="Y13" s="5">
        <f t="shared" si="5"/>
        <v>12233.60842841842</v>
      </c>
      <c r="Z13" s="5">
        <f t="shared" si="5"/>
        <v>12428.498761441087</v>
      </c>
      <c r="AA13" s="5">
        <f t="shared" si="5"/>
        <v>12622.956471443324</v>
      </c>
      <c r="AB13" s="5">
        <f t="shared" si="5"/>
        <v>12817.00428954786</v>
      </c>
      <c r="AC13" s="5">
        <f t="shared" si="5"/>
        <v>12058.913761459751</v>
      </c>
      <c r="AD13" s="5">
        <f t="shared" si="5"/>
        <v>12344.030068920434</v>
      </c>
      <c r="AE13" s="5">
        <f t="shared" si="5"/>
        <v>12627.786155329401</v>
      </c>
      <c r="AF13" s="5">
        <f t="shared" si="5"/>
        <v>12910.248811070909</v>
      </c>
      <c r="AG13" s="5">
        <f t="shared" si="5"/>
        <v>13191.480524173199</v>
      </c>
      <c r="AH13" s="5">
        <f t="shared" si="5"/>
        <v>13471.539821242724</v>
      </c>
      <c r="AI13" s="5">
        <f t="shared" si="5"/>
        <v>13750.481576483973</v>
      </c>
      <c r="AJ13" s="5">
        <f t="shared" si="5"/>
        <v>14028.357292236682</v>
      </c>
      <c r="AK13" s="5">
        <f t="shared" si="5"/>
        <v>14693.241086977687</v>
      </c>
      <c r="AL13" s="5">
        <f t="shared" si="5"/>
        <v>14965.881802957549</v>
      </c>
      <c r="AM13" s="5">
        <f t="shared" si="5"/>
        <v>15237.732003408759</v>
      </c>
      <c r="AN13" s="5">
        <f t="shared" si="5"/>
        <v>15508.82424505042</v>
      </c>
      <c r="AO13" s="5">
        <f t="shared" si="5"/>
        <v>15779.189321050197</v>
      </c>
      <c r="AP13" s="5">
        <f t="shared" si="5"/>
        <v>16048.856378840203</v>
      </c>
      <c r="AQ13" s="5">
        <f t="shared" si="5"/>
        <v>16317.853028612422</v>
      </c>
      <c r="AR13" s="5">
        <f t="shared" si="5"/>
        <v>16586.205443342766</v>
      </c>
      <c r="AS13" s="5">
        <f t="shared" si="5"/>
        <v>16853.938451105467</v>
      </c>
      <c r="AT13" s="5">
        <f t="shared" si="5"/>
        <v>17121.075620362368</v>
      </c>
      <c r="AU13" s="5">
        <f t="shared" si="5"/>
        <v>17387.639338842968</v>
      </c>
      <c r="AV13" s="5">
        <f t="shared" si="5"/>
        <v>17653.650886570173</v>
      </c>
      <c r="AW13" s="5">
        <f t="shared" si="5"/>
        <v>17919.130503532531</v>
      </c>
      <c r="AX13" s="5">
        <f t="shared" si="5"/>
        <v>18168.188223154768</v>
      </c>
      <c r="AY13" s="5">
        <f t="shared" si="5"/>
        <v>18417.150256619134</v>
      </c>
      <c r="AZ13" s="5">
        <f t="shared" si="5"/>
        <v>18666.019428894077</v>
      </c>
      <c r="BA13" s="5">
        <f t="shared" si="5"/>
        <v>18914.798454828648</v>
      </c>
      <c r="BB13" s="5">
        <f t="shared" si="5"/>
        <v>19163.489944466412</v>
      </c>
      <c r="BC13" s="5">
        <f t="shared" si="5"/>
        <v>19412.09640805452</v>
      </c>
      <c r="BD13" s="5">
        <f t="shared" si="5"/>
        <v>19660.620260768323</v>
      </c>
      <c r="BE13" s="5">
        <f t="shared" si="5"/>
        <v>19909.063827169972</v>
      </c>
      <c r="BF13" s="5">
        <f t="shared" si="5"/>
        <v>20157.429345418528</v>
      </c>
      <c r="BG13" s="5">
        <f t="shared" si="5"/>
        <v>20405.718971247443</v>
      </c>
      <c r="BH13" s="5">
        <f t="shared" si="5"/>
        <v>20411.907874074626</v>
      </c>
      <c r="BI13" s="5">
        <f t="shared" si="5"/>
        <v>20473.015886359979</v>
      </c>
      <c r="BJ13" s="5">
        <f>BJ4*BJ12</f>
        <v>20527.53973611537</v>
      </c>
      <c r="BK13" s="5">
        <f t="shared" si="5"/>
        <v>20575.742737981996</v>
      </c>
      <c r="BL13" s="5">
        <f t="shared" si="5"/>
        <v>20617.853033904055</v>
      </c>
      <c r="BM13" s="5">
        <f t="shared" si="5"/>
        <v>20654.066390742457</v>
      </c>
      <c r="BN13" s="5">
        <f t="shared" si="5"/>
        <v>20684.548541764299</v>
      </c>
    </row>
    <row r="14" spans="2:66" x14ac:dyDescent="0.3">
      <c r="B14" s="10"/>
      <c r="C14" s="10"/>
      <c r="D14" s="11"/>
    </row>
    <row r="15" spans="2:66" x14ac:dyDescent="0.3">
      <c r="B15" s="10"/>
      <c r="C15" s="10"/>
      <c r="D15" s="11"/>
    </row>
    <row r="16" spans="2:66" x14ac:dyDescent="0.3">
      <c r="B16" s="10"/>
      <c r="C16" s="10"/>
      <c r="D16" s="11"/>
    </row>
    <row r="17" spans="2:4" x14ac:dyDescent="0.3">
      <c r="B17" s="10"/>
      <c r="C17" s="10"/>
      <c r="D17" s="11"/>
    </row>
    <row r="18" spans="2:4" x14ac:dyDescent="0.3">
      <c r="B18" s="10"/>
      <c r="C18" s="10"/>
      <c r="D18" s="11"/>
    </row>
    <row r="19" spans="2:4" x14ac:dyDescent="0.3">
      <c r="B19" s="10"/>
      <c r="C19" s="10"/>
      <c r="D19" s="11"/>
    </row>
    <row r="20" spans="2:4" x14ac:dyDescent="0.3">
      <c r="B20" s="10"/>
      <c r="C20" s="10"/>
      <c r="D20" s="11"/>
    </row>
    <row r="21" spans="2:4" x14ac:dyDescent="0.3">
      <c r="B21" s="10"/>
      <c r="C21" s="10"/>
      <c r="D21" s="11"/>
    </row>
    <row r="22" spans="2:4" x14ac:dyDescent="0.3">
      <c r="B22" s="10"/>
      <c r="C22" s="10"/>
      <c r="D22" s="11"/>
    </row>
    <row r="23" spans="2:4" x14ac:dyDescent="0.3">
      <c r="B23" s="10"/>
      <c r="C23" s="10"/>
      <c r="D23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"/>
  <sheetViews>
    <sheetView zoomScaleNormal="100" zoomScaleSheetLayoutView="90" workbookViewId="0">
      <selection activeCell="D17" sqref="D17"/>
    </sheetView>
  </sheetViews>
  <sheetFormatPr defaultColWidth="11.44140625" defaultRowHeight="13.8" outlineLevelRow="1" x14ac:dyDescent="0.3"/>
  <cols>
    <col min="1" max="1" width="5.6640625" style="18" customWidth="1"/>
    <col min="2" max="2" width="36.33203125" style="18" customWidth="1"/>
    <col min="3" max="3" width="16.5546875" style="50" customWidth="1"/>
    <col min="4" max="4" width="20.6640625" style="18" customWidth="1"/>
    <col min="5" max="5" width="16.33203125" style="18" bestFit="1" customWidth="1"/>
    <col min="6" max="6" width="12.88671875" style="18" bestFit="1" customWidth="1"/>
    <col min="7" max="7" width="13.6640625" style="18" bestFit="1" customWidth="1"/>
    <col min="8" max="8" width="15.88671875" style="18" bestFit="1" customWidth="1"/>
    <col min="9" max="9" width="20.6640625" style="18" customWidth="1"/>
    <col min="10" max="16384" width="11.44140625" style="18"/>
  </cols>
  <sheetData>
    <row r="1" spans="2:9" s="12" customFormat="1" ht="15.9" customHeight="1" x14ac:dyDescent="0.3">
      <c r="C1" s="13"/>
      <c r="D1" s="14"/>
      <c r="E1" s="14"/>
      <c r="F1" s="14"/>
      <c r="G1" s="14"/>
      <c r="H1" s="14"/>
      <c r="I1" s="14"/>
    </row>
    <row r="2" spans="2:9" s="12" customFormat="1" ht="15.9" customHeight="1" x14ac:dyDescent="0.3">
      <c r="B2" s="15" t="s">
        <v>129</v>
      </c>
      <c r="C2" s="13"/>
      <c r="D2" s="14"/>
      <c r="E2" s="14"/>
      <c r="F2" s="14"/>
      <c r="G2" s="14"/>
      <c r="H2" s="14"/>
      <c r="I2" s="14"/>
    </row>
    <row r="3" spans="2:9" s="12" customFormat="1" ht="15.9" customHeight="1" x14ac:dyDescent="0.3">
      <c r="B3" s="15"/>
      <c r="C3" s="13"/>
      <c r="D3" s="14"/>
      <c r="E3" s="14"/>
      <c r="F3" s="14"/>
      <c r="G3" s="14"/>
      <c r="H3" s="14"/>
      <c r="I3" s="14"/>
    </row>
    <row r="4" spans="2:9" s="12" customFormat="1" ht="20.100000000000001" customHeight="1" x14ac:dyDescent="0.3">
      <c r="B4" s="17" t="s">
        <v>102</v>
      </c>
      <c r="C4" s="13"/>
      <c r="D4" s="14"/>
      <c r="E4" s="14"/>
      <c r="F4" s="14"/>
      <c r="G4" s="14"/>
      <c r="H4" s="14"/>
      <c r="I4" s="14"/>
    </row>
    <row r="5" spans="2:9" s="12" customFormat="1" ht="15.9" customHeight="1" x14ac:dyDescent="0.3">
      <c r="B5" s="17" t="s">
        <v>185</v>
      </c>
      <c r="C5" s="13"/>
      <c r="D5" s="14"/>
      <c r="E5" s="14"/>
      <c r="F5" s="14"/>
      <c r="G5" s="14"/>
      <c r="H5" s="14"/>
      <c r="I5" s="14"/>
    </row>
    <row r="6" spans="2:9" s="12" customFormat="1" ht="4.95" customHeight="1" x14ac:dyDescent="0.3">
      <c r="B6" s="16"/>
      <c r="C6" s="13"/>
      <c r="D6" s="14"/>
      <c r="E6" s="14"/>
      <c r="F6" s="14"/>
      <c r="G6" s="14"/>
      <c r="H6" s="14"/>
      <c r="I6" s="14"/>
    </row>
    <row r="7" spans="2:9" ht="4.95" customHeight="1" x14ac:dyDescent="0.3">
      <c r="B7" s="15"/>
      <c r="C7" s="18"/>
      <c r="D7" s="19"/>
      <c r="E7" s="19"/>
      <c r="F7" s="19"/>
      <c r="G7" s="19"/>
      <c r="H7" s="19"/>
      <c r="I7" s="19"/>
    </row>
    <row r="8" spans="2:9" ht="20.100000000000001" customHeight="1" x14ac:dyDescent="0.3">
      <c r="B8" s="49" t="s">
        <v>103</v>
      </c>
    </row>
    <row r="9" spans="2:9" ht="4.95" customHeight="1" x14ac:dyDescent="0.3">
      <c r="B9" s="51"/>
      <c r="C9" s="52"/>
      <c r="D9" s="51"/>
      <c r="E9" s="51"/>
      <c r="F9" s="51"/>
      <c r="G9" s="51"/>
      <c r="H9" s="51"/>
      <c r="I9" s="51"/>
    </row>
    <row r="10" spans="2:9" ht="4.95" customHeight="1" x14ac:dyDescent="0.3">
      <c r="B10" s="51"/>
      <c r="C10" s="52"/>
      <c r="D10" s="51"/>
      <c r="E10" s="51"/>
      <c r="F10" s="51"/>
      <c r="G10" s="51"/>
      <c r="H10" s="51"/>
      <c r="I10" s="51"/>
    </row>
    <row r="11" spans="2:9" ht="20.100000000000001" customHeight="1" thickBot="1" x14ac:dyDescent="0.35">
      <c r="B11" s="53" t="s">
        <v>173</v>
      </c>
      <c r="C11" s="54"/>
      <c r="D11" s="54"/>
      <c r="E11" s="54"/>
      <c r="F11" s="54"/>
      <c r="G11" s="54"/>
      <c r="H11" s="54"/>
      <c r="I11" s="54"/>
    </row>
    <row r="12" spans="2:9" ht="15.9" customHeight="1" x14ac:dyDescent="0.3">
      <c r="B12" s="55" t="s">
        <v>104</v>
      </c>
      <c r="C12" s="56" t="s">
        <v>105</v>
      </c>
      <c r="D12" s="56" t="s">
        <v>106</v>
      </c>
      <c r="E12" s="55"/>
      <c r="F12" s="55"/>
      <c r="G12" s="55"/>
      <c r="H12" s="55"/>
      <c r="I12" s="55" t="s">
        <v>107</v>
      </c>
    </row>
    <row r="13" spans="2:9" s="26" customFormat="1" ht="15.9" customHeight="1" thickBot="1" x14ac:dyDescent="0.35">
      <c r="B13" s="172">
        <v>0</v>
      </c>
      <c r="C13" s="57">
        <v>0.11</v>
      </c>
      <c r="D13" s="58">
        <f>B13*C13</f>
        <v>0</v>
      </c>
      <c r="E13" s="176"/>
      <c r="F13" s="176"/>
      <c r="G13" s="176"/>
      <c r="H13" s="176"/>
      <c r="I13" s="59">
        <f>B13+D13</f>
        <v>0</v>
      </c>
    </row>
    <row r="14" spans="2:9" ht="20.100000000000001" customHeight="1" thickBot="1" x14ac:dyDescent="0.35"/>
    <row r="15" spans="2:9" ht="20.100000000000001" customHeight="1" thickBot="1" x14ac:dyDescent="0.35">
      <c r="B15" s="53" t="s">
        <v>166</v>
      </c>
      <c r="C15" s="54"/>
      <c r="D15" s="54"/>
      <c r="E15" s="179">
        <v>0.08</v>
      </c>
      <c r="F15" s="175">
        <v>0.08</v>
      </c>
      <c r="G15" s="180">
        <v>0.08</v>
      </c>
      <c r="H15" s="54"/>
      <c r="I15" s="54"/>
    </row>
    <row r="16" spans="2:9" ht="15.9" customHeight="1" outlineLevel="1" x14ac:dyDescent="0.3">
      <c r="B16" s="60" t="s">
        <v>119</v>
      </c>
      <c r="C16" s="56" t="s">
        <v>120</v>
      </c>
      <c r="D16" s="56" t="s">
        <v>121</v>
      </c>
      <c r="E16" s="178" t="s">
        <v>188</v>
      </c>
      <c r="F16" s="178" t="s">
        <v>189</v>
      </c>
      <c r="G16" s="178" t="s">
        <v>190</v>
      </c>
      <c r="H16" s="56" t="s">
        <v>191</v>
      </c>
      <c r="I16" s="56" t="s">
        <v>122</v>
      </c>
    </row>
    <row r="17" spans="2:9" s="26" customFormat="1" ht="15.9" customHeight="1" outlineLevel="1" x14ac:dyDescent="0.3">
      <c r="B17" s="61" t="s">
        <v>72</v>
      </c>
      <c r="C17" s="62">
        <v>0</v>
      </c>
      <c r="D17" s="63">
        <v>3000</v>
      </c>
      <c r="E17" s="63">
        <f>(D17*C17)*$E$15</f>
        <v>0</v>
      </c>
      <c r="F17" s="63">
        <f>(D17*C17)/12+(D17*C17)/12*1/3+((D17*C17)/12+(D17*C17)/12*1/3)*$F$15</f>
        <v>0</v>
      </c>
      <c r="G17" s="63">
        <f>((D17*C17)/12)+(((D17*C17)/12))*$G$15</f>
        <v>0</v>
      </c>
      <c r="H17" s="63">
        <f>E17+F17+G17</f>
        <v>0</v>
      </c>
      <c r="I17" s="64">
        <f>(H17+D17)*C17</f>
        <v>0</v>
      </c>
    </row>
    <row r="18" spans="2:9" s="26" customFormat="1" ht="15.9" customHeight="1" outlineLevel="1" x14ac:dyDescent="0.3">
      <c r="B18" s="61" t="s">
        <v>182</v>
      </c>
      <c r="C18" s="62">
        <v>1</v>
      </c>
      <c r="D18" s="63">
        <v>1980</v>
      </c>
      <c r="E18" s="63">
        <f>(D18*C18)*$E$15</f>
        <v>158.4</v>
      </c>
      <c r="F18" s="63">
        <f>(D18*C18)/12+(D18*C18)/12*1/3+((D18*C18)/12+(D18*C18)/12*1/3)*$F$15</f>
        <v>237.6</v>
      </c>
      <c r="G18" s="63">
        <f>((D18*C18)/12)+(((D18*C18)/12))*$G$15</f>
        <v>178.2</v>
      </c>
      <c r="H18" s="63">
        <f t="shared" ref="H18:H20" si="0">E18+F18+G18</f>
        <v>574.20000000000005</v>
      </c>
      <c r="I18" s="64">
        <f>(H18+D18)*C18</f>
        <v>2554.1999999999998</v>
      </c>
    </row>
    <row r="19" spans="2:9" s="26" customFormat="1" ht="15.9" customHeight="1" outlineLevel="1" x14ac:dyDescent="0.3">
      <c r="B19" s="61" t="s">
        <v>141</v>
      </c>
      <c r="C19" s="62">
        <v>1</v>
      </c>
      <c r="D19" s="63">
        <v>2500</v>
      </c>
      <c r="E19" s="63">
        <f>(D19*C19)*$E$15</f>
        <v>200</v>
      </c>
      <c r="F19" s="63">
        <f>(D19*C19)/12+(D19*C19)/12*1/3+((D19*C19)/12+(D19*C19)/12*1/3)*$F$15</f>
        <v>300</v>
      </c>
      <c r="G19" s="63">
        <f>((D19*C19)/12)+(((D19*C19)/12))*$G$15</f>
        <v>225</v>
      </c>
      <c r="H19" s="63">
        <f t="shared" si="0"/>
        <v>725</v>
      </c>
      <c r="I19" s="64">
        <f>(H19+D19)*C19</f>
        <v>3225</v>
      </c>
    </row>
    <row r="20" spans="2:9" s="26" customFormat="1" ht="15.9" customHeight="1" outlineLevel="1" x14ac:dyDescent="0.3">
      <c r="B20" s="61" t="s">
        <v>130</v>
      </c>
      <c r="C20" s="62">
        <v>2</v>
      </c>
      <c r="D20" s="63">
        <v>1980</v>
      </c>
      <c r="E20" s="63">
        <f>(D20*C20)*$E$15</f>
        <v>316.8</v>
      </c>
      <c r="F20" s="63">
        <f>(D20*C20)/12+(D20*C20)/12*1/3+((D20*C20)/12+(D20*C20)/12*1/3)*$F$15</f>
        <v>475.2</v>
      </c>
      <c r="G20" s="63">
        <f>((D20*C20)/12)+(((D20*C20)/12))*$G$15</f>
        <v>356.4</v>
      </c>
      <c r="H20" s="63">
        <f t="shared" si="0"/>
        <v>1148.4000000000001</v>
      </c>
      <c r="I20" s="64">
        <f>(H20+D20)*C20</f>
        <v>6256.8</v>
      </c>
    </row>
    <row r="21" spans="2:9" s="26" customFormat="1" ht="15.9" hidden="1" customHeight="1" outlineLevel="1" x14ac:dyDescent="0.3">
      <c r="B21" s="61" t="s">
        <v>142</v>
      </c>
      <c r="C21" s="62">
        <v>0</v>
      </c>
      <c r="D21" s="63">
        <v>1500</v>
      </c>
      <c r="E21" s="177"/>
      <c r="F21" s="177"/>
      <c r="G21" s="177"/>
      <c r="H21" s="177"/>
      <c r="I21" s="177"/>
    </row>
    <row r="22" spans="2:9" s="26" customFormat="1" ht="15.9" hidden="1" customHeight="1" outlineLevel="1" x14ac:dyDescent="0.3">
      <c r="B22" s="61" t="s">
        <v>138</v>
      </c>
      <c r="C22" s="62">
        <v>0</v>
      </c>
      <c r="D22" s="63">
        <v>1800</v>
      </c>
      <c r="E22" s="177"/>
      <c r="F22" s="177"/>
      <c r="G22" s="177"/>
      <c r="H22" s="177"/>
      <c r="I22" s="177"/>
    </row>
    <row r="23" spans="2:9" s="26" customFormat="1" ht="15.9" hidden="1" customHeight="1" outlineLevel="1" x14ac:dyDescent="0.3">
      <c r="B23" s="61" t="s">
        <v>174</v>
      </c>
      <c r="C23" s="62"/>
      <c r="D23" s="63">
        <v>1700</v>
      </c>
      <c r="E23" s="177"/>
      <c r="F23" s="177"/>
      <c r="G23" s="177"/>
      <c r="H23" s="177"/>
      <c r="I23" s="177"/>
    </row>
    <row r="24" spans="2:9" ht="20.100000000000001" customHeight="1" thickBot="1" x14ac:dyDescent="0.35">
      <c r="B24" s="65" t="s">
        <v>71</v>
      </c>
      <c r="C24" s="66">
        <f>SUM(C17:C23)</f>
        <v>4</v>
      </c>
      <c r="D24" s="66"/>
      <c r="E24" s="66"/>
      <c r="F24" s="66"/>
      <c r="G24" s="66"/>
      <c r="H24" s="66"/>
      <c r="I24" s="59">
        <f>SUM(I17:I23)</f>
        <v>12036</v>
      </c>
    </row>
    <row r="25" spans="2:9" ht="20.100000000000001" customHeight="1" x14ac:dyDescent="0.3"/>
    <row r="26" spans="2:9" ht="20.100000000000001" customHeight="1" thickBot="1" x14ac:dyDescent="0.35">
      <c r="B26" s="53" t="s">
        <v>167</v>
      </c>
      <c r="C26" s="54"/>
      <c r="D26" s="54"/>
      <c r="E26" s="54"/>
      <c r="F26" s="54"/>
      <c r="G26" s="54"/>
      <c r="H26" s="54"/>
      <c r="I26" s="54"/>
    </row>
    <row r="27" spans="2:9" ht="15.9" customHeight="1" outlineLevel="1" x14ac:dyDescent="0.3">
      <c r="B27" s="60" t="s">
        <v>119</v>
      </c>
      <c r="C27" s="56" t="s">
        <v>120</v>
      </c>
      <c r="D27" s="56" t="s">
        <v>121</v>
      </c>
      <c r="E27" s="178" t="s">
        <v>188</v>
      </c>
      <c r="F27" s="178" t="s">
        <v>189</v>
      </c>
      <c r="G27" s="178" t="s">
        <v>190</v>
      </c>
      <c r="H27" s="56" t="s">
        <v>191</v>
      </c>
      <c r="I27" s="56" t="s">
        <v>122</v>
      </c>
    </row>
    <row r="28" spans="2:9" s="26" customFormat="1" ht="15.9" customHeight="1" outlineLevel="1" x14ac:dyDescent="0.3">
      <c r="B28" s="61" t="s">
        <v>72</v>
      </c>
      <c r="C28" s="62">
        <v>0</v>
      </c>
      <c r="D28" s="63">
        <v>3000</v>
      </c>
      <c r="E28" s="63">
        <f>(D28*C28)*$E$15</f>
        <v>0</v>
      </c>
      <c r="F28" s="63">
        <f>(D28*C28)/12+(D28*C28)/12*1/3+((D28*C28)/12+(D28*C28)/12*1/3)*$F$15</f>
        <v>0</v>
      </c>
      <c r="G28" s="63">
        <f>((D28*C28)/12)+(((D28*C28)/12))*$G$15</f>
        <v>0</v>
      </c>
      <c r="H28" s="63">
        <f>E28+F28+G28</f>
        <v>0</v>
      </c>
      <c r="I28" s="64">
        <f>(H28+D28)*C28</f>
        <v>0</v>
      </c>
    </row>
    <row r="29" spans="2:9" s="26" customFormat="1" ht="15.9" customHeight="1" outlineLevel="1" x14ac:dyDescent="0.3">
      <c r="B29" s="61" t="s">
        <v>140</v>
      </c>
      <c r="C29" s="62">
        <v>1</v>
      </c>
      <c r="D29" s="63">
        <v>1980</v>
      </c>
      <c r="E29" s="63">
        <f>(D29*C29)*$E$15</f>
        <v>158.4</v>
      </c>
      <c r="F29" s="63">
        <f>(D29*C29)/12+(D29*C29)/12*1/3+((D29*C29)/12+(D29*C29)/12*1/3)*$F$15</f>
        <v>237.6</v>
      </c>
      <c r="G29" s="63">
        <f>((D29*C29)/12)+(((D29*C29)/12))*$G$15</f>
        <v>178.2</v>
      </c>
      <c r="H29" s="63">
        <f t="shared" ref="H29:H31" si="1">E29+F29+G29</f>
        <v>574.20000000000005</v>
      </c>
      <c r="I29" s="64">
        <f>(H29+D29)*C29</f>
        <v>2554.1999999999998</v>
      </c>
    </row>
    <row r="30" spans="2:9" s="26" customFormat="1" ht="15.9" customHeight="1" outlineLevel="1" x14ac:dyDescent="0.3">
      <c r="B30" s="61" t="s">
        <v>141</v>
      </c>
      <c r="C30" s="62">
        <v>1</v>
      </c>
      <c r="D30" s="63">
        <v>2500</v>
      </c>
      <c r="E30" s="63">
        <f>(D30*C30)*$E$15</f>
        <v>200</v>
      </c>
      <c r="F30" s="63">
        <f>(D30*C30)/12+(D30*C30)/12*1/3+((D30*C30)/12+(D30*C30)/12*1/3)*$F$15</f>
        <v>300</v>
      </c>
      <c r="G30" s="63">
        <f>((D30*C30)/12)+(((D30*C30)/12))*$G$15</f>
        <v>225</v>
      </c>
      <c r="H30" s="63">
        <f t="shared" si="1"/>
        <v>725</v>
      </c>
      <c r="I30" s="64">
        <f>(H30+D30)*C30</f>
        <v>3225</v>
      </c>
    </row>
    <row r="31" spans="2:9" s="26" customFormat="1" ht="15.9" customHeight="1" outlineLevel="1" x14ac:dyDescent="0.3">
      <c r="B31" s="61" t="s">
        <v>130</v>
      </c>
      <c r="C31" s="62">
        <v>2</v>
      </c>
      <c r="D31" s="63">
        <v>1980</v>
      </c>
      <c r="E31" s="63">
        <f>(D31*C31)*$E$15</f>
        <v>316.8</v>
      </c>
      <c r="F31" s="63">
        <f>(D31*C31)/12+(D31*C31)/12*1/3+((D31*C31)/12+(D31*C31)/12*1/3)*$F$15</f>
        <v>475.2</v>
      </c>
      <c r="G31" s="63">
        <f>((D31*C31)/12)+(((D31*C31)/12))*$G$15</f>
        <v>356.4</v>
      </c>
      <c r="H31" s="63">
        <f t="shared" si="1"/>
        <v>1148.4000000000001</v>
      </c>
      <c r="I31" s="64">
        <f>(H31+D31)*C31</f>
        <v>6256.8</v>
      </c>
    </row>
    <row r="32" spans="2:9" s="26" customFormat="1" ht="15.9" hidden="1" customHeight="1" outlineLevel="1" x14ac:dyDescent="0.3">
      <c r="B32" s="61" t="s">
        <v>142</v>
      </c>
      <c r="C32" s="62">
        <v>0</v>
      </c>
      <c r="D32" s="63">
        <v>1500</v>
      </c>
      <c r="E32" s="177"/>
      <c r="F32" s="177"/>
      <c r="G32" s="177"/>
      <c r="H32" s="177"/>
      <c r="I32" s="177"/>
    </row>
    <row r="33" spans="2:9" s="26" customFormat="1" ht="15.9" hidden="1" customHeight="1" outlineLevel="1" x14ac:dyDescent="0.3">
      <c r="B33" s="61" t="s">
        <v>138</v>
      </c>
      <c r="C33" s="62">
        <v>0</v>
      </c>
      <c r="D33" s="63">
        <v>1800</v>
      </c>
      <c r="E33" s="177"/>
      <c r="F33" s="177"/>
      <c r="G33" s="177"/>
      <c r="H33" s="177"/>
      <c r="I33" s="177"/>
    </row>
    <row r="34" spans="2:9" s="26" customFormat="1" ht="15.9" hidden="1" customHeight="1" outlineLevel="1" x14ac:dyDescent="0.3">
      <c r="B34" s="61" t="s">
        <v>174</v>
      </c>
      <c r="C34" s="62"/>
      <c r="D34" s="63">
        <v>1700</v>
      </c>
      <c r="E34" s="177"/>
      <c r="F34" s="177"/>
      <c r="G34" s="177"/>
      <c r="H34" s="177"/>
      <c r="I34" s="177"/>
    </row>
    <row r="35" spans="2:9" ht="20.100000000000001" customHeight="1" thickBot="1" x14ac:dyDescent="0.35">
      <c r="B35" s="65" t="s">
        <v>71</v>
      </c>
      <c r="C35" s="66">
        <f>SUM(C28:C34)</f>
        <v>4</v>
      </c>
      <c r="D35" s="66"/>
      <c r="E35" s="66"/>
      <c r="F35" s="66"/>
      <c r="G35" s="66"/>
      <c r="H35" s="66"/>
      <c r="I35" s="59">
        <f>SUM(I28:I34)</f>
        <v>12036</v>
      </c>
    </row>
    <row r="37" spans="2:9" ht="20.100000000000001" customHeight="1" thickBot="1" x14ac:dyDescent="0.35">
      <c r="B37" s="53" t="s">
        <v>168</v>
      </c>
      <c r="C37" s="54"/>
      <c r="D37" s="67">
        <v>0.01</v>
      </c>
      <c r="E37" s="67"/>
      <c r="F37" s="67"/>
      <c r="G37" s="67"/>
      <c r="H37" s="67"/>
      <c r="I37" s="67"/>
    </row>
    <row r="38" spans="2:9" ht="15.9" customHeight="1" outlineLevel="1" x14ac:dyDescent="0.3">
      <c r="B38" s="60" t="s">
        <v>119</v>
      </c>
      <c r="C38" s="56" t="s">
        <v>120</v>
      </c>
      <c r="D38" s="56" t="s">
        <v>121</v>
      </c>
      <c r="E38" s="178" t="s">
        <v>188</v>
      </c>
      <c r="F38" s="178" t="s">
        <v>189</v>
      </c>
      <c r="G38" s="178" t="s">
        <v>190</v>
      </c>
      <c r="H38" s="56" t="s">
        <v>191</v>
      </c>
      <c r="I38" s="56" t="s">
        <v>122</v>
      </c>
    </row>
    <row r="39" spans="2:9" s="26" customFormat="1" ht="15.9" customHeight="1" outlineLevel="1" x14ac:dyDescent="0.3">
      <c r="B39" s="61" t="s">
        <v>72</v>
      </c>
      <c r="C39" s="62">
        <v>0</v>
      </c>
      <c r="D39" s="63">
        <f t="shared" ref="D39:D45" si="2">(D28*$D$37)+D28</f>
        <v>3030</v>
      </c>
      <c r="E39" s="63">
        <f>(D39*C39)*$E$15</f>
        <v>0</v>
      </c>
      <c r="F39" s="63">
        <f>(D39*C39)/12+(D39*C39)/12*1/3+((D39*C39)/12+(D39*C39)/12*1/3)*$F$15</f>
        <v>0</v>
      </c>
      <c r="G39" s="63">
        <f>((D39*C39)/12)+(((D39*C39)/12))*$G$15</f>
        <v>0</v>
      </c>
      <c r="H39" s="63">
        <f>E39+F39+G39</f>
        <v>0</v>
      </c>
      <c r="I39" s="64">
        <f>(H39+D39)*C39</f>
        <v>0</v>
      </c>
    </row>
    <row r="40" spans="2:9" s="26" customFormat="1" ht="15.9" customHeight="1" outlineLevel="1" x14ac:dyDescent="0.3">
      <c r="B40" s="61" t="s">
        <v>140</v>
      </c>
      <c r="C40" s="62">
        <v>1</v>
      </c>
      <c r="D40" s="63">
        <f t="shared" si="2"/>
        <v>1999.8</v>
      </c>
      <c r="E40" s="63">
        <f>(D40*C40)*$E$15</f>
        <v>159.98400000000001</v>
      </c>
      <c r="F40" s="63">
        <f>(D40*C40)/12+(D40*C40)/12*1/3+((D40*C40)/12+(D40*C40)/12*1/3)*$F$15</f>
        <v>239.97600000000003</v>
      </c>
      <c r="G40" s="63">
        <f>((D40*C40)/12)+(((D40*C40)/12))*$G$15</f>
        <v>179.982</v>
      </c>
      <c r="H40" s="63">
        <f t="shared" ref="H40:H42" si="3">E40+F40+G40</f>
        <v>579.94200000000001</v>
      </c>
      <c r="I40" s="64">
        <f>(H40+D40)*C40</f>
        <v>2579.7420000000002</v>
      </c>
    </row>
    <row r="41" spans="2:9" s="26" customFormat="1" ht="15.9" customHeight="1" outlineLevel="1" x14ac:dyDescent="0.3">
      <c r="B41" s="61" t="s">
        <v>141</v>
      </c>
      <c r="C41" s="62">
        <v>1</v>
      </c>
      <c r="D41" s="63">
        <f t="shared" si="2"/>
        <v>2525</v>
      </c>
      <c r="E41" s="63">
        <f>(D41*C41)*$E$15</f>
        <v>202</v>
      </c>
      <c r="F41" s="63">
        <f>(D41*C41)/12+(D41*C41)/12*1/3+((D41*C41)/12+(D41*C41)/12*1/3)*$F$15</f>
        <v>303</v>
      </c>
      <c r="G41" s="63">
        <f>((D41*C41)/12)+(((D41*C41)/12))*$G$15</f>
        <v>227.25</v>
      </c>
      <c r="H41" s="63">
        <f t="shared" si="3"/>
        <v>732.25</v>
      </c>
      <c r="I41" s="64">
        <f>(H41+D41)*C41</f>
        <v>3257.25</v>
      </c>
    </row>
    <row r="42" spans="2:9" s="26" customFormat="1" ht="15.9" customHeight="1" outlineLevel="1" x14ac:dyDescent="0.3">
      <c r="B42" s="61" t="s">
        <v>130</v>
      </c>
      <c r="C42" s="62">
        <v>2</v>
      </c>
      <c r="D42" s="63">
        <f t="shared" si="2"/>
        <v>1999.8</v>
      </c>
      <c r="E42" s="63">
        <f>(D42*C42)*$E$15</f>
        <v>319.96800000000002</v>
      </c>
      <c r="F42" s="63">
        <f>(D42*C42)/12+(D42*C42)/12*1/3+((D42*C42)/12+(D42*C42)/12*1/3)*$F$15</f>
        <v>479.95200000000006</v>
      </c>
      <c r="G42" s="63">
        <f>((D42*C42)/12)+(((D42*C42)/12))*$G$15</f>
        <v>359.964</v>
      </c>
      <c r="H42" s="63">
        <f t="shared" si="3"/>
        <v>1159.884</v>
      </c>
      <c r="I42" s="64">
        <f>(H42+D42)*C42</f>
        <v>6319.3680000000004</v>
      </c>
    </row>
    <row r="43" spans="2:9" s="26" customFormat="1" ht="15.9" hidden="1" customHeight="1" outlineLevel="1" x14ac:dyDescent="0.3">
      <c r="B43" s="61" t="s">
        <v>142</v>
      </c>
      <c r="C43" s="62">
        <v>0</v>
      </c>
      <c r="D43" s="63">
        <f t="shared" si="2"/>
        <v>1515</v>
      </c>
      <c r="E43" s="177"/>
      <c r="F43" s="177"/>
      <c r="G43" s="177"/>
      <c r="H43" s="177"/>
      <c r="I43" s="177"/>
    </row>
    <row r="44" spans="2:9" s="26" customFormat="1" ht="15.9" hidden="1" customHeight="1" outlineLevel="1" x14ac:dyDescent="0.3">
      <c r="B44" s="61" t="s">
        <v>138</v>
      </c>
      <c r="C44" s="62">
        <v>0</v>
      </c>
      <c r="D44" s="63">
        <f t="shared" si="2"/>
        <v>1818</v>
      </c>
      <c r="E44" s="177"/>
      <c r="F44" s="177"/>
      <c r="G44" s="177"/>
      <c r="H44" s="177"/>
      <c r="I44" s="177"/>
    </row>
    <row r="45" spans="2:9" s="26" customFormat="1" ht="15.9" hidden="1" customHeight="1" outlineLevel="1" x14ac:dyDescent="0.3">
      <c r="B45" s="61" t="s">
        <v>174</v>
      </c>
      <c r="C45" s="62"/>
      <c r="D45" s="63">
        <f t="shared" si="2"/>
        <v>1717</v>
      </c>
      <c r="E45" s="177"/>
      <c r="F45" s="177"/>
      <c r="G45" s="177"/>
      <c r="H45" s="177"/>
      <c r="I45" s="177"/>
    </row>
    <row r="46" spans="2:9" ht="20.100000000000001" customHeight="1" thickBot="1" x14ac:dyDescent="0.35">
      <c r="B46" s="65" t="s">
        <v>71</v>
      </c>
      <c r="C46" s="66">
        <f>SUM(C39:C45)</f>
        <v>4</v>
      </c>
      <c r="D46" s="66"/>
      <c r="E46" s="66"/>
      <c r="F46" s="66"/>
      <c r="G46" s="66"/>
      <c r="H46" s="66"/>
      <c r="I46" s="59">
        <f>SUM(I39:I45)</f>
        <v>12156.36</v>
      </c>
    </row>
    <row r="49" spans="2:9" ht="20.100000000000001" customHeight="1" thickBot="1" x14ac:dyDescent="0.35">
      <c r="B49" s="53" t="s">
        <v>169</v>
      </c>
      <c r="C49" s="54"/>
      <c r="D49" s="67">
        <v>0</v>
      </c>
      <c r="E49" s="67"/>
      <c r="F49" s="67"/>
      <c r="G49" s="67"/>
      <c r="H49" s="67"/>
      <c r="I49" s="67"/>
    </row>
    <row r="50" spans="2:9" ht="15.9" customHeight="1" outlineLevel="1" x14ac:dyDescent="0.3">
      <c r="B50" s="60" t="s">
        <v>119</v>
      </c>
      <c r="C50" s="56" t="s">
        <v>120</v>
      </c>
      <c r="D50" s="56" t="s">
        <v>121</v>
      </c>
      <c r="E50" s="178" t="s">
        <v>188</v>
      </c>
      <c r="F50" s="178" t="s">
        <v>189</v>
      </c>
      <c r="G50" s="178" t="s">
        <v>190</v>
      </c>
      <c r="H50" s="56" t="s">
        <v>191</v>
      </c>
      <c r="I50" s="56" t="s">
        <v>122</v>
      </c>
    </row>
    <row r="51" spans="2:9" s="26" customFormat="1" ht="15.9" customHeight="1" outlineLevel="1" x14ac:dyDescent="0.3">
      <c r="B51" s="61" t="s">
        <v>72</v>
      </c>
      <c r="C51" s="62">
        <v>0</v>
      </c>
      <c r="D51" s="63">
        <f t="shared" ref="D51:D57" si="4">(D39*$D$49)+D39</f>
        <v>3030</v>
      </c>
      <c r="E51" s="63">
        <f>(D51*C51)*$E$15</f>
        <v>0</v>
      </c>
      <c r="F51" s="63">
        <f>(D51*C51)/12+(D51*C51)/12*1/3+((D51*C51)/12+(D51*C51)/12*1/3)*$F$15</f>
        <v>0</v>
      </c>
      <c r="G51" s="63">
        <f>((D51*C51)/12)+(((D51*C51)/12))*$G$15</f>
        <v>0</v>
      </c>
      <c r="H51" s="63">
        <f>E51+F51+G51</f>
        <v>0</v>
      </c>
      <c r="I51" s="64">
        <f>(H51+D51)*C51</f>
        <v>0</v>
      </c>
    </row>
    <row r="52" spans="2:9" s="26" customFormat="1" ht="15.9" customHeight="1" outlineLevel="1" x14ac:dyDescent="0.3">
      <c r="B52" s="61" t="s">
        <v>140</v>
      </c>
      <c r="C52" s="62">
        <v>1</v>
      </c>
      <c r="D52" s="63">
        <f t="shared" si="4"/>
        <v>1999.8</v>
      </c>
      <c r="E52" s="63">
        <f>(D52*C52)*$E$15</f>
        <v>159.98400000000001</v>
      </c>
      <c r="F52" s="63">
        <f>(D52*C52)/12+(D52*C52)/12*1/3+((D52*C52)/12+(D52*C52)/12*1/3)*$F$15</f>
        <v>239.97600000000003</v>
      </c>
      <c r="G52" s="63">
        <f>((D52*C52)/12)+(((D52*C52)/12))*$G$15</f>
        <v>179.982</v>
      </c>
      <c r="H52" s="63">
        <f t="shared" ref="H52:H54" si="5">E52+F52+G52</f>
        <v>579.94200000000001</v>
      </c>
      <c r="I52" s="64">
        <f>(H52+D52)*C52</f>
        <v>2579.7420000000002</v>
      </c>
    </row>
    <row r="53" spans="2:9" s="26" customFormat="1" ht="15.9" customHeight="1" outlineLevel="1" x14ac:dyDescent="0.3">
      <c r="B53" s="61" t="s">
        <v>141</v>
      </c>
      <c r="C53" s="62">
        <v>1</v>
      </c>
      <c r="D53" s="63">
        <f t="shared" si="4"/>
        <v>2525</v>
      </c>
      <c r="E53" s="63">
        <f>(D53*C53)*$E$15</f>
        <v>202</v>
      </c>
      <c r="F53" s="63">
        <f>(D53*C53)/12+(D53*C53)/12*1/3+((D53*C53)/12+(D53*C53)/12*1/3)*$F$15</f>
        <v>303</v>
      </c>
      <c r="G53" s="63">
        <f>((D53*C53)/12)+(((D53*C53)/12))*$G$15</f>
        <v>227.25</v>
      </c>
      <c r="H53" s="63">
        <f t="shared" si="5"/>
        <v>732.25</v>
      </c>
      <c r="I53" s="64">
        <f>(H53+D53)*C53</f>
        <v>3257.25</v>
      </c>
    </row>
    <row r="54" spans="2:9" s="26" customFormat="1" ht="15.9" customHeight="1" outlineLevel="1" x14ac:dyDescent="0.3">
      <c r="B54" s="61" t="s">
        <v>130</v>
      </c>
      <c r="C54" s="62">
        <v>3</v>
      </c>
      <c r="D54" s="63">
        <f t="shared" si="4"/>
        <v>1999.8</v>
      </c>
      <c r="E54" s="63">
        <f>(D54*C54)*$E$15</f>
        <v>479.952</v>
      </c>
      <c r="F54" s="63">
        <f>(D54*C54)/12+(D54*C54)/12*1/3+((D54*C54)/12+(D54*C54)/12*1/3)*$F$15</f>
        <v>719.928</v>
      </c>
      <c r="G54" s="63">
        <f>((D54*C54)/12)+(((D54*C54)/12))*$G$15</f>
        <v>539.94600000000003</v>
      </c>
      <c r="H54" s="63">
        <f t="shared" si="5"/>
        <v>1739.826</v>
      </c>
      <c r="I54" s="64">
        <f>(H54+D54)*C54</f>
        <v>11218.878000000001</v>
      </c>
    </row>
    <row r="55" spans="2:9" s="26" customFormat="1" ht="15.9" hidden="1" customHeight="1" outlineLevel="1" x14ac:dyDescent="0.3">
      <c r="B55" s="61" t="s">
        <v>142</v>
      </c>
      <c r="C55" s="62">
        <v>0</v>
      </c>
      <c r="D55" s="63">
        <f t="shared" si="4"/>
        <v>1515</v>
      </c>
      <c r="E55" s="177"/>
      <c r="F55" s="177"/>
      <c r="G55" s="177"/>
      <c r="H55" s="177"/>
      <c r="I55" s="177"/>
    </row>
    <row r="56" spans="2:9" s="26" customFormat="1" ht="15.9" hidden="1" customHeight="1" outlineLevel="1" x14ac:dyDescent="0.3">
      <c r="B56" s="61" t="s">
        <v>138</v>
      </c>
      <c r="C56" s="62">
        <v>0</v>
      </c>
      <c r="D56" s="63">
        <f t="shared" si="4"/>
        <v>1818</v>
      </c>
      <c r="E56" s="177"/>
      <c r="F56" s="177"/>
      <c r="G56" s="177"/>
      <c r="H56" s="177"/>
      <c r="I56" s="177"/>
    </row>
    <row r="57" spans="2:9" s="26" customFormat="1" ht="15.9" hidden="1" customHeight="1" outlineLevel="1" x14ac:dyDescent="0.3">
      <c r="B57" s="61" t="s">
        <v>174</v>
      </c>
      <c r="C57" s="62"/>
      <c r="D57" s="63">
        <f t="shared" si="4"/>
        <v>1717</v>
      </c>
      <c r="E57" s="177"/>
      <c r="F57" s="177"/>
      <c r="G57" s="177"/>
      <c r="H57" s="177"/>
      <c r="I57" s="177"/>
    </row>
    <row r="58" spans="2:9" ht="20.100000000000001" customHeight="1" thickBot="1" x14ac:dyDescent="0.35">
      <c r="B58" s="65" t="s">
        <v>71</v>
      </c>
      <c r="C58" s="66">
        <f>SUM(C51:C57)</f>
        <v>5</v>
      </c>
      <c r="D58" s="66"/>
      <c r="E58" s="66"/>
      <c r="F58" s="66"/>
      <c r="G58" s="66"/>
      <c r="H58" s="66"/>
      <c r="I58" s="59">
        <f>SUM(I51:I57)</f>
        <v>17055.870000000003</v>
      </c>
    </row>
    <row r="60" spans="2:9" ht="20.100000000000001" customHeight="1" thickBot="1" x14ac:dyDescent="0.35">
      <c r="B60" s="53" t="s">
        <v>170</v>
      </c>
      <c r="C60" s="54"/>
      <c r="D60" s="67">
        <v>0.01</v>
      </c>
      <c r="E60" s="67"/>
      <c r="F60" s="67"/>
      <c r="G60" s="67"/>
      <c r="H60" s="67"/>
      <c r="I60" s="67"/>
    </row>
    <row r="61" spans="2:9" ht="15.9" customHeight="1" outlineLevel="1" x14ac:dyDescent="0.3">
      <c r="B61" s="60" t="s">
        <v>119</v>
      </c>
      <c r="C61" s="56" t="s">
        <v>120</v>
      </c>
      <c r="D61" s="56" t="s">
        <v>121</v>
      </c>
      <c r="E61" s="178" t="s">
        <v>188</v>
      </c>
      <c r="F61" s="178" t="s">
        <v>189</v>
      </c>
      <c r="G61" s="178" t="s">
        <v>190</v>
      </c>
      <c r="H61" s="56" t="s">
        <v>191</v>
      </c>
      <c r="I61" s="56" t="s">
        <v>122</v>
      </c>
    </row>
    <row r="62" spans="2:9" s="26" customFormat="1" ht="15.9" customHeight="1" outlineLevel="1" x14ac:dyDescent="0.3">
      <c r="B62" s="61" t="s">
        <v>72</v>
      </c>
      <c r="C62" s="62">
        <v>0</v>
      </c>
      <c r="D62" s="63">
        <f t="shared" ref="D62:D68" si="6">(D51*$D$60)+D51</f>
        <v>3060.3</v>
      </c>
      <c r="E62" s="63">
        <f>(D62*C62)*$E$15</f>
        <v>0</v>
      </c>
      <c r="F62" s="63">
        <f>(D62*C62)/12+(D62*C62)/12*1/3+((D62*C62)/12+(D62*C62)/12*1/3)*$F$15</f>
        <v>0</v>
      </c>
      <c r="G62" s="63">
        <f>((D62*C62)/12)+(((D62*C62)/12))*$G$15</f>
        <v>0</v>
      </c>
      <c r="H62" s="63">
        <f>E62+F62+G62</f>
        <v>0</v>
      </c>
      <c r="I62" s="64">
        <f>(H62+D62)*C62</f>
        <v>0</v>
      </c>
    </row>
    <row r="63" spans="2:9" s="26" customFormat="1" ht="15.9" customHeight="1" outlineLevel="1" x14ac:dyDescent="0.3">
      <c r="B63" s="61" t="s">
        <v>140</v>
      </c>
      <c r="C63" s="62">
        <v>1</v>
      </c>
      <c r="D63" s="63">
        <f t="shared" si="6"/>
        <v>2019.798</v>
      </c>
      <c r="E63" s="63">
        <f>(D63*C63)*$E$15</f>
        <v>161.58384000000001</v>
      </c>
      <c r="F63" s="63">
        <f>(D63*C63)/12+(D63*C63)/12*1/3+((D63*C63)/12+(D63*C63)/12*1/3)*$F$15</f>
        <v>242.37575999999999</v>
      </c>
      <c r="G63" s="63">
        <f>((D63*C63)/12)+(((D63*C63)/12))*$G$15</f>
        <v>181.78181999999998</v>
      </c>
      <c r="H63" s="63">
        <f t="shared" ref="H63:H65" si="7">E63+F63+G63</f>
        <v>585.74142000000006</v>
      </c>
      <c r="I63" s="64">
        <f>(H63+D63)*C63</f>
        <v>2605.5394200000001</v>
      </c>
    </row>
    <row r="64" spans="2:9" s="26" customFormat="1" ht="15.9" customHeight="1" outlineLevel="1" x14ac:dyDescent="0.3">
      <c r="B64" s="61" t="s">
        <v>141</v>
      </c>
      <c r="C64" s="62">
        <v>1</v>
      </c>
      <c r="D64" s="63">
        <f t="shared" si="6"/>
        <v>2550.25</v>
      </c>
      <c r="E64" s="63">
        <f>(D64*C64)*$E$15</f>
        <v>204.02</v>
      </c>
      <c r="F64" s="63">
        <f>(D64*C64)/12+(D64*C64)/12*1/3+((D64*C64)/12+(D64*C64)/12*1/3)*$F$15</f>
        <v>306.03000000000003</v>
      </c>
      <c r="G64" s="63">
        <f>((D64*C64)/12)+(((D64*C64)/12))*$G$15</f>
        <v>229.52250000000001</v>
      </c>
      <c r="H64" s="63">
        <f t="shared" si="7"/>
        <v>739.5725000000001</v>
      </c>
      <c r="I64" s="64">
        <f>(H64+D64)*C64</f>
        <v>3289.8225000000002</v>
      </c>
    </row>
    <row r="65" spans="2:9" s="26" customFormat="1" ht="15.9" customHeight="1" outlineLevel="1" x14ac:dyDescent="0.3">
      <c r="B65" s="61" t="s">
        <v>130</v>
      </c>
      <c r="C65" s="62">
        <v>3</v>
      </c>
      <c r="D65" s="63">
        <f t="shared" si="6"/>
        <v>2019.798</v>
      </c>
      <c r="E65" s="63">
        <f>(D65*C65)*$E$15</f>
        <v>484.75152000000003</v>
      </c>
      <c r="F65" s="63">
        <f>(D65*C65)/12+(D65*C65)/12*1/3+((D65*C65)/12+(D65*C65)/12*1/3)*$F$15</f>
        <v>727.12727999999993</v>
      </c>
      <c r="G65" s="63">
        <f>((D65*C65)/12)+(((D65*C65)/12))*$G$15</f>
        <v>545.34546</v>
      </c>
      <c r="H65" s="63">
        <f t="shared" si="7"/>
        <v>1757.22426</v>
      </c>
      <c r="I65" s="64">
        <f>(H65+D65)*C65</f>
        <v>11331.066779999999</v>
      </c>
    </row>
    <row r="66" spans="2:9" s="26" customFormat="1" ht="15.9" hidden="1" customHeight="1" outlineLevel="1" x14ac:dyDescent="0.3">
      <c r="B66" s="61" t="s">
        <v>142</v>
      </c>
      <c r="C66" s="62">
        <v>0</v>
      </c>
      <c r="D66" s="63">
        <f t="shared" si="6"/>
        <v>1530.15</v>
      </c>
      <c r="E66" s="177"/>
      <c r="F66" s="177"/>
      <c r="G66" s="177"/>
      <c r="H66" s="177"/>
      <c r="I66" s="177"/>
    </row>
    <row r="67" spans="2:9" s="26" customFormat="1" ht="15.9" hidden="1" customHeight="1" outlineLevel="1" x14ac:dyDescent="0.3">
      <c r="B67" s="61" t="s">
        <v>138</v>
      </c>
      <c r="C67" s="62">
        <v>0</v>
      </c>
      <c r="D67" s="63">
        <f t="shared" si="6"/>
        <v>1836.18</v>
      </c>
      <c r="E67" s="177"/>
      <c r="F67" s="177"/>
      <c r="G67" s="177"/>
      <c r="H67" s="177"/>
      <c r="I67" s="177"/>
    </row>
    <row r="68" spans="2:9" s="26" customFormat="1" ht="15.9" hidden="1" customHeight="1" outlineLevel="1" x14ac:dyDescent="0.3">
      <c r="B68" s="61" t="s">
        <v>174</v>
      </c>
      <c r="C68" s="62"/>
      <c r="D68" s="63">
        <f t="shared" si="6"/>
        <v>1734.17</v>
      </c>
      <c r="E68" s="177"/>
      <c r="F68" s="177"/>
      <c r="G68" s="177"/>
      <c r="H68" s="177"/>
      <c r="I68" s="177"/>
    </row>
    <row r="69" spans="2:9" ht="20.100000000000001" customHeight="1" thickBot="1" x14ac:dyDescent="0.35">
      <c r="B69" s="65" t="s">
        <v>71</v>
      </c>
      <c r="C69" s="66">
        <f>SUM(C62:C68)</f>
        <v>5</v>
      </c>
      <c r="D69" s="66"/>
      <c r="E69" s="66"/>
      <c r="F69" s="66"/>
      <c r="G69" s="66"/>
      <c r="H69" s="66"/>
      <c r="I69" s="59">
        <f>SUM(I62:I68)</f>
        <v>17226.4287</v>
      </c>
    </row>
    <row r="71" spans="2:9" ht="20.100000000000001" customHeight="1" thickBot="1" x14ac:dyDescent="0.35">
      <c r="B71" s="53" t="s">
        <v>171</v>
      </c>
      <c r="C71" s="54"/>
      <c r="D71" s="67">
        <v>0</v>
      </c>
      <c r="E71" s="67"/>
      <c r="F71" s="67"/>
      <c r="G71" s="67"/>
      <c r="H71" s="67"/>
      <c r="I71" s="67"/>
    </row>
    <row r="72" spans="2:9" ht="15.9" customHeight="1" outlineLevel="1" x14ac:dyDescent="0.3">
      <c r="B72" s="60" t="s">
        <v>119</v>
      </c>
      <c r="C72" s="56" t="s">
        <v>120</v>
      </c>
      <c r="D72" s="56" t="s">
        <v>121</v>
      </c>
      <c r="E72" s="178" t="s">
        <v>188</v>
      </c>
      <c r="F72" s="178" t="s">
        <v>189</v>
      </c>
      <c r="G72" s="178" t="s">
        <v>190</v>
      </c>
      <c r="H72" s="56" t="s">
        <v>191</v>
      </c>
      <c r="I72" s="56" t="s">
        <v>122</v>
      </c>
    </row>
    <row r="73" spans="2:9" s="26" customFormat="1" ht="15.9" customHeight="1" outlineLevel="1" x14ac:dyDescent="0.3">
      <c r="B73" s="61" t="s">
        <v>72</v>
      </c>
      <c r="C73" s="62">
        <v>0</v>
      </c>
      <c r="D73" s="63">
        <f t="shared" ref="D73:D79" si="8">(D62*$D$71)+D62</f>
        <v>3060.3</v>
      </c>
      <c r="E73" s="63">
        <f>(D73*C73)*$E$15</f>
        <v>0</v>
      </c>
      <c r="F73" s="63">
        <f>(D73*C73)/12+(D73*C73)/12*1/3+((D73*C73)/12+(D73*C73)/12*1/3)*$F$15</f>
        <v>0</v>
      </c>
      <c r="G73" s="63">
        <f>((D73*C73)/12)+(((D73*C73)/12))*$G$15</f>
        <v>0</v>
      </c>
      <c r="H73" s="63">
        <f>E73+F73+G73</f>
        <v>0</v>
      </c>
      <c r="I73" s="64">
        <f>(H73+D73)*C73</f>
        <v>0</v>
      </c>
    </row>
    <row r="74" spans="2:9" s="26" customFormat="1" ht="15.9" customHeight="1" outlineLevel="1" x14ac:dyDescent="0.3">
      <c r="B74" s="61" t="s">
        <v>140</v>
      </c>
      <c r="C74" s="62">
        <v>1</v>
      </c>
      <c r="D74" s="63">
        <f t="shared" si="8"/>
        <v>2019.798</v>
      </c>
      <c r="E74" s="63">
        <f>(D74*C74)*$E$15</f>
        <v>161.58384000000001</v>
      </c>
      <c r="F74" s="63">
        <f>(D74*C74)/12+(D74*C74)/12*1/3+((D74*C74)/12+(D74*C74)/12*1/3)*$F$15</f>
        <v>242.37575999999999</v>
      </c>
      <c r="G74" s="63">
        <f>((D74*C74)/12)+(((D74*C74)/12))*$G$15</f>
        <v>181.78181999999998</v>
      </c>
      <c r="H74" s="63">
        <f t="shared" ref="H74:H76" si="9">E74+F74+G74</f>
        <v>585.74142000000006</v>
      </c>
      <c r="I74" s="64">
        <f>(H74+D74)*C74</f>
        <v>2605.5394200000001</v>
      </c>
    </row>
    <row r="75" spans="2:9" s="26" customFormat="1" ht="15.9" customHeight="1" outlineLevel="1" x14ac:dyDescent="0.3">
      <c r="B75" s="61" t="s">
        <v>141</v>
      </c>
      <c r="C75" s="62">
        <v>1</v>
      </c>
      <c r="D75" s="63">
        <f t="shared" si="8"/>
        <v>2550.25</v>
      </c>
      <c r="E75" s="63">
        <f>(D75*C75)*$E$15</f>
        <v>204.02</v>
      </c>
      <c r="F75" s="63">
        <f>(D75*C75)/12+(D75*C75)/12*1/3+((D75*C75)/12+(D75*C75)/12*1/3)*$F$15</f>
        <v>306.03000000000003</v>
      </c>
      <c r="G75" s="63">
        <f>((D75*C75)/12)+(((D75*C75)/12))*$G$15</f>
        <v>229.52250000000001</v>
      </c>
      <c r="H75" s="63">
        <f t="shared" si="9"/>
        <v>739.5725000000001</v>
      </c>
      <c r="I75" s="64">
        <f>(H75+D75)*C75</f>
        <v>3289.8225000000002</v>
      </c>
    </row>
    <row r="76" spans="2:9" s="26" customFormat="1" ht="15.9" customHeight="1" outlineLevel="1" x14ac:dyDescent="0.3">
      <c r="B76" s="61" t="s">
        <v>130</v>
      </c>
      <c r="C76" s="62">
        <v>4</v>
      </c>
      <c r="D76" s="63">
        <f t="shared" si="8"/>
        <v>2019.798</v>
      </c>
      <c r="E76" s="63">
        <f>(D76*C76)*$E$15</f>
        <v>646.33536000000004</v>
      </c>
      <c r="F76" s="63">
        <f>(D76*C76)/12+(D76*C76)/12*1/3+((D76*C76)/12+(D76*C76)/12*1/3)*$F$15</f>
        <v>969.50303999999994</v>
      </c>
      <c r="G76" s="63">
        <f>((D76*C76)/12)+(((D76*C76)/12))*$G$15</f>
        <v>727.12727999999993</v>
      </c>
      <c r="H76" s="63">
        <f t="shared" si="9"/>
        <v>2342.9656800000002</v>
      </c>
      <c r="I76" s="64">
        <f>(H76+D76)*C76</f>
        <v>17451.05472</v>
      </c>
    </row>
    <row r="77" spans="2:9" s="26" customFormat="1" ht="15.9" hidden="1" customHeight="1" outlineLevel="1" x14ac:dyDescent="0.3">
      <c r="B77" s="61" t="s">
        <v>142</v>
      </c>
      <c r="C77" s="62">
        <v>0</v>
      </c>
      <c r="D77" s="63">
        <f t="shared" si="8"/>
        <v>1530.15</v>
      </c>
      <c r="E77" s="177"/>
      <c r="F77" s="177"/>
      <c r="G77" s="177"/>
      <c r="H77" s="177"/>
      <c r="I77" s="177"/>
    </row>
    <row r="78" spans="2:9" s="26" customFormat="1" ht="15.9" hidden="1" customHeight="1" outlineLevel="1" x14ac:dyDescent="0.3">
      <c r="B78" s="61" t="s">
        <v>138</v>
      </c>
      <c r="C78" s="62">
        <v>0</v>
      </c>
      <c r="D78" s="63">
        <f t="shared" si="8"/>
        <v>1836.18</v>
      </c>
      <c r="E78" s="177"/>
      <c r="F78" s="177"/>
      <c r="G78" s="177"/>
      <c r="H78" s="177"/>
      <c r="I78" s="177"/>
    </row>
    <row r="79" spans="2:9" s="26" customFormat="1" ht="15.9" hidden="1" customHeight="1" outlineLevel="1" x14ac:dyDescent="0.3">
      <c r="B79" s="61" t="s">
        <v>174</v>
      </c>
      <c r="C79" s="62"/>
      <c r="D79" s="63">
        <f t="shared" si="8"/>
        <v>1734.17</v>
      </c>
      <c r="E79" s="177"/>
      <c r="F79" s="177"/>
      <c r="G79" s="177"/>
      <c r="H79" s="177"/>
      <c r="I79" s="177"/>
    </row>
    <row r="80" spans="2:9" ht="20.100000000000001" customHeight="1" thickBot="1" x14ac:dyDescent="0.35">
      <c r="B80" s="65" t="s">
        <v>71</v>
      </c>
      <c r="C80" s="66">
        <f>SUM(C73:C79)</f>
        <v>6</v>
      </c>
      <c r="D80" s="66"/>
      <c r="E80" s="66"/>
      <c r="F80" s="66"/>
      <c r="G80" s="66"/>
      <c r="H80" s="66"/>
      <c r="I80" s="59">
        <f>SUM(I73:I79)</f>
        <v>23346.416639999999</v>
      </c>
    </row>
    <row r="81" spans="2:9" ht="20.100000000000001" customHeight="1" x14ac:dyDescent="0.3">
      <c r="B81" s="16"/>
      <c r="C81" s="68"/>
      <c r="D81" s="68"/>
      <c r="E81" s="68"/>
      <c r="F81" s="68"/>
      <c r="G81" s="68"/>
      <c r="H81" s="68"/>
      <c r="I81" s="68"/>
    </row>
    <row r="82" spans="2:9" ht="20.100000000000001" customHeight="1" thickBot="1" x14ac:dyDescent="0.35">
      <c r="B82" s="53" t="s">
        <v>172</v>
      </c>
      <c r="C82" s="54"/>
      <c r="D82" s="67">
        <v>0.01</v>
      </c>
      <c r="E82" s="67"/>
      <c r="F82" s="67"/>
      <c r="G82" s="67"/>
      <c r="H82" s="67"/>
      <c r="I82" s="67"/>
    </row>
    <row r="83" spans="2:9" ht="15.9" customHeight="1" outlineLevel="1" x14ac:dyDescent="0.3">
      <c r="B83" s="60" t="s">
        <v>119</v>
      </c>
      <c r="C83" s="56" t="s">
        <v>120</v>
      </c>
      <c r="D83" s="56" t="s">
        <v>121</v>
      </c>
      <c r="E83" s="178" t="s">
        <v>188</v>
      </c>
      <c r="F83" s="178" t="s">
        <v>189</v>
      </c>
      <c r="G83" s="178" t="s">
        <v>190</v>
      </c>
      <c r="H83" s="56" t="s">
        <v>191</v>
      </c>
      <c r="I83" s="56" t="s">
        <v>122</v>
      </c>
    </row>
    <row r="84" spans="2:9" s="26" customFormat="1" ht="15.9" customHeight="1" outlineLevel="1" x14ac:dyDescent="0.3">
      <c r="B84" s="61" t="s">
        <v>72</v>
      </c>
      <c r="C84" s="62">
        <v>0</v>
      </c>
      <c r="D84" s="63">
        <f t="shared" ref="D84:D90" si="10">(D73*$D$82)+D73</f>
        <v>3090.9030000000002</v>
      </c>
      <c r="E84" s="181">
        <f>(D84*C84)*$E$15</f>
        <v>0</v>
      </c>
      <c r="F84" s="181">
        <f>(D84*C84)/12+(D84*C84)/12*1/3+((D84*C84)/12+(D84*C84)/12*1/3)*$F$15</f>
        <v>0</v>
      </c>
      <c r="G84" s="181">
        <f>((D84*C84)/12)+(((D84*C84)/12))*$G$15</f>
        <v>0</v>
      </c>
      <c r="H84" s="181">
        <f>E84+F84+G84</f>
        <v>0</v>
      </c>
      <c r="I84" s="64">
        <f>(H84+D84)*C84</f>
        <v>0</v>
      </c>
    </row>
    <row r="85" spans="2:9" s="26" customFormat="1" ht="15.9" customHeight="1" outlineLevel="1" x14ac:dyDescent="0.3">
      <c r="B85" s="61" t="s">
        <v>140</v>
      </c>
      <c r="C85" s="62">
        <v>1</v>
      </c>
      <c r="D85" s="63">
        <f t="shared" si="10"/>
        <v>2039.9959799999999</v>
      </c>
      <c r="E85" s="182">
        <f>(D85*C85)*$E$15</f>
        <v>163.19967840000001</v>
      </c>
      <c r="F85" s="182">
        <f>(D85*C85)/12+(D85*C85)/12*1/3+((D85*C85)/12+(D85*C85)/12*1/3)*$F$15</f>
        <v>244.79951759999997</v>
      </c>
      <c r="G85" s="182">
        <f>((D85*C85)/12)+(((D85*C85)/12))*$G$15</f>
        <v>183.59963819999999</v>
      </c>
      <c r="H85" s="182">
        <f t="shared" ref="H85:H87" si="11">E85+F85+G85</f>
        <v>591.59883419999994</v>
      </c>
      <c r="I85" s="64">
        <f>(H85+D85)*C85</f>
        <v>2631.5948141999997</v>
      </c>
    </row>
    <row r="86" spans="2:9" s="26" customFormat="1" ht="15.9" customHeight="1" outlineLevel="1" x14ac:dyDescent="0.3">
      <c r="B86" s="61" t="s">
        <v>141</v>
      </c>
      <c r="C86" s="62">
        <v>1</v>
      </c>
      <c r="D86" s="63">
        <f t="shared" si="10"/>
        <v>2575.7525000000001</v>
      </c>
      <c r="E86" s="182">
        <f>(D86*C86)*$E$15</f>
        <v>206.06020000000001</v>
      </c>
      <c r="F86" s="182">
        <f>(D86*C86)/12+(D86*C86)/12*1/3+((D86*C86)/12+(D86*C86)/12*1/3)*$F$15</f>
        <v>309.09029999999996</v>
      </c>
      <c r="G86" s="182">
        <f>((D86*C86)/12)+(((D86*C86)/12))*$G$15</f>
        <v>231.817725</v>
      </c>
      <c r="H86" s="182">
        <f t="shared" si="11"/>
        <v>746.96822499999996</v>
      </c>
      <c r="I86" s="64">
        <f>(H86+D86)*C86</f>
        <v>3322.7207250000001</v>
      </c>
    </row>
    <row r="87" spans="2:9" s="26" customFormat="1" ht="15.9" customHeight="1" outlineLevel="1" x14ac:dyDescent="0.3">
      <c r="B87" s="61" t="s">
        <v>130</v>
      </c>
      <c r="C87" s="62">
        <v>4</v>
      </c>
      <c r="D87" s="63">
        <f t="shared" si="10"/>
        <v>2039.9959799999999</v>
      </c>
      <c r="E87" s="182">
        <f>(D87*C87)*$E$15</f>
        <v>652.79871360000004</v>
      </c>
      <c r="F87" s="182">
        <f>(D87*C87)/12+(D87*C87)/12*1/3+((D87*C87)/12+(D87*C87)/12*1/3)*$F$15</f>
        <v>979.19807039999989</v>
      </c>
      <c r="G87" s="182">
        <f>((D87*C87)/12)+(((D87*C87)/12))*$G$15</f>
        <v>734.39855279999995</v>
      </c>
      <c r="H87" s="182">
        <f t="shared" si="11"/>
        <v>2366.3953367999998</v>
      </c>
      <c r="I87" s="64">
        <f>(H87+D87)*C87</f>
        <v>17625.5652672</v>
      </c>
    </row>
    <row r="88" spans="2:9" s="26" customFormat="1" ht="15.9" hidden="1" customHeight="1" outlineLevel="1" x14ac:dyDescent="0.3">
      <c r="B88" s="61" t="s">
        <v>142</v>
      </c>
      <c r="C88" s="62">
        <v>0</v>
      </c>
      <c r="D88" s="63">
        <f t="shared" si="10"/>
        <v>1545.4515000000001</v>
      </c>
      <c r="E88" s="182"/>
      <c r="F88" s="182"/>
      <c r="G88" s="182"/>
      <c r="H88" s="182"/>
      <c r="I88" s="177"/>
    </row>
    <row r="89" spans="2:9" s="26" customFormat="1" ht="15.9" customHeight="1" outlineLevel="1" x14ac:dyDescent="0.3">
      <c r="B89" s="61" t="s">
        <v>138</v>
      </c>
      <c r="C89" s="62">
        <v>0</v>
      </c>
      <c r="D89" s="63">
        <f t="shared" si="10"/>
        <v>1854.5418</v>
      </c>
      <c r="E89" s="182">
        <f>(D89*C89)*$E$15</f>
        <v>0</v>
      </c>
      <c r="F89" s="182">
        <f>(D89*C89)/12+(D89*C89)/12*1/3+((D89*C89)/12+(D89*C89)/12*1/3)*$F$15</f>
        <v>0</v>
      </c>
      <c r="G89" s="182">
        <f>((D89*C89)/12)+(((D89*C89)/12))*$G$15</f>
        <v>0</v>
      </c>
      <c r="H89" s="182">
        <f t="shared" ref="H89" si="12">E89+F89+G89</f>
        <v>0</v>
      </c>
      <c r="I89" s="177">
        <f>(H89+D89)*C89</f>
        <v>0</v>
      </c>
    </row>
    <row r="90" spans="2:9" s="26" customFormat="1" ht="15.9" hidden="1" customHeight="1" outlineLevel="1" x14ac:dyDescent="0.3">
      <c r="B90" s="61" t="s">
        <v>174</v>
      </c>
      <c r="C90" s="62"/>
      <c r="D90" s="63">
        <f t="shared" si="10"/>
        <v>1751.5117</v>
      </c>
      <c r="E90" s="177"/>
      <c r="F90" s="177"/>
      <c r="G90" s="177"/>
      <c r="H90" s="177"/>
      <c r="I90" s="177"/>
    </row>
    <row r="91" spans="2:9" ht="20.100000000000001" customHeight="1" thickBot="1" x14ac:dyDescent="0.35">
      <c r="B91" s="65" t="s">
        <v>71</v>
      </c>
      <c r="C91" s="66">
        <f>SUM(C84:C90)</f>
        <v>6</v>
      </c>
      <c r="D91" s="66"/>
      <c r="E91" s="66"/>
      <c r="F91" s="66"/>
      <c r="G91" s="66"/>
      <c r="H91" s="66"/>
      <c r="I91" s="59">
        <f>SUM(I84:I90)</f>
        <v>23579.8808064</v>
      </c>
    </row>
    <row r="93" spans="2:9" hidden="1" x14ac:dyDescent="0.3">
      <c r="C93" s="50" t="s">
        <v>222</v>
      </c>
      <c r="D93" s="50" t="s">
        <v>223</v>
      </c>
      <c r="E93" s="50" t="s">
        <v>224</v>
      </c>
      <c r="F93" s="50"/>
      <c r="G93" s="50"/>
      <c r="H93" s="50"/>
      <c r="I93" s="50"/>
    </row>
    <row r="94" spans="2:9" hidden="1" x14ac:dyDescent="0.3">
      <c r="B94" s="50" t="s">
        <v>161</v>
      </c>
      <c r="C94" s="69">
        <v>100</v>
      </c>
      <c r="D94" s="69">
        <v>100</v>
      </c>
      <c r="E94" s="69">
        <v>100</v>
      </c>
      <c r="F94" s="69"/>
      <c r="G94" s="69"/>
      <c r="H94" s="69"/>
      <c r="I94" s="69"/>
    </row>
    <row r="95" spans="2:9" hidden="1" x14ac:dyDescent="0.3">
      <c r="B95" s="50" t="s">
        <v>162</v>
      </c>
      <c r="C95" s="69">
        <v>0</v>
      </c>
      <c r="D95" s="69">
        <v>0</v>
      </c>
      <c r="E95" s="69">
        <v>0</v>
      </c>
      <c r="F95" s="69"/>
      <c r="G95" s="69"/>
      <c r="H95" s="69"/>
      <c r="I95" s="69"/>
    </row>
    <row r="96" spans="2:9" hidden="1" x14ac:dyDescent="0.3">
      <c r="B96" s="50" t="s">
        <v>163</v>
      </c>
      <c r="C96" s="69">
        <v>300</v>
      </c>
      <c r="D96" s="69">
        <v>500</v>
      </c>
      <c r="E96" s="69">
        <v>500</v>
      </c>
      <c r="F96" s="69"/>
      <c r="G96" s="69"/>
      <c r="H96" s="69"/>
      <c r="I96" s="69"/>
    </row>
    <row r="97" spans="2:9" hidden="1" x14ac:dyDescent="0.3">
      <c r="B97" s="50" t="s">
        <v>164</v>
      </c>
      <c r="C97" s="69">
        <v>100</v>
      </c>
      <c r="D97" s="69">
        <v>200</v>
      </c>
      <c r="E97" s="69">
        <v>200</v>
      </c>
      <c r="F97" s="69"/>
      <c r="G97" s="69"/>
      <c r="H97" s="69"/>
      <c r="I97" s="69"/>
    </row>
    <row r="98" spans="2:9" hidden="1" x14ac:dyDescent="0.3">
      <c r="B98" s="50" t="s">
        <v>165</v>
      </c>
      <c r="C98" s="69">
        <f>(100*3)*4</f>
        <v>1200</v>
      </c>
      <c r="D98" s="69">
        <f>(100*3)*4</f>
        <v>1200</v>
      </c>
      <c r="E98" s="69">
        <f>(100*3)*4</f>
        <v>1200</v>
      </c>
      <c r="F98" s="69"/>
      <c r="G98" s="69"/>
      <c r="H98" s="69"/>
      <c r="I98" s="69"/>
    </row>
    <row r="99" spans="2:9" hidden="1" x14ac:dyDescent="0.3">
      <c r="C99" s="18"/>
    </row>
    <row r="100" spans="2:9" ht="16.2" thickBot="1" x14ac:dyDescent="0.35">
      <c r="B100" s="53" t="s">
        <v>160</v>
      </c>
      <c r="C100" s="69">
        <f>SUM(C94:C98)</f>
        <v>1700</v>
      </c>
      <c r="D100" s="69">
        <f>SUM(D94:D98)</f>
        <v>2000</v>
      </c>
      <c r="E100" s="69">
        <f>SUM(E94:E98)</f>
        <v>2000</v>
      </c>
      <c r="F100" s="69"/>
      <c r="G100" s="69"/>
      <c r="H100" s="69"/>
      <c r="I100" s="69"/>
    </row>
  </sheetData>
  <sheetProtection algorithmName="SHA-512" hashValue="/ZOXjzyzszBloOKN+GwWr6E/iNbxN3QlKJs3z4yYjCiDRCqYgnXrQYmOEuit57q8C8Y03DzZXGHL4hqbBRPHwQ==" saltValue="zFe+zu/kGJKlZe1bqdVDvg==" spinCount="100000" sheet="1" objects="1" scenarios="1"/>
  <pageMargins left="0.511811024" right="0.511811024" top="0.78740157499999996" bottom="0.78740157499999996" header="0.31496062000000002" footer="0.31496062000000002"/>
  <pageSetup paperSize="9" scale="58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33"/>
  <sheetViews>
    <sheetView topLeftCell="A64" zoomScale="120" zoomScaleNormal="120" zoomScaleSheetLayoutView="120" workbookViewId="0">
      <selection activeCell="C59" sqref="C59 C21"/>
    </sheetView>
  </sheetViews>
  <sheetFormatPr defaultColWidth="11.44140625" defaultRowHeight="13.8" outlineLevelRow="1" x14ac:dyDescent="0.3"/>
  <cols>
    <col min="1" max="1" width="5.6640625" style="18" customWidth="1"/>
    <col min="2" max="2" width="34.6640625" style="81" customWidth="1"/>
    <col min="3" max="14" width="12.6640625" style="80" customWidth="1"/>
    <col min="15" max="62" width="12.6640625" style="81" customWidth="1"/>
    <col min="63" max="16384" width="11.44140625" style="81"/>
  </cols>
  <sheetData>
    <row r="1" spans="1:14" s="12" customFormat="1" ht="15.9" customHeight="1" x14ac:dyDescent="0.3">
      <c r="C1" s="13"/>
      <c r="D1" s="14"/>
      <c r="E1" s="48"/>
    </row>
    <row r="2" spans="1:14" s="12" customFormat="1" ht="15.9" customHeight="1" x14ac:dyDescent="0.3">
      <c r="B2" s="15" t="s">
        <v>129</v>
      </c>
      <c r="C2" s="13"/>
      <c r="D2" s="14"/>
      <c r="E2" s="48"/>
    </row>
    <row r="3" spans="1:14" s="12" customFormat="1" ht="15.9" customHeight="1" x14ac:dyDescent="0.3">
      <c r="B3" s="15"/>
      <c r="C3" s="13"/>
      <c r="D3" s="14"/>
      <c r="E3" s="48"/>
    </row>
    <row r="4" spans="1:14" s="12" customFormat="1" ht="20.100000000000001" customHeight="1" x14ac:dyDescent="0.3">
      <c r="B4" s="17" t="s">
        <v>123</v>
      </c>
      <c r="C4" s="13"/>
      <c r="D4" s="14"/>
      <c r="E4" s="48"/>
    </row>
    <row r="5" spans="1:14" s="12" customFormat="1" ht="20.100000000000001" customHeight="1" x14ac:dyDescent="0.3">
      <c r="B5" s="17" t="s">
        <v>185</v>
      </c>
      <c r="C5" s="13"/>
      <c r="D5" s="14"/>
      <c r="E5" s="48"/>
    </row>
    <row r="6" spans="1:14" s="12" customFormat="1" ht="15.6" x14ac:dyDescent="0.3">
      <c r="B6" s="16"/>
      <c r="C6" s="13"/>
      <c r="D6" s="14"/>
      <c r="E6" s="48"/>
    </row>
    <row r="7" spans="1:14" s="12" customFormat="1" ht="12.75" customHeight="1" x14ac:dyDescent="0.3">
      <c r="B7" s="16"/>
      <c r="C7" s="13"/>
      <c r="D7" s="14"/>
      <c r="E7" s="48"/>
    </row>
    <row r="8" spans="1:14" ht="15.9" customHeight="1" x14ac:dyDescent="0.3">
      <c r="B8" s="60" t="s">
        <v>124</v>
      </c>
      <c r="C8" s="165"/>
    </row>
    <row r="9" spans="1:14" s="72" customFormat="1" ht="14.4" customHeight="1" outlineLevel="1" x14ac:dyDescent="0.3">
      <c r="A9" s="26"/>
      <c r="B9" s="166" t="s">
        <v>109</v>
      </c>
      <c r="C9" s="167">
        <v>140000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spans="1:14" s="72" customFormat="1" ht="14.4" customHeight="1" outlineLevel="1" x14ac:dyDescent="0.3">
      <c r="A10" s="26"/>
      <c r="B10" s="163" t="s">
        <v>75</v>
      </c>
      <c r="C10" s="168">
        <v>0.7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 s="72" customFormat="1" ht="14.4" customHeight="1" outlineLevel="1" x14ac:dyDescent="0.3">
      <c r="A11" s="26"/>
      <c r="B11" s="163" t="s">
        <v>187</v>
      </c>
      <c r="C11" s="105">
        <v>1.2200000000000001E-2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4" s="72" customFormat="1" ht="14.4" customHeight="1" outlineLevel="1" x14ac:dyDescent="0.3">
      <c r="A12" s="26"/>
      <c r="B12" s="163" t="s">
        <v>219</v>
      </c>
      <c r="C12" s="170">
        <v>0.35799999999999998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1:14" s="72" customFormat="1" ht="14.4" customHeight="1" outlineLevel="1" x14ac:dyDescent="0.3">
      <c r="A13" s="26"/>
      <c r="B13" s="163" t="s">
        <v>153</v>
      </c>
      <c r="C13" s="105">
        <v>2.3E-3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 s="72" customFormat="1" ht="14.4" hidden="1" customHeight="1" outlineLevel="1" x14ac:dyDescent="0.3">
      <c r="A14" s="26"/>
      <c r="B14" s="163" t="s">
        <v>152</v>
      </c>
      <c r="C14" s="105">
        <v>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 s="72" customFormat="1" ht="14.4" customHeight="1" outlineLevel="1" x14ac:dyDescent="0.3">
      <c r="A15" s="26"/>
      <c r="B15" s="163" t="s">
        <v>77</v>
      </c>
      <c r="C15" s="105">
        <v>0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 s="72" customFormat="1" ht="14.4" customHeight="1" outlineLevel="1" x14ac:dyDescent="0.3">
      <c r="A16" s="26"/>
      <c r="B16" s="163" t="s">
        <v>221</v>
      </c>
      <c r="C16" s="105">
        <v>1.0500000000000001E-2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 s="72" customFormat="1" ht="14.4" customHeight="1" outlineLevel="1" x14ac:dyDescent="0.3">
      <c r="A17" s="26"/>
      <c r="B17" s="163" t="s">
        <v>76</v>
      </c>
      <c r="C17" s="170">
        <v>4.4999999999999998E-2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 s="72" customFormat="1" ht="14.4" customHeight="1" outlineLevel="1" x14ac:dyDescent="0.3">
      <c r="A18" s="26"/>
      <c r="B18" s="163" t="s">
        <v>68</v>
      </c>
      <c r="C18" s="105">
        <v>1.4999999999999999E-2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 s="72" customFormat="1" ht="14.4" customHeight="1" outlineLevel="1" x14ac:dyDescent="0.3">
      <c r="A19" s="26"/>
      <c r="B19" s="163" t="s">
        <v>91</v>
      </c>
      <c r="C19" s="105">
        <v>1.7999999999999999E-2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4" s="72" customFormat="1" ht="14.4" customHeight="1" outlineLevel="1" x14ac:dyDescent="0.3">
      <c r="A20" s="26"/>
      <c r="B20" s="163" t="s">
        <v>127</v>
      </c>
      <c r="C20" s="105">
        <v>1.4999999999999999E-2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spans="1:14" s="72" customFormat="1" ht="14.4" customHeight="1" outlineLevel="1" x14ac:dyDescent="0.3">
      <c r="A21" s="26"/>
      <c r="B21" s="163" t="s">
        <v>175</v>
      </c>
      <c r="C21" s="105">
        <v>1.7999999999999999E-2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2" spans="1:14" s="72" customFormat="1" ht="14.4" customHeight="1" outlineLevel="1" x14ac:dyDescent="0.3">
      <c r="A22" s="26"/>
      <c r="B22" s="163" t="s">
        <v>176</v>
      </c>
      <c r="C22" s="105">
        <v>8.3999999999999995E-3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spans="1:14" s="72" customFormat="1" ht="14.4" customHeight="1" outlineLevel="1" x14ac:dyDescent="0.3">
      <c r="A23" s="26"/>
      <c r="B23" s="163" t="s">
        <v>177</v>
      </c>
      <c r="C23" s="105">
        <v>4.9829999999999999E-2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14" s="72" customFormat="1" ht="14.4" customHeight="1" outlineLevel="1" x14ac:dyDescent="0.3">
      <c r="A24" s="26"/>
      <c r="B24" s="163" t="s">
        <v>65</v>
      </c>
      <c r="C24" s="70">
        <v>7800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 s="72" customFormat="1" ht="14.4" customHeight="1" outlineLevel="1" x14ac:dyDescent="0.3">
      <c r="A25" s="26"/>
      <c r="B25" s="163" t="s">
        <v>94</v>
      </c>
      <c r="C25" s="70">
        <v>300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 s="72" customFormat="1" ht="14.4" customHeight="1" outlineLevel="1" x14ac:dyDescent="0.3">
      <c r="A26" s="26"/>
      <c r="B26" s="163" t="s">
        <v>156</v>
      </c>
      <c r="C26" s="70">
        <v>400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 s="72" customFormat="1" ht="14.4" customHeight="1" outlineLevel="1" x14ac:dyDescent="0.3">
      <c r="A27" s="26"/>
      <c r="B27" s="163" t="s">
        <v>157</v>
      </c>
      <c r="C27" s="70">
        <v>549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 s="72" customFormat="1" ht="14.4" customHeight="1" outlineLevel="1" x14ac:dyDescent="0.3">
      <c r="A28" s="26"/>
      <c r="B28" s="163" t="s">
        <v>99</v>
      </c>
      <c r="C28" s="70">
        <v>230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 s="72" customFormat="1" ht="14.4" customHeight="1" outlineLevel="1" x14ac:dyDescent="0.3">
      <c r="A29" s="26"/>
      <c r="B29" s="163" t="s">
        <v>128</v>
      </c>
      <c r="C29" s="70">
        <v>0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 s="72" customFormat="1" ht="14.4" customHeight="1" outlineLevel="1" x14ac:dyDescent="0.3">
      <c r="A30" s="26"/>
      <c r="B30" s="163" t="s">
        <v>12</v>
      </c>
      <c r="C30" s="70">
        <v>600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 s="72" customFormat="1" ht="14.4" customHeight="1" outlineLevel="1" x14ac:dyDescent="0.3">
      <c r="A31" s="26"/>
      <c r="B31" s="163" t="s">
        <v>95</v>
      </c>
      <c r="C31" s="70">
        <v>2000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 s="72" customFormat="1" ht="14.4" customHeight="1" outlineLevel="1" x14ac:dyDescent="0.3">
      <c r="A32" s="26"/>
      <c r="B32" s="163" t="s">
        <v>96</v>
      </c>
      <c r="C32" s="70">
        <v>170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62" s="72" customFormat="1" ht="14.4" customHeight="1" outlineLevel="1" x14ac:dyDescent="0.3">
      <c r="A33" s="26"/>
      <c r="B33" s="163" t="s">
        <v>158</v>
      </c>
      <c r="C33" s="70">
        <v>150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62" s="72" customFormat="1" ht="14.4" customHeight="1" outlineLevel="1" x14ac:dyDescent="0.3">
      <c r="A34" s="26"/>
      <c r="B34" s="163" t="s">
        <v>181</v>
      </c>
      <c r="C34" s="70">
        <v>500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62" s="72" customFormat="1" ht="14.4" customHeight="1" outlineLevel="1" x14ac:dyDescent="0.3">
      <c r="A35" s="26"/>
      <c r="B35" s="169" t="s">
        <v>178</v>
      </c>
      <c r="C35" s="105">
        <v>2.3E-3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62" s="72" customFormat="1" ht="14.4" customHeight="1" outlineLevel="1" x14ac:dyDescent="0.3">
      <c r="A36" s="26"/>
      <c r="B36" s="164" t="s">
        <v>98</v>
      </c>
      <c r="C36" s="70">
        <v>400</v>
      </c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62" s="72" customFormat="1" ht="14.4" customHeight="1" outlineLevel="1" x14ac:dyDescent="0.3">
      <c r="A37" s="26"/>
      <c r="B37" s="26"/>
      <c r="C37" s="71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62" s="72" customFormat="1" ht="14.4" customHeight="1" outlineLevel="1" x14ac:dyDescent="0.3">
      <c r="A38" s="26"/>
      <c r="B38" s="234" t="str">
        <f>"O PAYBACK SIMPLES                                   OCORRE EM "&amp;COUNTIF(C100:BJ100,"=1")+1&amp;" MESES"</f>
        <v>O PAYBACK SIMPLES                                   OCORRE EM 19 MESES</v>
      </c>
      <c r="C38" s="74" t="s">
        <v>111</v>
      </c>
      <c r="D38" s="241" t="s">
        <v>112</v>
      </c>
      <c r="E38" s="241"/>
      <c r="F38" s="241" t="s">
        <v>113</v>
      </c>
      <c r="G38" s="243"/>
      <c r="H38" s="73"/>
      <c r="I38" s="73"/>
      <c r="J38" s="73"/>
      <c r="K38" s="73"/>
      <c r="L38" s="73"/>
      <c r="M38" s="73"/>
      <c r="N38" s="73"/>
    </row>
    <row r="39" spans="1:62" s="72" customFormat="1" ht="14.4" customHeight="1" outlineLevel="1" x14ac:dyDescent="0.3">
      <c r="A39" s="26"/>
      <c r="B39" s="235"/>
      <c r="C39" s="75">
        <v>0</v>
      </c>
      <c r="D39" s="242">
        <f>-Investimentos!C20-Investimentos!C22</f>
        <v>-274932.34999999998</v>
      </c>
      <c r="E39" s="242"/>
      <c r="F39" s="242">
        <f>D39</f>
        <v>-274932.34999999998</v>
      </c>
      <c r="G39" s="244"/>
      <c r="H39" s="73"/>
      <c r="I39" s="73"/>
      <c r="J39" s="73"/>
      <c r="K39" s="73"/>
      <c r="L39" s="73"/>
      <c r="M39" s="73"/>
      <c r="N39" s="73"/>
    </row>
    <row r="40" spans="1:62" s="72" customFormat="1" ht="14.4" customHeight="1" outlineLevel="1" x14ac:dyDescent="0.3">
      <c r="A40" s="26"/>
      <c r="B40" s="235"/>
      <c r="C40" s="76">
        <v>1</v>
      </c>
      <c r="D40" s="237">
        <f>SUM(C96:N96)</f>
        <v>160100.59949331469</v>
      </c>
      <c r="E40" s="237"/>
      <c r="F40" s="237">
        <f>F39+D40</f>
        <v>-114831.75050668529</v>
      </c>
      <c r="G40" s="238"/>
      <c r="H40" s="73"/>
      <c r="I40" s="73"/>
      <c r="J40" s="73"/>
      <c r="K40" s="73"/>
      <c r="L40" s="73"/>
      <c r="M40" s="73"/>
      <c r="N40" s="73"/>
    </row>
    <row r="41" spans="1:62" s="72" customFormat="1" ht="14.4" customHeight="1" outlineLevel="1" x14ac:dyDescent="0.3">
      <c r="A41" s="26"/>
      <c r="B41" s="235"/>
      <c r="C41" s="76">
        <v>2</v>
      </c>
      <c r="D41" s="237">
        <f>SUM(O96:Z96)</f>
        <v>219655.4246493231</v>
      </c>
      <c r="E41" s="237"/>
      <c r="F41" s="237">
        <f>F40+D41</f>
        <v>104823.67414263781</v>
      </c>
      <c r="G41" s="238"/>
      <c r="H41" s="73"/>
      <c r="I41" s="73"/>
      <c r="J41" s="73"/>
      <c r="K41" s="73"/>
      <c r="L41" s="73"/>
      <c r="M41" s="73"/>
      <c r="N41" s="73"/>
    </row>
    <row r="42" spans="1:62" s="72" customFormat="1" ht="14.4" customHeight="1" outlineLevel="1" x14ac:dyDescent="0.3">
      <c r="A42" s="26"/>
      <c r="B42" s="235"/>
      <c r="C42" s="76">
        <v>3</v>
      </c>
      <c r="D42" s="237">
        <f>SUM(AA96:AL96)</f>
        <v>257447.90606218763</v>
      </c>
      <c r="E42" s="237"/>
      <c r="F42" s="237">
        <f>F41+D42</f>
        <v>362271.58020482544</v>
      </c>
      <c r="G42" s="238"/>
      <c r="H42" s="73"/>
      <c r="I42" s="73"/>
      <c r="J42" s="73"/>
      <c r="K42" s="73"/>
      <c r="L42" s="73"/>
      <c r="M42" s="73"/>
      <c r="N42" s="73"/>
    </row>
    <row r="43" spans="1:62" s="72" customFormat="1" ht="14.4" customHeight="1" outlineLevel="1" x14ac:dyDescent="0.3">
      <c r="A43" s="26"/>
      <c r="B43" s="235"/>
      <c r="C43" s="76">
        <v>4</v>
      </c>
      <c r="D43" s="237">
        <f>SUM(AM96:AX96)</f>
        <v>299428.89580480894</v>
      </c>
      <c r="E43" s="237"/>
      <c r="F43" s="237">
        <f>F42+D43</f>
        <v>661700.47600963432</v>
      </c>
      <c r="G43" s="238"/>
      <c r="H43" s="73"/>
      <c r="I43" s="73"/>
      <c r="J43" s="73"/>
      <c r="K43" s="73"/>
      <c r="L43" s="73"/>
      <c r="M43" s="73"/>
      <c r="N43" s="73"/>
    </row>
    <row r="44" spans="1:62" s="72" customFormat="1" ht="14.4" customHeight="1" outlineLevel="1" x14ac:dyDescent="0.3">
      <c r="A44" s="26"/>
      <c r="B44" s="236"/>
      <c r="C44" s="77">
        <v>5</v>
      </c>
      <c r="D44" s="239">
        <f>SUM(AY96:BJ96)</f>
        <v>354408.69523688342</v>
      </c>
      <c r="E44" s="239"/>
      <c r="F44" s="239">
        <f>F43+D44</f>
        <v>1016109.1712465177</v>
      </c>
      <c r="G44" s="240"/>
      <c r="H44" s="73"/>
      <c r="I44" s="73"/>
      <c r="J44" s="73"/>
      <c r="K44" s="73"/>
      <c r="L44" s="73"/>
      <c r="M44" s="73"/>
      <c r="N44" s="73"/>
    </row>
    <row r="45" spans="1:62" s="72" customFormat="1" ht="14.4" customHeight="1" outlineLevel="1" x14ac:dyDescent="0.3">
      <c r="A45" s="26"/>
      <c r="B45" s="26"/>
      <c r="C45" s="50"/>
      <c r="D45" s="78"/>
      <c r="E45" s="78"/>
      <c r="F45" s="78"/>
      <c r="G45" s="78"/>
      <c r="H45" s="73"/>
      <c r="I45" s="73"/>
      <c r="J45" s="73"/>
      <c r="K45" s="73"/>
      <c r="L45" s="73"/>
      <c r="M45" s="73"/>
      <c r="N45" s="73"/>
      <c r="O45" s="224">
        <v>0.02</v>
      </c>
      <c r="AA45" s="224">
        <v>0.02</v>
      </c>
      <c r="AM45" s="224">
        <v>0.02</v>
      </c>
      <c r="AY45" s="224">
        <v>0.02</v>
      </c>
    </row>
    <row r="46" spans="1:62" s="72" customFormat="1" ht="14.4" customHeight="1" outlineLevel="1" x14ac:dyDescent="0.3">
      <c r="A46" s="26"/>
      <c r="B46" s="26" t="s">
        <v>79</v>
      </c>
      <c r="C46" s="71">
        <v>2.5000000000000001E-3</v>
      </c>
      <c r="D46" s="78"/>
      <c r="E46" s="78"/>
      <c r="F46" s="78"/>
      <c r="G46" s="78"/>
      <c r="H46" s="73"/>
      <c r="I46" s="73"/>
      <c r="J46" s="73"/>
      <c r="K46" s="73"/>
      <c r="L46" s="73"/>
      <c r="M46" s="73"/>
      <c r="N46" s="73">
        <f>N76</f>
        <v>2102.1839999999993</v>
      </c>
    </row>
    <row r="47" spans="1:62" s="72" customFormat="1" ht="14.25" customHeight="1" outlineLevel="1" x14ac:dyDescent="0.3">
      <c r="A47" s="26"/>
      <c r="B47" s="26" t="s">
        <v>152</v>
      </c>
      <c r="C47" s="71">
        <v>2E-3</v>
      </c>
      <c r="E47" s="73"/>
      <c r="F47" s="73"/>
      <c r="G47" s="73"/>
      <c r="H47" s="73"/>
      <c r="I47" s="73"/>
      <c r="J47" s="73"/>
      <c r="K47" s="73"/>
      <c r="L47" s="73"/>
      <c r="M47" s="73"/>
      <c r="N47" s="73">
        <f>N66</f>
        <v>0</v>
      </c>
      <c r="O47" s="72">
        <f>C14-$C$47</f>
        <v>-2E-3</v>
      </c>
    </row>
    <row r="48" spans="1:62" ht="15.9" customHeight="1" x14ac:dyDescent="0.3">
      <c r="B48" s="18" t="s">
        <v>80</v>
      </c>
      <c r="C48" s="79">
        <v>1</v>
      </c>
      <c r="O48" s="174">
        <v>8.633E-3</v>
      </c>
      <c r="P48" s="174">
        <v>8.633E-3</v>
      </c>
      <c r="Q48" s="174">
        <v>8.633E-3</v>
      </c>
      <c r="R48" s="174">
        <v>8.633E-3</v>
      </c>
      <c r="S48" s="174">
        <v>8.633E-3</v>
      </c>
      <c r="T48" s="174">
        <v>8.633E-3</v>
      </c>
      <c r="U48" s="174">
        <v>8.633E-3</v>
      </c>
      <c r="V48" s="174">
        <v>8.633E-3</v>
      </c>
      <c r="W48" s="174">
        <v>8.633E-3</v>
      </c>
      <c r="X48" s="174">
        <v>8.633E-3</v>
      </c>
      <c r="Y48" s="174">
        <v>8.633E-3</v>
      </c>
      <c r="Z48" s="174">
        <v>8.633E-3</v>
      </c>
      <c r="AA48" s="174">
        <v>9.9609999999999994E-3</v>
      </c>
      <c r="AB48" s="174">
        <v>9.9609999999999994E-3</v>
      </c>
      <c r="AC48" s="174">
        <v>9.9609999999999994E-3</v>
      </c>
      <c r="AD48" s="174">
        <v>9.9609999999999994E-3</v>
      </c>
      <c r="AE48" s="174">
        <v>9.9609999999999994E-3</v>
      </c>
      <c r="AF48" s="174">
        <v>9.9609999999999994E-3</v>
      </c>
      <c r="AG48" s="174">
        <v>9.9609999999999994E-3</v>
      </c>
      <c r="AH48" s="174">
        <v>9.9609999999999994E-3</v>
      </c>
      <c r="AI48" s="174">
        <v>9.9609999999999994E-3</v>
      </c>
      <c r="AJ48" s="174">
        <v>9.9609999999999994E-3</v>
      </c>
      <c r="AK48" s="174">
        <v>9.9609999999999994E-3</v>
      </c>
      <c r="AL48" s="174">
        <v>9.9609999999999994E-3</v>
      </c>
      <c r="AM48" s="174">
        <v>1.2666E-2</v>
      </c>
      <c r="AN48" s="174">
        <v>1.2666E-2</v>
      </c>
      <c r="AO48" s="174">
        <v>1.2666E-2</v>
      </c>
      <c r="AP48" s="174">
        <v>1.2666E-2</v>
      </c>
      <c r="AQ48" s="174">
        <v>1.2666E-2</v>
      </c>
      <c r="AR48" s="174">
        <v>1.2666E-2</v>
      </c>
      <c r="AS48" s="174">
        <v>1.2666E-2</v>
      </c>
      <c r="AT48" s="174">
        <v>1.2666E-2</v>
      </c>
      <c r="AU48" s="174">
        <v>1.2666E-2</v>
      </c>
      <c r="AV48" s="174">
        <v>1.2666E-2</v>
      </c>
      <c r="AW48" s="174">
        <v>1.2666E-2</v>
      </c>
      <c r="AX48" s="174">
        <v>1.2666E-2</v>
      </c>
      <c r="AY48" s="174">
        <v>5.4869999999999997E-3</v>
      </c>
      <c r="AZ48" s="174">
        <v>5.4869999999999997E-3</v>
      </c>
      <c r="BA48" s="174">
        <v>5.4869999999999997E-3</v>
      </c>
      <c r="BB48" s="174">
        <v>5.4869999999999997E-3</v>
      </c>
      <c r="BC48" s="174">
        <v>5.4869999999999997E-3</v>
      </c>
      <c r="BD48" s="174">
        <v>5.4869999999999997E-3</v>
      </c>
      <c r="BE48" s="174">
        <v>5.4869999999999997E-3</v>
      </c>
      <c r="BF48" s="174">
        <v>5.4869999999999997E-3</v>
      </c>
      <c r="BG48" s="174">
        <v>5.4869999999999997E-3</v>
      </c>
      <c r="BH48" s="174">
        <v>5.4869999999999997E-3</v>
      </c>
      <c r="BI48" s="174">
        <v>5.4869999999999997E-3</v>
      </c>
      <c r="BJ48" s="174">
        <v>5.4869999999999997E-3</v>
      </c>
    </row>
    <row r="49" spans="1:63" ht="15.9" customHeight="1" x14ac:dyDescent="0.3">
      <c r="B49" s="18" t="s">
        <v>80</v>
      </c>
      <c r="C49" s="82">
        <f>C10</f>
        <v>0.7</v>
      </c>
      <c r="D49" s="82">
        <f>IF(C49&lt;120%,(C49+($C$11)),120%)</f>
        <v>0.71219999999999994</v>
      </c>
      <c r="E49" s="82">
        <f t="shared" ref="E49:AL49" si="0">IF(D49&lt;120%,(D49+($C$11)),120%)</f>
        <v>0.72439999999999993</v>
      </c>
      <c r="F49" s="82">
        <f t="shared" si="0"/>
        <v>0.73659999999999992</v>
      </c>
      <c r="G49" s="82">
        <f t="shared" si="0"/>
        <v>0.74879999999999991</v>
      </c>
      <c r="H49" s="82">
        <f t="shared" si="0"/>
        <v>0.7609999999999999</v>
      </c>
      <c r="I49" s="82">
        <f t="shared" si="0"/>
        <v>0.77319999999999989</v>
      </c>
      <c r="J49" s="82">
        <f t="shared" si="0"/>
        <v>0.78539999999999988</v>
      </c>
      <c r="K49" s="82">
        <f t="shared" si="0"/>
        <v>0.79759999999999986</v>
      </c>
      <c r="L49" s="82">
        <f t="shared" si="0"/>
        <v>0.80979999999999985</v>
      </c>
      <c r="M49" s="82">
        <f t="shared" si="0"/>
        <v>0.82199999999999984</v>
      </c>
      <c r="N49" s="82">
        <f t="shared" si="0"/>
        <v>0.83419999999999983</v>
      </c>
      <c r="O49" s="82">
        <f t="shared" si="0"/>
        <v>0.84639999999999982</v>
      </c>
      <c r="P49" s="82">
        <f t="shared" si="0"/>
        <v>0.85859999999999981</v>
      </c>
      <c r="Q49" s="82">
        <f t="shared" si="0"/>
        <v>0.8707999999999998</v>
      </c>
      <c r="R49" s="82">
        <f t="shared" si="0"/>
        <v>0.88299999999999979</v>
      </c>
      <c r="S49" s="82">
        <f t="shared" si="0"/>
        <v>0.89519999999999977</v>
      </c>
      <c r="T49" s="82">
        <f t="shared" si="0"/>
        <v>0.90739999999999976</v>
      </c>
      <c r="U49" s="82">
        <f>IF(T49&lt;120%,(T49+($C$11+4%)),120%)</f>
        <v>0.95959999999999979</v>
      </c>
      <c r="V49" s="82">
        <f t="shared" si="0"/>
        <v>0.97179999999999978</v>
      </c>
      <c r="W49" s="82">
        <f t="shared" si="0"/>
        <v>0.98399999999999976</v>
      </c>
      <c r="X49" s="82">
        <f t="shared" si="0"/>
        <v>0.99619999999999975</v>
      </c>
      <c r="Y49" s="82">
        <f t="shared" si="0"/>
        <v>1.0083999999999997</v>
      </c>
      <c r="Z49" s="82">
        <f t="shared" si="0"/>
        <v>1.0205999999999997</v>
      </c>
      <c r="AA49" s="82">
        <f t="shared" si="0"/>
        <v>1.0327999999999997</v>
      </c>
      <c r="AB49" s="82">
        <f t="shared" si="0"/>
        <v>1.0449999999999997</v>
      </c>
      <c r="AC49" s="82">
        <f t="shared" si="0"/>
        <v>1.0571999999999997</v>
      </c>
      <c r="AD49" s="82">
        <f t="shared" si="0"/>
        <v>1.0693999999999997</v>
      </c>
      <c r="AE49" s="82">
        <f t="shared" si="0"/>
        <v>1.0815999999999997</v>
      </c>
      <c r="AF49" s="82">
        <f t="shared" si="0"/>
        <v>1.0937999999999997</v>
      </c>
      <c r="AG49" s="82">
        <f>IF(AF49&lt;120%,(AF49+($C$11+3%)),120%)</f>
        <v>1.1359999999999997</v>
      </c>
      <c r="AH49" s="82">
        <f t="shared" si="0"/>
        <v>1.1481999999999997</v>
      </c>
      <c r="AI49" s="82">
        <f t="shared" si="0"/>
        <v>1.1603999999999997</v>
      </c>
      <c r="AJ49" s="82">
        <f t="shared" si="0"/>
        <v>1.1725999999999996</v>
      </c>
      <c r="AK49" s="82">
        <f t="shared" si="0"/>
        <v>1.1847999999999996</v>
      </c>
      <c r="AL49" s="82">
        <f t="shared" si="0"/>
        <v>1.1969999999999996</v>
      </c>
      <c r="AM49" s="82">
        <f>IF(AL49&lt;140%,(AL49+($C$11)),140%)</f>
        <v>1.2091999999999996</v>
      </c>
      <c r="AN49" s="82">
        <f t="shared" ref="AN49:BJ49" si="1">IF(AM49&lt;140%,(AM49+($C$11)),140%)</f>
        <v>1.2213999999999996</v>
      </c>
      <c r="AO49" s="82">
        <f t="shared" si="1"/>
        <v>1.2335999999999996</v>
      </c>
      <c r="AP49" s="82">
        <f t="shared" si="1"/>
        <v>1.2457999999999996</v>
      </c>
      <c r="AQ49" s="82">
        <f t="shared" si="1"/>
        <v>1.2579999999999996</v>
      </c>
      <c r="AR49" s="82">
        <f t="shared" si="1"/>
        <v>1.2701999999999996</v>
      </c>
      <c r="AS49" s="82">
        <f t="shared" si="1"/>
        <v>1.2823999999999995</v>
      </c>
      <c r="AT49" s="82">
        <f t="shared" si="1"/>
        <v>1.2945999999999995</v>
      </c>
      <c r="AU49" s="82">
        <f t="shared" si="1"/>
        <v>1.3067999999999995</v>
      </c>
      <c r="AV49" s="82">
        <f t="shared" si="1"/>
        <v>1.3189999999999995</v>
      </c>
      <c r="AW49" s="82">
        <f t="shared" si="1"/>
        <v>1.3311999999999995</v>
      </c>
      <c r="AX49" s="82">
        <f t="shared" si="1"/>
        <v>1.3433999999999995</v>
      </c>
      <c r="AY49" s="82">
        <f t="shared" si="1"/>
        <v>1.3555999999999995</v>
      </c>
      <c r="AZ49" s="82">
        <f t="shared" si="1"/>
        <v>1.3677999999999995</v>
      </c>
      <c r="BA49" s="82">
        <f t="shared" si="1"/>
        <v>1.3799999999999994</v>
      </c>
      <c r="BB49" s="82">
        <f t="shared" si="1"/>
        <v>1.3921999999999994</v>
      </c>
      <c r="BC49" s="82">
        <f t="shared" si="1"/>
        <v>1.4043999999999994</v>
      </c>
      <c r="BD49" s="82">
        <f t="shared" si="1"/>
        <v>1.4</v>
      </c>
      <c r="BE49" s="82">
        <f t="shared" si="1"/>
        <v>1.4</v>
      </c>
      <c r="BF49" s="82">
        <f t="shared" si="1"/>
        <v>1.4</v>
      </c>
      <c r="BG49" s="82">
        <f t="shared" si="1"/>
        <v>1.4</v>
      </c>
      <c r="BH49" s="82">
        <f t="shared" si="1"/>
        <v>1.4</v>
      </c>
      <c r="BI49" s="82">
        <f t="shared" si="1"/>
        <v>1.4</v>
      </c>
      <c r="BJ49" s="82">
        <f t="shared" si="1"/>
        <v>1.4</v>
      </c>
    </row>
    <row r="50" spans="1:63" ht="15.9" customHeight="1" x14ac:dyDescent="0.3">
      <c r="B50" s="83" t="s">
        <v>133</v>
      </c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</row>
    <row r="51" spans="1:63" s="89" customFormat="1" ht="14.1" customHeight="1" outlineLevel="1" x14ac:dyDescent="0.3">
      <c r="A51" s="84"/>
      <c r="B51" s="85" t="s">
        <v>84</v>
      </c>
      <c r="C51" s="86">
        <v>0</v>
      </c>
      <c r="D51" s="87">
        <v>1</v>
      </c>
      <c r="E51" s="87">
        <v>2</v>
      </c>
      <c r="F51" s="87">
        <v>3</v>
      </c>
      <c r="G51" s="87">
        <v>4</v>
      </c>
      <c r="H51" s="87">
        <v>5</v>
      </c>
      <c r="I51" s="87">
        <v>6</v>
      </c>
      <c r="J51" s="87">
        <v>7</v>
      </c>
      <c r="K51" s="87">
        <v>8</v>
      </c>
      <c r="L51" s="87">
        <v>9</v>
      </c>
      <c r="M51" s="87">
        <v>10</v>
      </c>
      <c r="N51" s="88">
        <v>11</v>
      </c>
      <c r="Z51" s="90"/>
      <c r="AL51" s="90"/>
      <c r="AX51" s="90"/>
      <c r="BJ51" s="90"/>
    </row>
    <row r="52" spans="1:63" s="89" customFormat="1" ht="14.1" customHeight="1" outlineLevel="1" x14ac:dyDescent="0.3">
      <c r="A52" s="84"/>
      <c r="B52" s="91" t="s">
        <v>85</v>
      </c>
      <c r="C52" s="92"/>
      <c r="D52" s="93">
        <f>C59</f>
        <v>98000</v>
      </c>
      <c r="E52" s="93">
        <f>D53+D59</f>
        <v>197708</v>
      </c>
      <c r="F52" s="93">
        <f t="shared" ref="F52:N52" si="2">E52+E59</f>
        <v>299124</v>
      </c>
      <c r="G52" s="93">
        <f t="shared" si="2"/>
        <v>402248</v>
      </c>
      <c r="H52" s="93">
        <f t="shared" si="2"/>
        <v>507080</v>
      </c>
      <c r="I52" s="93">
        <f t="shared" si="2"/>
        <v>613620</v>
      </c>
      <c r="J52" s="93">
        <f t="shared" si="2"/>
        <v>721868</v>
      </c>
      <c r="K52" s="93">
        <f t="shared" si="2"/>
        <v>831824</v>
      </c>
      <c r="L52" s="93">
        <f t="shared" si="2"/>
        <v>943488</v>
      </c>
      <c r="M52" s="93">
        <f t="shared" si="2"/>
        <v>1056860</v>
      </c>
      <c r="N52" s="94">
        <f t="shared" si="2"/>
        <v>1171940</v>
      </c>
      <c r="O52" s="95">
        <f>SUM(C59:N59)</f>
        <v>1288728</v>
      </c>
      <c r="P52" s="95">
        <f>SUM(D59:O59)</f>
        <v>1309223.9999999998</v>
      </c>
      <c r="Q52" s="95">
        <f t="shared" ref="Q52:BJ52" si="3">SUM(E59:P59)</f>
        <v>1329719.9999999998</v>
      </c>
      <c r="R52" s="95">
        <f t="shared" si="3"/>
        <v>1350215.9999999998</v>
      </c>
      <c r="S52" s="95">
        <f t="shared" si="3"/>
        <v>1370711.9999999998</v>
      </c>
      <c r="T52" s="95">
        <f t="shared" si="3"/>
        <v>1391207.9999999998</v>
      </c>
      <c r="U52" s="95">
        <f t="shared" si="3"/>
        <v>1411703.9999999998</v>
      </c>
      <c r="V52" s="95">
        <f t="shared" si="3"/>
        <v>1437799.9999999998</v>
      </c>
      <c r="W52" s="95">
        <f t="shared" si="3"/>
        <v>1463895.9999999998</v>
      </c>
      <c r="X52" s="95">
        <f t="shared" si="3"/>
        <v>1489991.9999999998</v>
      </c>
      <c r="Y52" s="95">
        <f t="shared" si="3"/>
        <v>1516087.9999999998</v>
      </c>
      <c r="Z52" s="96">
        <f t="shared" si="3"/>
        <v>1542183.9999999998</v>
      </c>
      <c r="AA52" s="95">
        <f t="shared" si="3"/>
        <v>1568279.9999999998</v>
      </c>
      <c r="AB52" s="95">
        <f t="shared" si="3"/>
        <v>1594375.9999999998</v>
      </c>
      <c r="AC52" s="95">
        <f t="shared" si="3"/>
        <v>1620471.9999999998</v>
      </c>
      <c r="AD52" s="95">
        <f t="shared" si="3"/>
        <v>1646567.9999999998</v>
      </c>
      <c r="AE52" s="95">
        <f t="shared" si="3"/>
        <v>1672663.9999999998</v>
      </c>
      <c r="AF52" s="95">
        <f t="shared" si="3"/>
        <v>1698759.9999999998</v>
      </c>
      <c r="AG52" s="95">
        <f t="shared" si="3"/>
        <v>1724855.9999999998</v>
      </c>
      <c r="AH52" s="95">
        <f t="shared" si="3"/>
        <v>1749551.9999999998</v>
      </c>
      <c r="AI52" s="95">
        <f t="shared" si="3"/>
        <v>1774247.9999999998</v>
      </c>
      <c r="AJ52" s="95">
        <f t="shared" si="3"/>
        <v>1798943.9999999998</v>
      </c>
      <c r="AK52" s="95">
        <f t="shared" si="3"/>
        <v>1823639.9999999998</v>
      </c>
      <c r="AL52" s="96">
        <f t="shared" si="3"/>
        <v>1848335.9999999998</v>
      </c>
      <c r="AM52" s="95">
        <f t="shared" si="3"/>
        <v>1873031.9999999998</v>
      </c>
      <c r="AN52" s="95">
        <f t="shared" si="3"/>
        <v>1897727.9999999998</v>
      </c>
      <c r="AO52" s="95">
        <f t="shared" si="3"/>
        <v>1922423.9999999998</v>
      </c>
      <c r="AP52" s="95">
        <f t="shared" si="3"/>
        <v>1947119.9999999998</v>
      </c>
      <c r="AQ52" s="95">
        <f t="shared" si="3"/>
        <v>1971815.9999999998</v>
      </c>
      <c r="AR52" s="95">
        <f t="shared" si="3"/>
        <v>1996511.9999999998</v>
      </c>
      <c r="AS52" s="95">
        <f t="shared" si="3"/>
        <v>2021207.9999999998</v>
      </c>
      <c r="AT52" s="95">
        <f t="shared" si="3"/>
        <v>2041703.9999999998</v>
      </c>
      <c r="AU52" s="95">
        <f t="shared" si="3"/>
        <v>2062199.9999999998</v>
      </c>
      <c r="AV52" s="95">
        <f t="shared" si="3"/>
        <v>2082695.9999999998</v>
      </c>
      <c r="AW52" s="95">
        <f t="shared" si="3"/>
        <v>2103191.9999999995</v>
      </c>
      <c r="AX52" s="96">
        <f t="shared" si="3"/>
        <v>2123687.9999999995</v>
      </c>
      <c r="AY52" s="95">
        <f t="shared" si="3"/>
        <v>2144183.9999999995</v>
      </c>
      <c r="AZ52" s="95">
        <f t="shared" si="3"/>
        <v>2164679.9999999995</v>
      </c>
      <c r="BA52" s="95">
        <f t="shared" si="3"/>
        <v>2185175.9999999995</v>
      </c>
      <c r="BB52" s="95">
        <f t="shared" si="3"/>
        <v>2205671.9999999995</v>
      </c>
      <c r="BC52" s="95">
        <f t="shared" si="3"/>
        <v>2226167.9999999995</v>
      </c>
      <c r="BD52" s="95">
        <f t="shared" si="3"/>
        <v>2246663.9999999995</v>
      </c>
      <c r="BE52" s="95">
        <f t="shared" si="3"/>
        <v>2264836</v>
      </c>
      <c r="BF52" s="95">
        <f t="shared" si="3"/>
        <v>2281300</v>
      </c>
      <c r="BG52" s="95">
        <f t="shared" si="3"/>
        <v>2296055.9999999995</v>
      </c>
      <c r="BH52" s="95">
        <f t="shared" si="3"/>
        <v>2309103.9999999995</v>
      </c>
      <c r="BI52" s="95">
        <f t="shared" si="3"/>
        <v>2320443.9999999995</v>
      </c>
      <c r="BJ52" s="96">
        <f t="shared" si="3"/>
        <v>2330075.9999999995</v>
      </c>
    </row>
    <row r="53" spans="1:63" s="89" customFormat="1" ht="14.1" customHeight="1" outlineLevel="1" x14ac:dyDescent="0.3">
      <c r="A53" s="84"/>
      <c r="B53" s="97" t="s">
        <v>86</v>
      </c>
      <c r="C53" s="98">
        <f>C59</f>
        <v>98000</v>
      </c>
      <c r="D53" s="93">
        <f>D52/D51</f>
        <v>98000</v>
      </c>
      <c r="E53" s="93">
        <f t="shared" ref="E53:N53" si="4">E52/E51</f>
        <v>98854</v>
      </c>
      <c r="F53" s="93">
        <f t="shared" si="4"/>
        <v>99708</v>
      </c>
      <c r="G53" s="93">
        <f t="shared" si="4"/>
        <v>100562</v>
      </c>
      <c r="H53" s="93">
        <f t="shared" si="4"/>
        <v>101416</v>
      </c>
      <c r="I53" s="93">
        <f t="shared" si="4"/>
        <v>102270</v>
      </c>
      <c r="J53" s="93">
        <f t="shared" si="4"/>
        <v>103124</v>
      </c>
      <c r="K53" s="93">
        <f t="shared" si="4"/>
        <v>103978</v>
      </c>
      <c r="L53" s="93">
        <f t="shared" si="4"/>
        <v>104832</v>
      </c>
      <c r="M53" s="93">
        <f t="shared" si="4"/>
        <v>105686</v>
      </c>
      <c r="N53" s="99">
        <f t="shared" si="4"/>
        <v>106540</v>
      </c>
      <c r="O53" s="95" t="s">
        <v>82</v>
      </c>
      <c r="P53" s="100" t="s">
        <v>82</v>
      </c>
      <c r="Q53" s="100" t="s">
        <v>82</v>
      </c>
      <c r="R53" s="100" t="s">
        <v>82</v>
      </c>
      <c r="S53" s="100" t="s">
        <v>82</v>
      </c>
      <c r="T53" s="100" t="s">
        <v>82</v>
      </c>
      <c r="U53" s="100" t="s">
        <v>82</v>
      </c>
      <c r="V53" s="100" t="s">
        <v>82</v>
      </c>
      <c r="W53" s="100" t="s">
        <v>82</v>
      </c>
      <c r="X53" s="100" t="s">
        <v>82</v>
      </c>
      <c r="Y53" s="100" t="s">
        <v>82</v>
      </c>
      <c r="Z53" s="96" t="s">
        <v>82</v>
      </c>
      <c r="AA53" s="95" t="s">
        <v>82</v>
      </c>
      <c r="AB53" s="100" t="s">
        <v>82</v>
      </c>
      <c r="AC53" s="100" t="s">
        <v>82</v>
      </c>
      <c r="AD53" s="100" t="s">
        <v>82</v>
      </c>
      <c r="AE53" s="100" t="s">
        <v>82</v>
      </c>
      <c r="AF53" s="100" t="s">
        <v>82</v>
      </c>
      <c r="AG53" s="100" t="s">
        <v>82</v>
      </c>
      <c r="AH53" s="100" t="s">
        <v>82</v>
      </c>
      <c r="AI53" s="100" t="s">
        <v>82</v>
      </c>
      <c r="AJ53" s="100" t="s">
        <v>82</v>
      </c>
      <c r="AK53" s="100" t="s">
        <v>82</v>
      </c>
      <c r="AL53" s="96" t="s">
        <v>82</v>
      </c>
      <c r="AM53" s="95" t="s">
        <v>82</v>
      </c>
      <c r="AN53" s="100" t="s">
        <v>82</v>
      </c>
      <c r="AO53" s="100" t="s">
        <v>82</v>
      </c>
      <c r="AP53" s="100" t="s">
        <v>82</v>
      </c>
      <c r="AQ53" s="100" t="s">
        <v>82</v>
      </c>
      <c r="AR53" s="100" t="s">
        <v>82</v>
      </c>
      <c r="AS53" s="100" t="s">
        <v>82</v>
      </c>
      <c r="AT53" s="100" t="s">
        <v>82</v>
      </c>
      <c r="AU53" s="100" t="s">
        <v>82</v>
      </c>
      <c r="AV53" s="100" t="s">
        <v>82</v>
      </c>
      <c r="AW53" s="100" t="s">
        <v>82</v>
      </c>
      <c r="AX53" s="96" t="s">
        <v>82</v>
      </c>
      <c r="AY53" s="95" t="s">
        <v>82</v>
      </c>
      <c r="AZ53" s="100" t="s">
        <v>82</v>
      </c>
      <c r="BA53" s="100" t="s">
        <v>82</v>
      </c>
      <c r="BB53" s="100" t="s">
        <v>82</v>
      </c>
      <c r="BC53" s="100" t="s">
        <v>82</v>
      </c>
      <c r="BD53" s="100" t="s">
        <v>82</v>
      </c>
      <c r="BE53" s="100" t="s">
        <v>82</v>
      </c>
      <c r="BF53" s="100" t="s">
        <v>82</v>
      </c>
      <c r="BG53" s="100" t="s">
        <v>82</v>
      </c>
      <c r="BH53" s="100" t="s">
        <v>82</v>
      </c>
      <c r="BI53" s="100" t="s">
        <v>82</v>
      </c>
      <c r="BJ53" s="96" t="s">
        <v>82</v>
      </c>
    </row>
    <row r="54" spans="1:63" s="89" customFormat="1" ht="14.1" customHeight="1" outlineLevel="1" x14ac:dyDescent="0.3">
      <c r="A54" s="84"/>
      <c r="B54" s="91" t="s">
        <v>87</v>
      </c>
      <c r="C54" s="92">
        <f>C53*12</f>
        <v>1176000</v>
      </c>
      <c r="D54" s="93">
        <f t="shared" ref="D54:N54" si="5">D53*12</f>
        <v>1176000</v>
      </c>
      <c r="E54" s="93">
        <f t="shared" si="5"/>
        <v>1186248</v>
      </c>
      <c r="F54" s="93">
        <f t="shared" si="5"/>
        <v>1196496</v>
      </c>
      <c r="G54" s="93">
        <f t="shared" si="5"/>
        <v>1206744</v>
      </c>
      <c r="H54" s="93">
        <f t="shared" si="5"/>
        <v>1216992</v>
      </c>
      <c r="I54" s="93">
        <f t="shared" si="5"/>
        <v>1227240</v>
      </c>
      <c r="J54" s="93">
        <f t="shared" si="5"/>
        <v>1237488</v>
      </c>
      <c r="K54" s="93">
        <f t="shared" si="5"/>
        <v>1247736</v>
      </c>
      <c r="L54" s="93">
        <f t="shared" si="5"/>
        <v>1257984</v>
      </c>
      <c r="M54" s="93">
        <f t="shared" si="5"/>
        <v>1268232</v>
      </c>
      <c r="N54" s="94">
        <f t="shared" si="5"/>
        <v>1278480</v>
      </c>
      <c r="O54" s="95" t="s">
        <v>82</v>
      </c>
      <c r="P54" s="100" t="s">
        <v>82</v>
      </c>
      <c r="Q54" s="100" t="s">
        <v>82</v>
      </c>
      <c r="R54" s="100" t="s">
        <v>82</v>
      </c>
      <c r="S54" s="100" t="s">
        <v>82</v>
      </c>
      <c r="T54" s="100" t="s">
        <v>82</v>
      </c>
      <c r="U54" s="100" t="s">
        <v>82</v>
      </c>
      <c r="V54" s="100" t="s">
        <v>82</v>
      </c>
      <c r="W54" s="100" t="s">
        <v>82</v>
      </c>
      <c r="X54" s="100" t="s">
        <v>82</v>
      </c>
      <c r="Y54" s="100" t="s">
        <v>82</v>
      </c>
      <c r="Z54" s="96" t="s">
        <v>82</v>
      </c>
      <c r="AA54" s="95" t="s">
        <v>82</v>
      </c>
      <c r="AB54" s="100" t="s">
        <v>82</v>
      </c>
      <c r="AC54" s="100" t="s">
        <v>82</v>
      </c>
      <c r="AD54" s="100" t="s">
        <v>82</v>
      </c>
      <c r="AE54" s="100" t="s">
        <v>82</v>
      </c>
      <c r="AF54" s="100" t="s">
        <v>82</v>
      </c>
      <c r="AG54" s="100" t="s">
        <v>82</v>
      </c>
      <c r="AH54" s="100" t="s">
        <v>82</v>
      </c>
      <c r="AI54" s="100" t="s">
        <v>82</v>
      </c>
      <c r="AJ54" s="100" t="s">
        <v>82</v>
      </c>
      <c r="AK54" s="100" t="s">
        <v>82</v>
      </c>
      <c r="AL54" s="96" t="s">
        <v>82</v>
      </c>
      <c r="AM54" s="95" t="s">
        <v>82</v>
      </c>
      <c r="AN54" s="100" t="s">
        <v>82</v>
      </c>
      <c r="AO54" s="100" t="s">
        <v>82</v>
      </c>
      <c r="AP54" s="100" t="s">
        <v>82</v>
      </c>
      <c r="AQ54" s="100" t="s">
        <v>82</v>
      </c>
      <c r="AR54" s="100" t="s">
        <v>82</v>
      </c>
      <c r="AS54" s="100" t="s">
        <v>82</v>
      </c>
      <c r="AT54" s="100" t="s">
        <v>82</v>
      </c>
      <c r="AU54" s="100" t="s">
        <v>82</v>
      </c>
      <c r="AV54" s="100" t="s">
        <v>82</v>
      </c>
      <c r="AW54" s="100" t="s">
        <v>82</v>
      </c>
      <c r="AX54" s="96" t="s">
        <v>82</v>
      </c>
      <c r="AY54" s="95" t="s">
        <v>82</v>
      </c>
      <c r="AZ54" s="100" t="s">
        <v>82</v>
      </c>
      <c r="BA54" s="100" t="s">
        <v>82</v>
      </c>
      <c r="BB54" s="100" t="s">
        <v>82</v>
      </c>
      <c r="BC54" s="100" t="s">
        <v>82</v>
      </c>
      <c r="BD54" s="100" t="s">
        <v>82</v>
      </c>
      <c r="BE54" s="100" t="s">
        <v>82</v>
      </c>
      <c r="BF54" s="100" t="s">
        <v>82</v>
      </c>
      <c r="BG54" s="100" t="s">
        <v>82</v>
      </c>
      <c r="BH54" s="100" t="s">
        <v>82</v>
      </c>
      <c r="BI54" s="100" t="s">
        <v>82</v>
      </c>
      <c r="BJ54" s="96" t="s">
        <v>82</v>
      </c>
    </row>
    <row r="55" spans="1:63" s="89" customFormat="1" ht="14.1" customHeight="1" outlineLevel="1" x14ac:dyDescent="0.3">
      <c r="A55" s="84"/>
      <c r="B55" s="91" t="s">
        <v>88</v>
      </c>
      <c r="C55" s="101">
        <f>LOOKUP(C54,'Simples Nacional'!$B$4:$D$23,'Simples Nacional'!$D$4:$D$23)</f>
        <v>0.107</v>
      </c>
      <c r="D55" s="102">
        <f>LOOKUP(D54,'Simples Nacional'!$B$4:$D$23,'Simples Nacional'!$D$4:$D$23)</f>
        <v>0.107</v>
      </c>
      <c r="E55" s="102">
        <f>LOOKUP(E54,'Simples Nacional'!$B$4:$D$23,'Simples Nacional'!$D$4:$D$23)</f>
        <v>0.107</v>
      </c>
      <c r="F55" s="102">
        <f>LOOKUP(F54,'Simples Nacional'!$B$4:$D$23,'Simples Nacional'!$D$4:$D$23)</f>
        <v>0.107</v>
      </c>
      <c r="G55" s="102">
        <f>LOOKUP(G54,'Simples Nacional'!$B$4:$D$23,'Simples Nacional'!$D$4:$D$23)</f>
        <v>0.107</v>
      </c>
      <c r="H55" s="102">
        <f>LOOKUP(H54,'Simples Nacional'!$B$4:$D$23,'Simples Nacional'!$D$4:$D$23)</f>
        <v>0.107</v>
      </c>
      <c r="I55" s="102">
        <f>LOOKUP(I54,'Simples Nacional'!$B$4:$D$23,'Simples Nacional'!$D$4:$D$23)</f>
        <v>0.107</v>
      </c>
      <c r="J55" s="102">
        <f>LOOKUP(J54,'Simples Nacional'!$B$4:$D$23,'Simples Nacional'!$D$4:$D$23)</f>
        <v>0.107</v>
      </c>
      <c r="K55" s="102">
        <f>LOOKUP(K54,'Simples Nacional'!$B$4:$D$23,'Simples Nacional'!$D$4:$D$23)</f>
        <v>0.107</v>
      </c>
      <c r="L55" s="102">
        <f>LOOKUP(L54,'Simples Nacional'!$B$4:$D$23,'Simples Nacional'!$D$4:$D$23)</f>
        <v>0.107</v>
      </c>
      <c r="M55" s="102">
        <f>LOOKUP(M54,'Simples Nacional'!$B$4:$D$23,'Simples Nacional'!$D$4:$D$23)</f>
        <v>0.107</v>
      </c>
      <c r="N55" s="103">
        <f>LOOKUP(N54,'Simples Nacional'!$B$4:$D$23,'Simples Nacional'!$D$4:$D$23)</f>
        <v>0.107</v>
      </c>
      <c r="O55" s="104">
        <f>LOOKUP(O52,'Simples Nacional'!$B$4:$D$23,'Simples Nacional'!$D$4:$D$23)</f>
        <v>0.107</v>
      </c>
      <c r="P55" s="105">
        <f>LOOKUP(P52,'Simples Nacional'!$B$4:$D$23,'Simples Nacional'!$D$4:$D$23)</f>
        <v>0.107</v>
      </c>
      <c r="Q55" s="105">
        <f>LOOKUP(Q52,'Simples Nacional'!$B$4:$D$23,'Simples Nacional'!$D$4:$D$23)</f>
        <v>0.107</v>
      </c>
      <c r="R55" s="105">
        <f>LOOKUP(R52,'Simples Nacional'!$B$4:$D$23,'Simples Nacional'!$D$4:$D$23)</f>
        <v>0.107</v>
      </c>
      <c r="S55" s="105">
        <f>LOOKUP(S52,'Simples Nacional'!$B$4:$D$23,'Simples Nacional'!$D$4:$D$23)</f>
        <v>0.107</v>
      </c>
      <c r="T55" s="105">
        <f>LOOKUP(T52,'Simples Nacional'!$B$4:$D$23,'Simples Nacional'!$D$4:$D$23)</f>
        <v>0.107</v>
      </c>
      <c r="U55" s="105">
        <f>LOOKUP(U52,'Simples Nacional'!$B$4:$D$23,'Simples Nacional'!$D$4:$D$23)</f>
        <v>0.107</v>
      </c>
      <c r="V55" s="105">
        <f>LOOKUP(V52,'Simples Nacional'!$B$4:$D$23,'Simples Nacional'!$D$4:$D$23)</f>
        <v>0.107</v>
      </c>
      <c r="W55" s="105">
        <f>LOOKUP(W52,'Simples Nacional'!$B$4:$D$23,'Simples Nacional'!$D$4:$D$23)</f>
        <v>0.107</v>
      </c>
      <c r="X55" s="105">
        <f>LOOKUP(X52,'Simples Nacional'!$B$4:$D$23,'Simples Nacional'!$D$4:$D$23)</f>
        <v>0.107</v>
      </c>
      <c r="Y55" s="105">
        <f>LOOKUP(Y52,'Simples Nacional'!$B$4:$D$23,'Simples Nacional'!$D$4:$D$23)</f>
        <v>0.107</v>
      </c>
      <c r="Z55" s="103">
        <f>LOOKUP(Z52,'Simples Nacional'!$B$4:$D$23,'Simples Nacional'!$D$4:$D$23)</f>
        <v>0.107</v>
      </c>
      <c r="AA55" s="104">
        <f>LOOKUP(AA52,'Simples Nacional'!$B$4:$D$23,'Simples Nacional'!$D$4:$D$23)</f>
        <v>0.107</v>
      </c>
      <c r="AB55" s="105">
        <f>LOOKUP(AB52,'Simples Nacional'!$B$4:$D$23,'Simples Nacional'!$D$4:$D$23)</f>
        <v>0.107</v>
      </c>
      <c r="AC55" s="105">
        <f>LOOKUP(AC52,'Simples Nacional'!$B$4:$D$23,'Simples Nacional'!$D$4:$D$23)</f>
        <v>0.107</v>
      </c>
      <c r="AD55" s="105">
        <f>LOOKUP(AD52,'Simples Nacional'!$B$4:$D$23,'Simples Nacional'!$D$4:$D$23)</f>
        <v>0.107</v>
      </c>
      <c r="AE55" s="105">
        <f>LOOKUP(AE52,'Simples Nacional'!$B$4:$D$23,'Simples Nacional'!$D$4:$D$23)</f>
        <v>0.107</v>
      </c>
      <c r="AF55" s="105">
        <f>LOOKUP(AF52,'Simples Nacional'!$B$4:$D$23,'Simples Nacional'!$D$4:$D$23)</f>
        <v>0.107</v>
      </c>
      <c r="AG55" s="105">
        <f>LOOKUP(AG52,'Simples Nacional'!$B$4:$D$23,'Simples Nacional'!$D$4:$D$23)</f>
        <v>0.107</v>
      </c>
      <c r="AH55" s="105">
        <f>LOOKUP(AH52,'Simples Nacional'!$B$4:$D$23,'Simples Nacional'!$D$4:$D$23)</f>
        <v>0.107</v>
      </c>
      <c r="AI55" s="105">
        <f>LOOKUP(AI52,'Simples Nacional'!$B$4:$D$23,'Simples Nacional'!$D$4:$D$23)</f>
        <v>0.107</v>
      </c>
      <c r="AJ55" s="105">
        <f>LOOKUP(AJ52,'Simples Nacional'!$B$4:$D$23,'Simples Nacional'!$D$4:$D$23)</f>
        <v>0.107</v>
      </c>
      <c r="AK55" s="105">
        <f>LOOKUP(AK52,'Simples Nacional'!$B$4:$D$23,'Simples Nacional'!$D$4:$D$23)</f>
        <v>0.14299999999999999</v>
      </c>
      <c r="AL55" s="103">
        <f>LOOKUP(AL52,'Simples Nacional'!$B$4:$D$23,'Simples Nacional'!$D$4:$D$23)</f>
        <v>0.14299999999999999</v>
      </c>
      <c r="AM55" s="104">
        <f>LOOKUP(AM52,'Simples Nacional'!$B$4:$D$23,'Simples Nacional'!$D$4:$D$23)</f>
        <v>0.14299999999999999</v>
      </c>
      <c r="AN55" s="105">
        <f>LOOKUP(AN52,'Simples Nacional'!$B$4:$D$23,'Simples Nacional'!$D$4:$D$23)</f>
        <v>0.14299999999999999</v>
      </c>
      <c r="AO55" s="105">
        <f>LOOKUP(AO52,'Simples Nacional'!$B$4:$D$23,'Simples Nacional'!$D$4:$D$23)</f>
        <v>0.14299999999999999</v>
      </c>
      <c r="AP55" s="105">
        <f>LOOKUP(AP52,'Simples Nacional'!$B$4:$D$23,'Simples Nacional'!$D$4:$D$23)</f>
        <v>0.14299999999999999</v>
      </c>
      <c r="AQ55" s="105">
        <f>LOOKUP(AQ52,'Simples Nacional'!$B$4:$D$23,'Simples Nacional'!$D$4:$D$23)</f>
        <v>0.14299999999999999</v>
      </c>
      <c r="AR55" s="105">
        <f>LOOKUP(AR52,'Simples Nacional'!$B$4:$D$23,'Simples Nacional'!$D$4:$D$23)</f>
        <v>0.14299999999999999</v>
      </c>
      <c r="AS55" s="105">
        <f>LOOKUP(AS52,'Simples Nacional'!$B$4:$D$23,'Simples Nacional'!$D$4:$D$23)</f>
        <v>0.14299999999999999</v>
      </c>
      <c r="AT55" s="105">
        <f>LOOKUP(AT52,'Simples Nacional'!$B$4:$D$23,'Simples Nacional'!$D$4:$D$23)</f>
        <v>0.14299999999999999</v>
      </c>
      <c r="AU55" s="105">
        <f>LOOKUP(AU52,'Simples Nacional'!$B$4:$D$23,'Simples Nacional'!$D$4:$D$23)</f>
        <v>0.14299999999999999</v>
      </c>
      <c r="AV55" s="105">
        <f>LOOKUP(AV52,'Simples Nacional'!$B$4:$D$23,'Simples Nacional'!$D$4:$D$23)</f>
        <v>0.14299999999999999</v>
      </c>
      <c r="AW55" s="105">
        <f>LOOKUP(AW52,'Simples Nacional'!$B$4:$D$23,'Simples Nacional'!$D$4:$D$23)</f>
        <v>0.14299999999999999</v>
      </c>
      <c r="AX55" s="103">
        <f>LOOKUP(AX52,'Simples Nacional'!$B$4:$D$23,'Simples Nacional'!$D$4:$D$23)</f>
        <v>0.14299999999999999</v>
      </c>
      <c r="AY55" s="104">
        <f>LOOKUP(AY52,'Simples Nacional'!$B$4:$D$23,'Simples Nacional'!$D$4:$D$23)</f>
        <v>0.14299999999999999</v>
      </c>
      <c r="AZ55" s="105">
        <f>LOOKUP(AZ52,'Simples Nacional'!$B$4:$D$23,'Simples Nacional'!$D$4:$D$23)</f>
        <v>0.14299999999999999</v>
      </c>
      <c r="BA55" s="105">
        <f>LOOKUP(BA52,'Simples Nacional'!$B$4:$D$23,'Simples Nacional'!$D$4:$D$23)</f>
        <v>0.14299999999999999</v>
      </c>
      <c r="BB55" s="105">
        <f>LOOKUP(BB52,'Simples Nacional'!$B$4:$D$23,'Simples Nacional'!$D$4:$D$23)</f>
        <v>0.14299999999999999</v>
      </c>
      <c r="BC55" s="105">
        <f>LOOKUP(BC52,'Simples Nacional'!$B$4:$D$23,'Simples Nacional'!$D$4:$D$23)</f>
        <v>0.14299999999999999</v>
      </c>
      <c r="BD55" s="105">
        <f>LOOKUP(BD52,'Simples Nacional'!$B$4:$D$23,'Simples Nacional'!$D$4:$D$23)</f>
        <v>0.14299999999999999</v>
      </c>
      <c r="BE55" s="105">
        <f>LOOKUP(BE52,'Simples Nacional'!$B$4:$D$23,'Simples Nacional'!$D$4:$D$23)</f>
        <v>0.14299999999999999</v>
      </c>
      <c r="BF55" s="105">
        <f>LOOKUP(BF52,'Simples Nacional'!$B$4:$D$23,'Simples Nacional'!$D$4:$D$23)</f>
        <v>0.14299999999999999</v>
      </c>
      <c r="BG55" s="105">
        <f>LOOKUP(BG52,'Simples Nacional'!$B$4:$D$23,'Simples Nacional'!$D$4:$D$23)</f>
        <v>0.14299999999999999</v>
      </c>
      <c r="BH55" s="105">
        <f>LOOKUP(BH52,'Simples Nacional'!$B$4:$D$23,'Simples Nacional'!$D$4:$D$23)</f>
        <v>0.14299999999999999</v>
      </c>
      <c r="BI55" s="105">
        <f>LOOKUP(BI52,'Simples Nacional'!$B$4:$D$23,'Simples Nacional'!$D$4:$D$23)</f>
        <v>0.14299999999999999</v>
      </c>
      <c r="BJ55" s="103">
        <f>LOOKUP(BJ52,'Simples Nacional'!$B$4:$D$23,'Simples Nacional'!$D$4:$D$23)</f>
        <v>0.14299999999999999</v>
      </c>
    </row>
    <row r="56" spans="1:63" ht="15.9" customHeight="1" x14ac:dyDescent="0.3">
      <c r="B56" s="81" t="s">
        <v>155</v>
      </c>
      <c r="C56" s="82"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>
        <v>0.04</v>
      </c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>
        <v>0.04</v>
      </c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>
        <v>0.04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>
        <v>0.04</v>
      </c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</row>
    <row r="57" spans="1:63" ht="15.9" customHeight="1" x14ac:dyDescent="0.3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</row>
    <row r="58" spans="1:63" s="18" customFormat="1" ht="15.9" customHeight="1" x14ac:dyDescent="0.3">
      <c r="A58" s="15"/>
      <c r="B58" s="106"/>
      <c r="C58" s="107" t="s">
        <v>0</v>
      </c>
      <c r="D58" s="107" t="s">
        <v>1</v>
      </c>
      <c r="E58" s="107" t="s">
        <v>2</v>
      </c>
      <c r="F58" s="107" t="s">
        <v>3</v>
      </c>
      <c r="G58" s="107" t="s">
        <v>4</v>
      </c>
      <c r="H58" s="107" t="s">
        <v>5</v>
      </c>
      <c r="I58" s="107" t="s">
        <v>6</v>
      </c>
      <c r="J58" s="107" t="s">
        <v>7</v>
      </c>
      <c r="K58" s="107" t="s">
        <v>8</v>
      </c>
      <c r="L58" s="107" t="s">
        <v>9</v>
      </c>
      <c r="M58" s="107" t="s">
        <v>10</v>
      </c>
      <c r="N58" s="108" t="s">
        <v>11</v>
      </c>
      <c r="O58" s="107" t="s">
        <v>14</v>
      </c>
      <c r="P58" s="107" t="s">
        <v>15</v>
      </c>
      <c r="Q58" s="107" t="s">
        <v>16</v>
      </c>
      <c r="R58" s="107" t="s">
        <v>17</v>
      </c>
      <c r="S58" s="107" t="s">
        <v>18</v>
      </c>
      <c r="T58" s="107" t="s">
        <v>19</v>
      </c>
      <c r="U58" s="107" t="s">
        <v>20</v>
      </c>
      <c r="V58" s="107" t="s">
        <v>21</v>
      </c>
      <c r="W58" s="107" t="s">
        <v>22</v>
      </c>
      <c r="X58" s="107" t="s">
        <v>23</v>
      </c>
      <c r="Y58" s="107" t="s">
        <v>24</v>
      </c>
      <c r="Z58" s="108" t="s">
        <v>25</v>
      </c>
      <c r="AA58" s="107" t="s">
        <v>26</v>
      </c>
      <c r="AB58" s="107" t="s">
        <v>27</v>
      </c>
      <c r="AC58" s="107" t="s">
        <v>28</v>
      </c>
      <c r="AD58" s="107" t="s">
        <v>29</v>
      </c>
      <c r="AE58" s="107" t="s">
        <v>30</v>
      </c>
      <c r="AF58" s="107" t="s">
        <v>31</v>
      </c>
      <c r="AG58" s="107" t="s">
        <v>32</v>
      </c>
      <c r="AH58" s="107" t="s">
        <v>33</v>
      </c>
      <c r="AI58" s="107" t="s">
        <v>34</v>
      </c>
      <c r="AJ58" s="107" t="s">
        <v>35</v>
      </c>
      <c r="AK58" s="107" t="s">
        <v>36</v>
      </c>
      <c r="AL58" s="108" t="s">
        <v>37</v>
      </c>
      <c r="AM58" s="107" t="s">
        <v>38</v>
      </c>
      <c r="AN58" s="107" t="s">
        <v>39</v>
      </c>
      <c r="AO58" s="107" t="s">
        <v>40</v>
      </c>
      <c r="AP58" s="107" t="s">
        <v>41</v>
      </c>
      <c r="AQ58" s="107" t="s">
        <v>42</v>
      </c>
      <c r="AR58" s="107" t="s">
        <v>43</v>
      </c>
      <c r="AS58" s="107" t="s">
        <v>44</v>
      </c>
      <c r="AT58" s="107" t="s">
        <v>45</v>
      </c>
      <c r="AU58" s="107" t="s">
        <v>46</v>
      </c>
      <c r="AV58" s="107" t="s">
        <v>47</v>
      </c>
      <c r="AW58" s="107" t="s">
        <v>48</v>
      </c>
      <c r="AX58" s="108" t="s">
        <v>49</v>
      </c>
      <c r="AY58" s="107" t="s">
        <v>50</v>
      </c>
      <c r="AZ58" s="107" t="s">
        <v>51</v>
      </c>
      <c r="BA58" s="107" t="s">
        <v>52</v>
      </c>
      <c r="BB58" s="107" t="s">
        <v>53</v>
      </c>
      <c r="BC58" s="107" t="s">
        <v>54</v>
      </c>
      <c r="BD58" s="107" t="s">
        <v>55</v>
      </c>
      <c r="BE58" s="107" t="s">
        <v>56</v>
      </c>
      <c r="BF58" s="107" t="s">
        <v>57</v>
      </c>
      <c r="BG58" s="107" t="s">
        <v>58</v>
      </c>
      <c r="BH58" s="107" t="s">
        <v>59</v>
      </c>
      <c r="BI58" s="107" t="s">
        <v>60</v>
      </c>
      <c r="BJ58" s="108" t="s">
        <v>61</v>
      </c>
    </row>
    <row r="59" spans="1:63" s="112" customFormat="1" x14ac:dyDescent="0.3">
      <c r="A59" s="19"/>
      <c r="B59" s="109" t="s">
        <v>73</v>
      </c>
      <c r="C59" s="5">
        <f>C9*C49</f>
        <v>98000</v>
      </c>
      <c r="D59" s="110">
        <f>$C$9*D49</f>
        <v>99707.999999999985</v>
      </c>
      <c r="E59" s="110">
        <f t="shared" ref="E59:AI59" si="6">$C$9*E49</f>
        <v>101415.99999999999</v>
      </c>
      <c r="F59" s="110">
        <f t="shared" si="6"/>
        <v>103123.99999999999</v>
      </c>
      <c r="G59" s="110">
        <f t="shared" si="6"/>
        <v>104831.99999999999</v>
      </c>
      <c r="H59" s="110">
        <f t="shared" si="6"/>
        <v>106539.99999999999</v>
      </c>
      <c r="I59" s="110">
        <f t="shared" si="6"/>
        <v>108247.99999999999</v>
      </c>
      <c r="J59" s="110">
        <f t="shared" si="6"/>
        <v>109955.99999999999</v>
      </c>
      <c r="K59" s="110">
        <f t="shared" si="6"/>
        <v>111663.99999999999</v>
      </c>
      <c r="L59" s="110">
        <f t="shared" si="6"/>
        <v>113371.99999999999</v>
      </c>
      <c r="M59" s="110">
        <f t="shared" si="6"/>
        <v>115079.99999999997</v>
      </c>
      <c r="N59" s="111">
        <f t="shared" si="6"/>
        <v>116787.99999999997</v>
      </c>
      <c r="O59" s="5">
        <f>$C$9*O49</f>
        <v>118495.99999999997</v>
      </c>
      <c r="P59" s="110">
        <f t="shared" si="6"/>
        <v>120203.99999999997</v>
      </c>
      <c r="Q59" s="110">
        <f t="shared" si="6"/>
        <v>121911.99999999997</v>
      </c>
      <c r="R59" s="110">
        <f t="shared" si="6"/>
        <v>123619.99999999997</v>
      </c>
      <c r="S59" s="110">
        <f t="shared" si="6"/>
        <v>125327.99999999997</v>
      </c>
      <c r="T59" s="110">
        <f t="shared" si="6"/>
        <v>127035.99999999997</v>
      </c>
      <c r="U59" s="110">
        <f>$C$9*U49</f>
        <v>134343.99999999997</v>
      </c>
      <c r="V59" s="110">
        <f t="shared" si="6"/>
        <v>136051.99999999997</v>
      </c>
      <c r="W59" s="110">
        <f t="shared" si="6"/>
        <v>137759.99999999997</v>
      </c>
      <c r="X59" s="110">
        <f t="shared" si="6"/>
        <v>139467.99999999997</v>
      </c>
      <c r="Y59" s="110">
        <f t="shared" si="6"/>
        <v>141175.99999999997</v>
      </c>
      <c r="Z59" s="111">
        <f t="shared" si="6"/>
        <v>142883.99999999997</v>
      </c>
      <c r="AA59" s="5">
        <f>$C$9*AA49</f>
        <v>144591.99999999997</v>
      </c>
      <c r="AB59" s="110">
        <f t="shared" si="6"/>
        <v>146299.99999999997</v>
      </c>
      <c r="AC59" s="110">
        <f t="shared" si="6"/>
        <v>148007.99999999997</v>
      </c>
      <c r="AD59" s="110">
        <f t="shared" si="6"/>
        <v>149715.99999999994</v>
      </c>
      <c r="AE59" s="110">
        <f t="shared" si="6"/>
        <v>151423.99999999994</v>
      </c>
      <c r="AF59" s="110">
        <f t="shared" si="6"/>
        <v>153131.99999999994</v>
      </c>
      <c r="AG59" s="110">
        <f t="shared" si="6"/>
        <v>159039.99999999994</v>
      </c>
      <c r="AH59" s="110">
        <f t="shared" si="6"/>
        <v>160747.99999999994</v>
      </c>
      <c r="AI59" s="110">
        <f t="shared" si="6"/>
        <v>162455.99999999994</v>
      </c>
      <c r="AJ59" s="110">
        <f t="shared" ref="AJ59:BJ59" si="7">$C$9*AJ49</f>
        <v>164163.99999999994</v>
      </c>
      <c r="AK59" s="110">
        <f t="shared" si="7"/>
        <v>165871.99999999994</v>
      </c>
      <c r="AL59" s="111">
        <f t="shared" si="7"/>
        <v>167579.99999999994</v>
      </c>
      <c r="AM59" s="5">
        <f t="shared" si="7"/>
        <v>169287.99999999994</v>
      </c>
      <c r="AN59" s="110">
        <f t="shared" si="7"/>
        <v>170995.99999999994</v>
      </c>
      <c r="AO59" s="110">
        <f t="shared" si="7"/>
        <v>172703.99999999994</v>
      </c>
      <c r="AP59" s="110">
        <f t="shared" si="7"/>
        <v>174411.99999999994</v>
      </c>
      <c r="AQ59" s="110">
        <f t="shared" si="7"/>
        <v>176119.99999999994</v>
      </c>
      <c r="AR59" s="110">
        <f t="shared" si="7"/>
        <v>177827.99999999994</v>
      </c>
      <c r="AS59" s="110">
        <f t="shared" si="7"/>
        <v>179535.99999999994</v>
      </c>
      <c r="AT59" s="110">
        <f t="shared" si="7"/>
        <v>181243.99999999994</v>
      </c>
      <c r="AU59" s="110">
        <f t="shared" si="7"/>
        <v>182951.99999999994</v>
      </c>
      <c r="AV59" s="110">
        <f t="shared" si="7"/>
        <v>184659.99999999994</v>
      </c>
      <c r="AW59" s="110">
        <f t="shared" si="7"/>
        <v>186367.99999999994</v>
      </c>
      <c r="AX59" s="111">
        <f t="shared" si="7"/>
        <v>188075.99999999994</v>
      </c>
      <c r="AY59" s="5">
        <f>$C$9*AY49</f>
        <v>189783.99999999991</v>
      </c>
      <c r="AZ59" s="110">
        <f t="shared" si="7"/>
        <v>191491.99999999991</v>
      </c>
      <c r="BA59" s="110">
        <f t="shared" si="7"/>
        <v>193199.99999999991</v>
      </c>
      <c r="BB59" s="110">
        <f t="shared" si="7"/>
        <v>194907.99999999991</v>
      </c>
      <c r="BC59" s="110">
        <f t="shared" si="7"/>
        <v>196615.99999999991</v>
      </c>
      <c r="BD59" s="110">
        <f t="shared" si="7"/>
        <v>196000</v>
      </c>
      <c r="BE59" s="110">
        <f t="shared" si="7"/>
        <v>196000</v>
      </c>
      <c r="BF59" s="110">
        <f t="shared" si="7"/>
        <v>196000</v>
      </c>
      <c r="BG59" s="110">
        <f t="shared" si="7"/>
        <v>196000</v>
      </c>
      <c r="BH59" s="110">
        <f t="shared" si="7"/>
        <v>196000</v>
      </c>
      <c r="BI59" s="110">
        <f t="shared" si="7"/>
        <v>196000</v>
      </c>
      <c r="BJ59" s="111">
        <f t="shared" si="7"/>
        <v>196000</v>
      </c>
    </row>
    <row r="60" spans="1:63" s="84" customFormat="1" ht="14.4" customHeight="1" outlineLevel="1" x14ac:dyDescent="0.3">
      <c r="B60" s="113" t="s">
        <v>136</v>
      </c>
      <c r="C60" s="114">
        <f t="shared" ref="C60:AH60" si="8">C59</f>
        <v>98000</v>
      </c>
      <c r="D60" s="114">
        <f t="shared" si="8"/>
        <v>99707.999999999985</v>
      </c>
      <c r="E60" s="114">
        <f t="shared" si="8"/>
        <v>101415.99999999999</v>
      </c>
      <c r="F60" s="114">
        <f t="shared" si="8"/>
        <v>103123.99999999999</v>
      </c>
      <c r="G60" s="114">
        <f t="shared" si="8"/>
        <v>104831.99999999999</v>
      </c>
      <c r="H60" s="114">
        <f t="shared" si="8"/>
        <v>106539.99999999999</v>
      </c>
      <c r="I60" s="114">
        <f t="shared" si="8"/>
        <v>108247.99999999999</v>
      </c>
      <c r="J60" s="114">
        <f t="shared" si="8"/>
        <v>109955.99999999999</v>
      </c>
      <c r="K60" s="114">
        <f t="shared" si="8"/>
        <v>111663.99999999999</v>
      </c>
      <c r="L60" s="114">
        <f t="shared" si="8"/>
        <v>113371.99999999999</v>
      </c>
      <c r="M60" s="114">
        <f t="shared" si="8"/>
        <v>115079.99999999997</v>
      </c>
      <c r="N60" s="115">
        <f t="shared" si="8"/>
        <v>116787.99999999997</v>
      </c>
      <c r="O60" s="114">
        <f t="shared" si="8"/>
        <v>118495.99999999997</v>
      </c>
      <c r="P60" s="116">
        <f t="shared" si="8"/>
        <v>120203.99999999997</v>
      </c>
      <c r="Q60" s="116">
        <f t="shared" si="8"/>
        <v>121911.99999999997</v>
      </c>
      <c r="R60" s="116">
        <f t="shared" si="8"/>
        <v>123619.99999999997</v>
      </c>
      <c r="S60" s="116">
        <f t="shared" si="8"/>
        <v>125327.99999999997</v>
      </c>
      <c r="T60" s="116">
        <f t="shared" si="8"/>
        <v>127035.99999999997</v>
      </c>
      <c r="U60" s="116">
        <f t="shared" si="8"/>
        <v>134343.99999999997</v>
      </c>
      <c r="V60" s="116">
        <f t="shared" si="8"/>
        <v>136051.99999999997</v>
      </c>
      <c r="W60" s="116">
        <f t="shared" si="8"/>
        <v>137759.99999999997</v>
      </c>
      <c r="X60" s="116">
        <f t="shared" si="8"/>
        <v>139467.99999999997</v>
      </c>
      <c r="Y60" s="116">
        <f t="shared" si="8"/>
        <v>141175.99999999997</v>
      </c>
      <c r="Z60" s="115">
        <f t="shared" si="8"/>
        <v>142883.99999999997</v>
      </c>
      <c r="AA60" s="114">
        <f t="shared" si="8"/>
        <v>144591.99999999997</v>
      </c>
      <c r="AB60" s="116">
        <f t="shared" si="8"/>
        <v>146299.99999999997</v>
      </c>
      <c r="AC60" s="116">
        <f t="shared" si="8"/>
        <v>148007.99999999997</v>
      </c>
      <c r="AD60" s="116">
        <f t="shared" si="8"/>
        <v>149715.99999999994</v>
      </c>
      <c r="AE60" s="116">
        <f t="shared" si="8"/>
        <v>151423.99999999994</v>
      </c>
      <c r="AF60" s="116">
        <f t="shared" si="8"/>
        <v>153131.99999999994</v>
      </c>
      <c r="AG60" s="116">
        <f t="shared" si="8"/>
        <v>159039.99999999994</v>
      </c>
      <c r="AH60" s="116">
        <f t="shared" si="8"/>
        <v>160747.99999999994</v>
      </c>
      <c r="AI60" s="116">
        <f t="shared" ref="AI60:BJ60" si="9">AI59</f>
        <v>162455.99999999994</v>
      </c>
      <c r="AJ60" s="116">
        <f t="shared" si="9"/>
        <v>164163.99999999994</v>
      </c>
      <c r="AK60" s="116">
        <f t="shared" si="9"/>
        <v>165871.99999999994</v>
      </c>
      <c r="AL60" s="115">
        <f t="shared" si="9"/>
        <v>167579.99999999994</v>
      </c>
      <c r="AM60" s="114">
        <f t="shared" si="9"/>
        <v>169287.99999999994</v>
      </c>
      <c r="AN60" s="116">
        <f t="shared" si="9"/>
        <v>170995.99999999994</v>
      </c>
      <c r="AO60" s="116">
        <f t="shared" si="9"/>
        <v>172703.99999999994</v>
      </c>
      <c r="AP60" s="116">
        <f t="shared" si="9"/>
        <v>174411.99999999994</v>
      </c>
      <c r="AQ60" s="116">
        <f t="shared" si="9"/>
        <v>176119.99999999994</v>
      </c>
      <c r="AR60" s="116">
        <f t="shared" si="9"/>
        <v>177827.99999999994</v>
      </c>
      <c r="AS60" s="116">
        <f t="shared" si="9"/>
        <v>179535.99999999994</v>
      </c>
      <c r="AT60" s="116">
        <f t="shared" si="9"/>
        <v>181243.99999999994</v>
      </c>
      <c r="AU60" s="116">
        <f t="shared" si="9"/>
        <v>182951.99999999994</v>
      </c>
      <c r="AV60" s="116">
        <f t="shared" si="9"/>
        <v>184659.99999999994</v>
      </c>
      <c r="AW60" s="116">
        <f t="shared" si="9"/>
        <v>186367.99999999994</v>
      </c>
      <c r="AX60" s="115">
        <f t="shared" si="9"/>
        <v>188075.99999999994</v>
      </c>
      <c r="AY60" s="114">
        <f t="shared" si="9"/>
        <v>189783.99999999991</v>
      </c>
      <c r="AZ60" s="116">
        <f t="shared" si="9"/>
        <v>191491.99999999991</v>
      </c>
      <c r="BA60" s="116">
        <f t="shared" si="9"/>
        <v>193199.99999999991</v>
      </c>
      <c r="BB60" s="116">
        <f t="shared" si="9"/>
        <v>194907.99999999991</v>
      </c>
      <c r="BC60" s="116">
        <f t="shared" si="9"/>
        <v>196615.99999999991</v>
      </c>
      <c r="BD60" s="116">
        <f t="shared" si="9"/>
        <v>196000</v>
      </c>
      <c r="BE60" s="116">
        <f t="shared" si="9"/>
        <v>196000</v>
      </c>
      <c r="BF60" s="116">
        <f t="shared" si="9"/>
        <v>196000</v>
      </c>
      <c r="BG60" s="116">
        <f t="shared" si="9"/>
        <v>196000</v>
      </c>
      <c r="BH60" s="116">
        <f t="shared" si="9"/>
        <v>196000</v>
      </c>
      <c r="BI60" s="116">
        <f t="shared" si="9"/>
        <v>196000</v>
      </c>
      <c r="BJ60" s="115">
        <f t="shared" si="9"/>
        <v>196000</v>
      </c>
    </row>
    <row r="61" spans="1:63" s="121" customFormat="1" ht="17.100000000000001" customHeight="1" x14ac:dyDescent="0.3">
      <c r="A61" s="112"/>
      <c r="B61" s="117" t="s">
        <v>81</v>
      </c>
      <c r="C61" s="118">
        <f>C62</f>
        <v>3920</v>
      </c>
      <c r="D61" s="119">
        <f t="shared" ref="D61:BJ61" si="10">D62</f>
        <v>8777.5578694235919</v>
      </c>
      <c r="E61" s="119">
        <f t="shared" si="10"/>
        <v>8944.3932131423753</v>
      </c>
      <c r="F61" s="119">
        <f t="shared" si="10"/>
        <v>9111.498961993595</v>
      </c>
      <c r="G61" s="119">
        <f t="shared" si="10"/>
        <v>9278.8682849254546</v>
      </c>
      <c r="H61" s="119">
        <f t="shared" si="10"/>
        <v>9446.4945790554393</v>
      </c>
      <c r="I61" s="119">
        <f t="shared" si="10"/>
        <v>9614.3714602226428</v>
      </c>
      <c r="J61" s="119">
        <f t="shared" si="10"/>
        <v>9782.4927540056542</v>
      </c>
      <c r="K61" s="119">
        <f t="shared" si="10"/>
        <v>9950.8524871794871</v>
      </c>
      <c r="L61" s="119">
        <f t="shared" si="10"/>
        <v>10119.444879586699</v>
      </c>
      <c r="M61" s="119">
        <f t="shared" si="10"/>
        <v>10288.26433639947</v>
      </c>
      <c r="N61" s="120">
        <f t="shared" si="10"/>
        <v>10457.305440750877</v>
      </c>
      <c r="O61" s="118">
        <f t="shared" si="10"/>
        <v>10610.24133906922</v>
      </c>
      <c r="P61" s="119">
        <f t="shared" si="10"/>
        <v>10796.031772616447</v>
      </c>
      <c r="Q61" s="119">
        <f t="shared" si="10"/>
        <v>10981.728662034109</v>
      </c>
      <c r="R61" s="119">
        <f t="shared" si="10"/>
        <v>11167.3362672639</v>
      </c>
      <c r="S61" s="119">
        <f t="shared" si="10"/>
        <v>11352.858593455077</v>
      </c>
      <c r="T61" s="119">
        <f t="shared" si="10"/>
        <v>11538.299409733121</v>
      </c>
      <c r="U61" s="119">
        <f t="shared" si="10"/>
        <v>12233.60842841842</v>
      </c>
      <c r="V61" s="119">
        <f t="shared" si="10"/>
        <v>12428.498761441087</v>
      </c>
      <c r="W61" s="119">
        <f t="shared" si="10"/>
        <v>12622.956471443324</v>
      </c>
      <c r="X61" s="119">
        <f t="shared" si="10"/>
        <v>12817.00428954786</v>
      </c>
      <c r="Y61" s="119">
        <f t="shared" si="10"/>
        <v>12058.913761459751</v>
      </c>
      <c r="Z61" s="120">
        <f t="shared" si="10"/>
        <v>12344.030068920434</v>
      </c>
      <c r="AA61" s="118">
        <f t="shared" si="10"/>
        <v>12627.786155329401</v>
      </c>
      <c r="AB61" s="119">
        <f t="shared" si="10"/>
        <v>12910.248811070909</v>
      </c>
      <c r="AC61" s="119">
        <f t="shared" si="10"/>
        <v>13191.480524173199</v>
      </c>
      <c r="AD61" s="119">
        <f t="shared" si="10"/>
        <v>13471.539821242724</v>
      </c>
      <c r="AE61" s="119">
        <f t="shared" si="10"/>
        <v>13750.481576483973</v>
      </c>
      <c r="AF61" s="119">
        <f t="shared" si="10"/>
        <v>14028.357292236682</v>
      </c>
      <c r="AG61" s="119">
        <f t="shared" si="10"/>
        <v>14693.241086977687</v>
      </c>
      <c r="AH61" s="119">
        <f t="shared" si="10"/>
        <v>14965.881802957549</v>
      </c>
      <c r="AI61" s="119">
        <f t="shared" si="10"/>
        <v>15237.732003408759</v>
      </c>
      <c r="AJ61" s="119">
        <f t="shared" si="10"/>
        <v>15508.82424505042</v>
      </c>
      <c r="AK61" s="119">
        <f t="shared" si="10"/>
        <v>15779.189321050197</v>
      </c>
      <c r="AL61" s="120">
        <f t="shared" si="10"/>
        <v>16048.856378840203</v>
      </c>
      <c r="AM61" s="118">
        <f t="shared" si="10"/>
        <v>16317.853028612422</v>
      </c>
      <c r="AN61" s="119">
        <f t="shared" si="10"/>
        <v>16586.205443342766</v>
      </c>
      <c r="AO61" s="119">
        <f t="shared" si="10"/>
        <v>16853.938451105467</v>
      </c>
      <c r="AP61" s="119">
        <f t="shared" si="10"/>
        <v>17121.075620362368</v>
      </c>
      <c r="AQ61" s="119">
        <f t="shared" si="10"/>
        <v>17387.639338842968</v>
      </c>
      <c r="AR61" s="119">
        <f t="shared" si="10"/>
        <v>17653.650886570173</v>
      </c>
      <c r="AS61" s="119">
        <f t="shared" si="10"/>
        <v>17919.130503532531</v>
      </c>
      <c r="AT61" s="119">
        <f t="shared" si="10"/>
        <v>18168.188223154768</v>
      </c>
      <c r="AU61" s="119">
        <f t="shared" si="10"/>
        <v>18417.150256619134</v>
      </c>
      <c r="AV61" s="119">
        <f t="shared" si="10"/>
        <v>18666.019428894077</v>
      </c>
      <c r="AW61" s="119">
        <f t="shared" si="10"/>
        <v>18914.798454828648</v>
      </c>
      <c r="AX61" s="120">
        <f t="shared" si="10"/>
        <v>19163.489944466412</v>
      </c>
      <c r="AY61" s="118">
        <f t="shared" si="10"/>
        <v>19412.09640805452</v>
      </c>
      <c r="AZ61" s="119">
        <f t="shared" si="10"/>
        <v>19660.620260768323</v>
      </c>
      <c r="BA61" s="119">
        <f t="shared" si="10"/>
        <v>19909.063827169972</v>
      </c>
      <c r="BB61" s="119">
        <f t="shared" si="10"/>
        <v>20157.429345418528</v>
      </c>
      <c r="BC61" s="119">
        <f t="shared" si="10"/>
        <v>20405.718971247443</v>
      </c>
      <c r="BD61" s="119">
        <f t="shared" si="10"/>
        <v>20411.907874074626</v>
      </c>
      <c r="BE61" s="119">
        <f t="shared" si="10"/>
        <v>20473.015886359979</v>
      </c>
      <c r="BF61" s="119">
        <f t="shared" si="10"/>
        <v>20527.53973611537</v>
      </c>
      <c r="BG61" s="119">
        <f t="shared" si="10"/>
        <v>20575.742737981996</v>
      </c>
      <c r="BH61" s="119">
        <f t="shared" si="10"/>
        <v>20617.853033904055</v>
      </c>
      <c r="BI61" s="119">
        <f t="shared" si="10"/>
        <v>20654.066390742457</v>
      </c>
      <c r="BJ61" s="120">
        <f t="shared" si="10"/>
        <v>20684.548541764299</v>
      </c>
    </row>
    <row r="62" spans="1:63" s="89" customFormat="1" ht="14.4" customHeight="1" outlineLevel="1" x14ac:dyDescent="0.3">
      <c r="A62" s="84"/>
      <c r="B62" s="122" t="s">
        <v>125</v>
      </c>
      <c r="C62" s="123">
        <f>'Simples Nacional'!G13</f>
        <v>3920</v>
      </c>
      <c r="D62" s="124">
        <f>'Simples Nacional'!H13</f>
        <v>8777.5578694235919</v>
      </c>
      <c r="E62" s="124">
        <f>'Simples Nacional'!I13</f>
        <v>8944.3932131423753</v>
      </c>
      <c r="F62" s="124">
        <f>'Simples Nacional'!J13</f>
        <v>9111.498961993595</v>
      </c>
      <c r="G62" s="124">
        <f>'Simples Nacional'!K13</f>
        <v>9278.8682849254546</v>
      </c>
      <c r="H62" s="124">
        <f>'Simples Nacional'!L13</f>
        <v>9446.4945790554393</v>
      </c>
      <c r="I62" s="124">
        <f>'Simples Nacional'!M13</f>
        <v>9614.3714602226428</v>
      </c>
      <c r="J62" s="124">
        <f>'Simples Nacional'!N13</f>
        <v>9782.4927540056542</v>
      </c>
      <c r="K62" s="124">
        <f>'Simples Nacional'!O13</f>
        <v>9950.8524871794871</v>
      </c>
      <c r="L62" s="124">
        <f>'Simples Nacional'!P13</f>
        <v>10119.444879586699</v>
      </c>
      <c r="M62" s="124">
        <f>'Simples Nacional'!Q13</f>
        <v>10288.26433639947</v>
      </c>
      <c r="N62" s="125">
        <f>'Simples Nacional'!R13</f>
        <v>10457.305440750877</v>
      </c>
      <c r="O62" s="123">
        <f>'Simples Nacional'!S13</f>
        <v>10610.24133906922</v>
      </c>
      <c r="P62" s="124">
        <f>'Simples Nacional'!T13</f>
        <v>10796.031772616447</v>
      </c>
      <c r="Q62" s="124">
        <f>'Simples Nacional'!U13</f>
        <v>10981.728662034109</v>
      </c>
      <c r="R62" s="124">
        <f>'Simples Nacional'!V13</f>
        <v>11167.3362672639</v>
      </c>
      <c r="S62" s="124">
        <f>'Simples Nacional'!W13</f>
        <v>11352.858593455077</v>
      </c>
      <c r="T62" s="124">
        <f>'Simples Nacional'!X13</f>
        <v>11538.299409733121</v>
      </c>
      <c r="U62" s="124">
        <f>'Simples Nacional'!Y13</f>
        <v>12233.60842841842</v>
      </c>
      <c r="V62" s="124">
        <f>'Simples Nacional'!Z13</f>
        <v>12428.498761441087</v>
      </c>
      <c r="W62" s="124">
        <f>'Simples Nacional'!AA13</f>
        <v>12622.956471443324</v>
      </c>
      <c r="X62" s="124">
        <f>'Simples Nacional'!AB13</f>
        <v>12817.00428954786</v>
      </c>
      <c r="Y62" s="124">
        <f>'Simples Nacional'!AC13</f>
        <v>12058.913761459751</v>
      </c>
      <c r="Z62" s="125">
        <f>'Simples Nacional'!AD13</f>
        <v>12344.030068920434</v>
      </c>
      <c r="AA62" s="123">
        <f>'Simples Nacional'!AE13</f>
        <v>12627.786155329401</v>
      </c>
      <c r="AB62" s="124">
        <f>'Simples Nacional'!AF13</f>
        <v>12910.248811070909</v>
      </c>
      <c r="AC62" s="124">
        <f>'Simples Nacional'!AG13</f>
        <v>13191.480524173199</v>
      </c>
      <c r="AD62" s="124">
        <f>'Simples Nacional'!AH13</f>
        <v>13471.539821242724</v>
      </c>
      <c r="AE62" s="124">
        <f>'Simples Nacional'!AI13</f>
        <v>13750.481576483973</v>
      </c>
      <c r="AF62" s="124">
        <f>'Simples Nacional'!AJ13</f>
        <v>14028.357292236682</v>
      </c>
      <c r="AG62" s="124">
        <f>'Simples Nacional'!AK13</f>
        <v>14693.241086977687</v>
      </c>
      <c r="AH62" s="124">
        <f>'Simples Nacional'!AL13</f>
        <v>14965.881802957549</v>
      </c>
      <c r="AI62" s="124">
        <f>'Simples Nacional'!AM13</f>
        <v>15237.732003408759</v>
      </c>
      <c r="AJ62" s="124">
        <f>'Simples Nacional'!AN13</f>
        <v>15508.82424505042</v>
      </c>
      <c r="AK62" s="124">
        <f>'Simples Nacional'!AO13</f>
        <v>15779.189321050197</v>
      </c>
      <c r="AL62" s="125">
        <f>'Simples Nacional'!AP13</f>
        <v>16048.856378840203</v>
      </c>
      <c r="AM62" s="123">
        <f>'Simples Nacional'!AQ13</f>
        <v>16317.853028612422</v>
      </c>
      <c r="AN62" s="124">
        <f>'Simples Nacional'!AR13</f>
        <v>16586.205443342766</v>
      </c>
      <c r="AO62" s="124">
        <f>'Simples Nacional'!AS13</f>
        <v>16853.938451105467</v>
      </c>
      <c r="AP62" s="124">
        <f>'Simples Nacional'!AT13</f>
        <v>17121.075620362368</v>
      </c>
      <c r="AQ62" s="124">
        <f>'Simples Nacional'!AU13</f>
        <v>17387.639338842968</v>
      </c>
      <c r="AR62" s="124">
        <f>'Simples Nacional'!AV13</f>
        <v>17653.650886570173</v>
      </c>
      <c r="AS62" s="124">
        <f>'Simples Nacional'!AW13</f>
        <v>17919.130503532531</v>
      </c>
      <c r="AT62" s="124">
        <f>'Simples Nacional'!AX13</f>
        <v>18168.188223154768</v>
      </c>
      <c r="AU62" s="124">
        <f>'Simples Nacional'!AY13</f>
        <v>18417.150256619134</v>
      </c>
      <c r="AV62" s="124">
        <f>'Simples Nacional'!AZ13</f>
        <v>18666.019428894077</v>
      </c>
      <c r="AW62" s="124">
        <f>'Simples Nacional'!BA13</f>
        <v>18914.798454828648</v>
      </c>
      <c r="AX62" s="125">
        <f>'Simples Nacional'!BB13</f>
        <v>19163.489944466412</v>
      </c>
      <c r="AY62" s="123">
        <f>'Simples Nacional'!BC13</f>
        <v>19412.09640805452</v>
      </c>
      <c r="AZ62" s="124">
        <f>'Simples Nacional'!BD13</f>
        <v>19660.620260768323</v>
      </c>
      <c r="BA62" s="124">
        <f>'Simples Nacional'!BE13</f>
        <v>19909.063827169972</v>
      </c>
      <c r="BB62" s="124">
        <f>'Simples Nacional'!BF13</f>
        <v>20157.429345418528</v>
      </c>
      <c r="BC62" s="124">
        <f>'Simples Nacional'!BG13</f>
        <v>20405.718971247443</v>
      </c>
      <c r="BD62" s="124">
        <f>'Simples Nacional'!BH13</f>
        <v>20411.907874074626</v>
      </c>
      <c r="BE62" s="124">
        <f>'Simples Nacional'!BI13</f>
        <v>20473.015886359979</v>
      </c>
      <c r="BF62" s="124">
        <f>'Simples Nacional'!BJ13</f>
        <v>20527.53973611537</v>
      </c>
      <c r="BG62" s="124">
        <f>'Simples Nacional'!BK13</f>
        <v>20575.742737981996</v>
      </c>
      <c r="BH62" s="124">
        <f>'Simples Nacional'!BL13</f>
        <v>20617.853033904055</v>
      </c>
      <c r="BI62" s="124">
        <f>'Simples Nacional'!BM13</f>
        <v>20654.066390742457</v>
      </c>
      <c r="BJ62" s="125">
        <f>'Simples Nacional'!BN13</f>
        <v>20684.548541764299</v>
      </c>
      <c r="BK62" s="223"/>
    </row>
    <row r="63" spans="1:63" s="121" customFormat="1" ht="17.100000000000001" customHeight="1" x14ac:dyDescent="0.3">
      <c r="A63" s="112"/>
      <c r="B63" s="126" t="s">
        <v>74</v>
      </c>
      <c r="C63" s="127">
        <f t="shared" ref="C63:AH63" si="11">C59-C61</f>
        <v>94080</v>
      </c>
      <c r="D63" s="128">
        <f t="shared" si="11"/>
        <v>90930.442130576397</v>
      </c>
      <c r="E63" s="128">
        <f t="shared" si="11"/>
        <v>92471.606786857606</v>
      </c>
      <c r="F63" s="128">
        <f t="shared" si="11"/>
        <v>94012.50103800639</v>
      </c>
      <c r="G63" s="128">
        <f t="shared" si="11"/>
        <v>95553.131715074531</v>
      </c>
      <c r="H63" s="128">
        <f t="shared" si="11"/>
        <v>97093.505420944552</v>
      </c>
      <c r="I63" s="128">
        <f t="shared" si="11"/>
        <v>98633.628539777346</v>
      </c>
      <c r="J63" s="128">
        <f t="shared" si="11"/>
        <v>100173.50724599433</v>
      </c>
      <c r="K63" s="128">
        <f t="shared" si="11"/>
        <v>101713.14751282049</v>
      </c>
      <c r="L63" s="128">
        <f t="shared" si="11"/>
        <v>103252.55512041328</v>
      </c>
      <c r="M63" s="128">
        <f t="shared" si="11"/>
        <v>104791.7356636005</v>
      </c>
      <c r="N63" s="129">
        <f t="shared" si="11"/>
        <v>106330.6945592491</v>
      </c>
      <c r="O63" s="127">
        <f t="shared" si="11"/>
        <v>107885.75866093075</v>
      </c>
      <c r="P63" s="128">
        <f t="shared" si="11"/>
        <v>109407.96822738352</v>
      </c>
      <c r="Q63" s="128">
        <f t="shared" si="11"/>
        <v>110930.27133796587</v>
      </c>
      <c r="R63" s="128">
        <f t="shared" si="11"/>
        <v>112452.66373273607</v>
      </c>
      <c r="S63" s="128">
        <f t="shared" si="11"/>
        <v>113975.14140654489</v>
      </c>
      <c r="T63" s="128">
        <f t="shared" si="11"/>
        <v>115497.70059026685</v>
      </c>
      <c r="U63" s="128">
        <f t="shared" si="11"/>
        <v>122110.39157158155</v>
      </c>
      <c r="V63" s="128">
        <f t="shared" si="11"/>
        <v>123623.50123855888</v>
      </c>
      <c r="W63" s="128">
        <f t="shared" si="11"/>
        <v>125137.04352855665</v>
      </c>
      <c r="X63" s="128">
        <f t="shared" si="11"/>
        <v>126650.99571045212</v>
      </c>
      <c r="Y63" s="128">
        <f t="shared" si="11"/>
        <v>129117.08623854021</v>
      </c>
      <c r="Z63" s="129">
        <f t="shared" si="11"/>
        <v>130539.96993107954</v>
      </c>
      <c r="AA63" s="127">
        <f t="shared" si="11"/>
        <v>131964.21384467056</v>
      </c>
      <c r="AB63" s="128">
        <f t="shared" si="11"/>
        <v>133389.75118892908</v>
      </c>
      <c r="AC63" s="128">
        <f t="shared" si="11"/>
        <v>134816.51947582676</v>
      </c>
      <c r="AD63" s="128">
        <f t="shared" si="11"/>
        <v>136244.4601787572</v>
      </c>
      <c r="AE63" s="128">
        <f t="shared" si="11"/>
        <v>137673.51842351595</v>
      </c>
      <c r="AF63" s="128">
        <f t="shared" si="11"/>
        <v>139103.64270776327</v>
      </c>
      <c r="AG63" s="128">
        <f t="shared" si="11"/>
        <v>144346.75891302226</v>
      </c>
      <c r="AH63" s="128">
        <f t="shared" si="11"/>
        <v>145782.11819704238</v>
      </c>
      <c r="AI63" s="128">
        <f t="shared" ref="AI63:BJ63" si="12">AI59-AI61</f>
        <v>147218.2679965912</v>
      </c>
      <c r="AJ63" s="128">
        <f t="shared" si="12"/>
        <v>148655.17575494951</v>
      </c>
      <c r="AK63" s="128">
        <f t="shared" si="12"/>
        <v>150092.81067894975</v>
      </c>
      <c r="AL63" s="129">
        <f t="shared" si="12"/>
        <v>151531.14362115975</v>
      </c>
      <c r="AM63" s="127">
        <f t="shared" si="12"/>
        <v>152970.14697138753</v>
      </c>
      <c r="AN63" s="128">
        <f t="shared" si="12"/>
        <v>154409.79455665717</v>
      </c>
      <c r="AO63" s="128">
        <f t="shared" si="12"/>
        <v>155850.06154889447</v>
      </c>
      <c r="AP63" s="128">
        <f t="shared" si="12"/>
        <v>157290.92437963758</v>
      </c>
      <c r="AQ63" s="128">
        <f t="shared" si="12"/>
        <v>158732.36066115697</v>
      </c>
      <c r="AR63" s="128">
        <f t="shared" si="12"/>
        <v>160174.34911342978</v>
      </c>
      <c r="AS63" s="128">
        <f t="shared" si="12"/>
        <v>161616.86949646741</v>
      </c>
      <c r="AT63" s="128">
        <f t="shared" si="12"/>
        <v>163075.81177684516</v>
      </c>
      <c r="AU63" s="128">
        <f t="shared" si="12"/>
        <v>164534.84974338079</v>
      </c>
      <c r="AV63" s="128">
        <f t="shared" si="12"/>
        <v>165993.98057110587</v>
      </c>
      <c r="AW63" s="128">
        <f t="shared" si="12"/>
        <v>167453.20154517129</v>
      </c>
      <c r="AX63" s="129">
        <f t="shared" si="12"/>
        <v>168912.51005553352</v>
      </c>
      <c r="AY63" s="127">
        <f t="shared" si="12"/>
        <v>170371.90359194539</v>
      </c>
      <c r="AZ63" s="128">
        <f t="shared" si="12"/>
        <v>171831.3797392316</v>
      </c>
      <c r="BA63" s="128">
        <f t="shared" si="12"/>
        <v>173290.93617282994</v>
      </c>
      <c r="BB63" s="128">
        <f t="shared" si="12"/>
        <v>174750.57065458139</v>
      </c>
      <c r="BC63" s="128">
        <f t="shared" si="12"/>
        <v>176210.28102875248</v>
      </c>
      <c r="BD63" s="128">
        <f t="shared" si="12"/>
        <v>175588.09212592538</v>
      </c>
      <c r="BE63" s="128">
        <f t="shared" si="12"/>
        <v>175526.98411364004</v>
      </c>
      <c r="BF63" s="128">
        <f t="shared" si="12"/>
        <v>175472.46026388463</v>
      </c>
      <c r="BG63" s="128">
        <f t="shared" si="12"/>
        <v>175424.25726201801</v>
      </c>
      <c r="BH63" s="128">
        <f t="shared" si="12"/>
        <v>175382.14696609596</v>
      </c>
      <c r="BI63" s="128">
        <f t="shared" si="12"/>
        <v>175345.93360925754</v>
      </c>
      <c r="BJ63" s="129">
        <f t="shared" si="12"/>
        <v>175315.45145823571</v>
      </c>
    </row>
    <row r="64" spans="1:63" s="121" customFormat="1" ht="17.100000000000001" customHeight="1" x14ac:dyDescent="0.3">
      <c r="A64" s="112"/>
      <c r="B64" s="117" t="s">
        <v>154</v>
      </c>
      <c r="C64" s="118">
        <f>SUM(C65:C67)</f>
        <v>35309.4</v>
      </c>
      <c r="D64" s="119">
        <f t="shared" ref="D64:BJ64" si="13">SUM(D65:D67)</f>
        <v>35924.792399999991</v>
      </c>
      <c r="E64" s="119">
        <f t="shared" si="13"/>
        <v>36540.184799999995</v>
      </c>
      <c r="F64" s="119">
        <f t="shared" si="13"/>
        <v>37155.577199999992</v>
      </c>
      <c r="G64" s="119">
        <f t="shared" si="13"/>
        <v>37770.969599999989</v>
      </c>
      <c r="H64" s="119">
        <f t="shared" si="13"/>
        <v>38386.361999999994</v>
      </c>
      <c r="I64" s="119">
        <f t="shared" si="13"/>
        <v>39001.754399999991</v>
      </c>
      <c r="J64" s="119">
        <f t="shared" si="13"/>
        <v>39617.146799999995</v>
      </c>
      <c r="K64" s="119">
        <f t="shared" si="13"/>
        <v>40232.539199999992</v>
      </c>
      <c r="L64" s="119">
        <f t="shared" si="13"/>
        <v>40847.931599999989</v>
      </c>
      <c r="M64" s="119">
        <f t="shared" si="13"/>
        <v>41463.323999999986</v>
      </c>
      <c r="N64" s="120">
        <f t="shared" si="13"/>
        <v>42078.716399999983</v>
      </c>
      <c r="O64" s="118">
        <f t="shared" si="13"/>
        <v>42694.108799999987</v>
      </c>
      <c r="P64" s="119">
        <f t="shared" si="13"/>
        <v>43309.501199999984</v>
      </c>
      <c r="Q64" s="119">
        <f t="shared" si="13"/>
        <v>43924.893599999981</v>
      </c>
      <c r="R64" s="119">
        <f t="shared" si="13"/>
        <v>44540.285999999986</v>
      </c>
      <c r="S64" s="119">
        <f t="shared" si="13"/>
        <v>45155.678399999983</v>
      </c>
      <c r="T64" s="119">
        <f t="shared" si="13"/>
        <v>45771.070799999987</v>
      </c>
      <c r="U64" s="119">
        <f t="shared" si="13"/>
        <v>48404.143199999984</v>
      </c>
      <c r="V64" s="119">
        <f t="shared" si="13"/>
        <v>49019.535599999988</v>
      </c>
      <c r="W64" s="119">
        <f t="shared" si="13"/>
        <v>49634.927999999985</v>
      </c>
      <c r="X64" s="119">
        <f t="shared" si="13"/>
        <v>50250.32039999999</v>
      </c>
      <c r="Y64" s="119">
        <f t="shared" si="13"/>
        <v>50865.712799999987</v>
      </c>
      <c r="Z64" s="120">
        <f t="shared" si="13"/>
        <v>51481.105199999984</v>
      </c>
      <c r="AA64" s="118">
        <f t="shared" si="13"/>
        <v>52096.497599999988</v>
      </c>
      <c r="AB64" s="119">
        <f t="shared" si="13"/>
        <v>52711.889999999985</v>
      </c>
      <c r="AC64" s="119">
        <f t="shared" si="13"/>
        <v>53327.282399999989</v>
      </c>
      <c r="AD64" s="119">
        <f t="shared" si="13"/>
        <v>53942.674799999979</v>
      </c>
      <c r="AE64" s="119">
        <f t="shared" si="13"/>
        <v>54558.067199999976</v>
      </c>
      <c r="AF64" s="119">
        <f t="shared" si="13"/>
        <v>55173.45959999998</v>
      </c>
      <c r="AG64" s="119">
        <f t="shared" si="13"/>
        <v>57302.111999999979</v>
      </c>
      <c r="AH64" s="119">
        <f t="shared" si="13"/>
        <v>57917.504399999976</v>
      </c>
      <c r="AI64" s="119">
        <f t="shared" si="13"/>
        <v>58532.89679999998</v>
      </c>
      <c r="AJ64" s="119">
        <f t="shared" si="13"/>
        <v>59148.289199999977</v>
      </c>
      <c r="AK64" s="119">
        <f t="shared" si="13"/>
        <v>59763.681599999974</v>
      </c>
      <c r="AL64" s="120">
        <f t="shared" si="13"/>
        <v>60379.073999999979</v>
      </c>
      <c r="AM64" s="118">
        <f t="shared" si="13"/>
        <v>60994.466399999976</v>
      </c>
      <c r="AN64" s="119">
        <f t="shared" si="13"/>
        <v>61609.85879999998</v>
      </c>
      <c r="AO64" s="119">
        <f t="shared" si="13"/>
        <v>62225.251199999977</v>
      </c>
      <c r="AP64" s="119">
        <f t="shared" si="13"/>
        <v>62840.643599999974</v>
      </c>
      <c r="AQ64" s="119">
        <f t="shared" si="13"/>
        <v>63456.035999999978</v>
      </c>
      <c r="AR64" s="119">
        <f t="shared" si="13"/>
        <v>64071.428399999975</v>
      </c>
      <c r="AS64" s="119">
        <f t="shared" si="13"/>
        <v>64686.820799999979</v>
      </c>
      <c r="AT64" s="119">
        <f t="shared" si="13"/>
        <v>65302.213199999976</v>
      </c>
      <c r="AU64" s="119">
        <f t="shared" si="13"/>
        <v>65917.605599999981</v>
      </c>
      <c r="AV64" s="119">
        <f t="shared" si="13"/>
        <v>66532.997999999963</v>
      </c>
      <c r="AW64" s="119">
        <f t="shared" si="13"/>
        <v>67148.390399999975</v>
      </c>
      <c r="AX64" s="120">
        <f t="shared" si="13"/>
        <v>67763.782799999972</v>
      </c>
      <c r="AY64" s="118">
        <f t="shared" si="13"/>
        <v>68379.175199999969</v>
      </c>
      <c r="AZ64" s="119">
        <f t="shared" si="13"/>
        <v>68994.567599999966</v>
      </c>
      <c r="BA64" s="119">
        <f t="shared" si="13"/>
        <v>69609.959999999963</v>
      </c>
      <c r="BB64" s="119">
        <f t="shared" si="13"/>
        <v>70225.352399999974</v>
      </c>
      <c r="BC64" s="119">
        <f t="shared" si="13"/>
        <v>70840.744799999957</v>
      </c>
      <c r="BD64" s="119">
        <f t="shared" si="13"/>
        <v>70618.8</v>
      </c>
      <c r="BE64" s="119">
        <f t="shared" si="13"/>
        <v>70618.8</v>
      </c>
      <c r="BF64" s="119">
        <f t="shared" si="13"/>
        <v>70618.8</v>
      </c>
      <c r="BG64" s="119">
        <f t="shared" si="13"/>
        <v>70618.8</v>
      </c>
      <c r="BH64" s="119">
        <f t="shared" si="13"/>
        <v>70618.8</v>
      </c>
      <c r="BI64" s="119">
        <f t="shared" si="13"/>
        <v>70618.8</v>
      </c>
      <c r="BJ64" s="120">
        <f t="shared" si="13"/>
        <v>70618.8</v>
      </c>
    </row>
    <row r="65" spans="1:63" s="89" customFormat="1" ht="14.4" customHeight="1" outlineLevel="1" x14ac:dyDescent="0.3">
      <c r="A65" s="84"/>
      <c r="B65" s="113" t="s">
        <v>220</v>
      </c>
      <c r="C65" s="130">
        <f>C60*$C$12</f>
        <v>35084</v>
      </c>
      <c r="D65" s="130">
        <f t="shared" ref="D65:BJ65" si="14">D60*$C$12</f>
        <v>35695.463999999993</v>
      </c>
      <c r="E65" s="130">
        <f t="shared" si="14"/>
        <v>36306.927999999993</v>
      </c>
      <c r="F65" s="130">
        <f t="shared" si="14"/>
        <v>36918.391999999993</v>
      </c>
      <c r="G65" s="130">
        <f t="shared" si="14"/>
        <v>37529.855999999992</v>
      </c>
      <c r="H65" s="130">
        <f t="shared" si="14"/>
        <v>38141.319999999992</v>
      </c>
      <c r="I65" s="130">
        <f t="shared" si="14"/>
        <v>38752.783999999992</v>
      </c>
      <c r="J65" s="130">
        <f t="shared" si="14"/>
        <v>39364.247999999992</v>
      </c>
      <c r="K65" s="130">
        <f t="shared" si="14"/>
        <v>39975.711999999992</v>
      </c>
      <c r="L65" s="130">
        <f t="shared" si="14"/>
        <v>40587.175999999992</v>
      </c>
      <c r="M65" s="130">
        <f t="shared" si="14"/>
        <v>41198.639999999985</v>
      </c>
      <c r="N65" s="131">
        <f t="shared" si="14"/>
        <v>41810.103999999985</v>
      </c>
      <c r="O65" s="130">
        <f t="shared" si="14"/>
        <v>42421.567999999985</v>
      </c>
      <c r="P65" s="130">
        <f t="shared" si="14"/>
        <v>43033.031999999985</v>
      </c>
      <c r="Q65" s="130">
        <f t="shared" si="14"/>
        <v>43644.495999999985</v>
      </c>
      <c r="R65" s="130">
        <f t="shared" si="14"/>
        <v>44255.959999999985</v>
      </c>
      <c r="S65" s="130">
        <f t="shared" si="14"/>
        <v>44867.423999999985</v>
      </c>
      <c r="T65" s="130">
        <f t="shared" si="14"/>
        <v>45478.887999999984</v>
      </c>
      <c r="U65" s="130">
        <f t="shared" si="14"/>
        <v>48095.151999999987</v>
      </c>
      <c r="V65" s="130">
        <f t="shared" si="14"/>
        <v>48706.615999999987</v>
      </c>
      <c r="W65" s="130">
        <f t="shared" si="14"/>
        <v>49318.079999999987</v>
      </c>
      <c r="X65" s="130">
        <f t="shared" si="14"/>
        <v>49929.543999999987</v>
      </c>
      <c r="Y65" s="130">
        <f t="shared" si="14"/>
        <v>50541.007999999987</v>
      </c>
      <c r="Z65" s="131">
        <f t="shared" si="14"/>
        <v>51152.471999999987</v>
      </c>
      <c r="AA65" s="130">
        <f t="shared" si="14"/>
        <v>51763.935999999987</v>
      </c>
      <c r="AB65" s="130">
        <f t="shared" si="14"/>
        <v>52375.399999999987</v>
      </c>
      <c r="AC65" s="130">
        <f t="shared" si="14"/>
        <v>52986.863999999987</v>
      </c>
      <c r="AD65" s="130">
        <f t="shared" si="14"/>
        <v>53598.32799999998</v>
      </c>
      <c r="AE65" s="130">
        <f t="shared" si="14"/>
        <v>54209.791999999979</v>
      </c>
      <c r="AF65" s="130">
        <f t="shared" si="14"/>
        <v>54821.255999999979</v>
      </c>
      <c r="AG65" s="130">
        <f t="shared" si="14"/>
        <v>56936.319999999978</v>
      </c>
      <c r="AH65" s="130">
        <f t="shared" si="14"/>
        <v>57547.783999999978</v>
      </c>
      <c r="AI65" s="130">
        <f t="shared" si="14"/>
        <v>58159.247999999978</v>
      </c>
      <c r="AJ65" s="130">
        <f t="shared" si="14"/>
        <v>58770.711999999978</v>
      </c>
      <c r="AK65" s="130">
        <f t="shared" si="14"/>
        <v>59382.175999999978</v>
      </c>
      <c r="AL65" s="131">
        <f t="shared" si="14"/>
        <v>59993.639999999978</v>
      </c>
      <c r="AM65" s="130">
        <f t="shared" si="14"/>
        <v>60605.103999999978</v>
      </c>
      <c r="AN65" s="130">
        <f t="shared" si="14"/>
        <v>61216.567999999977</v>
      </c>
      <c r="AO65" s="130">
        <f t="shared" si="14"/>
        <v>61828.031999999977</v>
      </c>
      <c r="AP65" s="130">
        <f t="shared" si="14"/>
        <v>62439.495999999977</v>
      </c>
      <c r="AQ65" s="130">
        <f t="shared" si="14"/>
        <v>63050.959999999977</v>
      </c>
      <c r="AR65" s="130">
        <f t="shared" si="14"/>
        <v>63662.423999999977</v>
      </c>
      <c r="AS65" s="130">
        <f t="shared" si="14"/>
        <v>64273.887999999977</v>
      </c>
      <c r="AT65" s="130">
        <f t="shared" si="14"/>
        <v>64885.351999999977</v>
      </c>
      <c r="AU65" s="130">
        <f t="shared" si="14"/>
        <v>65496.815999999977</v>
      </c>
      <c r="AV65" s="130">
        <f t="shared" si="14"/>
        <v>66108.27999999997</v>
      </c>
      <c r="AW65" s="130">
        <f t="shared" si="14"/>
        <v>66719.743999999977</v>
      </c>
      <c r="AX65" s="131">
        <f t="shared" si="14"/>
        <v>67331.20799999997</v>
      </c>
      <c r="AY65" s="130">
        <f t="shared" si="14"/>
        <v>67942.671999999962</v>
      </c>
      <c r="AZ65" s="130">
        <f t="shared" si="14"/>
        <v>68554.135999999969</v>
      </c>
      <c r="BA65" s="130">
        <f t="shared" si="14"/>
        <v>69165.599999999962</v>
      </c>
      <c r="BB65" s="130">
        <f t="shared" si="14"/>
        <v>69777.063999999969</v>
      </c>
      <c r="BC65" s="130">
        <f t="shared" si="14"/>
        <v>70388.527999999962</v>
      </c>
      <c r="BD65" s="130">
        <f t="shared" si="14"/>
        <v>70168</v>
      </c>
      <c r="BE65" s="130">
        <f t="shared" si="14"/>
        <v>70168</v>
      </c>
      <c r="BF65" s="130">
        <f t="shared" si="14"/>
        <v>70168</v>
      </c>
      <c r="BG65" s="130">
        <f t="shared" si="14"/>
        <v>70168</v>
      </c>
      <c r="BH65" s="130">
        <f t="shared" si="14"/>
        <v>70168</v>
      </c>
      <c r="BI65" s="130">
        <f t="shared" si="14"/>
        <v>70168</v>
      </c>
      <c r="BJ65" s="131">
        <f t="shared" si="14"/>
        <v>70168</v>
      </c>
    </row>
    <row r="66" spans="1:63" s="89" customFormat="1" ht="14.4" hidden="1" customHeight="1" outlineLevel="1" x14ac:dyDescent="0.3">
      <c r="A66" s="84"/>
      <c r="B66" s="113" t="s">
        <v>152</v>
      </c>
      <c r="C66" s="130">
        <f t="shared" ref="C66:N66" si="15">C59*$C$14</f>
        <v>0</v>
      </c>
      <c r="D66" s="130">
        <f t="shared" si="15"/>
        <v>0</v>
      </c>
      <c r="E66" s="130">
        <f t="shared" si="15"/>
        <v>0</v>
      </c>
      <c r="F66" s="130">
        <f t="shared" si="15"/>
        <v>0</v>
      </c>
      <c r="G66" s="130">
        <f t="shared" si="15"/>
        <v>0</v>
      </c>
      <c r="H66" s="130">
        <f t="shared" si="15"/>
        <v>0</v>
      </c>
      <c r="I66" s="130">
        <f t="shared" si="15"/>
        <v>0</v>
      </c>
      <c r="J66" s="130">
        <f t="shared" si="15"/>
        <v>0</v>
      </c>
      <c r="K66" s="130">
        <f t="shared" si="15"/>
        <v>0</v>
      </c>
      <c r="L66" s="130">
        <f t="shared" si="15"/>
        <v>0</v>
      </c>
      <c r="M66" s="130">
        <f t="shared" si="15"/>
        <v>0</v>
      </c>
      <c r="N66" s="99">
        <f t="shared" si="15"/>
        <v>0</v>
      </c>
      <c r="O66" s="130">
        <f>(N66*0.25%)+N66</f>
        <v>0</v>
      </c>
      <c r="P66" s="130">
        <f t="shared" ref="P66:BJ66" si="16">(O66*0.5%)+O66</f>
        <v>0</v>
      </c>
      <c r="Q66" s="130">
        <f t="shared" si="16"/>
        <v>0</v>
      </c>
      <c r="R66" s="130">
        <f t="shared" si="16"/>
        <v>0</v>
      </c>
      <c r="S66" s="130">
        <f t="shared" si="16"/>
        <v>0</v>
      </c>
      <c r="T66" s="130">
        <f t="shared" si="16"/>
        <v>0</v>
      </c>
      <c r="U66" s="130">
        <f t="shared" si="16"/>
        <v>0</v>
      </c>
      <c r="V66" s="130">
        <f t="shared" si="16"/>
        <v>0</v>
      </c>
      <c r="W66" s="130">
        <f t="shared" si="16"/>
        <v>0</v>
      </c>
      <c r="X66" s="130">
        <f t="shared" si="16"/>
        <v>0</v>
      </c>
      <c r="Y66" s="130">
        <f t="shared" si="16"/>
        <v>0</v>
      </c>
      <c r="Z66" s="99">
        <f t="shared" si="16"/>
        <v>0</v>
      </c>
      <c r="AA66" s="130">
        <f t="shared" si="16"/>
        <v>0</v>
      </c>
      <c r="AB66" s="130">
        <f t="shared" si="16"/>
        <v>0</v>
      </c>
      <c r="AC66" s="130">
        <f t="shared" si="16"/>
        <v>0</v>
      </c>
      <c r="AD66" s="130">
        <f t="shared" si="16"/>
        <v>0</v>
      </c>
      <c r="AE66" s="130">
        <f t="shared" si="16"/>
        <v>0</v>
      </c>
      <c r="AF66" s="130">
        <f t="shared" si="16"/>
        <v>0</v>
      </c>
      <c r="AG66" s="130">
        <f t="shared" si="16"/>
        <v>0</v>
      </c>
      <c r="AH66" s="130">
        <f t="shared" si="16"/>
        <v>0</v>
      </c>
      <c r="AI66" s="130">
        <f t="shared" si="16"/>
        <v>0</v>
      </c>
      <c r="AJ66" s="130">
        <f t="shared" si="16"/>
        <v>0</v>
      </c>
      <c r="AK66" s="130">
        <f t="shared" si="16"/>
        <v>0</v>
      </c>
      <c r="AL66" s="99">
        <f t="shared" si="16"/>
        <v>0</v>
      </c>
      <c r="AM66" s="130">
        <f t="shared" si="16"/>
        <v>0</v>
      </c>
      <c r="AN66" s="130">
        <f t="shared" si="16"/>
        <v>0</v>
      </c>
      <c r="AO66" s="130">
        <f t="shared" si="16"/>
        <v>0</v>
      </c>
      <c r="AP66" s="130">
        <f t="shared" si="16"/>
        <v>0</v>
      </c>
      <c r="AQ66" s="130">
        <f t="shared" si="16"/>
        <v>0</v>
      </c>
      <c r="AR66" s="130">
        <f t="shared" si="16"/>
        <v>0</v>
      </c>
      <c r="AS66" s="130">
        <f t="shared" si="16"/>
        <v>0</v>
      </c>
      <c r="AT66" s="130">
        <f t="shared" si="16"/>
        <v>0</v>
      </c>
      <c r="AU66" s="130">
        <f t="shared" si="16"/>
        <v>0</v>
      </c>
      <c r="AV66" s="130">
        <f t="shared" si="16"/>
        <v>0</v>
      </c>
      <c r="AW66" s="130">
        <f t="shared" si="16"/>
        <v>0</v>
      </c>
      <c r="AX66" s="99">
        <f t="shared" si="16"/>
        <v>0</v>
      </c>
      <c r="AY66" s="130">
        <f t="shared" si="16"/>
        <v>0</v>
      </c>
      <c r="AZ66" s="130">
        <f t="shared" si="16"/>
        <v>0</v>
      </c>
      <c r="BA66" s="130">
        <f t="shared" si="16"/>
        <v>0</v>
      </c>
      <c r="BB66" s="130">
        <f t="shared" si="16"/>
        <v>0</v>
      </c>
      <c r="BC66" s="130">
        <f t="shared" si="16"/>
        <v>0</v>
      </c>
      <c r="BD66" s="130">
        <f t="shared" si="16"/>
        <v>0</v>
      </c>
      <c r="BE66" s="130">
        <f t="shared" si="16"/>
        <v>0</v>
      </c>
      <c r="BF66" s="130">
        <f t="shared" si="16"/>
        <v>0</v>
      </c>
      <c r="BG66" s="130">
        <f t="shared" si="16"/>
        <v>0</v>
      </c>
      <c r="BH66" s="130">
        <f t="shared" si="16"/>
        <v>0</v>
      </c>
      <c r="BI66" s="130">
        <f t="shared" si="16"/>
        <v>0</v>
      </c>
      <c r="BJ66" s="99">
        <f t="shared" si="16"/>
        <v>0</v>
      </c>
    </row>
    <row r="67" spans="1:63" s="89" customFormat="1" ht="14.4" customHeight="1" outlineLevel="1" x14ac:dyDescent="0.3">
      <c r="A67" s="84"/>
      <c r="B67" s="113" t="s">
        <v>153</v>
      </c>
      <c r="C67" s="130">
        <f t="shared" ref="C67:AH67" si="17">C59*$C$13</f>
        <v>225.4</v>
      </c>
      <c r="D67" s="130">
        <f t="shared" si="17"/>
        <v>229.32839999999996</v>
      </c>
      <c r="E67" s="130">
        <f t="shared" si="17"/>
        <v>233.25679999999997</v>
      </c>
      <c r="F67" s="130">
        <f t="shared" si="17"/>
        <v>237.18519999999995</v>
      </c>
      <c r="G67" s="130">
        <f t="shared" si="17"/>
        <v>241.11359999999996</v>
      </c>
      <c r="H67" s="130">
        <f t="shared" si="17"/>
        <v>245.04199999999997</v>
      </c>
      <c r="I67" s="130">
        <f t="shared" si="17"/>
        <v>248.97039999999996</v>
      </c>
      <c r="J67" s="130">
        <f t="shared" si="17"/>
        <v>252.89879999999997</v>
      </c>
      <c r="K67" s="130">
        <f t="shared" si="17"/>
        <v>256.82719999999995</v>
      </c>
      <c r="L67" s="130">
        <f t="shared" si="17"/>
        <v>260.75559999999996</v>
      </c>
      <c r="M67" s="130">
        <f t="shared" si="17"/>
        <v>264.68399999999991</v>
      </c>
      <c r="N67" s="132">
        <f t="shared" si="17"/>
        <v>268.61239999999992</v>
      </c>
      <c r="O67" s="130">
        <f t="shared" si="17"/>
        <v>272.54079999999993</v>
      </c>
      <c r="P67" s="130">
        <f t="shared" si="17"/>
        <v>276.46919999999994</v>
      </c>
      <c r="Q67" s="130">
        <f t="shared" si="17"/>
        <v>280.39759999999995</v>
      </c>
      <c r="R67" s="130">
        <f t="shared" si="17"/>
        <v>284.32599999999991</v>
      </c>
      <c r="S67" s="130">
        <f t="shared" si="17"/>
        <v>288.25439999999992</v>
      </c>
      <c r="T67" s="130">
        <f t="shared" si="17"/>
        <v>292.18279999999993</v>
      </c>
      <c r="U67" s="130">
        <f t="shared" si="17"/>
        <v>308.99119999999994</v>
      </c>
      <c r="V67" s="130">
        <f t="shared" si="17"/>
        <v>312.91959999999995</v>
      </c>
      <c r="W67" s="130">
        <f t="shared" si="17"/>
        <v>316.8479999999999</v>
      </c>
      <c r="X67" s="130">
        <f t="shared" si="17"/>
        <v>320.77639999999991</v>
      </c>
      <c r="Y67" s="130">
        <f t="shared" si="17"/>
        <v>324.70479999999992</v>
      </c>
      <c r="Z67" s="132">
        <f t="shared" si="17"/>
        <v>328.63319999999993</v>
      </c>
      <c r="AA67" s="130">
        <f t="shared" si="17"/>
        <v>332.56159999999994</v>
      </c>
      <c r="AB67" s="130">
        <f t="shared" si="17"/>
        <v>336.48999999999995</v>
      </c>
      <c r="AC67" s="130">
        <f t="shared" si="17"/>
        <v>340.41839999999991</v>
      </c>
      <c r="AD67" s="130">
        <f t="shared" si="17"/>
        <v>344.34679999999986</v>
      </c>
      <c r="AE67" s="130">
        <f t="shared" si="17"/>
        <v>348.27519999999987</v>
      </c>
      <c r="AF67" s="130">
        <f t="shared" si="17"/>
        <v>352.20359999999988</v>
      </c>
      <c r="AG67" s="130">
        <f t="shared" si="17"/>
        <v>365.79199999999986</v>
      </c>
      <c r="AH67" s="130">
        <f t="shared" si="17"/>
        <v>369.72039999999987</v>
      </c>
      <c r="AI67" s="130">
        <f t="shared" ref="AI67:BJ67" si="18">AI59*$C$13</f>
        <v>373.64879999999988</v>
      </c>
      <c r="AJ67" s="130">
        <f t="shared" si="18"/>
        <v>377.57719999999983</v>
      </c>
      <c r="AK67" s="130">
        <f t="shared" si="18"/>
        <v>381.50559999999984</v>
      </c>
      <c r="AL67" s="132">
        <f t="shared" si="18"/>
        <v>385.43399999999986</v>
      </c>
      <c r="AM67" s="130">
        <f t="shared" si="18"/>
        <v>389.36239999999987</v>
      </c>
      <c r="AN67" s="130">
        <f t="shared" si="18"/>
        <v>393.29079999999988</v>
      </c>
      <c r="AO67" s="130">
        <f t="shared" si="18"/>
        <v>397.21919999999989</v>
      </c>
      <c r="AP67" s="130">
        <f t="shared" si="18"/>
        <v>401.14759999999984</v>
      </c>
      <c r="AQ67" s="130">
        <f t="shared" si="18"/>
        <v>405.07599999999985</v>
      </c>
      <c r="AR67" s="130">
        <f t="shared" si="18"/>
        <v>409.00439999999986</v>
      </c>
      <c r="AS67" s="130">
        <f t="shared" si="18"/>
        <v>412.93279999999987</v>
      </c>
      <c r="AT67" s="130">
        <f t="shared" si="18"/>
        <v>416.86119999999988</v>
      </c>
      <c r="AU67" s="130">
        <f t="shared" si="18"/>
        <v>420.78959999999984</v>
      </c>
      <c r="AV67" s="130">
        <f t="shared" si="18"/>
        <v>424.71799999999985</v>
      </c>
      <c r="AW67" s="130">
        <f t="shared" si="18"/>
        <v>428.64639999999986</v>
      </c>
      <c r="AX67" s="132">
        <f t="shared" si="18"/>
        <v>432.57479999999987</v>
      </c>
      <c r="AY67" s="130">
        <f t="shared" si="18"/>
        <v>436.50319999999977</v>
      </c>
      <c r="AZ67" s="130">
        <f t="shared" si="18"/>
        <v>440.43159999999978</v>
      </c>
      <c r="BA67" s="130">
        <f t="shared" si="18"/>
        <v>444.35999999999979</v>
      </c>
      <c r="BB67" s="130">
        <f t="shared" si="18"/>
        <v>448.2883999999998</v>
      </c>
      <c r="BC67" s="130">
        <f t="shared" si="18"/>
        <v>452.21679999999981</v>
      </c>
      <c r="BD67" s="130">
        <f t="shared" si="18"/>
        <v>450.8</v>
      </c>
      <c r="BE67" s="130">
        <f t="shared" si="18"/>
        <v>450.8</v>
      </c>
      <c r="BF67" s="130">
        <f t="shared" si="18"/>
        <v>450.8</v>
      </c>
      <c r="BG67" s="130">
        <f t="shared" si="18"/>
        <v>450.8</v>
      </c>
      <c r="BH67" s="130">
        <f t="shared" si="18"/>
        <v>450.8</v>
      </c>
      <c r="BI67" s="130">
        <f t="shared" si="18"/>
        <v>450.8</v>
      </c>
      <c r="BJ67" s="132">
        <f t="shared" si="18"/>
        <v>450.8</v>
      </c>
    </row>
    <row r="68" spans="1:63" s="121" customFormat="1" ht="17.100000000000001" customHeight="1" x14ac:dyDescent="0.3">
      <c r="A68" s="112"/>
      <c r="B68" s="126" t="s">
        <v>83</v>
      </c>
      <c r="C68" s="127">
        <f t="shared" ref="C68:AH68" si="19">C63-C64</f>
        <v>58770.6</v>
      </c>
      <c r="D68" s="128">
        <f t="shared" si="19"/>
        <v>55005.649730576406</v>
      </c>
      <c r="E68" s="128">
        <f t="shared" si="19"/>
        <v>55931.421986857611</v>
      </c>
      <c r="F68" s="128">
        <f t="shared" si="19"/>
        <v>56856.923838006398</v>
      </c>
      <c r="G68" s="128">
        <f t="shared" si="19"/>
        <v>57782.162115074541</v>
      </c>
      <c r="H68" s="128">
        <f t="shared" si="19"/>
        <v>58707.143420944558</v>
      </c>
      <c r="I68" s="128">
        <f t="shared" si="19"/>
        <v>59631.874139777356</v>
      </c>
      <c r="J68" s="128">
        <f t="shared" si="19"/>
        <v>60556.360445994338</v>
      </c>
      <c r="K68" s="128">
        <f t="shared" si="19"/>
        <v>61480.608312820499</v>
      </c>
      <c r="L68" s="128">
        <f t="shared" si="19"/>
        <v>62404.62352041329</v>
      </c>
      <c r="M68" s="128">
        <f t="shared" si="19"/>
        <v>63328.411663600513</v>
      </c>
      <c r="N68" s="129">
        <f t="shared" si="19"/>
        <v>64251.978159249113</v>
      </c>
      <c r="O68" s="127">
        <f t="shared" si="19"/>
        <v>65191.64986093076</v>
      </c>
      <c r="P68" s="128">
        <f t="shared" si="19"/>
        <v>66098.467027383536</v>
      </c>
      <c r="Q68" s="128">
        <f t="shared" si="19"/>
        <v>67005.377737965886</v>
      </c>
      <c r="R68" s="128">
        <f t="shared" si="19"/>
        <v>67912.377732736088</v>
      </c>
      <c r="S68" s="128">
        <f t="shared" si="19"/>
        <v>68819.463006544916</v>
      </c>
      <c r="T68" s="128">
        <f t="shared" si="19"/>
        <v>69726.629790266859</v>
      </c>
      <c r="U68" s="128">
        <f t="shared" si="19"/>
        <v>73706.248371581576</v>
      </c>
      <c r="V68" s="128">
        <f t="shared" si="19"/>
        <v>74603.96563855889</v>
      </c>
      <c r="W68" s="128">
        <f t="shared" si="19"/>
        <v>75502.115528556664</v>
      </c>
      <c r="X68" s="128">
        <f t="shared" si="19"/>
        <v>76400.675310452119</v>
      </c>
      <c r="Y68" s="128">
        <f t="shared" si="19"/>
        <v>78251.373438540235</v>
      </c>
      <c r="Z68" s="129">
        <f t="shared" si="19"/>
        <v>79058.86473107955</v>
      </c>
      <c r="AA68" s="127">
        <f t="shared" si="19"/>
        <v>79867.716244670577</v>
      </c>
      <c r="AB68" s="128">
        <f t="shared" si="19"/>
        <v>80677.861188929091</v>
      </c>
      <c r="AC68" s="128">
        <f t="shared" si="19"/>
        <v>81489.237075826764</v>
      </c>
      <c r="AD68" s="128">
        <f t="shared" si="19"/>
        <v>82301.785378757224</v>
      </c>
      <c r="AE68" s="128">
        <f t="shared" si="19"/>
        <v>83115.451223515978</v>
      </c>
      <c r="AF68" s="128">
        <f t="shared" si="19"/>
        <v>83930.183107763296</v>
      </c>
      <c r="AG68" s="128">
        <f t="shared" si="19"/>
        <v>87044.646913022283</v>
      </c>
      <c r="AH68" s="128">
        <f t="shared" si="19"/>
        <v>87864.613797042402</v>
      </c>
      <c r="AI68" s="128">
        <f t="shared" ref="AI68:BJ68" si="20">AI63-AI64</f>
        <v>88685.371196591208</v>
      </c>
      <c r="AJ68" s="128">
        <f t="shared" si="20"/>
        <v>89506.886554949539</v>
      </c>
      <c r="AK68" s="128">
        <f t="shared" si="20"/>
        <v>90329.129078949773</v>
      </c>
      <c r="AL68" s="129">
        <f t="shared" si="20"/>
        <v>91152.069621159768</v>
      </c>
      <c r="AM68" s="127">
        <f t="shared" si="20"/>
        <v>91975.680571387551</v>
      </c>
      <c r="AN68" s="128">
        <f t="shared" si="20"/>
        <v>92799.935756657185</v>
      </c>
      <c r="AO68" s="128">
        <f t="shared" si="20"/>
        <v>93624.810348894505</v>
      </c>
      <c r="AP68" s="128">
        <f t="shared" si="20"/>
        <v>94450.2807796376</v>
      </c>
      <c r="AQ68" s="128">
        <f t="shared" si="20"/>
        <v>95276.324661156992</v>
      </c>
      <c r="AR68" s="128">
        <f t="shared" si="20"/>
        <v>96102.920713429805</v>
      </c>
      <c r="AS68" s="128">
        <f t="shared" si="20"/>
        <v>96930.04869646742</v>
      </c>
      <c r="AT68" s="128">
        <f t="shared" si="20"/>
        <v>97773.598576845194</v>
      </c>
      <c r="AU68" s="128">
        <f t="shared" si="20"/>
        <v>98617.244143380813</v>
      </c>
      <c r="AV68" s="128">
        <f t="shared" si="20"/>
        <v>99460.982571105909</v>
      </c>
      <c r="AW68" s="128">
        <f t="shared" si="20"/>
        <v>100304.81114517132</v>
      </c>
      <c r="AX68" s="129">
        <f t="shared" si="20"/>
        <v>101148.72725553355</v>
      </c>
      <c r="AY68" s="127">
        <f t="shared" si="20"/>
        <v>101992.72839194542</v>
      </c>
      <c r="AZ68" s="128">
        <f t="shared" si="20"/>
        <v>102836.81213923164</v>
      </c>
      <c r="BA68" s="128">
        <f t="shared" si="20"/>
        <v>103680.97617282998</v>
      </c>
      <c r="BB68" s="128">
        <f t="shared" si="20"/>
        <v>104525.21825458141</v>
      </c>
      <c r="BC68" s="128">
        <f t="shared" si="20"/>
        <v>105369.53622875252</v>
      </c>
      <c r="BD68" s="128">
        <f t="shared" si="20"/>
        <v>104969.29212592538</v>
      </c>
      <c r="BE68" s="128">
        <f t="shared" si="20"/>
        <v>104908.18411364003</v>
      </c>
      <c r="BF68" s="128">
        <f t="shared" si="20"/>
        <v>104853.66026388462</v>
      </c>
      <c r="BG68" s="128">
        <f t="shared" si="20"/>
        <v>104805.45726201801</v>
      </c>
      <c r="BH68" s="128">
        <f t="shared" si="20"/>
        <v>104763.34696609595</v>
      </c>
      <c r="BI68" s="128">
        <f t="shared" si="20"/>
        <v>104727.13360925754</v>
      </c>
      <c r="BJ68" s="129">
        <f t="shared" si="20"/>
        <v>104696.6514582357</v>
      </c>
    </row>
    <row r="69" spans="1:63" s="121" customFormat="1" ht="17.100000000000001" customHeight="1" x14ac:dyDescent="0.3">
      <c r="A69" s="112"/>
      <c r="B69" s="126" t="s">
        <v>100</v>
      </c>
      <c r="C69" s="133">
        <f t="shared" ref="C69:AH69" si="21">C68/C63</f>
        <v>0.62468749999999995</v>
      </c>
      <c r="D69" s="134">
        <f t="shared" si="21"/>
        <v>0.60492007342918364</v>
      </c>
      <c r="E69" s="134">
        <f t="shared" si="21"/>
        <v>0.60484968230060843</v>
      </c>
      <c r="F69" s="134">
        <f t="shared" si="21"/>
        <v>0.6047804622815095</v>
      </c>
      <c r="G69" s="134">
        <f t="shared" si="21"/>
        <v>0.60471238438707064</v>
      </c>
      <c r="H69" s="134">
        <f t="shared" si="21"/>
        <v>0.60464542058114357</v>
      </c>
      <c r="I69" s="134">
        <f t="shared" si="21"/>
        <v>0.60457954373775047</v>
      </c>
      <c r="J69" s="134">
        <f t="shared" si="21"/>
        <v>0.6045147276044468</v>
      </c>
      <c r="K69" s="134">
        <f t="shared" si="21"/>
        <v>0.60445094676743871</v>
      </c>
      <c r="L69" s="134">
        <f t="shared" si="21"/>
        <v>0.60438817661835997</v>
      </c>
      <c r="M69" s="134">
        <f t="shared" si="21"/>
        <v>0.60432639332261473</v>
      </c>
      <c r="N69" s="135">
        <f t="shared" si="21"/>
        <v>0.60426557378920276</v>
      </c>
      <c r="O69" s="133">
        <f t="shared" si="21"/>
        <v>0.60426557378920265</v>
      </c>
      <c r="P69" s="134">
        <f t="shared" si="21"/>
        <v>0.60414673719203449</v>
      </c>
      <c r="Q69" s="134">
        <f t="shared" si="21"/>
        <v>0.60403149590992933</v>
      </c>
      <c r="R69" s="134">
        <f t="shared" si="21"/>
        <v>0.60391968921378369</v>
      </c>
      <c r="S69" s="134">
        <f t="shared" si="21"/>
        <v>0.60381116581438199</v>
      </c>
      <c r="T69" s="134">
        <f t="shared" si="21"/>
        <v>0.60370578317939971</v>
      </c>
      <c r="U69" s="134">
        <f t="shared" si="21"/>
        <v>0.60360340690886005</v>
      </c>
      <c r="V69" s="134">
        <f t="shared" si="21"/>
        <v>0.60347721016729694</v>
      </c>
      <c r="W69" s="134">
        <f t="shared" si="21"/>
        <v>0.60335543656444823</v>
      </c>
      <c r="X69" s="134">
        <f t="shared" si="21"/>
        <v>0.60323785756188109</v>
      </c>
      <c r="Y69" s="134">
        <f t="shared" si="21"/>
        <v>0.60604971594520807</v>
      </c>
      <c r="Z69" s="135">
        <f t="shared" si="21"/>
        <v>0.60562956137357637</v>
      </c>
      <c r="AA69" s="133">
        <f t="shared" si="21"/>
        <v>0.60522253660889802</v>
      </c>
      <c r="AB69" s="134">
        <f t="shared" si="21"/>
        <v>0.60482803566114673</v>
      </c>
      <c r="AC69" s="134">
        <f t="shared" si="21"/>
        <v>0.60444548926690078</v>
      </c>
      <c r="AD69" s="134">
        <f t="shared" si="21"/>
        <v>0.60407436214855692</v>
      </c>
      <c r="AE69" s="134">
        <f t="shared" si="21"/>
        <v>0.60371415051537658</v>
      </c>
      <c r="AF69" s="134">
        <f t="shared" si="21"/>
        <v>0.6033643797818331</v>
      </c>
      <c r="AG69" s="134">
        <f t="shared" si="21"/>
        <v>0.60302460248152856</v>
      </c>
      <c r="AH69" s="134">
        <f t="shared" si="21"/>
        <v>0.60271187497963652</v>
      </c>
      <c r="AI69" s="134">
        <f t="shared" ref="AI69:BJ69" si="22">AI68/AI63</f>
        <v>0.60240738057483934</v>
      </c>
      <c r="AJ69" s="134">
        <f t="shared" si="22"/>
        <v>0.60211079836531956</v>
      </c>
      <c r="AK69" s="134">
        <f t="shared" si="22"/>
        <v>0.60182182391243788</v>
      </c>
      <c r="AL69" s="135">
        <f t="shared" si="22"/>
        <v>0.60154016819834344</v>
      </c>
      <c r="AM69" s="133">
        <f t="shared" si="22"/>
        <v>0.6012655566617926</v>
      </c>
      <c r="AN69" s="134">
        <f t="shared" si="22"/>
        <v>0.60099772830541753</v>
      </c>
      <c r="AO69" s="134">
        <f t="shared" si="22"/>
        <v>0.60073643486834183</v>
      </c>
      <c r="AP69" s="134">
        <f t="shared" si="22"/>
        <v>0.60048144005862847</v>
      </c>
      <c r="AQ69" s="134">
        <f t="shared" si="22"/>
        <v>0.60023251884057593</v>
      </c>
      <c r="AR69" s="134">
        <f t="shared" si="22"/>
        <v>0.59998945677233961</v>
      </c>
      <c r="AS69" s="134">
        <f t="shared" si="22"/>
        <v>0.59975204938978288</v>
      </c>
      <c r="AT69" s="134">
        <f t="shared" si="22"/>
        <v>0.59955917135423931</v>
      </c>
      <c r="AU69" s="134">
        <f t="shared" si="22"/>
        <v>0.59936994683613021</v>
      </c>
      <c r="AV69" s="134">
        <f t="shared" si="22"/>
        <v>0.59918427300139587</v>
      </c>
      <c r="AW69" s="134">
        <f t="shared" si="22"/>
        <v>0.59900205083934221</v>
      </c>
      <c r="AX69" s="135">
        <f t="shared" si="22"/>
        <v>0.59882318498658738</v>
      </c>
      <c r="AY69" s="133">
        <f t="shared" si="22"/>
        <v>0.59864758356064585</v>
      </c>
      <c r="AZ69" s="134">
        <f t="shared" si="22"/>
        <v>0.59847515800254325</v>
      </c>
      <c r="BA69" s="134">
        <f t="shared" si="22"/>
        <v>0.59830582292789292</v>
      </c>
      <c r="BB69" s="134">
        <f t="shared" si="22"/>
        <v>0.59813949598590965</v>
      </c>
      <c r="BC69" s="134">
        <f t="shared" si="22"/>
        <v>0.59797609772587124</v>
      </c>
      <c r="BD69" s="134">
        <f t="shared" si="22"/>
        <v>0.59781555147057031</v>
      </c>
      <c r="BE69" s="134">
        <f t="shared" si="22"/>
        <v>0.59767553486659442</v>
      </c>
      <c r="BF69" s="134">
        <f t="shared" si="22"/>
        <v>0.59755052220844362</v>
      </c>
      <c r="BG69" s="134">
        <f t="shared" si="22"/>
        <v>0.59743993731424494</v>
      </c>
      <c r="BH69" s="134">
        <f t="shared" si="22"/>
        <v>0.59734328025045957</v>
      </c>
      <c r="BI69" s="134">
        <f t="shared" si="22"/>
        <v>0.59726012148438201</v>
      </c>
      <c r="BJ69" s="135">
        <f t="shared" si="22"/>
        <v>0.59719009697885606</v>
      </c>
    </row>
    <row r="70" spans="1:63" ht="17.100000000000001" customHeight="1" x14ac:dyDescent="0.3">
      <c r="B70" s="117" t="s">
        <v>134</v>
      </c>
      <c r="C70" s="118">
        <f>SUM(C71:C78)</f>
        <v>17613.54</v>
      </c>
      <c r="D70" s="119">
        <f t="shared" ref="D70:BJ70" si="23">SUM(D71:D78)</f>
        <v>17920.518839999997</v>
      </c>
      <c r="E70" s="119">
        <f>SUM(E71:E78)</f>
        <v>18227.497679999997</v>
      </c>
      <c r="F70" s="119">
        <f t="shared" si="23"/>
        <v>18534.476519999997</v>
      </c>
      <c r="G70" s="119">
        <f t="shared" si="23"/>
        <v>18841.455359999993</v>
      </c>
      <c r="H70" s="119">
        <f t="shared" si="23"/>
        <v>19148.434199999996</v>
      </c>
      <c r="I70" s="119">
        <f t="shared" si="23"/>
        <v>19455.413039999996</v>
      </c>
      <c r="J70" s="119">
        <f t="shared" si="23"/>
        <v>19762.391879999996</v>
      </c>
      <c r="K70" s="119">
        <f t="shared" si="23"/>
        <v>20069.370719999999</v>
      </c>
      <c r="L70" s="119">
        <f t="shared" si="23"/>
        <v>20376.349559999999</v>
      </c>
      <c r="M70" s="119">
        <f t="shared" si="23"/>
        <v>20683.328399999995</v>
      </c>
      <c r="N70" s="120">
        <f t="shared" si="23"/>
        <v>20990.307239999991</v>
      </c>
      <c r="O70" s="118">
        <f t="shared" si="23"/>
        <v>21271.797539999992</v>
      </c>
      <c r="P70" s="119">
        <f t="shared" si="23"/>
        <v>21553.300978649993</v>
      </c>
      <c r="Q70" s="119">
        <f t="shared" si="23"/>
        <v>21834.817588796621</v>
      </c>
      <c r="R70" s="119">
        <f t="shared" si="23"/>
        <v>22116.347403368611</v>
      </c>
      <c r="S70" s="119">
        <f t="shared" si="23"/>
        <v>22397.890455377034</v>
      </c>
      <c r="T70" s="119">
        <f t="shared" si="23"/>
        <v>22679.446777915473</v>
      </c>
      <c r="U70" s="119">
        <f t="shared" si="23"/>
        <v>23866.704404160264</v>
      </c>
      <c r="V70" s="119">
        <f t="shared" si="23"/>
        <v>24148.287367370664</v>
      </c>
      <c r="W70" s="119">
        <f t="shared" si="23"/>
        <v>24429.883700889095</v>
      </c>
      <c r="X70" s="119">
        <f t="shared" si="23"/>
        <v>24711.493438141315</v>
      </c>
      <c r="Y70" s="119">
        <f t="shared" si="23"/>
        <v>24993.116612636662</v>
      </c>
      <c r="Z70" s="120">
        <f t="shared" si="23"/>
        <v>25274.753257968256</v>
      </c>
      <c r="AA70" s="118">
        <f t="shared" si="23"/>
        <v>25556.403407813177</v>
      </c>
      <c r="AB70" s="119">
        <f t="shared" si="23"/>
        <v>25838.067095932711</v>
      </c>
      <c r="AC70" s="119">
        <f t="shared" si="23"/>
        <v>26119.744356172545</v>
      </c>
      <c r="AD70" s="119">
        <f t="shared" si="23"/>
        <v>26401.435222462969</v>
      </c>
      <c r="AE70" s="119">
        <f t="shared" si="23"/>
        <v>26683.139728819126</v>
      </c>
      <c r="AF70" s="119">
        <f t="shared" si="23"/>
        <v>26964.857909341175</v>
      </c>
      <c r="AG70" s="119">
        <f t="shared" si="23"/>
        <v>27925.855798214532</v>
      </c>
      <c r="AH70" s="119">
        <f t="shared" si="23"/>
        <v>28207.601429710066</v>
      </c>
      <c r="AI70" s="119">
        <f t="shared" si="23"/>
        <v>28489.360838184341</v>
      </c>
      <c r="AJ70" s="119">
        <f t="shared" si="23"/>
        <v>28771.134058079802</v>
      </c>
      <c r="AK70" s="119">
        <f t="shared" si="23"/>
        <v>29052.921123925</v>
      </c>
      <c r="AL70" s="120">
        <f t="shared" si="23"/>
        <v>29334.722070334814</v>
      </c>
      <c r="AM70" s="118">
        <f t="shared" si="23"/>
        <v>29616.536932010647</v>
      </c>
      <c r="AN70" s="119">
        <f t="shared" si="23"/>
        <v>29898.365743740676</v>
      </c>
      <c r="AO70" s="119">
        <f t="shared" si="23"/>
        <v>30180.208540400032</v>
      </c>
      <c r="AP70" s="119">
        <f t="shared" si="23"/>
        <v>30462.065356951025</v>
      </c>
      <c r="AQ70" s="119">
        <f t="shared" si="23"/>
        <v>30743.936228443403</v>
      </c>
      <c r="AR70" s="119">
        <f t="shared" si="23"/>
        <v>31025.821190014518</v>
      </c>
      <c r="AS70" s="119">
        <f t="shared" si="23"/>
        <v>31307.720276889551</v>
      </c>
      <c r="AT70" s="119">
        <f t="shared" si="23"/>
        <v>31589.633524381778</v>
      </c>
      <c r="AU70" s="119">
        <f t="shared" si="23"/>
        <v>31871.560967892729</v>
      </c>
      <c r="AV70" s="119">
        <f t="shared" si="23"/>
        <v>32153.502642912463</v>
      </c>
      <c r="AW70" s="119">
        <f t="shared" si="23"/>
        <v>32435.458585019747</v>
      </c>
      <c r="AX70" s="120">
        <f t="shared" si="23"/>
        <v>32717.428829882294</v>
      </c>
      <c r="AY70" s="118">
        <f t="shared" si="23"/>
        <v>32999.413413256996</v>
      </c>
      <c r="AZ70" s="119">
        <f t="shared" si="23"/>
        <v>33281.41237099014</v>
      </c>
      <c r="BA70" s="119">
        <f t="shared" si="23"/>
        <v>33563.425739017614</v>
      </c>
      <c r="BB70" s="119">
        <f t="shared" si="23"/>
        <v>33845.453553365158</v>
      </c>
      <c r="BC70" s="119">
        <f t="shared" si="23"/>
        <v>34127.495850148567</v>
      </c>
      <c r="BD70" s="119">
        <f t="shared" si="23"/>
        <v>34033.692145573958</v>
      </c>
      <c r="BE70" s="119">
        <f t="shared" si="23"/>
        <v>34039.528675937894</v>
      </c>
      <c r="BF70" s="119">
        <f t="shared" si="23"/>
        <v>34045.379797627735</v>
      </c>
      <c r="BG70" s="119">
        <f t="shared" si="23"/>
        <v>34051.245547121805</v>
      </c>
      <c r="BH70" s="119">
        <f t="shared" si="23"/>
        <v>34057.125960989608</v>
      </c>
      <c r="BI70" s="119">
        <f t="shared" si="23"/>
        <v>34063.021075892088</v>
      </c>
      <c r="BJ70" s="120">
        <f t="shared" si="23"/>
        <v>34068.930928581816</v>
      </c>
    </row>
    <row r="71" spans="1:63" s="72" customFormat="1" ht="14.4" customHeight="1" outlineLevel="1" x14ac:dyDescent="0.3">
      <c r="A71" s="26"/>
      <c r="B71" s="136" t="s">
        <v>78</v>
      </c>
      <c r="C71" s="130">
        <f>(C59)*$C$16</f>
        <v>1029</v>
      </c>
      <c r="D71" s="137">
        <f t="shared" ref="D71:BJ71" si="24">(D59)*$C$16</f>
        <v>1046.934</v>
      </c>
      <c r="E71" s="137">
        <f t="shared" si="24"/>
        <v>1064.8679999999999</v>
      </c>
      <c r="F71" s="137">
        <f t="shared" si="24"/>
        <v>1082.8019999999999</v>
      </c>
      <c r="G71" s="137">
        <f t="shared" si="24"/>
        <v>1100.7359999999999</v>
      </c>
      <c r="H71" s="137">
        <f t="shared" si="24"/>
        <v>1118.6699999999998</v>
      </c>
      <c r="I71" s="137">
        <f t="shared" si="24"/>
        <v>1136.6039999999998</v>
      </c>
      <c r="J71" s="137">
        <f t="shared" si="24"/>
        <v>1154.538</v>
      </c>
      <c r="K71" s="137">
        <f t="shared" si="24"/>
        <v>1172.472</v>
      </c>
      <c r="L71" s="137">
        <f t="shared" si="24"/>
        <v>1190.4059999999999</v>
      </c>
      <c r="M71" s="137">
        <f t="shared" si="24"/>
        <v>1208.3399999999997</v>
      </c>
      <c r="N71" s="99">
        <f t="shared" si="24"/>
        <v>1226.2739999999997</v>
      </c>
      <c r="O71" s="130">
        <f t="shared" si="24"/>
        <v>1244.2079999999999</v>
      </c>
      <c r="P71" s="137">
        <f t="shared" si="24"/>
        <v>1262.1419999999998</v>
      </c>
      <c r="Q71" s="137">
        <f t="shared" si="24"/>
        <v>1280.0759999999998</v>
      </c>
      <c r="R71" s="137">
        <f t="shared" si="24"/>
        <v>1298.0099999999998</v>
      </c>
      <c r="S71" s="137">
        <f t="shared" si="24"/>
        <v>1315.9439999999997</v>
      </c>
      <c r="T71" s="137">
        <f t="shared" si="24"/>
        <v>1333.8779999999997</v>
      </c>
      <c r="U71" s="137">
        <f t="shared" si="24"/>
        <v>1410.6119999999999</v>
      </c>
      <c r="V71" s="137">
        <f t="shared" si="24"/>
        <v>1428.5459999999998</v>
      </c>
      <c r="W71" s="137">
        <f t="shared" si="24"/>
        <v>1446.4799999999998</v>
      </c>
      <c r="X71" s="137">
        <f t="shared" si="24"/>
        <v>1464.4139999999998</v>
      </c>
      <c r="Y71" s="137">
        <f t="shared" si="24"/>
        <v>1482.3479999999997</v>
      </c>
      <c r="Z71" s="99">
        <f t="shared" si="24"/>
        <v>1500.2819999999997</v>
      </c>
      <c r="AA71" s="130">
        <f t="shared" si="24"/>
        <v>1518.2159999999999</v>
      </c>
      <c r="AB71" s="137">
        <f t="shared" si="24"/>
        <v>1536.1499999999999</v>
      </c>
      <c r="AC71" s="137">
        <f t="shared" si="24"/>
        <v>1554.0839999999998</v>
      </c>
      <c r="AD71" s="137">
        <f t="shared" si="24"/>
        <v>1572.0179999999996</v>
      </c>
      <c r="AE71" s="137">
        <f t="shared" si="24"/>
        <v>1589.9519999999995</v>
      </c>
      <c r="AF71" s="137">
        <f t="shared" si="24"/>
        <v>1607.8859999999995</v>
      </c>
      <c r="AG71" s="137">
        <f t="shared" si="24"/>
        <v>1669.9199999999994</v>
      </c>
      <c r="AH71" s="137">
        <f t="shared" si="24"/>
        <v>1687.8539999999996</v>
      </c>
      <c r="AI71" s="137">
        <f t="shared" si="24"/>
        <v>1705.7879999999996</v>
      </c>
      <c r="AJ71" s="137">
        <f t="shared" si="24"/>
        <v>1723.7219999999995</v>
      </c>
      <c r="AK71" s="137">
        <f t="shared" si="24"/>
        <v>1741.6559999999995</v>
      </c>
      <c r="AL71" s="99">
        <f t="shared" si="24"/>
        <v>1759.5899999999995</v>
      </c>
      <c r="AM71" s="130">
        <f t="shared" si="24"/>
        <v>1777.5239999999994</v>
      </c>
      <c r="AN71" s="137">
        <f t="shared" si="24"/>
        <v>1795.4579999999994</v>
      </c>
      <c r="AO71" s="137">
        <f t="shared" si="24"/>
        <v>1813.3919999999996</v>
      </c>
      <c r="AP71" s="137">
        <f t="shared" si="24"/>
        <v>1831.3259999999996</v>
      </c>
      <c r="AQ71" s="137">
        <f t="shared" si="24"/>
        <v>1849.2599999999995</v>
      </c>
      <c r="AR71" s="137">
        <f t="shared" si="24"/>
        <v>1867.1939999999995</v>
      </c>
      <c r="AS71" s="137">
        <f t="shared" si="24"/>
        <v>1885.1279999999995</v>
      </c>
      <c r="AT71" s="137">
        <f t="shared" si="24"/>
        <v>1903.0619999999994</v>
      </c>
      <c r="AU71" s="137">
        <f t="shared" si="24"/>
        <v>1920.9959999999994</v>
      </c>
      <c r="AV71" s="137">
        <f t="shared" si="24"/>
        <v>1938.9299999999996</v>
      </c>
      <c r="AW71" s="137">
        <f t="shared" si="24"/>
        <v>1956.8639999999996</v>
      </c>
      <c r="AX71" s="99">
        <f t="shared" si="24"/>
        <v>1974.7979999999995</v>
      </c>
      <c r="AY71" s="130">
        <f t="shared" si="24"/>
        <v>1992.7319999999993</v>
      </c>
      <c r="AZ71" s="137">
        <f t="shared" si="24"/>
        <v>2010.6659999999993</v>
      </c>
      <c r="BA71" s="137">
        <f t="shared" si="24"/>
        <v>2028.5999999999992</v>
      </c>
      <c r="BB71" s="137">
        <f t="shared" si="24"/>
        <v>2046.5339999999992</v>
      </c>
      <c r="BC71" s="137">
        <f t="shared" si="24"/>
        <v>2064.4679999999994</v>
      </c>
      <c r="BD71" s="137">
        <f t="shared" si="24"/>
        <v>2058</v>
      </c>
      <c r="BE71" s="137">
        <f t="shared" si="24"/>
        <v>2058</v>
      </c>
      <c r="BF71" s="137">
        <f t="shared" si="24"/>
        <v>2058</v>
      </c>
      <c r="BG71" s="137">
        <f t="shared" si="24"/>
        <v>2058</v>
      </c>
      <c r="BH71" s="137">
        <f t="shared" si="24"/>
        <v>2058</v>
      </c>
      <c r="BI71" s="137">
        <f t="shared" si="24"/>
        <v>2058</v>
      </c>
      <c r="BJ71" s="99">
        <f t="shared" si="24"/>
        <v>2058</v>
      </c>
    </row>
    <row r="72" spans="1:63" s="72" customFormat="1" ht="14.4" customHeight="1" outlineLevel="1" x14ac:dyDescent="0.3">
      <c r="A72" s="26"/>
      <c r="B72" s="138" t="s">
        <v>89</v>
      </c>
      <c r="C72" s="139">
        <f t="shared" ref="C72:AH72" si="25">C59*$C$17</f>
        <v>4410</v>
      </c>
      <c r="D72" s="93">
        <f t="shared" si="25"/>
        <v>4486.8599999999988</v>
      </c>
      <c r="E72" s="93">
        <f t="shared" si="25"/>
        <v>4563.7199999999993</v>
      </c>
      <c r="F72" s="93">
        <f t="shared" si="25"/>
        <v>4640.579999999999</v>
      </c>
      <c r="G72" s="93">
        <f t="shared" si="25"/>
        <v>4717.4399999999996</v>
      </c>
      <c r="H72" s="93">
        <f t="shared" si="25"/>
        <v>4794.2999999999993</v>
      </c>
      <c r="I72" s="93">
        <f t="shared" si="25"/>
        <v>4871.1599999999989</v>
      </c>
      <c r="J72" s="93">
        <f t="shared" si="25"/>
        <v>4948.0199999999995</v>
      </c>
      <c r="K72" s="93">
        <f t="shared" si="25"/>
        <v>5024.8799999999992</v>
      </c>
      <c r="L72" s="93">
        <f t="shared" si="25"/>
        <v>5101.7399999999989</v>
      </c>
      <c r="M72" s="93">
        <f t="shared" si="25"/>
        <v>5178.5999999999985</v>
      </c>
      <c r="N72" s="94">
        <f t="shared" si="25"/>
        <v>5255.4599999999982</v>
      </c>
      <c r="O72" s="139">
        <f t="shared" si="25"/>
        <v>5332.3199999999988</v>
      </c>
      <c r="P72" s="93">
        <f t="shared" si="25"/>
        <v>5409.1799999999985</v>
      </c>
      <c r="Q72" s="93">
        <f t="shared" si="25"/>
        <v>5486.0399999999981</v>
      </c>
      <c r="R72" s="93">
        <f t="shared" si="25"/>
        <v>5562.8999999999987</v>
      </c>
      <c r="S72" s="93">
        <f t="shared" si="25"/>
        <v>5639.7599999999984</v>
      </c>
      <c r="T72" s="93">
        <f t="shared" si="25"/>
        <v>5716.6199999999981</v>
      </c>
      <c r="U72" s="93">
        <f t="shared" si="25"/>
        <v>6045.4799999999987</v>
      </c>
      <c r="V72" s="93">
        <f t="shared" si="25"/>
        <v>6122.3399999999983</v>
      </c>
      <c r="W72" s="93">
        <f t="shared" si="25"/>
        <v>6199.1999999999989</v>
      </c>
      <c r="X72" s="93">
        <f t="shared" si="25"/>
        <v>6276.0599999999986</v>
      </c>
      <c r="Y72" s="93">
        <f t="shared" si="25"/>
        <v>6352.9199999999983</v>
      </c>
      <c r="Z72" s="94">
        <f t="shared" si="25"/>
        <v>6429.7799999999988</v>
      </c>
      <c r="AA72" s="139">
        <f t="shared" si="25"/>
        <v>6506.6399999999985</v>
      </c>
      <c r="AB72" s="93">
        <f t="shared" si="25"/>
        <v>6583.4999999999982</v>
      </c>
      <c r="AC72" s="93">
        <f t="shared" si="25"/>
        <v>6660.3599999999988</v>
      </c>
      <c r="AD72" s="93">
        <f t="shared" si="25"/>
        <v>6737.2199999999975</v>
      </c>
      <c r="AE72" s="93">
        <f t="shared" si="25"/>
        <v>6814.0799999999972</v>
      </c>
      <c r="AF72" s="93">
        <f t="shared" si="25"/>
        <v>6890.9399999999969</v>
      </c>
      <c r="AG72" s="93">
        <f t="shared" si="25"/>
        <v>7156.7999999999975</v>
      </c>
      <c r="AH72" s="93">
        <f t="shared" si="25"/>
        <v>7233.6599999999971</v>
      </c>
      <c r="AI72" s="93">
        <f t="shared" ref="AI72:BJ72" si="26">AI59*$C$17</f>
        <v>7310.5199999999968</v>
      </c>
      <c r="AJ72" s="93">
        <f t="shared" si="26"/>
        <v>7387.3799999999974</v>
      </c>
      <c r="AK72" s="93">
        <f t="shared" si="26"/>
        <v>7464.2399999999971</v>
      </c>
      <c r="AL72" s="94">
        <f t="shared" si="26"/>
        <v>7541.0999999999967</v>
      </c>
      <c r="AM72" s="139">
        <f t="shared" si="26"/>
        <v>7617.9599999999973</v>
      </c>
      <c r="AN72" s="93">
        <f t="shared" si="26"/>
        <v>7694.819999999997</v>
      </c>
      <c r="AO72" s="93">
        <f t="shared" si="26"/>
        <v>7771.6799999999967</v>
      </c>
      <c r="AP72" s="93">
        <f t="shared" si="26"/>
        <v>7848.5399999999972</v>
      </c>
      <c r="AQ72" s="93">
        <f t="shared" si="26"/>
        <v>7925.3999999999969</v>
      </c>
      <c r="AR72" s="93">
        <f t="shared" si="26"/>
        <v>8002.2599999999975</v>
      </c>
      <c r="AS72" s="93">
        <f t="shared" si="26"/>
        <v>8079.1199999999972</v>
      </c>
      <c r="AT72" s="93">
        <f t="shared" si="26"/>
        <v>8155.9799999999968</v>
      </c>
      <c r="AU72" s="93">
        <f t="shared" si="26"/>
        <v>8232.8399999999965</v>
      </c>
      <c r="AV72" s="93">
        <f t="shared" si="26"/>
        <v>8309.6999999999971</v>
      </c>
      <c r="AW72" s="93">
        <f t="shared" si="26"/>
        <v>8386.5599999999977</v>
      </c>
      <c r="AX72" s="94">
        <f t="shared" si="26"/>
        <v>8463.4199999999964</v>
      </c>
      <c r="AY72" s="139">
        <f t="shared" si="26"/>
        <v>8540.2799999999952</v>
      </c>
      <c r="AZ72" s="93">
        <f t="shared" si="26"/>
        <v>8617.1399999999958</v>
      </c>
      <c r="BA72" s="93">
        <f t="shared" si="26"/>
        <v>8693.9999999999964</v>
      </c>
      <c r="BB72" s="93">
        <f t="shared" si="26"/>
        <v>8770.8599999999951</v>
      </c>
      <c r="BC72" s="93">
        <f t="shared" si="26"/>
        <v>8847.7199999999957</v>
      </c>
      <c r="BD72" s="93">
        <f t="shared" si="26"/>
        <v>8820</v>
      </c>
      <c r="BE72" s="93">
        <f t="shared" si="26"/>
        <v>8820</v>
      </c>
      <c r="BF72" s="93">
        <f t="shared" si="26"/>
        <v>8820</v>
      </c>
      <c r="BG72" s="93">
        <f t="shared" si="26"/>
        <v>8820</v>
      </c>
      <c r="BH72" s="93">
        <f t="shared" si="26"/>
        <v>8820</v>
      </c>
      <c r="BI72" s="93">
        <f t="shared" si="26"/>
        <v>8820</v>
      </c>
      <c r="BJ72" s="94">
        <f t="shared" si="26"/>
        <v>8820</v>
      </c>
      <c r="BK72" s="171"/>
    </row>
    <row r="73" spans="1:63" s="72" customFormat="1" ht="14.4" customHeight="1" outlineLevel="1" x14ac:dyDescent="0.3">
      <c r="A73" s="26"/>
      <c r="B73" s="138" t="s">
        <v>90</v>
      </c>
      <c r="C73" s="139">
        <f t="shared" ref="C73:AH73" si="27">C59*$C$18</f>
        <v>1470</v>
      </c>
      <c r="D73" s="93">
        <f t="shared" si="27"/>
        <v>1495.6199999999997</v>
      </c>
      <c r="E73" s="93">
        <f t="shared" si="27"/>
        <v>1521.2399999999998</v>
      </c>
      <c r="F73" s="93">
        <f t="shared" si="27"/>
        <v>1546.8599999999997</v>
      </c>
      <c r="G73" s="93">
        <f t="shared" si="27"/>
        <v>1572.4799999999998</v>
      </c>
      <c r="H73" s="93">
        <f t="shared" si="27"/>
        <v>1598.0999999999997</v>
      </c>
      <c r="I73" s="93">
        <f t="shared" si="27"/>
        <v>1623.7199999999998</v>
      </c>
      <c r="J73" s="93">
        <f t="shared" si="27"/>
        <v>1649.3399999999997</v>
      </c>
      <c r="K73" s="93">
        <f t="shared" si="27"/>
        <v>1674.9599999999998</v>
      </c>
      <c r="L73" s="93">
        <f t="shared" si="27"/>
        <v>1700.5799999999997</v>
      </c>
      <c r="M73" s="93">
        <f t="shared" si="27"/>
        <v>1726.1999999999996</v>
      </c>
      <c r="N73" s="94">
        <f t="shared" si="27"/>
        <v>1751.8199999999995</v>
      </c>
      <c r="O73" s="139">
        <f t="shared" si="27"/>
        <v>1777.4399999999996</v>
      </c>
      <c r="P73" s="93">
        <f t="shared" si="27"/>
        <v>1803.0599999999995</v>
      </c>
      <c r="Q73" s="93">
        <f t="shared" si="27"/>
        <v>1828.6799999999996</v>
      </c>
      <c r="R73" s="93">
        <f t="shared" si="27"/>
        <v>1854.2999999999995</v>
      </c>
      <c r="S73" s="93">
        <f t="shared" si="27"/>
        <v>1879.9199999999994</v>
      </c>
      <c r="T73" s="93">
        <f t="shared" si="27"/>
        <v>1905.5399999999995</v>
      </c>
      <c r="U73" s="93">
        <f t="shared" si="27"/>
        <v>2015.1599999999994</v>
      </c>
      <c r="V73" s="93">
        <f t="shared" si="27"/>
        <v>2040.7799999999995</v>
      </c>
      <c r="W73" s="93">
        <f t="shared" si="27"/>
        <v>2066.3999999999996</v>
      </c>
      <c r="X73" s="93">
        <f t="shared" si="27"/>
        <v>2092.0199999999995</v>
      </c>
      <c r="Y73" s="93">
        <f t="shared" si="27"/>
        <v>2117.6399999999994</v>
      </c>
      <c r="Z73" s="94">
        <f t="shared" si="27"/>
        <v>2143.2599999999993</v>
      </c>
      <c r="AA73" s="139">
        <f t="shared" si="27"/>
        <v>2168.8799999999997</v>
      </c>
      <c r="AB73" s="93">
        <f t="shared" si="27"/>
        <v>2194.4999999999995</v>
      </c>
      <c r="AC73" s="93">
        <f t="shared" si="27"/>
        <v>2220.1199999999994</v>
      </c>
      <c r="AD73" s="93">
        <f t="shared" si="27"/>
        <v>2245.7399999999989</v>
      </c>
      <c r="AE73" s="93">
        <f t="shared" si="27"/>
        <v>2271.3599999999992</v>
      </c>
      <c r="AF73" s="93">
        <f t="shared" si="27"/>
        <v>2296.9799999999991</v>
      </c>
      <c r="AG73" s="93">
        <f t="shared" si="27"/>
        <v>2385.599999999999</v>
      </c>
      <c r="AH73" s="93">
        <f t="shared" si="27"/>
        <v>2411.2199999999989</v>
      </c>
      <c r="AI73" s="93">
        <f t="shared" ref="AI73:BJ73" si="28">AI59*$C$18</f>
        <v>2436.8399999999992</v>
      </c>
      <c r="AJ73" s="93">
        <f t="shared" si="28"/>
        <v>2462.4599999999991</v>
      </c>
      <c r="AK73" s="93">
        <f t="shared" si="28"/>
        <v>2488.079999999999</v>
      </c>
      <c r="AL73" s="94">
        <f t="shared" si="28"/>
        <v>2513.6999999999989</v>
      </c>
      <c r="AM73" s="139">
        <f t="shared" si="28"/>
        <v>2539.3199999999993</v>
      </c>
      <c r="AN73" s="93">
        <f t="shared" si="28"/>
        <v>2564.9399999999991</v>
      </c>
      <c r="AO73" s="93">
        <f t="shared" si="28"/>
        <v>2590.559999999999</v>
      </c>
      <c r="AP73" s="93">
        <f t="shared" si="28"/>
        <v>2616.1799999999989</v>
      </c>
      <c r="AQ73" s="93">
        <f t="shared" si="28"/>
        <v>2641.7999999999988</v>
      </c>
      <c r="AR73" s="93">
        <f t="shared" si="28"/>
        <v>2667.4199999999992</v>
      </c>
      <c r="AS73" s="93">
        <f t="shared" si="28"/>
        <v>2693.0399999999991</v>
      </c>
      <c r="AT73" s="93">
        <f t="shared" si="28"/>
        <v>2718.6599999999989</v>
      </c>
      <c r="AU73" s="93">
        <f t="shared" si="28"/>
        <v>2744.2799999999988</v>
      </c>
      <c r="AV73" s="93">
        <f t="shared" si="28"/>
        <v>2769.8999999999992</v>
      </c>
      <c r="AW73" s="93">
        <f t="shared" si="28"/>
        <v>2795.5199999999991</v>
      </c>
      <c r="AX73" s="94">
        <f t="shared" si="28"/>
        <v>2821.139999999999</v>
      </c>
      <c r="AY73" s="139">
        <f t="shared" si="28"/>
        <v>2846.7599999999984</v>
      </c>
      <c r="AZ73" s="93">
        <f t="shared" si="28"/>
        <v>2872.3799999999987</v>
      </c>
      <c r="BA73" s="93">
        <f t="shared" si="28"/>
        <v>2897.9999999999986</v>
      </c>
      <c r="BB73" s="93">
        <f t="shared" si="28"/>
        <v>2923.6199999999985</v>
      </c>
      <c r="BC73" s="93">
        <f t="shared" si="28"/>
        <v>2949.2399999999984</v>
      </c>
      <c r="BD73" s="93">
        <f t="shared" si="28"/>
        <v>2940</v>
      </c>
      <c r="BE73" s="93">
        <f t="shared" si="28"/>
        <v>2940</v>
      </c>
      <c r="BF73" s="93">
        <f t="shared" si="28"/>
        <v>2940</v>
      </c>
      <c r="BG73" s="93">
        <f t="shared" si="28"/>
        <v>2940</v>
      </c>
      <c r="BH73" s="93">
        <f t="shared" si="28"/>
        <v>2940</v>
      </c>
      <c r="BI73" s="93">
        <f t="shared" si="28"/>
        <v>2940</v>
      </c>
      <c r="BJ73" s="94">
        <f t="shared" si="28"/>
        <v>2940</v>
      </c>
    </row>
    <row r="74" spans="1:63" s="72" customFormat="1" ht="14.4" customHeight="1" outlineLevel="1" x14ac:dyDescent="0.3">
      <c r="A74" s="26"/>
      <c r="B74" s="138" t="s">
        <v>91</v>
      </c>
      <c r="C74" s="139">
        <f t="shared" ref="C74:AH74" si="29">C59*$C$19</f>
        <v>1763.9999999999998</v>
      </c>
      <c r="D74" s="93">
        <f t="shared" si="29"/>
        <v>1794.7439999999997</v>
      </c>
      <c r="E74" s="93">
        <f t="shared" si="29"/>
        <v>1825.4879999999996</v>
      </c>
      <c r="F74" s="93">
        <f t="shared" si="29"/>
        <v>1856.2319999999995</v>
      </c>
      <c r="G74" s="93">
        <f t="shared" si="29"/>
        <v>1886.9759999999997</v>
      </c>
      <c r="H74" s="93">
        <f t="shared" si="29"/>
        <v>1917.7199999999996</v>
      </c>
      <c r="I74" s="93">
        <f t="shared" si="29"/>
        <v>1948.4639999999995</v>
      </c>
      <c r="J74" s="93">
        <f t="shared" si="29"/>
        <v>1979.2079999999996</v>
      </c>
      <c r="K74" s="93">
        <f t="shared" si="29"/>
        <v>2009.9519999999995</v>
      </c>
      <c r="L74" s="93">
        <f t="shared" si="29"/>
        <v>2040.6959999999997</v>
      </c>
      <c r="M74" s="93">
        <f t="shared" si="29"/>
        <v>2071.4399999999991</v>
      </c>
      <c r="N74" s="94">
        <f t="shared" si="29"/>
        <v>2102.1839999999993</v>
      </c>
      <c r="O74" s="139">
        <f t="shared" si="29"/>
        <v>2132.9279999999994</v>
      </c>
      <c r="P74" s="93">
        <f t="shared" si="29"/>
        <v>2163.6719999999991</v>
      </c>
      <c r="Q74" s="93">
        <f t="shared" si="29"/>
        <v>2194.4159999999993</v>
      </c>
      <c r="R74" s="93">
        <f t="shared" si="29"/>
        <v>2225.1599999999994</v>
      </c>
      <c r="S74" s="93">
        <f t="shared" si="29"/>
        <v>2255.9039999999991</v>
      </c>
      <c r="T74" s="93">
        <f t="shared" si="29"/>
        <v>2286.6479999999992</v>
      </c>
      <c r="U74" s="93">
        <f t="shared" si="29"/>
        <v>2418.1919999999991</v>
      </c>
      <c r="V74" s="93">
        <f t="shared" si="29"/>
        <v>2448.9359999999992</v>
      </c>
      <c r="W74" s="93">
        <f t="shared" si="29"/>
        <v>2479.6799999999994</v>
      </c>
      <c r="X74" s="93">
        <f t="shared" si="29"/>
        <v>2510.4239999999991</v>
      </c>
      <c r="Y74" s="93">
        <f t="shared" si="29"/>
        <v>2541.1679999999992</v>
      </c>
      <c r="Z74" s="94">
        <f t="shared" si="29"/>
        <v>2571.9119999999994</v>
      </c>
      <c r="AA74" s="139">
        <f t="shared" si="29"/>
        <v>2602.6559999999995</v>
      </c>
      <c r="AB74" s="93">
        <f t="shared" si="29"/>
        <v>2633.3999999999992</v>
      </c>
      <c r="AC74" s="93">
        <f t="shared" si="29"/>
        <v>2664.1439999999993</v>
      </c>
      <c r="AD74" s="93">
        <f t="shared" si="29"/>
        <v>2694.8879999999986</v>
      </c>
      <c r="AE74" s="93">
        <f t="shared" si="29"/>
        <v>2725.6319999999987</v>
      </c>
      <c r="AF74" s="93">
        <f t="shared" si="29"/>
        <v>2756.3759999999988</v>
      </c>
      <c r="AG74" s="93">
        <f t="shared" si="29"/>
        <v>2862.7199999999989</v>
      </c>
      <c r="AH74" s="93">
        <f t="shared" si="29"/>
        <v>2893.4639999999986</v>
      </c>
      <c r="AI74" s="93">
        <f t="shared" ref="AI74:BJ74" si="30">AI59*$C$19</f>
        <v>2924.2079999999987</v>
      </c>
      <c r="AJ74" s="93">
        <f t="shared" si="30"/>
        <v>2954.9519999999989</v>
      </c>
      <c r="AK74" s="93">
        <f t="shared" si="30"/>
        <v>2985.6959999999985</v>
      </c>
      <c r="AL74" s="94">
        <f t="shared" si="30"/>
        <v>3016.4399999999987</v>
      </c>
      <c r="AM74" s="139">
        <f t="shared" si="30"/>
        <v>3047.1839999999988</v>
      </c>
      <c r="AN74" s="93">
        <f t="shared" si="30"/>
        <v>3077.9279999999985</v>
      </c>
      <c r="AO74" s="93">
        <f t="shared" si="30"/>
        <v>3108.6719999999987</v>
      </c>
      <c r="AP74" s="93">
        <f t="shared" si="30"/>
        <v>3139.4159999999988</v>
      </c>
      <c r="AQ74" s="93">
        <f t="shared" si="30"/>
        <v>3170.1599999999985</v>
      </c>
      <c r="AR74" s="93">
        <f t="shared" si="30"/>
        <v>3200.9039999999986</v>
      </c>
      <c r="AS74" s="93">
        <f t="shared" si="30"/>
        <v>3231.6479999999988</v>
      </c>
      <c r="AT74" s="93">
        <f t="shared" si="30"/>
        <v>3262.3919999999989</v>
      </c>
      <c r="AU74" s="93">
        <f t="shared" si="30"/>
        <v>3293.1359999999986</v>
      </c>
      <c r="AV74" s="93">
        <f t="shared" si="30"/>
        <v>3323.8799999999987</v>
      </c>
      <c r="AW74" s="93">
        <f t="shared" si="30"/>
        <v>3354.6239999999989</v>
      </c>
      <c r="AX74" s="94">
        <f t="shared" si="30"/>
        <v>3385.3679999999986</v>
      </c>
      <c r="AY74" s="139">
        <f t="shared" si="30"/>
        <v>3416.1119999999983</v>
      </c>
      <c r="AZ74" s="93">
        <f t="shared" si="30"/>
        <v>3446.8559999999979</v>
      </c>
      <c r="BA74" s="93">
        <f t="shared" si="30"/>
        <v>3477.5999999999981</v>
      </c>
      <c r="BB74" s="93">
        <f t="shared" si="30"/>
        <v>3508.3439999999982</v>
      </c>
      <c r="BC74" s="93">
        <f t="shared" si="30"/>
        <v>3539.0879999999984</v>
      </c>
      <c r="BD74" s="93">
        <f t="shared" si="30"/>
        <v>3527.9999999999995</v>
      </c>
      <c r="BE74" s="93">
        <f t="shared" si="30"/>
        <v>3527.9999999999995</v>
      </c>
      <c r="BF74" s="93">
        <f t="shared" si="30"/>
        <v>3527.9999999999995</v>
      </c>
      <c r="BG74" s="93">
        <f t="shared" si="30"/>
        <v>3527.9999999999995</v>
      </c>
      <c r="BH74" s="93">
        <f t="shared" si="30"/>
        <v>3527.9999999999995</v>
      </c>
      <c r="BI74" s="93">
        <f t="shared" si="30"/>
        <v>3527.9999999999995</v>
      </c>
      <c r="BJ74" s="94">
        <f t="shared" si="30"/>
        <v>3527.9999999999995</v>
      </c>
    </row>
    <row r="75" spans="1:63" s="72" customFormat="1" ht="14.4" customHeight="1" outlineLevel="1" x14ac:dyDescent="0.3">
      <c r="A75" s="26"/>
      <c r="B75" s="138" t="s">
        <v>127</v>
      </c>
      <c r="C75" s="139">
        <f t="shared" ref="C75:AH75" si="31">C59*$C$20</f>
        <v>1470</v>
      </c>
      <c r="D75" s="93">
        <f t="shared" si="31"/>
        <v>1495.6199999999997</v>
      </c>
      <c r="E75" s="93">
        <f t="shared" si="31"/>
        <v>1521.2399999999998</v>
      </c>
      <c r="F75" s="93">
        <f t="shared" si="31"/>
        <v>1546.8599999999997</v>
      </c>
      <c r="G75" s="93">
        <f t="shared" si="31"/>
        <v>1572.4799999999998</v>
      </c>
      <c r="H75" s="93">
        <f t="shared" si="31"/>
        <v>1598.0999999999997</v>
      </c>
      <c r="I75" s="93">
        <f t="shared" si="31"/>
        <v>1623.7199999999998</v>
      </c>
      <c r="J75" s="93">
        <f t="shared" si="31"/>
        <v>1649.3399999999997</v>
      </c>
      <c r="K75" s="93">
        <f t="shared" si="31"/>
        <v>1674.9599999999998</v>
      </c>
      <c r="L75" s="93">
        <f t="shared" si="31"/>
        <v>1700.5799999999997</v>
      </c>
      <c r="M75" s="93">
        <f t="shared" si="31"/>
        <v>1726.1999999999996</v>
      </c>
      <c r="N75" s="94">
        <f t="shared" si="31"/>
        <v>1751.8199999999995</v>
      </c>
      <c r="O75" s="139">
        <f t="shared" si="31"/>
        <v>1777.4399999999996</v>
      </c>
      <c r="P75" s="93">
        <f t="shared" si="31"/>
        <v>1803.0599999999995</v>
      </c>
      <c r="Q75" s="93">
        <f t="shared" si="31"/>
        <v>1828.6799999999996</v>
      </c>
      <c r="R75" s="93">
        <f t="shared" si="31"/>
        <v>1854.2999999999995</v>
      </c>
      <c r="S75" s="93">
        <f t="shared" si="31"/>
        <v>1879.9199999999994</v>
      </c>
      <c r="T75" s="93">
        <f t="shared" si="31"/>
        <v>1905.5399999999995</v>
      </c>
      <c r="U75" s="93">
        <f t="shared" si="31"/>
        <v>2015.1599999999994</v>
      </c>
      <c r="V75" s="93">
        <f t="shared" si="31"/>
        <v>2040.7799999999995</v>
      </c>
      <c r="W75" s="93">
        <f t="shared" si="31"/>
        <v>2066.3999999999996</v>
      </c>
      <c r="X75" s="93">
        <f t="shared" si="31"/>
        <v>2092.0199999999995</v>
      </c>
      <c r="Y75" s="93">
        <f t="shared" si="31"/>
        <v>2117.6399999999994</v>
      </c>
      <c r="Z75" s="94">
        <f t="shared" si="31"/>
        <v>2143.2599999999993</v>
      </c>
      <c r="AA75" s="139">
        <f t="shared" si="31"/>
        <v>2168.8799999999997</v>
      </c>
      <c r="AB75" s="93">
        <f t="shared" si="31"/>
        <v>2194.4999999999995</v>
      </c>
      <c r="AC75" s="93">
        <f t="shared" si="31"/>
        <v>2220.1199999999994</v>
      </c>
      <c r="AD75" s="93">
        <f t="shared" si="31"/>
        <v>2245.7399999999989</v>
      </c>
      <c r="AE75" s="93">
        <f t="shared" si="31"/>
        <v>2271.3599999999992</v>
      </c>
      <c r="AF75" s="93">
        <f t="shared" si="31"/>
        <v>2296.9799999999991</v>
      </c>
      <c r="AG75" s="93">
        <f t="shared" si="31"/>
        <v>2385.599999999999</v>
      </c>
      <c r="AH75" s="93">
        <f t="shared" si="31"/>
        <v>2411.2199999999989</v>
      </c>
      <c r="AI75" s="93">
        <f t="shared" ref="AI75:BJ75" si="32">AI59*$C$20</f>
        <v>2436.8399999999992</v>
      </c>
      <c r="AJ75" s="93">
        <f t="shared" si="32"/>
        <v>2462.4599999999991</v>
      </c>
      <c r="AK75" s="93">
        <f t="shared" si="32"/>
        <v>2488.079999999999</v>
      </c>
      <c r="AL75" s="94">
        <f t="shared" si="32"/>
        <v>2513.6999999999989</v>
      </c>
      <c r="AM75" s="139">
        <f t="shared" si="32"/>
        <v>2539.3199999999993</v>
      </c>
      <c r="AN75" s="93">
        <f t="shared" si="32"/>
        <v>2564.9399999999991</v>
      </c>
      <c r="AO75" s="93">
        <f t="shared" si="32"/>
        <v>2590.559999999999</v>
      </c>
      <c r="AP75" s="93">
        <f t="shared" si="32"/>
        <v>2616.1799999999989</v>
      </c>
      <c r="AQ75" s="93">
        <f t="shared" si="32"/>
        <v>2641.7999999999988</v>
      </c>
      <c r="AR75" s="93">
        <f t="shared" si="32"/>
        <v>2667.4199999999992</v>
      </c>
      <c r="AS75" s="93">
        <f t="shared" si="32"/>
        <v>2693.0399999999991</v>
      </c>
      <c r="AT75" s="93">
        <f t="shared" si="32"/>
        <v>2718.6599999999989</v>
      </c>
      <c r="AU75" s="93">
        <f t="shared" si="32"/>
        <v>2744.2799999999988</v>
      </c>
      <c r="AV75" s="93">
        <f t="shared" si="32"/>
        <v>2769.8999999999992</v>
      </c>
      <c r="AW75" s="93">
        <f t="shared" si="32"/>
        <v>2795.5199999999991</v>
      </c>
      <c r="AX75" s="94">
        <f t="shared" si="32"/>
        <v>2821.139999999999</v>
      </c>
      <c r="AY75" s="139">
        <f t="shared" si="32"/>
        <v>2846.7599999999984</v>
      </c>
      <c r="AZ75" s="93">
        <f t="shared" si="32"/>
        <v>2872.3799999999987</v>
      </c>
      <c r="BA75" s="93">
        <f t="shared" si="32"/>
        <v>2897.9999999999986</v>
      </c>
      <c r="BB75" s="93">
        <f t="shared" si="32"/>
        <v>2923.6199999999985</v>
      </c>
      <c r="BC75" s="93">
        <f t="shared" si="32"/>
        <v>2949.2399999999984</v>
      </c>
      <c r="BD75" s="93">
        <f t="shared" si="32"/>
        <v>2940</v>
      </c>
      <c r="BE75" s="93">
        <f t="shared" si="32"/>
        <v>2940</v>
      </c>
      <c r="BF75" s="93">
        <f t="shared" si="32"/>
        <v>2940</v>
      </c>
      <c r="BG75" s="93">
        <f t="shared" si="32"/>
        <v>2940</v>
      </c>
      <c r="BH75" s="93">
        <f t="shared" si="32"/>
        <v>2940</v>
      </c>
      <c r="BI75" s="93">
        <f t="shared" si="32"/>
        <v>2940</v>
      </c>
      <c r="BJ75" s="94">
        <f t="shared" si="32"/>
        <v>2940</v>
      </c>
    </row>
    <row r="76" spans="1:63" s="72" customFormat="1" ht="14.4" customHeight="1" outlineLevel="1" x14ac:dyDescent="0.3">
      <c r="A76" s="26"/>
      <c r="B76" s="138" t="s">
        <v>175</v>
      </c>
      <c r="C76" s="139">
        <f t="shared" ref="C76:N76" si="33">C59*$C$21</f>
        <v>1763.9999999999998</v>
      </c>
      <c r="D76" s="93">
        <f t="shared" si="33"/>
        <v>1794.7439999999997</v>
      </c>
      <c r="E76" s="93">
        <f t="shared" si="33"/>
        <v>1825.4879999999996</v>
      </c>
      <c r="F76" s="93">
        <f t="shared" si="33"/>
        <v>1856.2319999999995</v>
      </c>
      <c r="G76" s="93">
        <f t="shared" si="33"/>
        <v>1886.9759999999997</v>
      </c>
      <c r="H76" s="93">
        <f t="shared" si="33"/>
        <v>1917.7199999999996</v>
      </c>
      <c r="I76" s="93">
        <f t="shared" si="33"/>
        <v>1948.4639999999995</v>
      </c>
      <c r="J76" s="93">
        <f t="shared" si="33"/>
        <v>1979.2079999999996</v>
      </c>
      <c r="K76" s="93">
        <f t="shared" si="33"/>
        <v>2009.9519999999995</v>
      </c>
      <c r="L76" s="93">
        <f t="shared" si="33"/>
        <v>2040.6959999999997</v>
      </c>
      <c r="M76" s="93">
        <f t="shared" si="33"/>
        <v>2071.4399999999991</v>
      </c>
      <c r="N76" s="94">
        <f t="shared" si="33"/>
        <v>2102.1839999999993</v>
      </c>
      <c r="O76" s="139">
        <f>(N76*$C$46)+N76</f>
        <v>2107.4394599999991</v>
      </c>
      <c r="P76" s="93">
        <f t="shared" ref="P76:BJ76" si="34">(O76*$C$46)+O76</f>
        <v>2112.7080586499992</v>
      </c>
      <c r="Q76" s="93">
        <f t="shared" si="34"/>
        <v>2117.9898287966244</v>
      </c>
      <c r="R76" s="93">
        <f t="shared" si="34"/>
        <v>2123.2848033686159</v>
      </c>
      <c r="S76" s="93">
        <f t="shared" si="34"/>
        <v>2128.5930153770373</v>
      </c>
      <c r="T76" s="93">
        <f t="shared" si="34"/>
        <v>2133.9144979154798</v>
      </c>
      <c r="U76" s="93">
        <f t="shared" si="34"/>
        <v>2139.2492841602684</v>
      </c>
      <c r="V76" s="93">
        <f t="shared" si="34"/>
        <v>2144.5974073706689</v>
      </c>
      <c r="W76" s="93">
        <f t="shared" si="34"/>
        <v>2149.9589008890957</v>
      </c>
      <c r="X76" s="93">
        <f t="shared" si="34"/>
        <v>2155.3337981413183</v>
      </c>
      <c r="Y76" s="93">
        <f t="shared" si="34"/>
        <v>2160.7221326366716</v>
      </c>
      <c r="Z76" s="94">
        <f t="shared" si="34"/>
        <v>2166.1239379682634</v>
      </c>
      <c r="AA76" s="139">
        <f t="shared" si="34"/>
        <v>2171.5392478131839</v>
      </c>
      <c r="AB76" s="93">
        <f t="shared" si="34"/>
        <v>2176.968095932717</v>
      </c>
      <c r="AC76" s="93">
        <f t="shared" si="34"/>
        <v>2182.4105161725488</v>
      </c>
      <c r="AD76" s="93">
        <f t="shared" si="34"/>
        <v>2187.8665424629803</v>
      </c>
      <c r="AE76" s="93">
        <f t="shared" si="34"/>
        <v>2193.3362088191379</v>
      </c>
      <c r="AF76" s="93">
        <f t="shared" si="34"/>
        <v>2198.8195493411858</v>
      </c>
      <c r="AG76" s="93">
        <f t="shared" si="34"/>
        <v>2204.3165982145388</v>
      </c>
      <c r="AH76" s="93">
        <f t="shared" si="34"/>
        <v>2209.8273897100753</v>
      </c>
      <c r="AI76" s="93">
        <f t="shared" si="34"/>
        <v>2215.3519581843507</v>
      </c>
      <c r="AJ76" s="93">
        <f t="shared" si="34"/>
        <v>2220.8903380798115</v>
      </c>
      <c r="AK76" s="93">
        <f t="shared" si="34"/>
        <v>2226.4425639250112</v>
      </c>
      <c r="AL76" s="94">
        <f t="shared" si="34"/>
        <v>2232.0086703348238</v>
      </c>
      <c r="AM76" s="139">
        <f t="shared" si="34"/>
        <v>2237.5886920106609</v>
      </c>
      <c r="AN76" s="93">
        <f t="shared" si="34"/>
        <v>2243.1826637406875</v>
      </c>
      <c r="AO76" s="93">
        <f t="shared" si="34"/>
        <v>2248.7906204000392</v>
      </c>
      <c r="AP76" s="93">
        <f t="shared" si="34"/>
        <v>2254.4125969510392</v>
      </c>
      <c r="AQ76" s="93">
        <f t="shared" si="34"/>
        <v>2260.0486284434169</v>
      </c>
      <c r="AR76" s="93">
        <f t="shared" si="34"/>
        <v>2265.6987500145256</v>
      </c>
      <c r="AS76" s="93">
        <f t="shared" si="34"/>
        <v>2271.3629968895621</v>
      </c>
      <c r="AT76" s="93">
        <f t="shared" si="34"/>
        <v>2277.0414043817859</v>
      </c>
      <c r="AU76" s="93">
        <f t="shared" si="34"/>
        <v>2282.7340078927405</v>
      </c>
      <c r="AV76" s="93">
        <f t="shared" si="34"/>
        <v>2288.4408429124724</v>
      </c>
      <c r="AW76" s="93">
        <f t="shared" si="34"/>
        <v>2294.1619450197536</v>
      </c>
      <c r="AX76" s="94">
        <f t="shared" si="34"/>
        <v>2299.8973498823029</v>
      </c>
      <c r="AY76" s="139">
        <f t="shared" si="34"/>
        <v>2305.6470932570087</v>
      </c>
      <c r="AZ76" s="93">
        <f t="shared" si="34"/>
        <v>2311.4112109901512</v>
      </c>
      <c r="BA76" s="93">
        <f t="shared" si="34"/>
        <v>2317.1897390176264</v>
      </c>
      <c r="BB76" s="93">
        <f t="shared" si="34"/>
        <v>2322.9827133651706</v>
      </c>
      <c r="BC76" s="93">
        <f t="shared" si="34"/>
        <v>2328.7901701485835</v>
      </c>
      <c r="BD76" s="93">
        <f t="shared" si="34"/>
        <v>2334.6121455739549</v>
      </c>
      <c r="BE76" s="93">
        <f t="shared" si="34"/>
        <v>2340.4486759378897</v>
      </c>
      <c r="BF76" s="93">
        <f t="shared" si="34"/>
        <v>2346.2997976277343</v>
      </c>
      <c r="BG76" s="93">
        <f t="shared" si="34"/>
        <v>2352.1655471218037</v>
      </c>
      <c r="BH76" s="93">
        <f t="shared" si="34"/>
        <v>2358.0459609896084</v>
      </c>
      <c r="BI76" s="93">
        <f t="shared" si="34"/>
        <v>2363.9410758920826</v>
      </c>
      <c r="BJ76" s="94">
        <f t="shared" si="34"/>
        <v>2369.8509285818127</v>
      </c>
    </row>
    <row r="77" spans="1:63" s="72" customFormat="1" ht="14.4" customHeight="1" outlineLevel="1" x14ac:dyDescent="0.3">
      <c r="A77" s="26"/>
      <c r="B77" s="138" t="s">
        <v>176</v>
      </c>
      <c r="C77" s="139">
        <f>C59*$C$22</f>
        <v>823.19999999999993</v>
      </c>
      <c r="D77" s="93">
        <f t="shared" ref="D77:BJ77" si="35">D59*$C$22</f>
        <v>837.54719999999986</v>
      </c>
      <c r="E77" s="93">
        <f t="shared" si="35"/>
        <v>851.89439999999979</v>
      </c>
      <c r="F77" s="93">
        <f t="shared" si="35"/>
        <v>866.24159999999983</v>
      </c>
      <c r="G77" s="93">
        <f t="shared" si="35"/>
        <v>880.58879999999988</v>
      </c>
      <c r="H77" s="93">
        <f t="shared" si="35"/>
        <v>894.93599999999981</v>
      </c>
      <c r="I77" s="93">
        <f t="shared" si="35"/>
        <v>909.28319999999985</v>
      </c>
      <c r="J77" s="93">
        <f t="shared" si="35"/>
        <v>923.63039999999978</v>
      </c>
      <c r="K77" s="93">
        <f t="shared" si="35"/>
        <v>937.97759999999982</v>
      </c>
      <c r="L77" s="93">
        <f t="shared" si="35"/>
        <v>952.32479999999987</v>
      </c>
      <c r="M77" s="93">
        <f t="shared" si="35"/>
        <v>966.67199999999968</v>
      </c>
      <c r="N77" s="94">
        <f t="shared" si="35"/>
        <v>981.01919999999973</v>
      </c>
      <c r="O77" s="139">
        <f t="shared" si="35"/>
        <v>995.36639999999966</v>
      </c>
      <c r="P77" s="93">
        <f t="shared" si="35"/>
        <v>1009.7135999999997</v>
      </c>
      <c r="Q77" s="93">
        <f t="shared" si="35"/>
        <v>1024.0607999999997</v>
      </c>
      <c r="R77" s="93">
        <f t="shared" si="35"/>
        <v>1038.4079999999997</v>
      </c>
      <c r="S77" s="93">
        <f t="shared" si="35"/>
        <v>1052.7551999999996</v>
      </c>
      <c r="T77" s="93">
        <f t="shared" si="35"/>
        <v>1067.1023999999998</v>
      </c>
      <c r="U77" s="93">
        <f t="shared" si="35"/>
        <v>1128.4895999999997</v>
      </c>
      <c r="V77" s="93">
        <f t="shared" si="35"/>
        <v>1142.8367999999996</v>
      </c>
      <c r="W77" s="93">
        <f t="shared" si="35"/>
        <v>1157.1839999999997</v>
      </c>
      <c r="X77" s="93">
        <f t="shared" si="35"/>
        <v>1171.5311999999997</v>
      </c>
      <c r="Y77" s="93">
        <f t="shared" si="35"/>
        <v>1185.8783999999996</v>
      </c>
      <c r="Z77" s="94">
        <f t="shared" si="35"/>
        <v>1200.2255999999998</v>
      </c>
      <c r="AA77" s="139">
        <f t="shared" si="35"/>
        <v>1214.5727999999997</v>
      </c>
      <c r="AB77" s="93">
        <f t="shared" si="35"/>
        <v>1228.9199999999996</v>
      </c>
      <c r="AC77" s="93">
        <f t="shared" si="35"/>
        <v>1243.2671999999998</v>
      </c>
      <c r="AD77" s="93">
        <f t="shared" si="35"/>
        <v>1257.6143999999995</v>
      </c>
      <c r="AE77" s="93">
        <f t="shared" si="35"/>
        <v>1271.9615999999994</v>
      </c>
      <c r="AF77" s="93">
        <f t="shared" si="35"/>
        <v>1286.3087999999993</v>
      </c>
      <c r="AG77" s="93">
        <f t="shared" si="35"/>
        <v>1335.9359999999995</v>
      </c>
      <c r="AH77" s="93">
        <f t="shared" si="35"/>
        <v>1350.2831999999994</v>
      </c>
      <c r="AI77" s="93">
        <f t="shared" si="35"/>
        <v>1364.6303999999993</v>
      </c>
      <c r="AJ77" s="93">
        <f t="shared" si="35"/>
        <v>1378.9775999999995</v>
      </c>
      <c r="AK77" s="93">
        <f t="shared" si="35"/>
        <v>1393.3247999999994</v>
      </c>
      <c r="AL77" s="94">
        <f t="shared" si="35"/>
        <v>1407.6719999999993</v>
      </c>
      <c r="AM77" s="139">
        <f t="shared" si="35"/>
        <v>1422.0191999999995</v>
      </c>
      <c r="AN77" s="93">
        <f t="shared" si="35"/>
        <v>1436.3663999999994</v>
      </c>
      <c r="AO77" s="93">
        <f t="shared" si="35"/>
        <v>1450.7135999999994</v>
      </c>
      <c r="AP77" s="93">
        <f t="shared" si="35"/>
        <v>1465.0607999999995</v>
      </c>
      <c r="AQ77" s="93">
        <f t="shared" si="35"/>
        <v>1479.4079999999994</v>
      </c>
      <c r="AR77" s="93">
        <f t="shared" si="35"/>
        <v>1493.7551999999994</v>
      </c>
      <c r="AS77" s="93">
        <f t="shared" si="35"/>
        <v>1508.1023999999993</v>
      </c>
      <c r="AT77" s="93">
        <f t="shared" si="35"/>
        <v>1522.4495999999995</v>
      </c>
      <c r="AU77" s="93">
        <f t="shared" si="35"/>
        <v>1536.7967999999994</v>
      </c>
      <c r="AV77" s="93">
        <f t="shared" si="35"/>
        <v>1551.1439999999993</v>
      </c>
      <c r="AW77" s="93">
        <f t="shared" si="35"/>
        <v>1565.4911999999995</v>
      </c>
      <c r="AX77" s="94">
        <f t="shared" si="35"/>
        <v>1579.8383999999994</v>
      </c>
      <c r="AY77" s="139">
        <f t="shared" si="35"/>
        <v>1594.1855999999991</v>
      </c>
      <c r="AZ77" s="93">
        <f t="shared" si="35"/>
        <v>1608.5327999999993</v>
      </c>
      <c r="BA77" s="93">
        <f t="shared" si="35"/>
        <v>1622.8799999999992</v>
      </c>
      <c r="BB77" s="93">
        <f t="shared" si="35"/>
        <v>1637.2271999999991</v>
      </c>
      <c r="BC77" s="93">
        <f t="shared" si="35"/>
        <v>1651.5743999999991</v>
      </c>
      <c r="BD77" s="93">
        <f t="shared" si="35"/>
        <v>1646.3999999999999</v>
      </c>
      <c r="BE77" s="93">
        <f t="shared" si="35"/>
        <v>1646.3999999999999</v>
      </c>
      <c r="BF77" s="93">
        <f t="shared" si="35"/>
        <v>1646.3999999999999</v>
      </c>
      <c r="BG77" s="93">
        <f t="shared" si="35"/>
        <v>1646.3999999999999</v>
      </c>
      <c r="BH77" s="93">
        <f t="shared" si="35"/>
        <v>1646.3999999999999</v>
      </c>
      <c r="BI77" s="93">
        <f t="shared" si="35"/>
        <v>1646.3999999999999</v>
      </c>
      <c r="BJ77" s="94">
        <f t="shared" si="35"/>
        <v>1646.3999999999999</v>
      </c>
    </row>
    <row r="78" spans="1:63" s="72" customFormat="1" ht="14.4" customHeight="1" outlineLevel="1" x14ac:dyDescent="0.3">
      <c r="A78" s="26"/>
      <c r="B78" s="138" t="s">
        <v>177</v>
      </c>
      <c r="C78" s="139">
        <f>C59*$C$23</f>
        <v>4883.34</v>
      </c>
      <c r="D78" s="93">
        <f t="shared" ref="D78:BJ78" si="36">D59*$C$23</f>
        <v>4968.4496399999989</v>
      </c>
      <c r="E78" s="93">
        <f t="shared" si="36"/>
        <v>5053.5592799999995</v>
      </c>
      <c r="F78" s="93">
        <f t="shared" si="36"/>
        <v>5138.6689199999992</v>
      </c>
      <c r="G78" s="93">
        <f t="shared" si="36"/>
        <v>5223.7785599999988</v>
      </c>
      <c r="H78" s="93">
        <f t="shared" si="36"/>
        <v>5308.8881999999994</v>
      </c>
      <c r="I78" s="93">
        <f t="shared" si="36"/>
        <v>5393.9978399999991</v>
      </c>
      <c r="J78" s="93">
        <f t="shared" si="36"/>
        <v>5479.1074799999988</v>
      </c>
      <c r="K78" s="93">
        <f t="shared" si="36"/>
        <v>5564.2171199999993</v>
      </c>
      <c r="L78" s="93">
        <f t="shared" si="36"/>
        <v>5649.326759999999</v>
      </c>
      <c r="M78" s="93">
        <f t="shared" si="36"/>
        <v>5734.4363999999987</v>
      </c>
      <c r="N78" s="94">
        <f t="shared" si="36"/>
        <v>5819.5460399999984</v>
      </c>
      <c r="O78" s="139">
        <f t="shared" si="36"/>
        <v>5904.655679999998</v>
      </c>
      <c r="P78" s="93">
        <f t="shared" si="36"/>
        <v>5989.7653199999986</v>
      </c>
      <c r="Q78" s="93">
        <f t="shared" si="36"/>
        <v>6074.8749599999983</v>
      </c>
      <c r="R78" s="93">
        <f t="shared" si="36"/>
        <v>6159.9845999999989</v>
      </c>
      <c r="S78" s="93">
        <f t="shared" si="36"/>
        <v>6245.0942399999985</v>
      </c>
      <c r="T78" s="93">
        <f t="shared" si="36"/>
        <v>6330.2038799999982</v>
      </c>
      <c r="U78" s="93">
        <f t="shared" si="36"/>
        <v>6694.3615199999986</v>
      </c>
      <c r="V78" s="93">
        <f t="shared" si="36"/>
        <v>6779.4711599999982</v>
      </c>
      <c r="W78" s="93">
        <f t="shared" si="36"/>
        <v>6864.5807999999988</v>
      </c>
      <c r="X78" s="93">
        <f t="shared" si="36"/>
        <v>6949.6904399999985</v>
      </c>
      <c r="Y78" s="93">
        <f t="shared" si="36"/>
        <v>7034.8000799999982</v>
      </c>
      <c r="Z78" s="94">
        <f t="shared" si="36"/>
        <v>7119.9097199999987</v>
      </c>
      <c r="AA78" s="139">
        <f t="shared" si="36"/>
        <v>7205.0193599999984</v>
      </c>
      <c r="AB78" s="93">
        <f t="shared" si="36"/>
        <v>7290.1289999999981</v>
      </c>
      <c r="AC78" s="93">
        <f t="shared" si="36"/>
        <v>7375.2386399999987</v>
      </c>
      <c r="AD78" s="93">
        <f t="shared" si="36"/>
        <v>7460.3482799999974</v>
      </c>
      <c r="AE78" s="93">
        <f t="shared" si="36"/>
        <v>7545.4579199999971</v>
      </c>
      <c r="AF78" s="93">
        <f t="shared" si="36"/>
        <v>7630.5675599999968</v>
      </c>
      <c r="AG78" s="93">
        <f t="shared" si="36"/>
        <v>7924.9631999999974</v>
      </c>
      <c r="AH78" s="93">
        <f t="shared" si="36"/>
        <v>8010.0728399999971</v>
      </c>
      <c r="AI78" s="93">
        <f t="shared" si="36"/>
        <v>8095.1824799999968</v>
      </c>
      <c r="AJ78" s="93">
        <f t="shared" si="36"/>
        <v>8180.2921199999973</v>
      </c>
      <c r="AK78" s="93">
        <f t="shared" si="36"/>
        <v>8265.401759999997</v>
      </c>
      <c r="AL78" s="94">
        <f t="shared" si="36"/>
        <v>8350.5113999999976</v>
      </c>
      <c r="AM78" s="139">
        <f t="shared" si="36"/>
        <v>8435.6210399999964</v>
      </c>
      <c r="AN78" s="93">
        <f t="shared" si="36"/>
        <v>8520.7306799999969</v>
      </c>
      <c r="AO78" s="93">
        <f t="shared" si="36"/>
        <v>8605.8403199999975</v>
      </c>
      <c r="AP78" s="93">
        <f t="shared" si="36"/>
        <v>8690.9499599999963</v>
      </c>
      <c r="AQ78" s="93">
        <f t="shared" si="36"/>
        <v>8776.0595999999969</v>
      </c>
      <c r="AR78" s="93">
        <f t="shared" si="36"/>
        <v>8861.1692399999974</v>
      </c>
      <c r="AS78" s="93">
        <f t="shared" si="36"/>
        <v>8946.2788799999962</v>
      </c>
      <c r="AT78" s="93">
        <f t="shared" si="36"/>
        <v>9031.3885199999968</v>
      </c>
      <c r="AU78" s="93">
        <f t="shared" si="36"/>
        <v>9116.4981599999974</v>
      </c>
      <c r="AV78" s="93">
        <f t="shared" si="36"/>
        <v>9201.6077999999961</v>
      </c>
      <c r="AW78" s="93">
        <f t="shared" si="36"/>
        <v>9286.7174399999967</v>
      </c>
      <c r="AX78" s="94">
        <f t="shared" si="36"/>
        <v>9371.8270799999973</v>
      </c>
      <c r="AY78" s="139">
        <f t="shared" si="36"/>
        <v>9456.9367199999961</v>
      </c>
      <c r="AZ78" s="93">
        <f t="shared" si="36"/>
        <v>9542.0463599999948</v>
      </c>
      <c r="BA78" s="93">
        <f t="shared" si="36"/>
        <v>9627.1559999999954</v>
      </c>
      <c r="BB78" s="93">
        <f t="shared" si="36"/>
        <v>9712.265639999996</v>
      </c>
      <c r="BC78" s="93">
        <f t="shared" si="36"/>
        <v>9797.3752799999947</v>
      </c>
      <c r="BD78" s="93">
        <f t="shared" si="36"/>
        <v>9766.68</v>
      </c>
      <c r="BE78" s="93">
        <f t="shared" si="36"/>
        <v>9766.68</v>
      </c>
      <c r="BF78" s="93">
        <f t="shared" si="36"/>
        <v>9766.68</v>
      </c>
      <c r="BG78" s="93">
        <f t="shared" si="36"/>
        <v>9766.68</v>
      </c>
      <c r="BH78" s="93">
        <f t="shared" si="36"/>
        <v>9766.68</v>
      </c>
      <c r="BI78" s="93">
        <f t="shared" si="36"/>
        <v>9766.68</v>
      </c>
      <c r="BJ78" s="94">
        <f t="shared" si="36"/>
        <v>9766.68</v>
      </c>
    </row>
    <row r="79" spans="1:63" ht="17.100000000000001" customHeight="1" x14ac:dyDescent="0.3">
      <c r="B79" s="126" t="s">
        <v>92</v>
      </c>
      <c r="C79" s="127">
        <f t="shared" ref="C79:AH79" si="37">C68-C70</f>
        <v>41157.06</v>
      </c>
      <c r="D79" s="128">
        <f t="shared" si="37"/>
        <v>37085.130890576409</v>
      </c>
      <c r="E79" s="128">
        <f t="shared" si="37"/>
        <v>37703.924306857618</v>
      </c>
      <c r="F79" s="128">
        <f t="shared" si="37"/>
        <v>38322.447318006401</v>
      </c>
      <c r="G79" s="128">
        <f t="shared" si="37"/>
        <v>38940.706755074549</v>
      </c>
      <c r="H79" s="128">
        <f t="shared" si="37"/>
        <v>39558.709220944562</v>
      </c>
      <c r="I79" s="128">
        <f t="shared" si="37"/>
        <v>40176.461099777356</v>
      </c>
      <c r="J79" s="128">
        <f t="shared" si="37"/>
        <v>40793.968565994342</v>
      </c>
      <c r="K79" s="128">
        <f t="shared" si="37"/>
        <v>41411.2375928205</v>
      </c>
      <c r="L79" s="128">
        <f t="shared" si="37"/>
        <v>42028.273960413295</v>
      </c>
      <c r="M79" s="128">
        <f t="shared" si="37"/>
        <v>42645.083263600522</v>
      </c>
      <c r="N79" s="129">
        <f t="shared" si="37"/>
        <v>43261.670919249125</v>
      </c>
      <c r="O79" s="127">
        <f t="shared" si="37"/>
        <v>43919.852320930768</v>
      </c>
      <c r="P79" s="128">
        <f t="shared" si="37"/>
        <v>44545.166048733547</v>
      </c>
      <c r="Q79" s="128">
        <f t="shared" si="37"/>
        <v>45170.560149169265</v>
      </c>
      <c r="R79" s="128">
        <f t="shared" si="37"/>
        <v>45796.030329367481</v>
      </c>
      <c r="S79" s="128">
        <f t="shared" si="37"/>
        <v>46421.572551167883</v>
      </c>
      <c r="T79" s="128">
        <f t="shared" si="37"/>
        <v>47047.183012351386</v>
      </c>
      <c r="U79" s="128">
        <f t="shared" si="37"/>
        <v>49839.543967421312</v>
      </c>
      <c r="V79" s="128">
        <f t="shared" si="37"/>
        <v>50455.678271188226</v>
      </c>
      <c r="W79" s="128">
        <f t="shared" si="37"/>
        <v>51072.231827667565</v>
      </c>
      <c r="X79" s="128">
        <f t="shared" si="37"/>
        <v>51689.181872310801</v>
      </c>
      <c r="Y79" s="128">
        <f t="shared" si="37"/>
        <v>53258.256825903576</v>
      </c>
      <c r="Z79" s="129">
        <f t="shared" si="37"/>
        <v>53784.11147311129</v>
      </c>
      <c r="AA79" s="127">
        <f t="shared" si="37"/>
        <v>54311.312836857396</v>
      </c>
      <c r="AB79" s="128">
        <f t="shared" si="37"/>
        <v>54839.794092996381</v>
      </c>
      <c r="AC79" s="128">
        <f t="shared" si="37"/>
        <v>55369.492719654219</v>
      </c>
      <c r="AD79" s="128">
        <f t="shared" si="37"/>
        <v>55900.350156294255</v>
      </c>
      <c r="AE79" s="128">
        <f t="shared" si="37"/>
        <v>56432.311494696856</v>
      </c>
      <c r="AF79" s="128">
        <f t="shared" si="37"/>
        <v>56965.325198422121</v>
      </c>
      <c r="AG79" s="128">
        <f t="shared" si="37"/>
        <v>59118.791114807755</v>
      </c>
      <c r="AH79" s="128">
        <f t="shared" si="37"/>
        <v>59657.01236733234</v>
      </c>
      <c r="AI79" s="128">
        <f t="shared" ref="AI79:BJ79" si="38">AI68-AI70</f>
        <v>60196.010358406871</v>
      </c>
      <c r="AJ79" s="128">
        <f t="shared" si="38"/>
        <v>60735.75249686974</v>
      </c>
      <c r="AK79" s="128">
        <f t="shared" si="38"/>
        <v>61276.207955024773</v>
      </c>
      <c r="AL79" s="129">
        <f t="shared" si="38"/>
        <v>61817.347550824954</v>
      </c>
      <c r="AM79" s="127">
        <f t="shared" si="38"/>
        <v>62359.143639376904</v>
      </c>
      <c r="AN79" s="128">
        <f t="shared" si="38"/>
        <v>62901.570012916505</v>
      </c>
      <c r="AO79" s="128">
        <f t="shared" si="38"/>
        <v>63444.601808494474</v>
      </c>
      <c r="AP79" s="128">
        <f t="shared" si="38"/>
        <v>63988.215422686575</v>
      </c>
      <c r="AQ79" s="128">
        <f t="shared" si="38"/>
        <v>64532.388432713589</v>
      </c>
      <c r="AR79" s="128">
        <f t="shared" si="38"/>
        <v>65077.099523415287</v>
      </c>
      <c r="AS79" s="128">
        <f t="shared" si="38"/>
        <v>65622.328419577869</v>
      </c>
      <c r="AT79" s="128">
        <f t="shared" si="38"/>
        <v>66183.96505246342</v>
      </c>
      <c r="AU79" s="128">
        <f t="shared" si="38"/>
        <v>66745.683175488084</v>
      </c>
      <c r="AV79" s="128">
        <f t="shared" si="38"/>
        <v>67307.479928193439</v>
      </c>
      <c r="AW79" s="128">
        <f t="shared" si="38"/>
        <v>67869.352560151572</v>
      </c>
      <c r="AX79" s="129">
        <f t="shared" si="38"/>
        <v>68431.298425651257</v>
      </c>
      <c r="AY79" s="127">
        <f t="shared" si="38"/>
        <v>68993.314978688431</v>
      </c>
      <c r="AZ79" s="128">
        <f t="shared" si="38"/>
        <v>69555.399768241507</v>
      </c>
      <c r="BA79" s="128">
        <f t="shared" si="38"/>
        <v>70117.550433812372</v>
      </c>
      <c r="BB79" s="128">
        <f t="shared" si="38"/>
        <v>70679.764701216249</v>
      </c>
      <c r="BC79" s="128">
        <f t="shared" si="38"/>
        <v>71242.040378603953</v>
      </c>
      <c r="BD79" s="128">
        <f t="shared" si="38"/>
        <v>70935.599980351428</v>
      </c>
      <c r="BE79" s="128">
        <f t="shared" si="38"/>
        <v>70868.655437702138</v>
      </c>
      <c r="BF79" s="128">
        <f t="shared" si="38"/>
        <v>70808.280466256896</v>
      </c>
      <c r="BG79" s="128">
        <f t="shared" si="38"/>
        <v>70754.211714896199</v>
      </c>
      <c r="BH79" s="128">
        <f t="shared" si="38"/>
        <v>70706.221005106345</v>
      </c>
      <c r="BI79" s="128">
        <f t="shared" si="38"/>
        <v>70664.112533365449</v>
      </c>
      <c r="BJ79" s="129">
        <f t="shared" si="38"/>
        <v>70627.720529653889</v>
      </c>
    </row>
    <row r="80" spans="1:63" ht="17.100000000000001" customHeight="1" x14ac:dyDescent="0.3">
      <c r="B80" s="117" t="s">
        <v>135</v>
      </c>
      <c r="C80" s="118">
        <f t="shared" ref="C80:AH80" si="39">SUM(C81:C95)</f>
        <v>26560.400000000001</v>
      </c>
      <c r="D80" s="119">
        <f t="shared" si="39"/>
        <v>26564.328399999999</v>
      </c>
      <c r="E80" s="119">
        <f t="shared" si="39"/>
        <v>26568.256799999999</v>
      </c>
      <c r="F80" s="119">
        <f t="shared" si="39"/>
        <v>26572.1852</v>
      </c>
      <c r="G80" s="119">
        <f t="shared" si="39"/>
        <v>27076.113600000001</v>
      </c>
      <c r="H80" s="119">
        <f t="shared" si="39"/>
        <v>27080.042000000001</v>
      </c>
      <c r="I80" s="119">
        <f t="shared" si="39"/>
        <v>27083.970399999998</v>
      </c>
      <c r="J80" s="119">
        <f t="shared" si="39"/>
        <v>27087.898799999999</v>
      </c>
      <c r="K80" s="119">
        <f t="shared" si="39"/>
        <v>27091.8272</v>
      </c>
      <c r="L80" s="119">
        <f t="shared" si="39"/>
        <v>27095.7556</v>
      </c>
      <c r="M80" s="119">
        <f t="shared" si="39"/>
        <v>27099.684000000001</v>
      </c>
      <c r="N80" s="120">
        <f t="shared" si="39"/>
        <v>27103.612399999998</v>
      </c>
      <c r="O80" s="118">
        <f t="shared" si="39"/>
        <v>27650.860799999999</v>
      </c>
      <c r="P80" s="119">
        <f t="shared" si="39"/>
        <v>27654.789199999999</v>
      </c>
      <c r="Q80" s="119">
        <f t="shared" si="39"/>
        <v>27658.7176</v>
      </c>
      <c r="R80" s="119">
        <f t="shared" si="39"/>
        <v>27662.646000000001</v>
      </c>
      <c r="S80" s="119">
        <f t="shared" si="39"/>
        <v>27666.574400000001</v>
      </c>
      <c r="T80" s="119">
        <f t="shared" si="39"/>
        <v>27670.502799999998</v>
      </c>
      <c r="U80" s="119">
        <f t="shared" si="39"/>
        <v>32886.821200000006</v>
      </c>
      <c r="V80" s="119">
        <f t="shared" si="39"/>
        <v>32890.749600000003</v>
      </c>
      <c r="W80" s="119">
        <f t="shared" si="39"/>
        <v>32894.678</v>
      </c>
      <c r="X80" s="119">
        <f t="shared" si="39"/>
        <v>32898.606400000004</v>
      </c>
      <c r="Y80" s="119">
        <f t="shared" si="39"/>
        <v>32902.534800000001</v>
      </c>
      <c r="Z80" s="120">
        <f t="shared" si="39"/>
        <v>32906.463199999998</v>
      </c>
      <c r="AA80" s="118">
        <f t="shared" si="39"/>
        <v>33511.220020000001</v>
      </c>
      <c r="AB80" s="119">
        <f t="shared" si="39"/>
        <v>33515.148419999998</v>
      </c>
      <c r="AC80" s="119">
        <f t="shared" si="39"/>
        <v>33519.076820000002</v>
      </c>
      <c r="AD80" s="119">
        <f t="shared" si="39"/>
        <v>33523.005219999999</v>
      </c>
      <c r="AE80" s="119">
        <f t="shared" si="39"/>
        <v>33526.933619999996</v>
      </c>
      <c r="AF80" s="119">
        <f t="shared" si="39"/>
        <v>33530.86202</v>
      </c>
      <c r="AG80" s="119">
        <f t="shared" si="39"/>
        <v>39664.438360000007</v>
      </c>
      <c r="AH80" s="119">
        <f t="shared" si="39"/>
        <v>39668.366760000004</v>
      </c>
      <c r="AI80" s="119">
        <f t="shared" ref="AI80:BJ80" si="40">SUM(AI81:AI95)</f>
        <v>39672.295160000009</v>
      </c>
      <c r="AJ80" s="119">
        <f t="shared" si="40"/>
        <v>39676.223560000006</v>
      </c>
      <c r="AK80" s="119">
        <f t="shared" si="40"/>
        <v>39680.151960000003</v>
      </c>
      <c r="AL80" s="120">
        <f t="shared" si="40"/>
        <v>39684.080360000007</v>
      </c>
      <c r="AM80" s="118">
        <f t="shared" si="40"/>
        <v>40397.913016359998</v>
      </c>
      <c r="AN80" s="119">
        <f t="shared" si="40"/>
        <v>40401.841416360003</v>
      </c>
      <c r="AO80" s="119">
        <f t="shared" si="40"/>
        <v>40405.76981636</v>
      </c>
      <c r="AP80" s="119">
        <f t="shared" si="40"/>
        <v>40409.698216359997</v>
      </c>
      <c r="AQ80" s="119">
        <f t="shared" si="40"/>
        <v>40413.626616360001</v>
      </c>
      <c r="AR80" s="119">
        <f t="shared" si="40"/>
        <v>40417.555016359998</v>
      </c>
      <c r="AS80" s="119">
        <f t="shared" si="40"/>
        <v>40421.483416360003</v>
      </c>
      <c r="AT80" s="119">
        <f t="shared" si="40"/>
        <v>40425.41181636</v>
      </c>
      <c r="AU80" s="119">
        <f t="shared" si="40"/>
        <v>40429.340216359997</v>
      </c>
      <c r="AV80" s="119">
        <f t="shared" si="40"/>
        <v>40433.268616360001</v>
      </c>
      <c r="AW80" s="119">
        <f t="shared" si="40"/>
        <v>40437.197016359998</v>
      </c>
      <c r="AX80" s="120">
        <f t="shared" si="40"/>
        <v>40441.125416360002</v>
      </c>
      <c r="AY80" s="118">
        <f t="shared" si="40"/>
        <v>40950.401257584279</v>
      </c>
      <c r="AZ80" s="119">
        <f t="shared" si="40"/>
        <v>40954.329657584276</v>
      </c>
      <c r="BA80" s="119">
        <f t="shared" si="40"/>
        <v>40958.25805758428</v>
      </c>
      <c r="BB80" s="119">
        <f t="shared" si="40"/>
        <v>40962.186457584277</v>
      </c>
      <c r="BC80" s="119">
        <f t="shared" si="40"/>
        <v>40966.114857584282</v>
      </c>
      <c r="BD80" s="119">
        <f t="shared" si="40"/>
        <v>40964.698057584283</v>
      </c>
      <c r="BE80" s="119">
        <f t="shared" si="40"/>
        <v>40964.698057584283</v>
      </c>
      <c r="BF80" s="119">
        <f t="shared" si="40"/>
        <v>40964.698057584283</v>
      </c>
      <c r="BG80" s="119">
        <f t="shared" si="40"/>
        <v>40964.698057584283</v>
      </c>
      <c r="BH80" s="119">
        <f t="shared" si="40"/>
        <v>40964.698057584283</v>
      </c>
      <c r="BI80" s="119">
        <f t="shared" si="40"/>
        <v>40964.698057584283</v>
      </c>
      <c r="BJ80" s="120">
        <f t="shared" si="40"/>
        <v>40964.698057584283</v>
      </c>
    </row>
    <row r="81" spans="1:62" s="72" customFormat="1" ht="14.4" hidden="1" customHeight="1" outlineLevel="1" x14ac:dyDescent="0.3">
      <c r="A81" s="26"/>
      <c r="B81" s="136" t="s">
        <v>93</v>
      </c>
      <c r="C81" s="130">
        <f>'Folha de Pagamento'!$I$13</f>
        <v>0</v>
      </c>
      <c r="D81" s="137">
        <f>'Folha de Pagamento'!$I$13</f>
        <v>0</v>
      </c>
      <c r="E81" s="137">
        <f>'Folha de Pagamento'!$I$13</f>
        <v>0</v>
      </c>
      <c r="F81" s="137">
        <f>'Folha de Pagamento'!$I$13</f>
        <v>0</v>
      </c>
      <c r="G81" s="137">
        <f>'Folha de Pagamento'!$I$13</f>
        <v>0</v>
      </c>
      <c r="H81" s="137">
        <f>'Folha de Pagamento'!$I$13</f>
        <v>0</v>
      </c>
      <c r="I81" s="137">
        <f>'Folha de Pagamento'!$I$13</f>
        <v>0</v>
      </c>
      <c r="J81" s="137">
        <f>'Folha de Pagamento'!$I$13</f>
        <v>0</v>
      </c>
      <c r="K81" s="137">
        <f>'Folha de Pagamento'!$I$13</f>
        <v>0</v>
      </c>
      <c r="L81" s="137">
        <f>'Folha de Pagamento'!$I$13</f>
        <v>0</v>
      </c>
      <c r="M81" s="137">
        <f>'Folha de Pagamento'!$I$13</f>
        <v>0</v>
      </c>
      <c r="N81" s="99">
        <f>'Folha de Pagamento'!$I$13</f>
        <v>0</v>
      </c>
      <c r="O81" s="130">
        <f>'Folha de Pagamento'!$I$13</f>
        <v>0</v>
      </c>
      <c r="P81" s="137">
        <f>'Folha de Pagamento'!$I$13</f>
        <v>0</v>
      </c>
      <c r="Q81" s="137">
        <f>'Folha de Pagamento'!$I$13</f>
        <v>0</v>
      </c>
      <c r="R81" s="137">
        <f>'Folha de Pagamento'!$I$13</f>
        <v>0</v>
      </c>
      <c r="S81" s="137">
        <f>'Folha de Pagamento'!$I$13</f>
        <v>0</v>
      </c>
      <c r="T81" s="137">
        <f>'Folha de Pagamento'!$I$13</f>
        <v>0</v>
      </c>
      <c r="U81" s="137">
        <f>'Folha de Pagamento'!$I$13</f>
        <v>0</v>
      </c>
      <c r="V81" s="137">
        <f>'Folha de Pagamento'!$I$13</f>
        <v>0</v>
      </c>
      <c r="W81" s="137">
        <f>'Folha de Pagamento'!$I$13</f>
        <v>0</v>
      </c>
      <c r="X81" s="137">
        <f>'Folha de Pagamento'!$I$13</f>
        <v>0</v>
      </c>
      <c r="Y81" s="137">
        <f>'Folha de Pagamento'!$I$13</f>
        <v>0</v>
      </c>
      <c r="Z81" s="99">
        <f>'Folha de Pagamento'!$I$13</f>
        <v>0</v>
      </c>
      <c r="AA81" s="130">
        <f>'Folha de Pagamento'!$I$13</f>
        <v>0</v>
      </c>
      <c r="AB81" s="137">
        <f>'Folha de Pagamento'!$I$13</f>
        <v>0</v>
      </c>
      <c r="AC81" s="137">
        <f>'Folha de Pagamento'!$I$13</f>
        <v>0</v>
      </c>
      <c r="AD81" s="137">
        <f>'Folha de Pagamento'!$I$13</f>
        <v>0</v>
      </c>
      <c r="AE81" s="137">
        <f>'Folha de Pagamento'!$I$13</f>
        <v>0</v>
      </c>
      <c r="AF81" s="137">
        <f>'Folha de Pagamento'!$I$13</f>
        <v>0</v>
      </c>
      <c r="AG81" s="137">
        <f>'Folha de Pagamento'!$I$13</f>
        <v>0</v>
      </c>
      <c r="AH81" s="137">
        <f>'Folha de Pagamento'!$I$13</f>
        <v>0</v>
      </c>
      <c r="AI81" s="137">
        <f>'Folha de Pagamento'!$I$13</f>
        <v>0</v>
      </c>
      <c r="AJ81" s="137">
        <f>'Folha de Pagamento'!$I$13</f>
        <v>0</v>
      </c>
      <c r="AK81" s="137">
        <f>'Folha de Pagamento'!$I$13</f>
        <v>0</v>
      </c>
      <c r="AL81" s="99">
        <f>'Folha de Pagamento'!$I$13</f>
        <v>0</v>
      </c>
      <c r="AM81" s="130">
        <f>'Folha de Pagamento'!$I$13</f>
        <v>0</v>
      </c>
      <c r="AN81" s="137">
        <f>'Folha de Pagamento'!$I$13</f>
        <v>0</v>
      </c>
      <c r="AO81" s="137">
        <f>'Folha de Pagamento'!$I$13</f>
        <v>0</v>
      </c>
      <c r="AP81" s="137">
        <f>'Folha de Pagamento'!$I$13</f>
        <v>0</v>
      </c>
      <c r="AQ81" s="137">
        <f>'Folha de Pagamento'!$I$13</f>
        <v>0</v>
      </c>
      <c r="AR81" s="137">
        <f>'Folha de Pagamento'!$I$13</f>
        <v>0</v>
      </c>
      <c r="AS81" s="137">
        <f>'Folha de Pagamento'!$I$13</f>
        <v>0</v>
      </c>
      <c r="AT81" s="137">
        <f>'Folha de Pagamento'!$I$13</f>
        <v>0</v>
      </c>
      <c r="AU81" s="137">
        <f>'Folha de Pagamento'!$I$13</f>
        <v>0</v>
      </c>
      <c r="AV81" s="137">
        <f>'Folha de Pagamento'!$I$13</f>
        <v>0</v>
      </c>
      <c r="AW81" s="137">
        <f>'Folha de Pagamento'!$I$13</f>
        <v>0</v>
      </c>
      <c r="AX81" s="99">
        <f>'Folha de Pagamento'!$I$13</f>
        <v>0</v>
      </c>
      <c r="AY81" s="130">
        <f>'Folha de Pagamento'!$I$13</f>
        <v>0</v>
      </c>
      <c r="AZ81" s="137">
        <f>'Folha de Pagamento'!$I$13</f>
        <v>0</v>
      </c>
      <c r="BA81" s="137">
        <f>'Folha de Pagamento'!$I$13</f>
        <v>0</v>
      </c>
      <c r="BB81" s="137">
        <f>'Folha de Pagamento'!$I$13</f>
        <v>0</v>
      </c>
      <c r="BC81" s="137">
        <f>'Folha de Pagamento'!$I$13</f>
        <v>0</v>
      </c>
      <c r="BD81" s="137">
        <f>'Folha de Pagamento'!$I$13</f>
        <v>0</v>
      </c>
      <c r="BE81" s="137">
        <f>'Folha de Pagamento'!$I$13</f>
        <v>0</v>
      </c>
      <c r="BF81" s="137">
        <f>'Folha de Pagamento'!$I$13</f>
        <v>0</v>
      </c>
      <c r="BG81" s="137">
        <f>'Folha de Pagamento'!$I$13</f>
        <v>0</v>
      </c>
      <c r="BH81" s="137">
        <f>'Folha de Pagamento'!$I$13</f>
        <v>0</v>
      </c>
      <c r="BI81" s="137">
        <f>'Folha de Pagamento'!$I$13</f>
        <v>0</v>
      </c>
      <c r="BJ81" s="99">
        <f>'Folha de Pagamento'!$I$13</f>
        <v>0</v>
      </c>
    </row>
    <row r="82" spans="1:62" s="72" customFormat="1" ht="14.4" customHeight="1" outlineLevel="1" x14ac:dyDescent="0.3">
      <c r="A82" s="26"/>
      <c r="B82" s="138" t="s">
        <v>66</v>
      </c>
      <c r="C82" s="139">
        <f>'Folha de Pagamento'!$I$24</f>
        <v>12036</v>
      </c>
      <c r="D82" s="139">
        <f>'Folha de Pagamento'!$I$24</f>
        <v>12036</v>
      </c>
      <c r="E82" s="139">
        <f>'Folha de Pagamento'!$I$24</f>
        <v>12036</v>
      </c>
      <c r="F82" s="139">
        <f>'Folha de Pagamento'!$I$24</f>
        <v>12036</v>
      </c>
      <c r="G82" s="139">
        <f>'Folha de Pagamento'!$I$24</f>
        <v>12036</v>
      </c>
      <c r="H82" s="139">
        <f>'Folha de Pagamento'!$I$24</f>
        <v>12036</v>
      </c>
      <c r="I82" s="93">
        <f>'Folha de Pagamento'!$I$35</f>
        <v>12036</v>
      </c>
      <c r="J82" s="93">
        <f>'Folha de Pagamento'!$I$35</f>
        <v>12036</v>
      </c>
      <c r="K82" s="93">
        <f>'Folha de Pagamento'!$I$35</f>
        <v>12036</v>
      </c>
      <c r="L82" s="93">
        <f>'Folha de Pagamento'!$I$35</f>
        <v>12036</v>
      </c>
      <c r="M82" s="93">
        <f>'Folha de Pagamento'!$I$35</f>
        <v>12036</v>
      </c>
      <c r="N82" s="146">
        <f>'Folha de Pagamento'!$I$35</f>
        <v>12036</v>
      </c>
      <c r="O82" s="144">
        <f>'Folha de Pagamento'!$I$46</f>
        <v>12156.36</v>
      </c>
      <c r="P82" s="144">
        <f>'Folha de Pagamento'!$I$46</f>
        <v>12156.36</v>
      </c>
      <c r="Q82" s="144">
        <f>'Folha de Pagamento'!$I$46</f>
        <v>12156.36</v>
      </c>
      <c r="R82" s="144">
        <f>'Folha de Pagamento'!$I$46</f>
        <v>12156.36</v>
      </c>
      <c r="S82" s="144">
        <f>'Folha de Pagamento'!$I$46</f>
        <v>12156.36</v>
      </c>
      <c r="T82" s="144">
        <f>'Folha de Pagamento'!$I$46</f>
        <v>12156.36</v>
      </c>
      <c r="U82" s="145">
        <f>'Folha de Pagamento'!$I$58</f>
        <v>17055.870000000003</v>
      </c>
      <c r="V82" s="145">
        <f>'Folha de Pagamento'!$I$58</f>
        <v>17055.870000000003</v>
      </c>
      <c r="W82" s="145">
        <f>'Folha de Pagamento'!$I$58</f>
        <v>17055.870000000003</v>
      </c>
      <c r="X82" s="145">
        <f>'Folha de Pagamento'!$I$58</f>
        <v>17055.870000000003</v>
      </c>
      <c r="Y82" s="145">
        <f>'Folha de Pagamento'!$I$58</f>
        <v>17055.870000000003</v>
      </c>
      <c r="Z82" s="225">
        <f>'Folha de Pagamento'!$I$58</f>
        <v>17055.870000000003</v>
      </c>
      <c r="AA82" s="228">
        <f>'Folha de Pagamento'!$I$69</f>
        <v>17226.4287</v>
      </c>
      <c r="AB82" s="145">
        <f>'Folha de Pagamento'!$I$69</f>
        <v>17226.4287</v>
      </c>
      <c r="AC82" s="145">
        <f>'Folha de Pagamento'!$I$69</f>
        <v>17226.4287</v>
      </c>
      <c r="AD82" s="145">
        <f>'Folha de Pagamento'!$I$69</f>
        <v>17226.4287</v>
      </c>
      <c r="AE82" s="145">
        <f>'Folha de Pagamento'!$I$69</f>
        <v>17226.4287</v>
      </c>
      <c r="AF82" s="145">
        <f>'Folha de Pagamento'!$I$69</f>
        <v>17226.4287</v>
      </c>
      <c r="AG82" s="145">
        <f>'Folha de Pagamento'!$I$80</f>
        <v>23346.416639999999</v>
      </c>
      <c r="AH82" s="145">
        <f>'Folha de Pagamento'!$I$80</f>
        <v>23346.416639999999</v>
      </c>
      <c r="AI82" s="145">
        <f>'Folha de Pagamento'!$I$80</f>
        <v>23346.416639999999</v>
      </c>
      <c r="AJ82" s="145">
        <f>'Folha de Pagamento'!$I$80</f>
        <v>23346.416639999999</v>
      </c>
      <c r="AK82" s="145">
        <f>'Folha de Pagamento'!$I$80</f>
        <v>23346.416639999999</v>
      </c>
      <c r="AL82" s="146">
        <f>'Folha de Pagamento'!$I$80</f>
        <v>23346.416639999999</v>
      </c>
      <c r="AM82" s="228">
        <f>'Folha de Pagamento'!$I$91</f>
        <v>23579.8808064</v>
      </c>
      <c r="AN82" s="145">
        <f>'Folha de Pagamento'!$I$91</f>
        <v>23579.8808064</v>
      </c>
      <c r="AO82" s="145">
        <f>'Folha de Pagamento'!$I$91</f>
        <v>23579.8808064</v>
      </c>
      <c r="AP82" s="145">
        <f>'Folha de Pagamento'!$I$91</f>
        <v>23579.8808064</v>
      </c>
      <c r="AQ82" s="145">
        <f>'Folha de Pagamento'!$I$91</f>
        <v>23579.8808064</v>
      </c>
      <c r="AR82" s="145">
        <f>'Folha de Pagamento'!$I$91</f>
        <v>23579.8808064</v>
      </c>
      <c r="AS82" s="145">
        <f>'Folha de Pagamento'!$I$91</f>
        <v>23579.8808064</v>
      </c>
      <c r="AT82" s="145">
        <f>'Folha de Pagamento'!$I$91</f>
        <v>23579.8808064</v>
      </c>
      <c r="AU82" s="145">
        <f>'Folha de Pagamento'!$I$91</f>
        <v>23579.8808064</v>
      </c>
      <c r="AV82" s="145">
        <f>'Folha de Pagamento'!$I$91</f>
        <v>23579.8808064</v>
      </c>
      <c r="AW82" s="145">
        <f>'Folha de Pagamento'!$I$91</f>
        <v>23579.8808064</v>
      </c>
      <c r="AX82" s="146">
        <f>'Folha de Pagamento'!$I$91</f>
        <v>23579.8808064</v>
      </c>
      <c r="AY82" s="228">
        <f>'Folha de Pagamento'!$I$91</f>
        <v>23579.8808064</v>
      </c>
      <c r="AZ82" s="145">
        <f>'Folha de Pagamento'!$I$91</f>
        <v>23579.8808064</v>
      </c>
      <c r="BA82" s="145">
        <f>'Folha de Pagamento'!$I$91</f>
        <v>23579.8808064</v>
      </c>
      <c r="BB82" s="145">
        <f>'Folha de Pagamento'!$I$91</f>
        <v>23579.8808064</v>
      </c>
      <c r="BC82" s="145">
        <f>'Folha de Pagamento'!$I$91</f>
        <v>23579.8808064</v>
      </c>
      <c r="BD82" s="145">
        <f>'Folha de Pagamento'!$I$91</f>
        <v>23579.8808064</v>
      </c>
      <c r="BE82" s="145">
        <f>'Folha de Pagamento'!$I$91</f>
        <v>23579.8808064</v>
      </c>
      <c r="BF82" s="145">
        <f>'Folha de Pagamento'!$I$91</f>
        <v>23579.8808064</v>
      </c>
      <c r="BG82" s="145">
        <f>'Folha de Pagamento'!$I$91</f>
        <v>23579.8808064</v>
      </c>
      <c r="BH82" s="145">
        <f>'Folha de Pagamento'!$I$91</f>
        <v>23579.8808064</v>
      </c>
      <c r="BI82" s="145">
        <f>'Folha de Pagamento'!$I$91</f>
        <v>23579.8808064</v>
      </c>
      <c r="BJ82" s="146">
        <f>'Folha de Pagamento'!$I$91</f>
        <v>23579.8808064</v>
      </c>
    </row>
    <row r="83" spans="1:62" s="72" customFormat="1" ht="14.4" customHeight="1" outlineLevel="1" x14ac:dyDescent="0.3">
      <c r="A83" s="26"/>
      <c r="B83" s="138" t="s">
        <v>159</v>
      </c>
      <c r="C83" s="139">
        <f>'Folha de Pagamento'!$C$100</f>
        <v>1700</v>
      </c>
      <c r="D83" s="139">
        <f>'Folha de Pagamento'!$C$100</f>
        <v>1700</v>
      </c>
      <c r="E83" s="139">
        <f>'Folha de Pagamento'!$C$100</f>
        <v>1700</v>
      </c>
      <c r="F83" s="139">
        <f>'Folha de Pagamento'!$C$100</f>
        <v>1700</v>
      </c>
      <c r="G83" s="139">
        <f>'Folha de Pagamento'!$C$100</f>
        <v>1700</v>
      </c>
      <c r="H83" s="139">
        <f>'Folha de Pagamento'!$C$100</f>
        <v>1700</v>
      </c>
      <c r="I83" s="139">
        <f>'Folha de Pagamento'!$C$100</f>
        <v>1700</v>
      </c>
      <c r="J83" s="139">
        <f>'Folha de Pagamento'!$C$100</f>
        <v>1700</v>
      </c>
      <c r="K83" s="139">
        <f>'Folha de Pagamento'!$C$100</f>
        <v>1700</v>
      </c>
      <c r="L83" s="139">
        <f>'Folha de Pagamento'!$C$100</f>
        <v>1700</v>
      </c>
      <c r="M83" s="139">
        <f>'Folha de Pagamento'!$C$100</f>
        <v>1700</v>
      </c>
      <c r="N83" s="94">
        <f>'Folha de Pagamento'!$C$100</f>
        <v>1700</v>
      </c>
      <c r="O83" s="144">
        <f>'Folha de Pagamento'!$C$100</f>
        <v>1700</v>
      </c>
      <c r="P83" s="144">
        <f>'Folha de Pagamento'!$C$100</f>
        <v>1700</v>
      </c>
      <c r="Q83" s="145">
        <f>'Folha de Pagamento'!$C$100</f>
        <v>1700</v>
      </c>
      <c r="R83" s="145">
        <f>'Folha de Pagamento'!$C$100</f>
        <v>1700</v>
      </c>
      <c r="S83" s="145">
        <f>'Folha de Pagamento'!$C$100</f>
        <v>1700</v>
      </c>
      <c r="T83" s="145">
        <f>'Folha de Pagamento'!$C$100</f>
        <v>1700</v>
      </c>
      <c r="U83" s="145">
        <f>'Folha de Pagamento'!$D$100</f>
        <v>2000</v>
      </c>
      <c r="V83" s="145">
        <f>'Folha de Pagamento'!$D$100</f>
        <v>2000</v>
      </c>
      <c r="W83" s="145">
        <f>'Folha de Pagamento'!$D$100</f>
        <v>2000</v>
      </c>
      <c r="X83" s="145">
        <f>'Folha de Pagamento'!$D$100</f>
        <v>2000</v>
      </c>
      <c r="Y83" s="145">
        <f>'Folha de Pagamento'!$D$100</f>
        <v>2000</v>
      </c>
      <c r="Z83" s="225">
        <f>'Folha de Pagamento'!$D$100</f>
        <v>2000</v>
      </c>
      <c r="AA83" s="228">
        <f>'Folha de Pagamento'!$D$100</f>
        <v>2000</v>
      </c>
      <c r="AB83" s="145">
        <f>'Folha de Pagamento'!$D$100</f>
        <v>2000</v>
      </c>
      <c r="AC83" s="145">
        <f>'Folha de Pagamento'!$D$100</f>
        <v>2000</v>
      </c>
      <c r="AD83" s="145">
        <f>'Folha de Pagamento'!$D$100</f>
        <v>2000</v>
      </c>
      <c r="AE83" s="145">
        <f>'Folha de Pagamento'!$D$100</f>
        <v>2000</v>
      </c>
      <c r="AF83" s="145">
        <f>'Folha de Pagamento'!$D$100</f>
        <v>2000</v>
      </c>
      <c r="AG83" s="145">
        <f>'Folha de Pagamento'!$E$100</f>
        <v>2000</v>
      </c>
      <c r="AH83" s="145">
        <f>'Folha de Pagamento'!$E$100</f>
        <v>2000</v>
      </c>
      <c r="AI83" s="145">
        <f>'Folha de Pagamento'!$E$100</f>
        <v>2000</v>
      </c>
      <c r="AJ83" s="145">
        <f>'Folha de Pagamento'!$E$100</f>
        <v>2000</v>
      </c>
      <c r="AK83" s="145">
        <f>'Folha de Pagamento'!$E$100</f>
        <v>2000</v>
      </c>
      <c r="AL83" s="146">
        <f>'Folha de Pagamento'!$E$100</f>
        <v>2000</v>
      </c>
      <c r="AM83" s="228">
        <f>'Folha de Pagamento'!$E$100</f>
        <v>2000</v>
      </c>
      <c r="AN83" s="145">
        <f>'Folha de Pagamento'!$E$100</f>
        <v>2000</v>
      </c>
      <c r="AO83" s="145">
        <f>'Folha de Pagamento'!$E$100</f>
        <v>2000</v>
      </c>
      <c r="AP83" s="145">
        <f>'Folha de Pagamento'!$E$100</f>
        <v>2000</v>
      </c>
      <c r="AQ83" s="145">
        <f>'Folha de Pagamento'!$E$100</f>
        <v>2000</v>
      </c>
      <c r="AR83" s="145">
        <f>'Folha de Pagamento'!$E$100</f>
        <v>2000</v>
      </c>
      <c r="AS83" s="145">
        <f>'Folha de Pagamento'!$E$100</f>
        <v>2000</v>
      </c>
      <c r="AT83" s="145">
        <f>'Folha de Pagamento'!$E$100</f>
        <v>2000</v>
      </c>
      <c r="AU83" s="145">
        <f>'Folha de Pagamento'!$E$100</f>
        <v>2000</v>
      </c>
      <c r="AV83" s="145">
        <f>'Folha de Pagamento'!$E$100</f>
        <v>2000</v>
      </c>
      <c r="AW83" s="145">
        <f>'Folha de Pagamento'!$E$100</f>
        <v>2000</v>
      </c>
      <c r="AX83" s="146">
        <f>'Folha de Pagamento'!$E$100</f>
        <v>2000</v>
      </c>
      <c r="AY83" s="228">
        <f>'Folha de Pagamento'!$E$100</f>
        <v>2000</v>
      </c>
      <c r="AZ83" s="145">
        <f>'Folha de Pagamento'!$E$100</f>
        <v>2000</v>
      </c>
      <c r="BA83" s="145">
        <f>'Folha de Pagamento'!$E$100</f>
        <v>2000</v>
      </c>
      <c r="BB83" s="145">
        <f>'Folha de Pagamento'!$E$100</f>
        <v>2000</v>
      </c>
      <c r="BC83" s="145">
        <f>'Folha de Pagamento'!$E$100</f>
        <v>2000</v>
      </c>
      <c r="BD83" s="145">
        <f>'Folha de Pagamento'!$E$100</f>
        <v>2000</v>
      </c>
      <c r="BE83" s="145">
        <f>'Folha de Pagamento'!$E$100</f>
        <v>2000</v>
      </c>
      <c r="BF83" s="145">
        <f>'Folha de Pagamento'!$E$100</f>
        <v>2000</v>
      </c>
      <c r="BG83" s="145">
        <f>'Folha de Pagamento'!$E$100</f>
        <v>2000</v>
      </c>
      <c r="BH83" s="145">
        <f>'Folha de Pagamento'!$E$100</f>
        <v>2000</v>
      </c>
      <c r="BI83" s="145">
        <f>'Folha de Pagamento'!$E$100</f>
        <v>2000</v>
      </c>
      <c r="BJ83" s="146">
        <f>'Folha de Pagamento'!$E$100</f>
        <v>2000</v>
      </c>
    </row>
    <row r="84" spans="1:62" s="72" customFormat="1" ht="14.4" customHeight="1" outlineLevel="1" x14ac:dyDescent="0.3">
      <c r="A84" s="26"/>
      <c r="B84" s="138" t="s">
        <v>65</v>
      </c>
      <c r="C84" s="93">
        <f>$C$24</f>
        <v>7800</v>
      </c>
      <c r="D84" s="93">
        <f>$C$24</f>
        <v>7800</v>
      </c>
      <c r="E84" s="93">
        <f>$C$24</f>
        <v>7800</v>
      </c>
      <c r="F84" s="93">
        <f t="shared" ref="F84:N84" si="41">$C$24</f>
        <v>7800</v>
      </c>
      <c r="G84" s="93">
        <f t="shared" si="41"/>
        <v>7800</v>
      </c>
      <c r="H84" s="93">
        <f t="shared" si="41"/>
        <v>7800</v>
      </c>
      <c r="I84" s="93">
        <f t="shared" si="41"/>
        <v>7800</v>
      </c>
      <c r="J84" s="93">
        <f t="shared" si="41"/>
        <v>7800</v>
      </c>
      <c r="K84" s="93">
        <f t="shared" si="41"/>
        <v>7800</v>
      </c>
      <c r="L84" s="93">
        <f t="shared" si="41"/>
        <v>7800</v>
      </c>
      <c r="M84" s="93">
        <f t="shared" si="41"/>
        <v>7800</v>
      </c>
      <c r="N84" s="94">
        <f t="shared" si="41"/>
        <v>7800</v>
      </c>
      <c r="O84" s="139">
        <f>($N$84*O56)+$C$24</f>
        <v>8112</v>
      </c>
      <c r="P84" s="139">
        <f>$O$84</f>
        <v>8112</v>
      </c>
      <c r="Q84" s="93">
        <f t="shared" ref="Q84:Z84" si="42">$O$84</f>
        <v>8112</v>
      </c>
      <c r="R84" s="93">
        <f t="shared" si="42"/>
        <v>8112</v>
      </c>
      <c r="S84" s="93">
        <f t="shared" si="42"/>
        <v>8112</v>
      </c>
      <c r="T84" s="93">
        <f t="shared" si="42"/>
        <v>8112</v>
      </c>
      <c r="U84" s="93">
        <f t="shared" si="42"/>
        <v>8112</v>
      </c>
      <c r="V84" s="93">
        <f t="shared" si="42"/>
        <v>8112</v>
      </c>
      <c r="W84" s="93">
        <f t="shared" si="42"/>
        <v>8112</v>
      </c>
      <c r="X84" s="93">
        <f t="shared" si="42"/>
        <v>8112</v>
      </c>
      <c r="Y84" s="93">
        <f t="shared" si="42"/>
        <v>8112</v>
      </c>
      <c r="Z84" s="226">
        <f t="shared" si="42"/>
        <v>8112</v>
      </c>
      <c r="AA84" s="229">
        <f>($Z$84*AA56)+$Z$84</f>
        <v>8436.48</v>
      </c>
      <c r="AB84" s="93">
        <f>$AA$84</f>
        <v>8436.48</v>
      </c>
      <c r="AC84" s="93">
        <f t="shared" ref="AC84:AL84" si="43">$AA$84</f>
        <v>8436.48</v>
      </c>
      <c r="AD84" s="93">
        <f t="shared" si="43"/>
        <v>8436.48</v>
      </c>
      <c r="AE84" s="93">
        <f t="shared" si="43"/>
        <v>8436.48</v>
      </c>
      <c r="AF84" s="93">
        <f t="shared" si="43"/>
        <v>8436.48</v>
      </c>
      <c r="AG84" s="93">
        <f t="shared" si="43"/>
        <v>8436.48</v>
      </c>
      <c r="AH84" s="93">
        <f t="shared" si="43"/>
        <v>8436.48</v>
      </c>
      <c r="AI84" s="93">
        <f t="shared" si="43"/>
        <v>8436.48</v>
      </c>
      <c r="AJ84" s="93">
        <f t="shared" si="43"/>
        <v>8436.48</v>
      </c>
      <c r="AK84" s="93">
        <f t="shared" si="43"/>
        <v>8436.48</v>
      </c>
      <c r="AL84" s="94">
        <f t="shared" si="43"/>
        <v>8436.48</v>
      </c>
      <c r="AM84" s="229">
        <f>($AL$84*AM56)+$AL$84</f>
        <v>8773.9391999999989</v>
      </c>
      <c r="AN84" s="93">
        <f>$AM$84</f>
        <v>8773.9391999999989</v>
      </c>
      <c r="AO84" s="93">
        <f t="shared" ref="AO84:AX84" si="44">$AM$84</f>
        <v>8773.9391999999989</v>
      </c>
      <c r="AP84" s="93">
        <f t="shared" si="44"/>
        <v>8773.9391999999989</v>
      </c>
      <c r="AQ84" s="93">
        <f t="shared" si="44"/>
        <v>8773.9391999999989</v>
      </c>
      <c r="AR84" s="93">
        <f t="shared" si="44"/>
        <v>8773.9391999999989</v>
      </c>
      <c r="AS84" s="93">
        <f t="shared" si="44"/>
        <v>8773.9391999999989</v>
      </c>
      <c r="AT84" s="93">
        <f t="shared" si="44"/>
        <v>8773.9391999999989</v>
      </c>
      <c r="AU84" s="93">
        <f t="shared" si="44"/>
        <v>8773.9391999999989</v>
      </c>
      <c r="AV84" s="93">
        <f t="shared" si="44"/>
        <v>8773.9391999999989</v>
      </c>
      <c r="AW84" s="93">
        <f t="shared" si="44"/>
        <v>8773.9391999999989</v>
      </c>
      <c r="AX84" s="94">
        <f t="shared" si="44"/>
        <v>8773.9391999999989</v>
      </c>
      <c r="AY84" s="229">
        <f>($AX$84*AY56)+$AX$84</f>
        <v>9124.8967679999987</v>
      </c>
      <c r="AZ84" s="93">
        <f>$AY$84</f>
        <v>9124.8967679999987</v>
      </c>
      <c r="BA84" s="93">
        <f t="shared" ref="BA84:BJ84" si="45">$AY$84</f>
        <v>9124.8967679999987</v>
      </c>
      <c r="BB84" s="93">
        <f t="shared" si="45"/>
        <v>9124.8967679999987</v>
      </c>
      <c r="BC84" s="93">
        <f t="shared" si="45"/>
        <v>9124.8967679999987</v>
      </c>
      <c r="BD84" s="93">
        <f t="shared" si="45"/>
        <v>9124.8967679999987</v>
      </c>
      <c r="BE84" s="93">
        <f t="shared" si="45"/>
        <v>9124.8967679999987</v>
      </c>
      <c r="BF84" s="93">
        <f t="shared" si="45"/>
        <v>9124.8967679999987</v>
      </c>
      <c r="BG84" s="93">
        <f t="shared" si="45"/>
        <v>9124.8967679999987</v>
      </c>
      <c r="BH84" s="93">
        <f t="shared" si="45"/>
        <v>9124.8967679999987</v>
      </c>
      <c r="BI84" s="93">
        <f t="shared" si="45"/>
        <v>9124.8967679999987</v>
      </c>
      <c r="BJ84" s="94">
        <f t="shared" si="45"/>
        <v>9124.8967679999987</v>
      </c>
    </row>
    <row r="85" spans="1:62" s="72" customFormat="1" ht="14.4" customHeight="1" outlineLevel="1" x14ac:dyDescent="0.3">
      <c r="A85" s="26"/>
      <c r="B85" s="138" t="s">
        <v>94</v>
      </c>
      <c r="C85" s="139">
        <f t="shared" ref="C85:N85" si="46">$C$25</f>
        <v>300</v>
      </c>
      <c r="D85" s="93">
        <f t="shared" si="46"/>
        <v>300</v>
      </c>
      <c r="E85" s="93">
        <f t="shared" si="46"/>
        <v>300</v>
      </c>
      <c r="F85" s="93">
        <f t="shared" si="46"/>
        <v>300</v>
      </c>
      <c r="G85" s="93">
        <f t="shared" si="46"/>
        <v>300</v>
      </c>
      <c r="H85" s="93">
        <f t="shared" si="46"/>
        <v>300</v>
      </c>
      <c r="I85" s="93">
        <f t="shared" si="46"/>
        <v>300</v>
      </c>
      <c r="J85" s="93">
        <f t="shared" si="46"/>
        <v>300</v>
      </c>
      <c r="K85" s="93">
        <f t="shared" si="46"/>
        <v>300</v>
      </c>
      <c r="L85" s="93">
        <f t="shared" si="46"/>
        <v>300</v>
      </c>
      <c r="M85" s="93">
        <f t="shared" si="46"/>
        <v>300</v>
      </c>
      <c r="N85" s="94">
        <f t="shared" si="46"/>
        <v>300</v>
      </c>
      <c r="O85" s="139">
        <f>$C$25+(N85*$O$45)</f>
        <v>306</v>
      </c>
      <c r="P85" s="93">
        <f>O85</f>
        <v>306</v>
      </c>
      <c r="Q85" s="93">
        <f t="shared" ref="Q85:AL88" si="47">P85</f>
        <v>306</v>
      </c>
      <c r="R85" s="93">
        <f t="shared" si="47"/>
        <v>306</v>
      </c>
      <c r="S85" s="93">
        <f t="shared" si="47"/>
        <v>306</v>
      </c>
      <c r="T85" s="93">
        <f t="shared" si="47"/>
        <v>306</v>
      </c>
      <c r="U85" s="93">
        <f t="shared" si="47"/>
        <v>306</v>
      </c>
      <c r="V85" s="93">
        <f t="shared" si="47"/>
        <v>306</v>
      </c>
      <c r="W85" s="93">
        <f t="shared" si="47"/>
        <v>306</v>
      </c>
      <c r="X85" s="93">
        <f t="shared" si="47"/>
        <v>306</v>
      </c>
      <c r="Y85" s="93">
        <f t="shared" si="47"/>
        <v>306</v>
      </c>
      <c r="Z85" s="226">
        <f t="shared" si="47"/>
        <v>306</v>
      </c>
      <c r="AA85" s="229">
        <f>Z85+(Z85*AA45)</f>
        <v>312.12</v>
      </c>
      <c r="AB85" s="93">
        <f t="shared" si="47"/>
        <v>312.12</v>
      </c>
      <c r="AC85" s="93">
        <f t="shared" si="47"/>
        <v>312.12</v>
      </c>
      <c r="AD85" s="93">
        <f t="shared" si="47"/>
        <v>312.12</v>
      </c>
      <c r="AE85" s="93">
        <f t="shared" si="47"/>
        <v>312.12</v>
      </c>
      <c r="AF85" s="93">
        <f t="shared" si="47"/>
        <v>312.12</v>
      </c>
      <c r="AG85" s="93">
        <f t="shared" si="47"/>
        <v>312.12</v>
      </c>
      <c r="AH85" s="93">
        <f t="shared" si="47"/>
        <v>312.12</v>
      </c>
      <c r="AI85" s="93">
        <f t="shared" si="47"/>
        <v>312.12</v>
      </c>
      <c r="AJ85" s="93">
        <f t="shared" si="47"/>
        <v>312.12</v>
      </c>
      <c r="AK85" s="93">
        <f t="shared" si="47"/>
        <v>312.12</v>
      </c>
      <c r="AL85" s="94">
        <f t="shared" si="47"/>
        <v>312.12</v>
      </c>
      <c r="AM85" s="229">
        <f>AL85+(AL85*AM45)</f>
        <v>318.36239999999998</v>
      </c>
      <c r="AN85" s="93">
        <f>AM85</f>
        <v>318.36239999999998</v>
      </c>
      <c r="AO85" s="93">
        <f t="shared" ref="AO85:AX88" si="48">AN85</f>
        <v>318.36239999999998</v>
      </c>
      <c r="AP85" s="93">
        <f t="shared" si="48"/>
        <v>318.36239999999998</v>
      </c>
      <c r="AQ85" s="93">
        <f t="shared" si="48"/>
        <v>318.36239999999998</v>
      </c>
      <c r="AR85" s="93">
        <f t="shared" si="48"/>
        <v>318.36239999999998</v>
      </c>
      <c r="AS85" s="93">
        <f t="shared" si="48"/>
        <v>318.36239999999998</v>
      </c>
      <c r="AT85" s="93">
        <f t="shared" si="48"/>
        <v>318.36239999999998</v>
      </c>
      <c r="AU85" s="93">
        <f t="shared" si="48"/>
        <v>318.36239999999998</v>
      </c>
      <c r="AV85" s="93">
        <f t="shared" si="48"/>
        <v>318.36239999999998</v>
      </c>
      <c r="AW85" s="93">
        <f t="shared" si="48"/>
        <v>318.36239999999998</v>
      </c>
      <c r="AX85" s="94">
        <f t="shared" si="48"/>
        <v>318.36239999999998</v>
      </c>
      <c r="AY85" s="229">
        <f>AX85+(AX85*AY45)</f>
        <v>324.729648</v>
      </c>
      <c r="AZ85" s="93">
        <f>AY85</f>
        <v>324.729648</v>
      </c>
      <c r="BA85" s="93">
        <f t="shared" ref="BA85:BJ88" si="49">AZ85</f>
        <v>324.729648</v>
      </c>
      <c r="BB85" s="93">
        <f t="shared" si="49"/>
        <v>324.729648</v>
      </c>
      <c r="BC85" s="93">
        <f t="shared" si="49"/>
        <v>324.729648</v>
      </c>
      <c r="BD85" s="93">
        <f t="shared" si="49"/>
        <v>324.729648</v>
      </c>
      <c r="BE85" s="93">
        <f t="shared" si="49"/>
        <v>324.729648</v>
      </c>
      <c r="BF85" s="93">
        <f t="shared" si="49"/>
        <v>324.729648</v>
      </c>
      <c r="BG85" s="93">
        <f t="shared" si="49"/>
        <v>324.729648</v>
      </c>
      <c r="BH85" s="93">
        <f t="shared" si="49"/>
        <v>324.729648</v>
      </c>
      <c r="BI85" s="93">
        <f t="shared" si="49"/>
        <v>324.729648</v>
      </c>
      <c r="BJ85" s="94">
        <f t="shared" si="49"/>
        <v>324.729648</v>
      </c>
    </row>
    <row r="86" spans="1:62" s="72" customFormat="1" ht="14.4" customHeight="1" outlineLevel="1" x14ac:dyDescent="0.3">
      <c r="A86" s="26"/>
      <c r="B86" s="138" t="s">
        <v>156</v>
      </c>
      <c r="C86" s="139">
        <f t="shared" ref="C86:N86" si="50">$C$26</f>
        <v>400</v>
      </c>
      <c r="D86" s="93">
        <f t="shared" si="50"/>
        <v>400</v>
      </c>
      <c r="E86" s="93">
        <f t="shared" si="50"/>
        <v>400</v>
      </c>
      <c r="F86" s="93">
        <f t="shared" si="50"/>
        <v>400</v>
      </c>
      <c r="G86" s="93">
        <f t="shared" si="50"/>
        <v>400</v>
      </c>
      <c r="H86" s="93">
        <f t="shared" si="50"/>
        <v>400</v>
      </c>
      <c r="I86" s="93">
        <f t="shared" si="50"/>
        <v>400</v>
      </c>
      <c r="J86" s="93">
        <f t="shared" si="50"/>
        <v>400</v>
      </c>
      <c r="K86" s="93">
        <f t="shared" si="50"/>
        <v>400</v>
      </c>
      <c r="L86" s="93">
        <f t="shared" si="50"/>
        <v>400</v>
      </c>
      <c r="M86" s="93">
        <f t="shared" si="50"/>
        <v>400</v>
      </c>
      <c r="N86" s="94">
        <f t="shared" si="50"/>
        <v>400</v>
      </c>
      <c r="O86" s="139">
        <f>$C$26+(N86*$O$45)</f>
        <v>408</v>
      </c>
      <c r="P86" s="93">
        <f>O86</f>
        <v>408</v>
      </c>
      <c r="Q86" s="93">
        <f t="shared" si="47"/>
        <v>408</v>
      </c>
      <c r="R86" s="93">
        <f t="shared" si="47"/>
        <v>408</v>
      </c>
      <c r="S86" s="93">
        <f t="shared" si="47"/>
        <v>408</v>
      </c>
      <c r="T86" s="93">
        <f t="shared" si="47"/>
        <v>408</v>
      </c>
      <c r="U86" s="93">
        <f t="shared" si="47"/>
        <v>408</v>
      </c>
      <c r="V86" s="93">
        <f t="shared" si="47"/>
        <v>408</v>
      </c>
      <c r="W86" s="93">
        <f t="shared" si="47"/>
        <v>408</v>
      </c>
      <c r="X86" s="93">
        <f t="shared" si="47"/>
        <v>408</v>
      </c>
      <c r="Y86" s="93">
        <f t="shared" si="47"/>
        <v>408</v>
      </c>
      <c r="Z86" s="226">
        <f t="shared" si="47"/>
        <v>408</v>
      </c>
      <c r="AA86" s="229">
        <f>Z86+(Z86*AA45)</f>
        <v>416.16</v>
      </c>
      <c r="AB86" s="93">
        <f t="shared" si="47"/>
        <v>416.16</v>
      </c>
      <c r="AC86" s="93">
        <f t="shared" si="47"/>
        <v>416.16</v>
      </c>
      <c r="AD86" s="93">
        <f t="shared" si="47"/>
        <v>416.16</v>
      </c>
      <c r="AE86" s="93">
        <f t="shared" si="47"/>
        <v>416.16</v>
      </c>
      <c r="AF86" s="93">
        <f t="shared" si="47"/>
        <v>416.16</v>
      </c>
      <c r="AG86" s="93">
        <f t="shared" si="47"/>
        <v>416.16</v>
      </c>
      <c r="AH86" s="93">
        <f t="shared" si="47"/>
        <v>416.16</v>
      </c>
      <c r="AI86" s="93">
        <f t="shared" si="47"/>
        <v>416.16</v>
      </c>
      <c r="AJ86" s="93">
        <f t="shared" si="47"/>
        <v>416.16</v>
      </c>
      <c r="AK86" s="93">
        <f t="shared" si="47"/>
        <v>416.16</v>
      </c>
      <c r="AL86" s="94">
        <f t="shared" si="47"/>
        <v>416.16</v>
      </c>
      <c r="AM86" s="229">
        <f>AL86+(AL86*AM45)</f>
        <v>424.48320000000001</v>
      </c>
      <c r="AN86" s="93">
        <f>AM86</f>
        <v>424.48320000000001</v>
      </c>
      <c r="AO86" s="93">
        <f t="shared" si="48"/>
        <v>424.48320000000001</v>
      </c>
      <c r="AP86" s="93">
        <f t="shared" si="48"/>
        <v>424.48320000000001</v>
      </c>
      <c r="AQ86" s="93">
        <f t="shared" si="48"/>
        <v>424.48320000000001</v>
      </c>
      <c r="AR86" s="93">
        <f t="shared" si="48"/>
        <v>424.48320000000001</v>
      </c>
      <c r="AS86" s="93">
        <f t="shared" si="48"/>
        <v>424.48320000000001</v>
      </c>
      <c r="AT86" s="93">
        <f t="shared" si="48"/>
        <v>424.48320000000001</v>
      </c>
      <c r="AU86" s="93">
        <f t="shared" si="48"/>
        <v>424.48320000000001</v>
      </c>
      <c r="AV86" s="93">
        <f t="shared" si="48"/>
        <v>424.48320000000001</v>
      </c>
      <c r="AW86" s="93">
        <f t="shared" si="48"/>
        <v>424.48320000000001</v>
      </c>
      <c r="AX86" s="94">
        <f t="shared" si="48"/>
        <v>424.48320000000001</v>
      </c>
      <c r="AY86" s="229">
        <f>AX86+(AX86*AY45)</f>
        <v>432.97286400000002</v>
      </c>
      <c r="AZ86" s="93">
        <f>AY86</f>
        <v>432.97286400000002</v>
      </c>
      <c r="BA86" s="93">
        <f t="shared" si="49"/>
        <v>432.97286400000002</v>
      </c>
      <c r="BB86" s="93">
        <f t="shared" si="49"/>
        <v>432.97286400000002</v>
      </c>
      <c r="BC86" s="93">
        <f t="shared" si="49"/>
        <v>432.97286400000002</v>
      </c>
      <c r="BD86" s="93">
        <f t="shared" si="49"/>
        <v>432.97286400000002</v>
      </c>
      <c r="BE86" s="93">
        <f t="shared" si="49"/>
        <v>432.97286400000002</v>
      </c>
      <c r="BF86" s="93">
        <f t="shared" si="49"/>
        <v>432.97286400000002</v>
      </c>
      <c r="BG86" s="93">
        <f t="shared" si="49"/>
        <v>432.97286400000002</v>
      </c>
      <c r="BH86" s="93">
        <f t="shared" si="49"/>
        <v>432.97286400000002</v>
      </c>
      <c r="BI86" s="93">
        <f t="shared" si="49"/>
        <v>432.97286400000002</v>
      </c>
      <c r="BJ86" s="94">
        <f t="shared" si="49"/>
        <v>432.97286400000002</v>
      </c>
    </row>
    <row r="87" spans="1:62" s="72" customFormat="1" ht="14.4" customHeight="1" outlineLevel="1" x14ac:dyDescent="0.3">
      <c r="A87" s="26"/>
      <c r="B87" s="138" t="s">
        <v>157</v>
      </c>
      <c r="C87" s="139">
        <f t="shared" ref="C87:N87" si="51">$C$27</f>
        <v>549</v>
      </c>
      <c r="D87" s="93">
        <f t="shared" si="51"/>
        <v>549</v>
      </c>
      <c r="E87" s="93">
        <f t="shared" si="51"/>
        <v>549</v>
      </c>
      <c r="F87" s="93">
        <f t="shared" si="51"/>
        <v>549</v>
      </c>
      <c r="G87" s="93">
        <f t="shared" si="51"/>
        <v>549</v>
      </c>
      <c r="H87" s="93">
        <f t="shared" si="51"/>
        <v>549</v>
      </c>
      <c r="I87" s="93">
        <f t="shared" si="51"/>
        <v>549</v>
      </c>
      <c r="J87" s="93">
        <f t="shared" si="51"/>
        <v>549</v>
      </c>
      <c r="K87" s="93">
        <f t="shared" si="51"/>
        <v>549</v>
      </c>
      <c r="L87" s="93">
        <f t="shared" si="51"/>
        <v>549</v>
      </c>
      <c r="M87" s="93">
        <f t="shared" si="51"/>
        <v>549</v>
      </c>
      <c r="N87" s="94">
        <f t="shared" si="51"/>
        <v>549</v>
      </c>
      <c r="O87" s="139">
        <f>$C$30+(N87*$O$56)</f>
        <v>621.96</v>
      </c>
      <c r="P87" s="93">
        <f>O87</f>
        <v>621.96</v>
      </c>
      <c r="Q87" s="93">
        <f t="shared" si="47"/>
        <v>621.96</v>
      </c>
      <c r="R87" s="93">
        <f t="shared" si="47"/>
        <v>621.96</v>
      </c>
      <c r="S87" s="93">
        <f t="shared" si="47"/>
        <v>621.96</v>
      </c>
      <c r="T87" s="93">
        <f t="shared" si="47"/>
        <v>621.96</v>
      </c>
      <c r="U87" s="93">
        <f t="shared" si="47"/>
        <v>621.96</v>
      </c>
      <c r="V87" s="93">
        <f t="shared" si="47"/>
        <v>621.96</v>
      </c>
      <c r="W87" s="93">
        <f t="shared" si="47"/>
        <v>621.96</v>
      </c>
      <c r="X87" s="93">
        <f t="shared" si="47"/>
        <v>621.96</v>
      </c>
      <c r="Y87" s="93">
        <f t="shared" si="47"/>
        <v>621.96</v>
      </c>
      <c r="Z87" s="226">
        <f t="shared" si="47"/>
        <v>621.96</v>
      </c>
      <c r="AA87" s="229">
        <f>Z87+(Z87*AA55)</f>
        <v>688.50972000000002</v>
      </c>
      <c r="AB87" s="93">
        <f t="shared" si="47"/>
        <v>688.50972000000002</v>
      </c>
      <c r="AC87" s="93">
        <f t="shared" si="47"/>
        <v>688.50972000000002</v>
      </c>
      <c r="AD87" s="93">
        <f t="shared" si="47"/>
        <v>688.50972000000002</v>
      </c>
      <c r="AE87" s="93">
        <f t="shared" si="47"/>
        <v>688.50972000000002</v>
      </c>
      <c r="AF87" s="93">
        <f t="shared" si="47"/>
        <v>688.50972000000002</v>
      </c>
      <c r="AG87" s="93">
        <f t="shared" si="47"/>
        <v>688.50972000000002</v>
      </c>
      <c r="AH87" s="93">
        <f t="shared" si="47"/>
        <v>688.50972000000002</v>
      </c>
      <c r="AI87" s="93">
        <f t="shared" si="47"/>
        <v>688.50972000000002</v>
      </c>
      <c r="AJ87" s="93">
        <f t="shared" si="47"/>
        <v>688.50972000000002</v>
      </c>
      <c r="AK87" s="93">
        <f t="shared" si="47"/>
        <v>688.50972000000002</v>
      </c>
      <c r="AL87" s="94">
        <f t="shared" si="47"/>
        <v>688.50972000000002</v>
      </c>
      <c r="AM87" s="229">
        <f>AL87+(AL87*AM55)</f>
        <v>786.96660996000003</v>
      </c>
      <c r="AN87" s="93">
        <f>AM87</f>
        <v>786.96660996000003</v>
      </c>
      <c r="AO87" s="93">
        <f t="shared" si="48"/>
        <v>786.96660996000003</v>
      </c>
      <c r="AP87" s="93">
        <f t="shared" si="48"/>
        <v>786.96660996000003</v>
      </c>
      <c r="AQ87" s="93">
        <f t="shared" si="48"/>
        <v>786.96660996000003</v>
      </c>
      <c r="AR87" s="93">
        <f t="shared" si="48"/>
        <v>786.96660996000003</v>
      </c>
      <c r="AS87" s="93">
        <f t="shared" si="48"/>
        <v>786.96660996000003</v>
      </c>
      <c r="AT87" s="93">
        <f t="shared" si="48"/>
        <v>786.96660996000003</v>
      </c>
      <c r="AU87" s="93">
        <f t="shared" si="48"/>
        <v>786.96660996000003</v>
      </c>
      <c r="AV87" s="93">
        <f t="shared" si="48"/>
        <v>786.96660996000003</v>
      </c>
      <c r="AW87" s="93">
        <f t="shared" si="48"/>
        <v>786.96660996000003</v>
      </c>
      <c r="AX87" s="94">
        <f t="shared" si="48"/>
        <v>786.96660996000003</v>
      </c>
      <c r="AY87" s="229">
        <f>AX87+(AX87*AY55)</f>
        <v>899.50283518428</v>
      </c>
      <c r="AZ87" s="93">
        <f>AY87</f>
        <v>899.50283518428</v>
      </c>
      <c r="BA87" s="93">
        <f t="shared" si="49"/>
        <v>899.50283518428</v>
      </c>
      <c r="BB87" s="93">
        <f t="shared" si="49"/>
        <v>899.50283518428</v>
      </c>
      <c r="BC87" s="93">
        <f t="shared" si="49"/>
        <v>899.50283518428</v>
      </c>
      <c r="BD87" s="93">
        <f t="shared" si="49"/>
        <v>899.50283518428</v>
      </c>
      <c r="BE87" s="93">
        <f t="shared" si="49"/>
        <v>899.50283518428</v>
      </c>
      <c r="BF87" s="93">
        <f t="shared" si="49"/>
        <v>899.50283518428</v>
      </c>
      <c r="BG87" s="93">
        <f t="shared" si="49"/>
        <v>899.50283518428</v>
      </c>
      <c r="BH87" s="93">
        <f t="shared" si="49"/>
        <v>899.50283518428</v>
      </c>
      <c r="BI87" s="93">
        <f t="shared" si="49"/>
        <v>899.50283518428</v>
      </c>
      <c r="BJ87" s="94">
        <f t="shared" si="49"/>
        <v>899.50283518428</v>
      </c>
    </row>
    <row r="88" spans="1:62" s="72" customFormat="1" ht="14.4" customHeight="1" outlineLevel="1" x14ac:dyDescent="0.3">
      <c r="A88" s="26"/>
      <c r="B88" s="138" t="s">
        <v>12</v>
      </c>
      <c r="C88" s="139">
        <f t="shared" ref="C88:N88" si="52">$C$30</f>
        <v>600</v>
      </c>
      <c r="D88" s="93">
        <f t="shared" si="52"/>
        <v>600</v>
      </c>
      <c r="E88" s="93">
        <f t="shared" si="52"/>
        <v>600</v>
      </c>
      <c r="F88" s="93">
        <f t="shared" si="52"/>
        <v>600</v>
      </c>
      <c r="G88" s="93">
        <f t="shared" si="52"/>
        <v>600</v>
      </c>
      <c r="H88" s="93">
        <f t="shared" si="52"/>
        <v>600</v>
      </c>
      <c r="I88" s="93">
        <f t="shared" si="52"/>
        <v>600</v>
      </c>
      <c r="J88" s="93">
        <f t="shared" si="52"/>
        <v>600</v>
      </c>
      <c r="K88" s="93">
        <f t="shared" si="52"/>
        <v>600</v>
      </c>
      <c r="L88" s="93">
        <f t="shared" si="52"/>
        <v>600</v>
      </c>
      <c r="M88" s="93">
        <f t="shared" si="52"/>
        <v>600</v>
      </c>
      <c r="N88" s="94">
        <f t="shared" si="52"/>
        <v>600</v>
      </c>
      <c r="O88" s="139">
        <f>$C$30+(N88*$O$56)</f>
        <v>624</v>
      </c>
      <c r="P88" s="93">
        <f>O88</f>
        <v>624</v>
      </c>
      <c r="Q88" s="93">
        <f t="shared" si="47"/>
        <v>624</v>
      </c>
      <c r="R88" s="93">
        <f t="shared" si="47"/>
        <v>624</v>
      </c>
      <c r="S88" s="93">
        <f t="shared" si="47"/>
        <v>624</v>
      </c>
      <c r="T88" s="93">
        <f t="shared" si="47"/>
        <v>624</v>
      </c>
      <c r="U88" s="93">
        <f t="shared" si="47"/>
        <v>624</v>
      </c>
      <c r="V88" s="93">
        <f t="shared" si="47"/>
        <v>624</v>
      </c>
      <c r="W88" s="93">
        <f t="shared" si="47"/>
        <v>624</v>
      </c>
      <c r="X88" s="93">
        <f t="shared" si="47"/>
        <v>624</v>
      </c>
      <c r="Y88" s="93">
        <f t="shared" si="47"/>
        <v>624</v>
      </c>
      <c r="Z88" s="226">
        <f t="shared" si="47"/>
        <v>624</v>
      </c>
      <c r="AA88" s="229">
        <f>Z88+(Z88*AA56)</f>
        <v>648.96</v>
      </c>
      <c r="AB88" s="93">
        <f t="shared" si="47"/>
        <v>648.96</v>
      </c>
      <c r="AC88" s="93">
        <f t="shared" si="47"/>
        <v>648.96</v>
      </c>
      <c r="AD88" s="93">
        <f t="shared" si="47"/>
        <v>648.96</v>
      </c>
      <c r="AE88" s="93">
        <f t="shared" si="47"/>
        <v>648.96</v>
      </c>
      <c r="AF88" s="93">
        <f t="shared" si="47"/>
        <v>648.96</v>
      </c>
      <c r="AG88" s="93">
        <f t="shared" si="47"/>
        <v>648.96</v>
      </c>
      <c r="AH88" s="93">
        <f t="shared" si="47"/>
        <v>648.96</v>
      </c>
      <c r="AI88" s="93">
        <f t="shared" si="47"/>
        <v>648.96</v>
      </c>
      <c r="AJ88" s="93">
        <f t="shared" si="47"/>
        <v>648.96</v>
      </c>
      <c r="AK88" s="93">
        <f t="shared" si="47"/>
        <v>648.96</v>
      </c>
      <c r="AL88" s="93">
        <f t="shared" si="47"/>
        <v>648.96</v>
      </c>
      <c r="AM88" s="229">
        <f>AL88+(AL88*AM56)</f>
        <v>674.91840000000002</v>
      </c>
      <c r="AN88" s="93">
        <f>AM88</f>
        <v>674.91840000000002</v>
      </c>
      <c r="AO88" s="93">
        <f t="shared" si="48"/>
        <v>674.91840000000002</v>
      </c>
      <c r="AP88" s="93">
        <f t="shared" si="48"/>
        <v>674.91840000000002</v>
      </c>
      <c r="AQ88" s="93">
        <f t="shared" si="48"/>
        <v>674.91840000000002</v>
      </c>
      <c r="AR88" s="93">
        <f t="shared" si="48"/>
        <v>674.91840000000002</v>
      </c>
      <c r="AS88" s="93">
        <f t="shared" si="48"/>
        <v>674.91840000000002</v>
      </c>
      <c r="AT88" s="93">
        <f t="shared" si="48"/>
        <v>674.91840000000002</v>
      </c>
      <c r="AU88" s="93">
        <f t="shared" si="48"/>
        <v>674.91840000000002</v>
      </c>
      <c r="AV88" s="93">
        <f t="shared" si="48"/>
        <v>674.91840000000002</v>
      </c>
      <c r="AW88" s="93">
        <f t="shared" si="48"/>
        <v>674.91840000000002</v>
      </c>
      <c r="AX88" s="93">
        <f t="shared" si="48"/>
        <v>674.91840000000002</v>
      </c>
      <c r="AY88" s="229">
        <f>AX88+(AX88*AY56)</f>
        <v>701.91513600000008</v>
      </c>
      <c r="AZ88" s="93">
        <f>AY88</f>
        <v>701.91513600000008</v>
      </c>
      <c r="BA88" s="93">
        <f t="shared" si="49"/>
        <v>701.91513600000008</v>
      </c>
      <c r="BB88" s="93">
        <f t="shared" si="49"/>
        <v>701.91513600000008</v>
      </c>
      <c r="BC88" s="93">
        <f t="shared" si="49"/>
        <v>701.91513600000008</v>
      </c>
      <c r="BD88" s="93">
        <f t="shared" si="49"/>
        <v>701.91513600000008</v>
      </c>
      <c r="BE88" s="93">
        <f t="shared" si="49"/>
        <v>701.91513600000008</v>
      </c>
      <c r="BF88" s="93">
        <f t="shared" si="49"/>
        <v>701.91513600000008</v>
      </c>
      <c r="BG88" s="93">
        <f t="shared" si="49"/>
        <v>701.91513600000008</v>
      </c>
      <c r="BH88" s="93">
        <f t="shared" si="49"/>
        <v>701.91513600000008</v>
      </c>
      <c r="BI88" s="93">
        <f t="shared" si="49"/>
        <v>701.91513600000008</v>
      </c>
      <c r="BJ88" s="94">
        <f t="shared" si="49"/>
        <v>701.91513600000008</v>
      </c>
    </row>
    <row r="89" spans="1:62" s="72" customFormat="1" ht="14.4" customHeight="1" outlineLevel="1" x14ac:dyDescent="0.3">
      <c r="A89" s="26"/>
      <c r="B89" s="138" t="s">
        <v>99</v>
      </c>
      <c r="C89" s="139">
        <f t="shared" ref="C89:BJ89" si="53">$C$28</f>
        <v>230</v>
      </c>
      <c r="D89" s="93">
        <f t="shared" si="53"/>
        <v>230</v>
      </c>
      <c r="E89" s="93">
        <f t="shared" si="53"/>
        <v>230</v>
      </c>
      <c r="F89" s="93">
        <f t="shared" si="53"/>
        <v>230</v>
      </c>
      <c r="G89" s="93">
        <f t="shared" si="53"/>
        <v>230</v>
      </c>
      <c r="H89" s="93">
        <f t="shared" si="53"/>
        <v>230</v>
      </c>
      <c r="I89" s="93">
        <f t="shared" si="53"/>
        <v>230</v>
      </c>
      <c r="J89" s="93">
        <f t="shared" si="53"/>
        <v>230</v>
      </c>
      <c r="K89" s="93">
        <f t="shared" si="53"/>
        <v>230</v>
      </c>
      <c r="L89" s="93">
        <f t="shared" si="53"/>
        <v>230</v>
      </c>
      <c r="M89" s="93">
        <f t="shared" si="53"/>
        <v>230</v>
      </c>
      <c r="N89" s="94">
        <f t="shared" si="53"/>
        <v>230</v>
      </c>
      <c r="O89" s="139">
        <f t="shared" si="53"/>
        <v>230</v>
      </c>
      <c r="P89" s="93">
        <f t="shared" si="53"/>
        <v>230</v>
      </c>
      <c r="Q89" s="93">
        <f t="shared" si="53"/>
        <v>230</v>
      </c>
      <c r="R89" s="93">
        <f t="shared" si="53"/>
        <v>230</v>
      </c>
      <c r="S89" s="93">
        <f t="shared" si="53"/>
        <v>230</v>
      </c>
      <c r="T89" s="93">
        <f t="shared" si="53"/>
        <v>230</v>
      </c>
      <c r="U89" s="93">
        <f t="shared" si="53"/>
        <v>230</v>
      </c>
      <c r="V89" s="93">
        <f t="shared" si="53"/>
        <v>230</v>
      </c>
      <c r="W89" s="93">
        <f t="shared" si="53"/>
        <v>230</v>
      </c>
      <c r="X89" s="93">
        <f t="shared" si="53"/>
        <v>230</v>
      </c>
      <c r="Y89" s="93">
        <f t="shared" si="53"/>
        <v>230</v>
      </c>
      <c r="Z89" s="226">
        <f t="shared" si="53"/>
        <v>230</v>
      </c>
      <c r="AA89" s="229">
        <f t="shared" si="53"/>
        <v>230</v>
      </c>
      <c r="AB89" s="93">
        <f t="shared" si="53"/>
        <v>230</v>
      </c>
      <c r="AC89" s="93">
        <f t="shared" si="53"/>
        <v>230</v>
      </c>
      <c r="AD89" s="93">
        <f t="shared" si="53"/>
        <v>230</v>
      </c>
      <c r="AE89" s="93">
        <f t="shared" si="53"/>
        <v>230</v>
      </c>
      <c r="AF89" s="93">
        <f t="shared" si="53"/>
        <v>230</v>
      </c>
      <c r="AG89" s="93">
        <f t="shared" si="53"/>
        <v>230</v>
      </c>
      <c r="AH89" s="93">
        <f t="shared" si="53"/>
        <v>230</v>
      </c>
      <c r="AI89" s="93">
        <f t="shared" si="53"/>
        <v>230</v>
      </c>
      <c r="AJ89" s="93">
        <f t="shared" si="53"/>
        <v>230</v>
      </c>
      <c r="AK89" s="93">
        <f t="shared" si="53"/>
        <v>230</v>
      </c>
      <c r="AL89" s="94">
        <f t="shared" si="53"/>
        <v>230</v>
      </c>
      <c r="AM89" s="229">
        <f t="shared" si="53"/>
        <v>230</v>
      </c>
      <c r="AN89" s="93">
        <f t="shared" si="53"/>
        <v>230</v>
      </c>
      <c r="AO89" s="93">
        <f t="shared" si="53"/>
        <v>230</v>
      </c>
      <c r="AP89" s="93">
        <f t="shared" si="53"/>
        <v>230</v>
      </c>
      <c r="AQ89" s="93">
        <f t="shared" si="53"/>
        <v>230</v>
      </c>
      <c r="AR89" s="93">
        <f t="shared" si="53"/>
        <v>230</v>
      </c>
      <c r="AS89" s="93">
        <f t="shared" si="53"/>
        <v>230</v>
      </c>
      <c r="AT89" s="93">
        <f t="shared" si="53"/>
        <v>230</v>
      </c>
      <c r="AU89" s="93">
        <f t="shared" si="53"/>
        <v>230</v>
      </c>
      <c r="AV89" s="93">
        <f t="shared" si="53"/>
        <v>230</v>
      </c>
      <c r="AW89" s="93">
        <f t="shared" si="53"/>
        <v>230</v>
      </c>
      <c r="AX89" s="94">
        <f t="shared" si="53"/>
        <v>230</v>
      </c>
      <c r="AY89" s="229">
        <f t="shared" si="53"/>
        <v>230</v>
      </c>
      <c r="AZ89" s="93">
        <f t="shared" si="53"/>
        <v>230</v>
      </c>
      <c r="BA89" s="93">
        <f t="shared" si="53"/>
        <v>230</v>
      </c>
      <c r="BB89" s="93">
        <f t="shared" si="53"/>
        <v>230</v>
      </c>
      <c r="BC89" s="93">
        <f t="shared" si="53"/>
        <v>230</v>
      </c>
      <c r="BD89" s="93">
        <f t="shared" si="53"/>
        <v>230</v>
      </c>
      <c r="BE89" s="93">
        <f t="shared" si="53"/>
        <v>230</v>
      </c>
      <c r="BF89" s="93">
        <f t="shared" si="53"/>
        <v>230</v>
      </c>
      <c r="BG89" s="93">
        <f t="shared" si="53"/>
        <v>230</v>
      </c>
      <c r="BH89" s="93">
        <f t="shared" si="53"/>
        <v>230</v>
      </c>
      <c r="BI89" s="93">
        <f t="shared" si="53"/>
        <v>230</v>
      </c>
      <c r="BJ89" s="94">
        <f t="shared" si="53"/>
        <v>230</v>
      </c>
    </row>
    <row r="90" spans="1:62" s="72" customFormat="1" ht="14.4" customHeight="1" outlineLevel="1" x14ac:dyDescent="0.3">
      <c r="A90" s="26"/>
      <c r="B90" s="138" t="s">
        <v>95</v>
      </c>
      <c r="C90" s="139">
        <f>$C$31</f>
        <v>2000</v>
      </c>
      <c r="D90" s="93">
        <f t="shared" ref="D90:BJ90" si="54">$C$31</f>
        <v>2000</v>
      </c>
      <c r="E90" s="93">
        <f t="shared" si="54"/>
        <v>2000</v>
      </c>
      <c r="F90" s="93">
        <f t="shared" si="54"/>
        <v>2000</v>
      </c>
      <c r="G90" s="93">
        <f t="shared" si="54"/>
        <v>2000</v>
      </c>
      <c r="H90" s="93">
        <f t="shared" si="54"/>
        <v>2000</v>
      </c>
      <c r="I90" s="93">
        <f t="shared" si="54"/>
        <v>2000</v>
      </c>
      <c r="J90" s="93">
        <f t="shared" si="54"/>
        <v>2000</v>
      </c>
      <c r="K90" s="93">
        <f t="shared" si="54"/>
        <v>2000</v>
      </c>
      <c r="L90" s="93">
        <f t="shared" si="54"/>
        <v>2000</v>
      </c>
      <c r="M90" s="93">
        <f t="shared" si="54"/>
        <v>2000</v>
      </c>
      <c r="N90" s="94">
        <f t="shared" si="54"/>
        <v>2000</v>
      </c>
      <c r="O90" s="139">
        <f t="shared" si="54"/>
        <v>2000</v>
      </c>
      <c r="P90" s="93">
        <f t="shared" si="54"/>
        <v>2000</v>
      </c>
      <c r="Q90" s="93">
        <f t="shared" si="54"/>
        <v>2000</v>
      </c>
      <c r="R90" s="93">
        <f t="shared" si="54"/>
        <v>2000</v>
      </c>
      <c r="S90" s="93">
        <f t="shared" si="54"/>
        <v>2000</v>
      </c>
      <c r="T90" s="93">
        <f t="shared" si="54"/>
        <v>2000</v>
      </c>
      <c r="U90" s="93">
        <f t="shared" si="54"/>
        <v>2000</v>
      </c>
      <c r="V90" s="93">
        <f t="shared" si="54"/>
        <v>2000</v>
      </c>
      <c r="W90" s="93">
        <f t="shared" si="54"/>
        <v>2000</v>
      </c>
      <c r="X90" s="93">
        <f t="shared" si="54"/>
        <v>2000</v>
      </c>
      <c r="Y90" s="93">
        <f t="shared" si="54"/>
        <v>2000</v>
      </c>
      <c r="Z90" s="226">
        <f t="shared" si="54"/>
        <v>2000</v>
      </c>
      <c r="AA90" s="229">
        <f t="shared" si="54"/>
        <v>2000</v>
      </c>
      <c r="AB90" s="93">
        <f t="shared" si="54"/>
        <v>2000</v>
      </c>
      <c r="AC90" s="93">
        <f t="shared" si="54"/>
        <v>2000</v>
      </c>
      <c r="AD90" s="93">
        <f t="shared" si="54"/>
        <v>2000</v>
      </c>
      <c r="AE90" s="93">
        <f t="shared" si="54"/>
        <v>2000</v>
      </c>
      <c r="AF90" s="93">
        <f t="shared" si="54"/>
        <v>2000</v>
      </c>
      <c r="AG90" s="93">
        <f t="shared" si="54"/>
        <v>2000</v>
      </c>
      <c r="AH90" s="93">
        <f t="shared" si="54"/>
        <v>2000</v>
      </c>
      <c r="AI90" s="93">
        <f t="shared" si="54"/>
        <v>2000</v>
      </c>
      <c r="AJ90" s="93">
        <f t="shared" si="54"/>
        <v>2000</v>
      </c>
      <c r="AK90" s="93">
        <f t="shared" si="54"/>
        <v>2000</v>
      </c>
      <c r="AL90" s="94">
        <f t="shared" si="54"/>
        <v>2000</v>
      </c>
      <c r="AM90" s="229">
        <f t="shared" si="54"/>
        <v>2000</v>
      </c>
      <c r="AN90" s="93">
        <f t="shared" si="54"/>
        <v>2000</v>
      </c>
      <c r="AO90" s="93">
        <f t="shared" si="54"/>
        <v>2000</v>
      </c>
      <c r="AP90" s="93">
        <f t="shared" si="54"/>
        <v>2000</v>
      </c>
      <c r="AQ90" s="93">
        <f t="shared" si="54"/>
        <v>2000</v>
      </c>
      <c r="AR90" s="93">
        <f t="shared" si="54"/>
        <v>2000</v>
      </c>
      <c r="AS90" s="93">
        <f t="shared" si="54"/>
        <v>2000</v>
      </c>
      <c r="AT90" s="93">
        <f t="shared" si="54"/>
        <v>2000</v>
      </c>
      <c r="AU90" s="93">
        <f t="shared" si="54"/>
        <v>2000</v>
      </c>
      <c r="AV90" s="93">
        <f t="shared" si="54"/>
        <v>2000</v>
      </c>
      <c r="AW90" s="93">
        <f t="shared" si="54"/>
        <v>2000</v>
      </c>
      <c r="AX90" s="94">
        <f t="shared" si="54"/>
        <v>2000</v>
      </c>
      <c r="AY90" s="229">
        <f t="shared" si="54"/>
        <v>2000</v>
      </c>
      <c r="AZ90" s="93">
        <f t="shared" si="54"/>
        <v>2000</v>
      </c>
      <c r="BA90" s="93">
        <f t="shared" si="54"/>
        <v>2000</v>
      </c>
      <c r="BB90" s="93">
        <f t="shared" si="54"/>
        <v>2000</v>
      </c>
      <c r="BC90" s="93">
        <f t="shared" si="54"/>
        <v>2000</v>
      </c>
      <c r="BD90" s="93">
        <f t="shared" si="54"/>
        <v>2000</v>
      </c>
      <c r="BE90" s="93">
        <f t="shared" si="54"/>
        <v>2000</v>
      </c>
      <c r="BF90" s="93">
        <f t="shared" si="54"/>
        <v>2000</v>
      </c>
      <c r="BG90" s="93">
        <f t="shared" si="54"/>
        <v>2000</v>
      </c>
      <c r="BH90" s="93">
        <f t="shared" si="54"/>
        <v>2000</v>
      </c>
      <c r="BI90" s="93">
        <f t="shared" si="54"/>
        <v>2000</v>
      </c>
      <c r="BJ90" s="94">
        <f t="shared" si="54"/>
        <v>2000</v>
      </c>
    </row>
    <row r="91" spans="1:62" s="72" customFormat="1" ht="14.4" customHeight="1" outlineLevel="1" x14ac:dyDescent="0.3">
      <c r="A91" s="26"/>
      <c r="B91" s="138" t="s">
        <v>96</v>
      </c>
      <c r="C91" s="139">
        <f t="shared" ref="C91:AH91" si="55">$C$32</f>
        <v>170</v>
      </c>
      <c r="D91" s="93">
        <f t="shared" si="55"/>
        <v>170</v>
      </c>
      <c r="E91" s="93">
        <f t="shared" si="55"/>
        <v>170</v>
      </c>
      <c r="F91" s="93">
        <f t="shared" si="55"/>
        <v>170</v>
      </c>
      <c r="G91" s="93">
        <f t="shared" si="55"/>
        <v>170</v>
      </c>
      <c r="H91" s="93">
        <f t="shared" si="55"/>
        <v>170</v>
      </c>
      <c r="I91" s="93">
        <f t="shared" si="55"/>
        <v>170</v>
      </c>
      <c r="J91" s="93">
        <f t="shared" si="55"/>
        <v>170</v>
      </c>
      <c r="K91" s="93">
        <f t="shared" si="55"/>
        <v>170</v>
      </c>
      <c r="L91" s="93">
        <f t="shared" si="55"/>
        <v>170</v>
      </c>
      <c r="M91" s="93">
        <f t="shared" si="55"/>
        <v>170</v>
      </c>
      <c r="N91" s="94">
        <f t="shared" si="55"/>
        <v>170</v>
      </c>
      <c r="O91" s="139">
        <f t="shared" si="55"/>
        <v>170</v>
      </c>
      <c r="P91" s="93">
        <f t="shared" si="55"/>
        <v>170</v>
      </c>
      <c r="Q91" s="93">
        <f t="shared" si="55"/>
        <v>170</v>
      </c>
      <c r="R91" s="93">
        <f t="shared" si="55"/>
        <v>170</v>
      </c>
      <c r="S91" s="93">
        <f t="shared" si="55"/>
        <v>170</v>
      </c>
      <c r="T91" s="93">
        <f t="shared" si="55"/>
        <v>170</v>
      </c>
      <c r="U91" s="93">
        <f t="shared" si="55"/>
        <v>170</v>
      </c>
      <c r="V91" s="93">
        <f t="shared" si="55"/>
        <v>170</v>
      </c>
      <c r="W91" s="93">
        <f t="shared" si="55"/>
        <v>170</v>
      </c>
      <c r="X91" s="93">
        <f t="shared" si="55"/>
        <v>170</v>
      </c>
      <c r="Y91" s="93">
        <f t="shared" si="55"/>
        <v>170</v>
      </c>
      <c r="Z91" s="226">
        <f t="shared" si="55"/>
        <v>170</v>
      </c>
      <c r="AA91" s="229">
        <f t="shared" si="55"/>
        <v>170</v>
      </c>
      <c r="AB91" s="93">
        <f t="shared" si="55"/>
        <v>170</v>
      </c>
      <c r="AC91" s="93">
        <f t="shared" si="55"/>
        <v>170</v>
      </c>
      <c r="AD91" s="93">
        <f t="shared" si="55"/>
        <v>170</v>
      </c>
      <c r="AE91" s="93">
        <f t="shared" si="55"/>
        <v>170</v>
      </c>
      <c r="AF91" s="93">
        <f t="shared" si="55"/>
        <v>170</v>
      </c>
      <c r="AG91" s="93">
        <f t="shared" si="55"/>
        <v>170</v>
      </c>
      <c r="AH91" s="93">
        <f t="shared" si="55"/>
        <v>170</v>
      </c>
      <c r="AI91" s="93">
        <f t="shared" ref="AI91:BJ91" si="56">$C$32</f>
        <v>170</v>
      </c>
      <c r="AJ91" s="93">
        <f t="shared" si="56"/>
        <v>170</v>
      </c>
      <c r="AK91" s="93">
        <f t="shared" si="56"/>
        <v>170</v>
      </c>
      <c r="AL91" s="94">
        <f t="shared" si="56"/>
        <v>170</v>
      </c>
      <c r="AM91" s="229">
        <f t="shared" si="56"/>
        <v>170</v>
      </c>
      <c r="AN91" s="93">
        <f t="shared" si="56"/>
        <v>170</v>
      </c>
      <c r="AO91" s="93">
        <f t="shared" si="56"/>
        <v>170</v>
      </c>
      <c r="AP91" s="93">
        <f t="shared" si="56"/>
        <v>170</v>
      </c>
      <c r="AQ91" s="93">
        <f t="shared" si="56"/>
        <v>170</v>
      </c>
      <c r="AR91" s="93">
        <f t="shared" si="56"/>
        <v>170</v>
      </c>
      <c r="AS91" s="93">
        <f t="shared" si="56"/>
        <v>170</v>
      </c>
      <c r="AT91" s="93">
        <f t="shared" si="56"/>
        <v>170</v>
      </c>
      <c r="AU91" s="93">
        <f t="shared" si="56"/>
        <v>170</v>
      </c>
      <c r="AV91" s="93">
        <f t="shared" si="56"/>
        <v>170</v>
      </c>
      <c r="AW91" s="93">
        <f t="shared" si="56"/>
        <v>170</v>
      </c>
      <c r="AX91" s="94">
        <f t="shared" si="56"/>
        <v>170</v>
      </c>
      <c r="AY91" s="229">
        <f t="shared" si="56"/>
        <v>170</v>
      </c>
      <c r="AZ91" s="93">
        <f t="shared" si="56"/>
        <v>170</v>
      </c>
      <c r="BA91" s="93">
        <f t="shared" si="56"/>
        <v>170</v>
      </c>
      <c r="BB91" s="93">
        <f t="shared" si="56"/>
        <v>170</v>
      </c>
      <c r="BC91" s="93">
        <f t="shared" si="56"/>
        <v>170</v>
      </c>
      <c r="BD91" s="93">
        <f t="shared" si="56"/>
        <v>170</v>
      </c>
      <c r="BE91" s="93">
        <f t="shared" si="56"/>
        <v>170</v>
      </c>
      <c r="BF91" s="93">
        <f t="shared" si="56"/>
        <v>170</v>
      </c>
      <c r="BG91" s="93">
        <f t="shared" si="56"/>
        <v>170</v>
      </c>
      <c r="BH91" s="93">
        <f t="shared" si="56"/>
        <v>170</v>
      </c>
      <c r="BI91" s="93">
        <f t="shared" si="56"/>
        <v>170</v>
      </c>
      <c r="BJ91" s="94">
        <f t="shared" si="56"/>
        <v>170</v>
      </c>
    </row>
    <row r="92" spans="1:62" s="72" customFormat="1" ht="14.4" customHeight="1" outlineLevel="1" x14ac:dyDescent="0.3">
      <c r="A92" s="26"/>
      <c r="B92" s="138" t="s">
        <v>158</v>
      </c>
      <c r="C92" s="139">
        <f>$C$33</f>
        <v>150</v>
      </c>
      <c r="D92" s="93">
        <f t="shared" ref="D92:BJ92" si="57">$C$33</f>
        <v>150</v>
      </c>
      <c r="E92" s="93">
        <f t="shared" si="57"/>
        <v>150</v>
      </c>
      <c r="F92" s="93">
        <f t="shared" si="57"/>
        <v>150</v>
      </c>
      <c r="G92" s="93">
        <f t="shared" si="57"/>
        <v>150</v>
      </c>
      <c r="H92" s="93">
        <f t="shared" si="57"/>
        <v>150</v>
      </c>
      <c r="I92" s="93">
        <f t="shared" si="57"/>
        <v>150</v>
      </c>
      <c r="J92" s="93">
        <f t="shared" si="57"/>
        <v>150</v>
      </c>
      <c r="K92" s="93">
        <f t="shared" si="57"/>
        <v>150</v>
      </c>
      <c r="L92" s="93">
        <f t="shared" si="57"/>
        <v>150</v>
      </c>
      <c r="M92" s="93">
        <f t="shared" si="57"/>
        <v>150</v>
      </c>
      <c r="N92" s="94">
        <f t="shared" si="57"/>
        <v>150</v>
      </c>
      <c r="O92" s="139">
        <f t="shared" si="57"/>
        <v>150</v>
      </c>
      <c r="P92" s="93">
        <f t="shared" si="57"/>
        <v>150</v>
      </c>
      <c r="Q92" s="93">
        <f t="shared" si="57"/>
        <v>150</v>
      </c>
      <c r="R92" s="93">
        <f t="shared" si="57"/>
        <v>150</v>
      </c>
      <c r="S92" s="93">
        <f t="shared" si="57"/>
        <v>150</v>
      </c>
      <c r="T92" s="93">
        <f t="shared" si="57"/>
        <v>150</v>
      </c>
      <c r="U92" s="93">
        <f t="shared" si="57"/>
        <v>150</v>
      </c>
      <c r="V92" s="93">
        <f t="shared" si="57"/>
        <v>150</v>
      </c>
      <c r="W92" s="93">
        <f t="shared" si="57"/>
        <v>150</v>
      </c>
      <c r="X92" s="93">
        <f t="shared" si="57"/>
        <v>150</v>
      </c>
      <c r="Y92" s="93">
        <f t="shared" si="57"/>
        <v>150</v>
      </c>
      <c r="Z92" s="226">
        <f t="shared" si="57"/>
        <v>150</v>
      </c>
      <c r="AA92" s="229">
        <f t="shared" si="57"/>
        <v>150</v>
      </c>
      <c r="AB92" s="93">
        <f t="shared" si="57"/>
        <v>150</v>
      </c>
      <c r="AC92" s="93">
        <f t="shared" si="57"/>
        <v>150</v>
      </c>
      <c r="AD92" s="93">
        <f t="shared" si="57"/>
        <v>150</v>
      </c>
      <c r="AE92" s="93">
        <f t="shared" si="57"/>
        <v>150</v>
      </c>
      <c r="AF92" s="93">
        <f t="shared" si="57"/>
        <v>150</v>
      </c>
      <c r="AG92" s="93">
        <f t="shared" si="57"/>
        <v>150</v>
      </c>
      <c r="AH92" s="93">
        <f t="shared" si="57"/>
        <v>150</v>
      </c>
      <c r="AI92" s="93">
        <f t="shared" si="57"/>
        <v>150</v>
      </c>
      <c r="AJ92" s="93">
        <f t="shared" si="57"/>
        <v>150</v>
      </c>
      <c r="AK92" s="93">
        <f t="shared" si="57"/>
        <v>150</v>
      </c>
      <c r="AL92" s="94">
        <f t="shared" si="57"/>
        <v>150</v>
      </c>
      <c r="AM92" s="229">
        <f t="shared" si="57"/>
        <v>150</v>
      </c>
      <c r="AN92" s="93">
        <f t="shared" si="57"/>
        <v>150</v>
      </c>
      <c r="AO92" s="93">
        <f t="shared" si="57"/>
        <v>150</v>
      </c>
      <c r="AP92" s="93">
        <f t="shared" si="57"/>
        <v>150</v>
      </c>
      <c r="AQ92" s="93">
        <f t="shared" si="57"/>
        <v>150</v>
      </c>
      <c r="AR92" s="93">
        <f t="shared" si="57"/>
        <v>150</v>
      </c>
      <c r="AS92" s="93">
        <f t="shared" si="57"/>
        <v>150</v>
      </c>
      <c r="AT92" s="93">
        <f t="shared" si="57"/>
        <v>150</v>
      </c>
      <c r="AU92" s="93">
        <f t="shared" si="57"/>
        <v>150</v>
      </c>
      <c r="AV92" s="93">
        <f t="shared" si="57"/>
        <v>150</v>
      </c>
      <c r="AW92" s="93">
        <f t="shared" si="57"/>
        <v>150</v>
      </c>
      <c r="AX92" s="94">
        <f t="shared" si="57"/>
        <v>150</v>
      </c>
      <c r="AY92" s="229">
        <f t="shared" si="57"/>
        <v>150</v>
      </c>
      <c r="AZ92" s="93">
        <f t="shared" si="57"/>
        <v>150</v>
      </c>
      <c r="BA92" s="93">
        <f t="shared" si="57"/>
        <v>150</v>
      </c>
      <c r="BB92" s="93">
        <f t="shared" si="57"/>
        <v>150</v>
      </c>
      <c r="BC92" s="93">
        <f t="shared" si="57"/>
        <v>150</v>
      </c>
      <c r="BD92" s="93">
        <f t="shared" si="57"/>
        <v>150</v>
      </c>
      <c r="BE92" s="93">
        <f t="shared" si="57"/>
        <v>150</v>
      </c>
      <c r="BF92" s="93">
        <f t="shared" si="57"/>
        <v>150</v>
      </c>
      <c r="BG92" s="93">
        <f t="shared" si="57"/>
        <v>150</v>
      </c>
      <c r="BH92" s="93">
        <f t="shared" si="57"/>
        <v>150</v>
      </c>
      <c r="BI92" s="93">
        <f t="shared" si="57"/>
        <v>150</v>
      </c>
      <c r="BJ92" s="94">
        <f t="shared" si="57"/>
        <v>150</v>
      </c>
    </row>
    <row r="93" spans="1:62" s="72" customFormat="1" ht="14.4" customHeight="1" outlineLevel="1" x14ac:dyDescent="0.3">
      <c r="A93" s="26"/>
      <c r="B93" s="138" t="s">
        <v>97</v>
      </c>
      <c r="C93" s="139">
        <f>$C$34-500</f>
        <v>0</v>
      </c>
      <c r="D93" s="139">
        <f>$C$34-500</f>
        <v>0</v>
      </c>
      <c r="E93" s="139">
        <f>$C$34-500</f>
        <v>0</v>
      </c>
      <c r="F93" s="139">
        <f>$C$34-500</f>
        <v>0</v>
      </c>
      <c r="G93" s="93">
        <f t="shared" ref="G93:AH93" si="58">$C$34</f>
        <v>500</v>
      </c>
      <c r="H93" s="93">
        <f t="shared" si="58"/>
        <v>500</v>
      </c>
      <c r="I93" s="93">
        <f t="shared" si="58"/>
        <v>500</v>
      </c>
      <c r="J93" s="93">
        <f t="shared" si="58"/>
        <v>500</v>
      </c>
      <c r="K93" s="93">
        <f t="shared" si="58"/>
        <v>500</v>
      </c>
      <c r="L93" s="93">
        <f t="shared" si="58"/>
        <v>500</v>
      </c>
      <c r="M93" s="93">
        <f t="shared" si="58"/>
        <v>500</v>
      </c>
      <c r="N93" s="94">
        <f t="shared" si="58"/>
        <v>500</v>
      </c>
      <c r="O93" s="139">
        <f t="shared" si="58"/>
        <v>500</v>
      </c>
      <c r="P93" s="93">
        <f t="shared" si="58"/>
        <v>500</v>
      </c>
      <c r="Q93" s="93">
        <f t="shared" si="58"/>
        <v>500</v>
      </c>
      <c r="R93" s="93">
        <f t="shared" si="58"/>
        <v>500</v>
      </c>
      <c r="S93" s="93">
        <f t="shared" si="58"/>
        <v>500</v>
      </c>
      <c r="T93" s="93">
        <f t="shared" si="58"/>
        <v>500</v>
      </c>
      <c r="U93" s="93">
        <f t="shared" si="58"/>
        <v>500</v>
      </c>
      <c r="V93" s="93">
        <f t="shared" si="58"/>
        <v>500</v>
      </c>
      <c r="W93" s="93">
        <f t="shared" si="58"/>
        <v>500</v>
      </c>
      <c r="X93" s="93">
        <f t="shared" si="58"/>
        <v>500</v>
      </c>
      <c r="Y93" s="93">
        <f t="shared" si="58"/>
        <v>500</v>
      </c>
      <c r="Z93" s="226">
        <f t="shared" si="58"/>
        <v>500</v>
      </c>
      <c r="AA93" s="229">
        <f t="shared" si="58"/>
        <v>500</v>
      </c>
      <c r="AB93" s="93">
        <f t="shared" si="58"/>
        <v>500</v>
      </c>
      <c r="AC93" s="93">
        <f t="shared" si="58"/>
        <v>500</v>
      </c>
      <c r="AD93" s="93">
        <f t="shared" si="58"/>
        <v>500</v>
      </c>
      <c r="AE93" s="93">
        <f t="shared" si="58"/>
        <v>500</v>
      </c>
      <c r="AF93" s="93">
        <f t="shared" si="58"/>
        <v>500</v>
      </c>
      <c r="AG93" s="93">
        <f t="shared" si="58"/>
        <v>500</v>
      </c>
      <c r="AH93" s="93">
        <f t="shared" si="58"/>
        <v>500</v>
      </c>
      <c r="AI93" s="93">
        <f t="shared" ref="AI93:BJ93" si="59">$C$34</f>
        <v>500</v>
      </c>
      <c r="AJ93" s="93">
        <f t="shared" si="59"/>
        <v>500</v>
      </c>
      <c r="AK93" s="93">
        <f t="shared" si="59"/>
        <v>500</v>
      </c>
      <c r="AL93" s="94">
        <f t="shared" si="59"/>
        <v>500</v>
      </c>
      <c r="AM93" s="229">
        <f t="shared" si="59"/>
        <v>500</v>
      </c>
      <c r="AN93" s="93">
        <f t="shared" si="59"/>
        <v>500</v>
      </c>
      <c r="AO93" s="93">
        <f t="shared" si="59"/>
        <v>500</v>
      </c>
      <c r="AP93" s="93">
        <f t="shared" si="59"/>
        <v>500</v>
      </c>
      <c r="AQ93" s="93">
        <f t="shared" si="59"/>
        <v>500</v>
      </c>
      <c r="AR93" s="93">
        <f t="shared" si="59"/>
        <v>500</v>
      </c>
      <c r="AS93" s="93">
        <f t="shared" si="59"/>
        <v>500</v>
      </c>
      <c r="AT93" s="93">
        <f t="shared" si="59"/>
        <v>500</v>
      </c>
      <c r="AU93" s="93">
        <f t="shared" si="59"/>
        <v>500</v>
      </c>
      <c r="AV93" s="93">
        <f t="shared" si="59"/>
        <v>500</v>
      </c>
      <c r="AW93" s="93">
        <f t="shared" si="59"/>
        <v>500</v>
      </c>
      <c r="AX93" s="94">
        <f t="shared" si="59"/>
        <v>500</v>
      </c>
      <c r="AY93" s="229">
        <f t="shared" si="59"/>
        <v>500</v>
      </c>
      <c r="AZ93" s="93">
        <f t="shared" si="59"/>
        <v>500</v>
      </c>
      <c r="BA93" s="93">
        <f t="shared" si="59"/>
        <v>500</v>
      </c>
      <c r="BB93" s="93">
        <f t="shared" si="59"/>
        <v>500</v>
      </c>
      <c r="BC93" s="93">
        <f t="shared" si="59"/>
        <v>500</v>
      </c>
      <c r="BD93" s="93">
        <f t="shared" si="59"/>
        <v>500</v>
      </c>
      <c r="BE93" s="93">
        <f t="shared" si="59"/>
        <v>500</v>
      </c>
      <c r="BF93" s="93">
        <f t="shared" si="59"/>
        <v>500</v>
      </c>
      <c r="BG93" s="93">
        <f t="shared" si="59"/>
        <v>500</v>
      </c>
      <c r="BH93" s="93">
        <f t="shared" si="59"/>
        <v>500</v>
      </c>
      <c r="BI93" s="93">
        <f t="shared" si="59"/>
        <v>500</v>
      </c>
      <c r="BJ93" s="94">
        <f t="shared" si="59"/>
        <v>500</v>
      </c>
    </row>
    <row r="94" spans="1:62" s="72" customFormat="1" ht="14.4" customHeight="1" outlineLevel="1" x14ac:dyDescent="0.3">
      <c r="A94" s="26"/>
      <c r="B94" s="140" t="s">
        <v>178</v>
      </c>
      <c r="C94" s="141">
        <f t="shared" ref="C94:AH94" si="60">C59*$C$35</f>
        <v>225.4</v>
      </c>
      <c r="D94" s="142">
        <f t="shared" si="60"/>
        <v>229.32839999999996</v>
      </c>
      <c r="E94" s="142">
        <f t="shared" si="60"/>
        <v>233.25679999999997</v>
      </c>
      <c r="F94" s="142">
        <f t="shared" si="60"/>
        <v>237.18519999999995</v>
      </c>
      <c r="G94" s="142">
        <f t="shared" si="60"/>
        <v>241.11359999999996</v>
      </c>
      <c r="H94" s="142">
        <f t="shared" si="60"/>
        <v>245.04199999999997</v>
      </c>
      <c r="I94" s="142">
        <f t="shared" si="60"/>
        <v>248.97039999999996</v>
      </c>
      <c r="J94" s="142">
        <f t="shared" si="60"/>
        <v>252.89879999999997</v>
      </c>
      <c r="K94" s="142">
        <f t="shared" si="60"/>
        <v>256.82719999999995</v>
      </c>
      <c r="L94" s="142">
        <f t="shared" si="60"/>
        <v>260.75559999999996</v>
      </c>
      <c r="M94" s="142">
        <f t="shared" si="60"/>
        <v>264.68399999999991</v>
      </c>
      <c r="N94" s="143">
        <f t="shared" si="60"/>
        <v>268.61239999999992</v>
      </c>
      <c r="O94" s="141">
        <f t="shared" si="60"/>
        <v>272.54079999999993</v>
      </c>
      <c r="P94" s="142">
        <f t="shared" si="60"/>
        <v>276.46919999999994</v>
      </c>
      <c r="Q94" s="142">
        <f t="shared" si="60"/>
        <v>280.39759999999995</v>
      </c>
      <c r="R94" s="142">
        <f t="shared" si="60"/>
        <v>284.32599999999991</v>
      </c>
      <c r="S94" s="142">
        <f t="shared" si="60"/>
        <v>288.25439999999992</v>
      </c>
      <c r="T94" s="142">
        <f t="shared" si="60"/>
        <v>292.18279999999993</v>
      </c>
      <c r="U94" s="142">
        <f t="shared" si="60"/>
        <v>308.99119999999994</v>
      </c>
      <c r="V94" s="142">
        <f t="shared" si="60"/>
        <v>312.91959999999995</v>
      </c>
      <c r="W94" s="142">
        <f t="shared" si="60"/>
        <v>316.8479999999999</v>
      </c>
      <c r="X94" s="142">
        <f t="shared" si="60"/>
        <v>320.77639999999991</v>
      </c>
      <c r="Y94" s="142">
        <f t="shared" si="60"/>
        <v>324.70479999999992</v>
      </c>
      <c r="Z94" s="227">
        <f t="shared" si="60"/>
        <v>328.63319999999993</v>
      </c>
      <c r="AA94" s="230">
        <f t="shared" si="60"/>
        <v>332.56159999999994</v>
      </c>
      <c r="AB94" s="142">
        <f t="shared" si="60"/>
        <v>336.48999999999995</v>
      </c>
      <c r="AC94" s="142">
        <f t="shared" si="60"/>
        <v>340.41839999999991</v>
      </c>
      <c r="AD94" s="142">
        <f t="shared" si="60"/>
        <v>344.34679999999986</v>
      </c>
      <c r="AE94" s="142">
        <f t="shared" si="60"/>
        <v>348.27519999999987</v>
      </c>
      <c r="AF94" s="142">
        <f t="shared" si="60"/>
        <v>352.20359999999988</v>
      </c>
      <c r="AG94" s="142">
        <f t="shared" si="60"/>
        <v>365.79199999999986</v>
      </c>
      <c r="AH94" s="142">
        <f t="shared" si="60"/>
        <v>369.72039999999987</v>
      </c>
      <c r="AI94" s="142">
        <f t="shared" ref="AI94:BJ94" si="61">AI59*$C$35</f>
        <v>373.64879999999988</v>
      </c>
      <c r="AJ94" s="142">
        <f t="shared" si="61"/>
        <v>377.57719999999983</v>
      </c>
      <c r="AK94" s="142">
        <f t="shared" si="61"/>
        <v>381.50559999999984</v>
      </c>
      <c r="AL94" s="143">
        <f t="shared" si="61"/>
        <v>385.43399999999986</v>
      </c>
      <c r="AM94" s="230">
        <f t="shared" si="61"/>
        <v>389.36239999999987</v>
      </c>
      <c r="AN94" s="142">
        <f t="shared" si="61"/>
        <v>393.29079999999988</v>
      </c>
      <c r="AO94" s="142">
        <f t="shared" si="61"/>
        <v>397.21919999999989</v>
      </c>
      <c r="AP94" s="142">
        <f t="shared" si="61"/>
        <v>401.14759999999984</v>
      </c>
      <c r="AQ94" s="142">
        <f t="shared" si="61"/>
        <v>405.07599999999985</v>
      </c>
      <c r="AR94" s="142">
        <f t="shared" si="61"/>
        <v>409.00439999999986</v>
      </c>
      <c r="AS94" s="142">
        <f t="shared" si="61"/>
        <v>412.93279999999987</v>
      </c>
      <c r="AT94" s="142">
        <f t="shared" si="61"/>
        <v>416.86119999999988</v>
      </c>
      <c r="AU94" s="142">
        <f t="shared" si="61"/>
        <v>420.78959999999984</v>
      </c>
      <c r="AV94" s="142">
        <f t="shared" si="61"/>
        <v>424.71799999999985</v>
      </c>
      <c r="AW94" s="142">
        <f t="shared" si="61"/>
        <v>428.64639999999986</v>
      </c>
      <c r="AX94" s="143">
        <f t="shared" si="61"/>
        <v>432.57479999999987</v>
      </c>
      <c r="AY94" s="230">
        <f t="shared" si="61"/>
        <v>436.50319999999977</v>
      </c>
      <c r="AZ94" s="142">
        <f t="shared" si="61"/>
        <v>440.43159999999978</v>
      </c>
      <c r="BA94" s="142">
        <f t="shared" si="61"/>
        <v>444.35999999999979</v>
      </c>
      <c r="BB94" s="142">
        <f t="shared" si="61"/>
        <v>448.2883999999998</v>
      </c>
      <c r="BC94" s="142">
        <f t="shared" si="61"/>
        <v>452.21679999999981</v>
      </c>
      <c r="BD94" s="142">
        <f t="shared" si="61"/>
        <v>450.8</v>
      </c>
      <c r="BE94" s="142">
        <f t="shared" si="61"/>
        <v>450.8</v>
      </c>
      <c r="BF94" s="142">
        <f t="shared" si="61"/>
        <v>450.8</v>
      </c>
      <c r="BG94" s="142">
        <f t="shared" si="61"/>
        <v>450.8</v>
      </c>
      <c r="BH94" s="142">
        <f t="shared" si="61"/>
        <v>450.8</v>
      </c>
      <c r="BI94" s="142">
        <f t="shared" si="61"/>
        <v>450.8</v>
      </c>
      <c r="BJ94" s="143">
        <f t="shared" si="61"/>
        <v>450.8</v>
      </c>
    </row>
    <row r="95" spans="1:62" s="72" customFormat="1" ht="14.4" customHeight="1" outlineLevel="1" x14ac:dyDescent="0.3">
      <c r="A95" s="26"/>
      <c r="B95" s="140" t="s">
        <v>98</v>
      </c>
      <c r="C95" s="141">
        <f t="shared" ref="C95:BJ95" si="62">$C$36</f>
        <v>400</v>
      </c>
      <c r="D95" s="142">
        <f t="shared" si="62"/>
        <v>400</v>
      </c>
      <c r="E95" s="142">
        <f t="shared" si="62"/>
        <v>400</v>
      </c>
      <c r="F95" s="142">
        <f t="shared" si="62"/>
        <v>400</v>
      </c>
      <c r="G95" s="142">
        <f t="shared" si="62"/>
        <v>400</v>
      </c>
      <c r="H95" s="142">
        <f t="shared" si="62"/>
        <v>400</v>
      </c>
      <c r="I95" s="142">
        <f t="shared" si="62"/>
        <v>400</v>
      </c>
      <c r="J95" s="142">
        <f t="shared" si="62"/>
        <v>400</v>
      </c>
      <c r="K95" s="142">
        <f t="shared" si="62"/>
        <v>400</v>
      </c>
      <c r="L95" s="142">
        <f t="shared" si="62"/>
        <v>400</v>
      </c>
      <c r="M95" s="142">
        <f t="shared" si="62"/>
        <v>400</v>
      </c>
      <c r="N95" s="143">
        <f t="shared" si="62"/>
        <v>400</v>
      </c>
      <c r="O95" s="141">
        <f t="shared" si="62"/>
        <v>400</v>
      </c>
      <c r="P95" s="142">
        <f t="shared" si="62"/>
        <v>400</v>
      </c>
      <c r="Q95" s="142">
        <f t="shared" si="62"/>
        <v>400</v>
      </c>
      <c r="R95" s="142">
        <f t="shared" si="62"/>
        <v>400</v>
      </c>
      <c r="S95" s="142">
        <f t="shared" si="62"/>
        <v>400</v>
      </c>
      <c r="T95" s="142">
        <f t="shared" si="62"/>
        <v>400</v>
      </c>
      <c r="U95" s="142">
        <f t="shared" si="62"/>
        <v>400</v>
      </c>
      <c r="V95" s="142">
        <f t="shared" si="62"/>
        <v>400</v>
      </c>
      <c r="W95" s="142">
        <f t="shared" si="62"/>
        <v>400</v>
      </c>
      <c r="X95" s="142">
        <f t="shared" si="62"/>
        <v>400</v>
      </c>
      <c r="Y95" s="142">
        <f t="shared" si="62"/>
        <v>400</v>
      </c>
      <c r="Z95" s="227">
        <f t="shared" si="62"/>
        <v>400</v>
      </c>
      <c r="AA95" s="231">
        <f t="shared" si="62"/>
        <v>400</v>
      </c>
      <c r="AB95" s="142">
        <f t="shared" si="62"/>
        <v>400</v>
      </c>
      <c r="AC95" s="142">
        <f t="shared" si="62"/>
        <v>400</v>
      </c>
      <c r="AD95" s="142">
        <f t="shared" si="62"/>
        <v>400</v>
      </c>
      <c r="AE95" s="142">
        <f t="shared" si="62"/>
        <v>400</v>
      </c>
      <c r="AF95" s="142">
        <f t="shared" si="62"/>
        <v>400</v>
      </c>
      <c r="AG95" s="142">
        <f t="shared" si="62"/>
        <v>400</v>
      </c>
      <c r="AH95" s="142">
        <f t="shared" si="62"/>
        <v>400</v>
      </c>
      <c r="AI95" s="142">
        <f t="shared" si="62"/>
        <v>400</v>
      </c>
      <c r="AJ95" s="142">
        <f t="shared" si="62"/>
        <v>400</v>
      </c>
      <c r="AK95" s="142">
        <f t="shared" si="62"/>
        <v>400</v>
      </c>
      <c r="AL95" s="143">
        <f t="shared" si="62"/>
        <v>400</v>
      </c>
      <c r="AM95" s="231">
        <f t="shared" si="62"/>
        <v>400</v>
      </c>
      <c r="AN95" s="142">
        <f t="shared" si="62"/>
        <v>400</v>
      </c>
      <c r="AO95" s="142">
        <f t="shared" si="62"/>
        <v>400</v>
      </c>
      <c r="AP95" s="142">
        <f t="shared" si="62"/>
        <v>400</v>
      </c>
      <c r="AQ95" s="142">
        <f t="shared" si="62"/>
        <v>400</v>
      </c>
      <c r="AR95" s="142">
        <f t="shared" si="62"/>
        <v>400</v>
      </c>
      <c r="AS95" s="142">
        <f t="shared" si="62"/>
        <v>400</v>
      </c>
      <c r="AT95" s="142">
        <f t="shared" si="62"/>
        <v>400</v>
      </c>
      <c r="AU95" s="142">
        <f t="shared" si="62"/>
        <v>400</v>
      </c>
      <c r="AV95" s="142">
        <f t="shared" si="62"/>
        <v>400</v>
      </c>
      <c r="AW95" s="142">
        <f t="shared" si="62"/>
        <v>400</v>
      </c>
      <c r="AX95" s="143">
        <f t="shared" si="62"/>
        <v>400</v>
      </c>
      <c r="AY95" s="231">
        <f t="shared" si="62"/>
        <v>400</v>
      </c>
      <c r="AZ95" s="142">
        <f t="shared" si="62"/>
        <v>400</v>
      </c>
      <c r="BA95" s="142">
        <f t="shared" si="62"/>
        <v>400</v>
      </c>
      <c r="BB95" s="142">
        <f t="shared" si="62"/>
        <v>400</v>
      </c>
      <c r="BC95" s="142">
        <f t="shared" si="62"/>
        <v>400</v>
      </c>
      <c r="BD95" s="142">
        <f t="shared" si="62"/>
        <v>400</v>
      </c>
      <c r="BE95" s="142">
        <f t="shared" si="62"/>
        <v>400</v>
      </c>
      <c r="BF95" s="142">
        <f t="shared" si="62"/>
        <v>400</v>
      </c>
      <c r="BG95" s="142">
        <f t="shared" si="62"/>
        <v>400</v>
      </c>
      <c r="BH95" s="142">
        <f t="shared" si="62"/>
        <v>400</v>
      </c>
      <c r="BI95" s="142">
        <f t="shared" si="62"/>
        <v>400</v>
      </c>
      <c r="BJ95" s="143">
        <f t="shared" si="62"/>
        <v>400</v>
      </c>
    </row>
    <row r="96" spans="1:62" ht="17.100000000000001" customHeight="1" x14ac:dyDescent="0.3">
      <c r="B96" s="109" t="s">
        <v>101</v>
      </c>
      <c r="C96" s="147">
        <f t="shared" ref="C96:AH96" si="63">C79-C80</f>
        <v>14596.659999999996</v>
      </c>
      <c r="D96" s="148">
        <f t="shared" si="63"/>
        <v>10520.80249057641</v>
      </c>
      <c r="E96" s="148">
        <f t="shared" si="63"/>
        <v>11135.667506857619</v>
      </c>
      <c r="F96" s="148">
        <f t="shared" si="63"/>
        <v>11750.262118006402</v>
      </c>
      <c r="G96" s="148">
        <f t="shared" si="63"/>
        <v>11864.593155074548</v>
      </c>
      <c r="H96" s="148">
        <f t="shared" si="63"/>
        <v>12478.667220944561</v>
      </c>
      <c r="I96" s="148">
        <f t="shared" si="63"/>
        <v>13092.490699777358</v>
      </c>
      <c r="J96" s="148">
        <f t="shared" si="63"/>
        <v>13706.069765994343</v>
      </c>
      <c r="K96" s="148">
        <f t="shared" si="63"/>
        <v>14319.4103928205</v>
      </c>
      <c r="L96" s="148">
        <f t="shared" si="63"/>
        <v>14932.518360413294</v>
      </c>
      <c r="M96" s="148">
        <f t="shared" si="63"/>
        <v>15545.39926360052</v>
      </c>
      <c r="N96" s="149">
        <f t="shared" si="63"/>
        <v>16158.058519249127</v>
      </c>
      <c r="O96" s="147">
        <f t="shared" si="63"/>
        <v>16268.991520930769</v>
      </c>
      <c r="P96" s="148">
        <f t="shared" si="63"/>
        <v>16890.376848733547</v>
      </c>
      <c r="Q96" s="148">
        <f t="shared" si="63"/>
        <v>17511.842549169265</v>
      </c>
      <c r="R96" s="148">
        <f t="shared" si="63"/>
        <v>18133.38432936748</v>
      </c>
      <c r="S96" s="148">
        <f t="shared" si="63"/>
        <v>18754.998151167882</v>
      </c>
      <c r="T96" s="148">
        <f t="shared" si="63"/>
        <v>19376.680212351388</v>
      </c>
      <c r="U96" s="148">
        <f t="shared" si="63"/>
        <v>16952.722767421306</v>
      </c>
      <c r="V96" s="148">
        <f t="shared" si="63"/>
        <v>17564.928671188223</v>
      </c>
      <c r="W96" s="148">
        <f t="shared" si="63"/>
        <v>18177.553827667565</v>
      </c>
      <c r="X96" s="148">
        <f t="shared" si="63"/>
        <v>18790.575472310797</v>
      </c>
      <c r="Y96" s="148">
        <f t="shared" si="63"/>
        <v>20355.722025903575</v>
      </c>
      <c r="Z96" s="149">
        <f t="shared" si="63"/>
        <v>20877.648273111292</v>
      </c>
      <c r="AA96" s="147">
        <f t="shared" si="63"/>
        <v>20800.092816857396</v>
      </c>
      <c r="AB96" s="148">
        <f t="shared" si="63"/>
        <v>21324.645672996383</v>
      </c>
      <c r="AC96" s="148">
        <f t="shared" si="63"/>
        <v>21850.415899654217</v>
      </c>
      <c r="AD96" s="148">
        <f t="shared" si="63"/>
        <v>22377.344936294256</v>
      </c>
      <c r="AE96" s="148">
        <f t="shared" si="63"/>
        <v>22905.37787469686</v>
      </c>
      <c r="AF96" s="148">
        <f t="shared" si="63"/>
        <v>23434.46317842212</v>
      </c>
      <c r="AG96" s="148">
        <f t="shared" si="63"/>
        <v>19454.352754807747</v>
      </c>
      <c r="AH96" s="148">
        <f t="shared" si="63"/>
        <v>19988.645607332335</v>
      </c>
      <c r="AI96" s="148">
        <f t="shared" ref="AI96:BJ96" si="64">AI79-AI80</f>
        <v>20523.715198406862</v>
      </c>
      <c r="AJ96" s="148">
        <f t="shared" si="64"/>
        <v>21059.528936869734</v>
      </c>
      <c r="AK96" s="148">
        <f t="shared" si="64"/>
        <v>21596.05599502477</v>
      </c>
      <c r="AL96" s="149">
        <f t="shared" si="64"/>
        <v>22133.267190824947</v>
      </c>
      <c r="AM96" s="147">
        <f t="shared" si="64"/>
        <v>21961.230623016905</v>
      </c>
      <c r="AN96" s="148">
        <f t="shared" si="64"/>
        <v>22499.728596556502</v>
      </c>
      <c r="AO96" s="148">
        <f t="shared" si="64"/>
        <v>23038.831992134474</v>
      </c>
      <c r="AP96" s="148">
        <f t="shared" si="64"/>
        <v>23578.517206326578</v>
      </c>
      <c r="AQ96" s="148">
        <f t="shared" si="64"/>
        <v>24118.761816353588</v>
      </c>
      <c r="AR96" s="148">
        <f t="shared" si="64"/>
        <v>24659.544507055289</v>
      </c>
      <c r="AS96" s="148">
        <f t="shared" si="64"/>
        <v>25200.845003217866</v>
      </c>
      <c r="AT96" s="148">
        <f t="shared" si="64"/>
        <v>25758.55323610342</v>
      </c>
      <c r="AU96" s="148">
        <f t="shared" si="64"/>
        <v>26316.342959128087</v>
      </c>
      <c r="AV96" s="148">
        <f t="shared" si="64"/>
        <v>26874.211311833438</v>
      </c>
      <c r="AW96" s="148">
        <f t="shared" si="64"/>
        <v>27432.155543791574</v>
      </c>
      <c r="AX96" s="149">
        <f t="shared" si="64"/>
        <v>27990.173009291255</v>
      </c>
      <c r="AY96" s="147">
        <f t="shared" si="64"/>
        <v>28042.913721104153</v>
      </c>
      <c r="AZ96" s="148">
        <f t="shared" si="64"/>
        <v>28601.070110657231</v>
      </c>
      <c r="BA96" s="148">
        <f t="shared" si="64"/>
        <v>29159.292376228092</v>
      </c>
      <c r="BB96" s="148">
        <f t="shared" si="64"/>
        <v>29717.578243631971</v>
      </c>
      <c r="BC96" s="148">
        <f t="shared" si="64"/>
        <v>30275.925521019672</v>
      </c>
      <c r="BD96" s="148">
        <f t="shared" si="64"/>
        <v>29970.901922767145</v>
      </c>
      <c r="BE96" s="148">
        <f t="shared" si="64"/>
        <v>29903.957380117856</v>
      </c>
      <c r="BF96" s="148">
        <f t="shared" si="64"/>
        <v>29843.582408672613</v>
      </c>
      <c r="BG96" s="148">
        <f t="shared" si="64"/>
        <v>29789.513657311916</v>
      </c>
      <c r="BH96" s="148">
        <f t="shared" si="64"/>
        <v>29741.522947522062</v>
      </c>
      <c r="BI96" s="148">
        <f t="shared" si="64"/>
        <v>29699.414475781166</v>
      </c>
      <c r="BJ96" s="149">
        <f t="shared" si="64"/>
        <v>29663.022472069606</v>
      </c>
    </row>
    <row r="97" spans="1:63" ht="17.100000000000001" customHeight="1" x14ac:dyDescent="0.3">
      <c r="B97" s="109" t="s">
        <v>108</v>
      </c>
      <c r="C97" s="150">
        <f t="shared" ref="C97:AH97" si="65">C96/C63</f>
        <v>0.15515157312925165</v>
      </c>
      <c r="D97" s="151">
        <f t="shared" si="65"/>
        <v>0.11570165330845424</v>
      </c>
      <c r="E97" s="151">
        <f t="shared" si="65"/>
        <v>0.1204225588133747</v>
      </c>
      <c r="F97" s="151">
        <f t="shared" si="65"/>
        <v>0.12498616660837614</v>
      </c>
      <c r="G97" s="151">
        <f t="shared" si="65"/>
        <v>0.12416749657617743</v>
      </c>
      <c r="H97" s="151">
        <f t="shared" si="65"/>
        <v>0.12852216187729401</v>
      </c>
      <c r="I97" s="151">
        <f t="shared" si="65"/>
        <v>0.1327386094743272</v>
      </c>
      <c r="J97" s="151">
        <f t="shared" si="65"/>
        <v>0.13682329932141227</v>
      </c>
      <c r="K97" s="151">
        <f t="shared" si="65"/>
        <v>0.14078229553377652</v>
      </c>
      <c r="L97" s="151">
        <f t="shared" si="65"/>
        <v>0.14462129622844655</v>
      </c>
      <c r="M97" s="151">
        <f t="shared" si="65"/>
        <v>0.14834566070652677</v>
      </c>
      <c r="N97" s="152">
        <f t="shared" si="65"/>
        <v>0.15196043424926195</v>
      </c>
      <c r="O97" s="150">
        <f t="shared" si="65"/>
        <v>0.15079832336408594</v>
      </c>
      <c r="P97" s="151">
        <f t="shared" si="65"/>
        <v>0.15437976888145963</v>
      </c>
      <c r="Q97" s="151">
        <f t="shared" si="65"/>
        <v>0.15786351496262715</v>
      </c>
      <c r="R97" s="151">
        <f t="shared" si="65"/>
        <v>0.16125348860089897</v>
      </c>
      <c r="S97" s="151">
        <f t="shared" si="65"/>
        <v>0.16455340980248959</v>
      </c>
      <c r="T97" s="151">
        <f t="shared" si="65"/>
        <v>0.16776680499546057</v>
      </c>
      <c r="U97" s="151">
        <f t="shared" si="65"/>
        <v>0.13883112279992615</v>
      </c>
      <c r="V97" s="151">
        <f t="shared" si="65"/>
        <v>0.14208405760400533</v>
      </c>
      <c r="W97" s="151">
        <f t="shared" si="65"/>
        <v>0.14526117379079195</v>
      </c>
      <c r="X97" s="151">
        <f t="shared" si="65"/>
        <v>0.14836500389834731</v>
      </c>
      <c r="Y97" s="151">
        <f t="shared" si="65"/>
        <v>0.15765320159329607</v>
      </c>
      <c r="Z97" s="152">
        <f t="shared" si="65"/>
        <v>0.15993299434750863</v>
      </c>
      <c r="AA97" s="150">
        <f t="shared" si="65"/>
        <v>0.15761919243758232</v>
      </c>
      <c r="AB97" s="151">
        <f t="shared" si="65"/>
        <v>0.15986719731407867</v>
      </c>
      <c r="AC97" s="151">
        <f t="shared" si="65"/>
        <v>0.16207521144003498</v>
      </c>
      <c r="AD97" s="151">
        <f t="shared" si="65"/>
        <v>0.16424407206674271</v>
      </c>
      <c r="AE97" s="151">
        <f t="shared" si="65"/>
        <v>0.16637460956169187</v>
      </c>
      <c r="AF97" s="151">
        <f t="shared" si="65"/>
        <v>0.16846764557887642</v>
      </c>
      <c r="AG97" s="151">
        <f t="shared" si="65"/>
        <v>0.13477512693257063</v>
      </c>
      <c r="AH97" s="151">
        <f t="shared" si="65"/>
        <v>0.1371131511500967</v>
      </c>
      <c r="AI97" s="151">
        <f t="shared" ref="AI97:BJ97" si="66">AI96/AI63</f>
        <v>0.13941011178641283</v>
      </c>
      <c r="AJ97" s="151">
        <f t="shared" si="66"/>
        <v>0.14166697412261847</v>
      </c>
      <c r="AK97" s="151">
        <f t="shared" si="66"/>
        <v>0.14388467973472083</v>
      </c>
      <c r="AL97" s="152">
        <f t="shared" si="66"/>
        <v>0.14606414669554613</v>
      </c>
      <c r="AM97" s="150">
        <f t="shared" si="66"/>
        <v>0.14356546723541208</v>
      </c>
      <c r="AN97" s="151">
        <f t="shared" si="66"/>
        <v>0.14571438723273955</v>
      </c>
      <c r="AO97" s="151">
        <f t="shared" si="66"/>
        <v>0.1478269033914148</v>
      </c>
      <c r="AP97" s="151">
        <f t="shared" si="66"/>
        <v>0.14990386317151674</v>
      </c>
      <c r="AQ97" s="151">
        <f t="shared" si="66"/>
        <v>0.15194609162172962</v>
      </c>
      <c r="AR97" s="151">
        <f t="shared" si="66"/>
        <v>0.1539543918458022</v>
      </c>
      <c r="AS97" s="151">
        <f t="shared" si="66"/>
        <v>0.15592954548453683</v>
      </c>
      <c r="AT97" s="151">
        <f t="shared" si="66"/>
        <v>0.15795446887826456</v>
      </c>
      <c r="AU97" s="151">
        <f t="shared" si="66"/>
        <v>0.15994388422983191</v>
      </c>
      <c r="AV97" s="151">
        <f t="shared" si="66"/>
        <v>0.16189870993738528</v>
      </c>
      <c r="AW97" s="151">
        <f t="shared" si="66"/>
        <v>0.1638198331871942</v>
      </c>
      <c r="AX97" s="152">
        <f t="shared" si="66"/>
        <v>0.16570811125883395</v>
      </c>
      <c r="AY97" s="150">
        <f t="shared" si="66"/>
        <v>0.16459822969560298</v>
      </c>
      <c r="AZ97" s="151">
        <f t="shared" si="66"/>
        <v>0.16644846915657507</v>
      </c>
      <c r="BA97" s="151">
        <f t="shared" si="66"/>
        <v>0.16826784493302274</v>
      </c>
      <c r="BB97" s="151">
        <f t="shared" si="66"/>
        <v>0.1700571170229416</v>
      </c>
      <c r="BC97" s="151">
        <f t="shared" si="66"/>
        <v>0.17181702080186517</v>
      </c>
      <c r="BD97" s="151">
        <f t="shared" si="66"/>
        <v>0.17068869283728594</v>
      </c>
      <c r="BE97" s="151">
        <f t="shared" si="66"/>
        <v>0.17036672470118541</v>
      </c>
      <c r="BF97" s="151">
        <f t="shared" si="66"/>
        <v>0.17007559114286241</v>
      </c>
      <c r="BG97" s="151">
        <f t="shared" si="66"/>
        <v>0.16981410736610708</v>
      </c>
      <c r="BH97" s="151">
        <f t="shared" si="66"/>
        <v>0.16958124565136926</v>
      </c>
      <c r="BI97" s="151">
        <f t="shared" si="66"/>
        <v>0.16937612332638183</v>
      </c>
      <c r="BJ97" s="152">
        <f t="shared" si="66"/>
        <v>0.16919799267742261</v>
      </c>
    </row>
    <row r="98" spans="1:63" ht="17.100000000000001" customHeight="1" x14ac:dyDescent="0.3">
      <c r="B98" s="109" t="s">
        <v>110</v>
      </c>
      <c r="C98" s="150">
        <v>0</v>
      </c>
      <c r="D98" s="151">
        <f>D96/Investimentos!$C$20</f>
        <v>4.4782263875436525E-2</v>
      </c>
      <c r="E98" s="151">
        <f>E96/Investimentos!$C$20</f>
        <v>4.7399464172803864E-2</v>
      </c>
      <c r="F98" s="151">
        <f>F96/Investimentos!$C$20</f>
        <v>5.0015513478694616E-2</v>
      </c>
      <c r="G98" s="151">
        <f>G96/Investimentos!$C$20</f>
        <v>5.0502168624604264E-2</v>
      </c>
      <c r="H98" s="151">
        <f>H96/Investimentos!$C$20</f>
        <v>5.3116002206356684E-2</v>
      </c>
      <c r="I98" s="151">
        <f>I96/Investimentos!$C$20</f>
        <v>5.5728769153236483E-2</v>
      </c>
      <c r="J98" s="151">
        <f>J96/Investimentos!$C$20</f>
        <v>5.8340495746943083E-2</v>
      </c>
      <c r="K98" s="151">
        <f>K96/Investimentos!$C$20</f>
        <v>6.0951207412774357E-2</v>
      </c>
      <c r="L98" s="151">
        <f>L96/Investimentos!$C$20</f>
        <v>6.3560928754227738E-2</v>
      </c>
      <c r="M98" s="151">
        <f>M96/Investimentos!$C$20</f>
        <v>6.6169683585936639E-2</v>
      </c>
      <c r="N98" s="152">
        <f>N96/Investimentos!$C$20</f>
        <v>6.8777494965036212E-2</v>
      </c>
      <c r="O98" s="150">
        <f>O96/Investimentos!$C$20</f>
        <v>6.9249686222143392E-2</v>
      </c>
      <c r="P98" s="151">
        <f>P96/Investimentos!$C$20</f>
        <v>7.18946405155933E-2</v>
      </c>
      <c r="Q98" s="151">
        <f>Q96/Investimentos!$C$20</f>
        <v>7.4539936918731134E-2</v>
      </c>
      <c r="R98" s="151">
        <f>R96/Investimentos!$C$20</f>
        <v>7.7185557158762852E-2</v>
      </c>
      <c r="S98" s="151">
        <f>S96/Investimentos!$C$20</f>
        <v>7.9831484047079432E-2</v>
      </c>
      <c r="T98" s="151">
        <f>T96/Investimentos!$C$20</f>
        <v>8.2477701399366193E-2</v>
      </c>
      <c r="U98" s="151">
        <f>U96/Investimentos!$C$20</f>
        <v>7.216001869228017E-2</v>
      </c>
      <c r="V98" s="151">
        <f>V96/Investimentos!$C$20</f>
        <v>7.4765900358925552E-2</v>
      </c>
      <c r="W98" s="151">
        <f>W96/Investimentos!$C$20</f>
        <v>7.7373566593394075E-2</v>
      </c>
      <c r="X98" s="151">
        <f>X96/Investimentos!$C$20</f>
        <v>7.9982920497372101E-2</v>
      </c>
      <c r="Y98" s="151">
        <f>Y96/Investimentos!$C$20</f>
        <v>8.6645036436674538E-2</v>
      </c>
      <c r="Z98" s="152">
        <f>Z96/Investimentos!$C$20</f>
        <v>8.8866638728601191E-2</v>
      </c>
      <c r="AA98" s="150">
        <f>AA96/Investimentos!$C$20</f>
        <v>8.8536520478586261E-2</v>
      </c>
      <c r="AB98" s="151">
        <f>AB96/Investimentos!$C$20</f>
        <v>9.0769303048287661E-2</v>
      </c>
      <c r="AC98" s="151">
        <f>AC96/Investimentos!$C$20</f>
        <v>9.3007267409763769E-2</v>
      </c>
      <c r="AD98" s="151">
        <f>AD96/Investimentos!$C$20</f>
        <v>9.5250164297485021E-2</v>
      </c>
      <c r="AE98" s="151">
        <f>AE96/Investimentos!$C$20</f>
        <v>9.7497759992171612E-2</v>
      </c>
      <c r="AF98" s="151">
        <f>AF96/Investimentos!$C$20</f>
        <v>9.9749835126674208E-2</v>
      </c>
      <c r="AG98" s="151">
        <f>AG96/Investimentos!$C$20</f>
        <v>8.2808318032011122E-2</v>
      </c>
      <c r="AH98" s="151">
        <f>AH96/Investimentos!$C$20</f>
        <v>8.5082559329663771E-2</v>
      </c>
      <c r="AI98" s="151">
        <f>AI96/Investimentos!$C$20</f>
        <v>8.7360106849511621E-2</v>
      </c>
      <c r="AJ98" s="151">
        <f>AJ96/Investimentos!$C$20</f>
        <v>8.9640821865825351E-2</v>
      </c>
      <c r="AK98" s="151">
        <f>AK96/Investimentos!$C$20</f>
        <v>9.1924573159144624E-2</v>
      </c>
      <c r="AL98" s="152">
        <f>AL96/Investimentos!$C$20</f>
        <v>9.4211236514787966E-2</v>
      </c>
      <c r="AM98" s="150">
        <f>AM96/Investimentos!$C$20</f>
        <v>9.3478955209944078E-2</v>
      </c>
      <c r="AN98" s="151">
        <f>AN96/Investimentos!$C$20</f>
        <v>9.5771095792284475E-2</v>
      </c>
      <c r="AO98" s="151">
        <f>AO96/Investimentos!$C$20</f>
        <v>9.8065813380466646E-2</v>
      </c>
      <c r="AP98" s="151">
        <f>AP96/Investimentos!$C$20</f>
        <v>0.1003630075054652</v>
      </c>
      <c r="AQ98" s="151">
        <f>AQ96/Investimentos!$C$20</f>
        <v>0.10266258272372275</v>
      </c>
      <c r="AR98" s="151">
        <f>AR96/Investimentos!$C$20</f>
        <v>0.10496444830631153</v>
      </c>
      <c r="AS98" s="151">
        <f>AS96/Investimentos!$C$20</f>
        <v>0.10726851795088188</v>
      </c>
      <c r="AT98" s="151">
        <f>AT96/Investimentos!$C$20</f>
        <v>0.10964242785679972</v>
      </c>
      <c r="AU98" s="151">
        <f>AU96/Investimentos!$C$20</f>
        <v>0.11201668462912021</v>
      </c>
      <c r="AV98" s="151">
        <f>AV96/Investimentos!$C$20</f>
        <v>0.11439127609217478</v>
      </c>
      <c r="AW98" s="151">
        <f>AW96/Investimentos!$C$20</f>
        <v>0.11676619053864473</v>
      </c>
      <c r="AX98" s="152">
        <f>AX96/Investimentos!$C$20</f>
        <v>0.11914141670694246</v>
      </c>
      <c r="AY98" s="150">
        <f>AY96/Investimentos!$C$20</f>
        <v>0.11936590989322736</v>
      </c>
      <c r="AZ98" s="151">
        <f>AZ96/Investimentos!$C$20</f>
        <v>0.12174172739793915</v>
      </c>
      <c r="BA98" s="151">
        <f>BA96/Investimentos!$C$20</f>
        <v>0.12411782530685149</v>
      </c>
      <c r="BB98" s="151">
        <f>BB96/Investimentos!$C$20</f>
        <v>0.12649419393979575</v>
      </c>
      <c r="BC98" s="151">
        <f>BC96/Investimentos!$C$20</f>
        <v>0.12887082396706825</v>
      </c>
      <c r="BD98" s="151">
        <f>BD96/Investimentos!$C$20</f>
        <v>0.12757247745049646</v>
      </c>
      <c r="BE98" s="151">
        <f>BE96/Investimentos!$C$20</f>
        <v>0.12728752502632293</v>
      </c>
      <c r="BF98" s="151">
        <f>BF96/Investimentos!$C$20</f>
        <v>0.12703053627426197</v>
      </c>
      <c r="BG98" s="151">
        <f>BG96/Investimentos!$C$20</f>
        <v>0.12680039022855694</v>
      </c>
      <c r="BH98" s="151">
        <f>BH96/Investimentos!$C$20</f>
        <v>0.12659611563721243</v>
      </c>
      <c r="BI98" s="151">
        <f>BI96/Investimentos!$C$20</f>
        <v>0.1264168790538262</v>
      </c>
      <c r="BJ98" s="152">
        <f>BJ96/Investimentos!$C$20</f>
        <v>0.12626197487093457</v>
      </c>
    </row>
    <row r="99" spans="1:63" s="157" customFormat="1" ht="17.100000000000001" customHeight="1" x14ac:dyDescent="0.3">
      <c r="A99" s="69"/>
      <c r="B99" s="153" t="s">
        <v>113</v>
      </c>
      <c r="C99" s="154">
        <f>C96</f>
        <v>14596.659999999996</v>
      </c>
      <c r="D99" s="155">
        <f>D96+C99</f>
        <v>25117.462490576407</v>
      </c>
      <c r="E99" s="155">
        <f>E96+D99</f>
        <v>36253.129997434022</v>
      </c>
      <c r="F99" s="155">
        <f t="shared" ref="F99:BJ99" si="67">F96+E99</f>
        <v>48003.392115440423</v>
      </c>
      <c r="G99" s="155">
        <f t="shared" si="67"/>
        <v>59867.985270514968</v>
      </c>
      <c r="H99" s="155">
        <f t="shared" si="67"/>
        <v>72346.652491459536</v>
      </c>
      <c r="I99" s="155">
        <f t="shared" si="67"/>
        <v>85439.143191236886</v>
      </c>
      <c r="J99" s="155">
        <f t="shared" si="67"/>
        <v>99145.212957231226</v>
      </c>
      <c r="K99" s="155">
        <f t="shared" si="67"/>
        <v>113464.62335005173</v>
      </c>
      <c r="L99" s="155">
        <f t="shared" si="67"/>
        <v>128397.14171046502</v>
      </c>
      <c r="M99" s="155">
        <f t="shared" si="67"/>
        <v>143942.54097406555</v>
      </c>
      <c r="N99" s="156">
        <f t="shared" si="67"/>
        <v>160100.59949331469</v>
      </c>
      <c r="O99" s="154">
        <f t="shared" si="67"/>
        <v>176369.59101424547</v>
      </c>
      <c r="P99" s="155">
        <f t="shared" si="67"/>
        <v>193259.96786297901</v>
      </c>
      <c r="Q99" s="155">
        <f t="shared" si="67"/>
        <v>210771.81041214828</v>
      </c>
      <c r="R99" s="155">
        <f t="shared" si="67"/>
        <v>228905.19474151576</v>
      </c>
      <c r="S99" s="155">
        <f t="shared" si="67"/>
        <v>247660.19289268364</v>
      </c>
      <c r="T99" s="155">
        <f t="shared" si="67"/>
        <v>267036.87310503505</v>
      </c>
      <c r="U99" s="155">
        <f t="shared" si="67"/>
        <v>283989.59587245632</v>
      </c>
      <c r="V99" s="155">
        <f t="shared" si="67"/>
        <v>301554.52454364457</v>
      </c>
      <c r="W99" s="155">
        <f t="shared" si="67"/>
        <v>319732.07837131212</v>
      </c>
      <c r="X99" s="155">
        <f t="shared" si="67"/>
        <v>338522.65384362289</v>
      </c>
      <c r="Y99" s="155">
        <f t="shared" si="67"/>
        <v>358878.37586952647</v>
      </c>
      <c r="Z99" s="156">
        <f t="shared" si="67"/>
        <v>379756.02414263773</v>
      </c>
      <c r="AA99" s="154">
        <f t="shared" si="67"/>
        <v>400556.11695949512</v>
      </c>
      <c r="AB99" s="155">
        <f t="shared" si="67"/>
        <v>421880.76263249153</v>
      </c>
      <c r="AC99" s="155">
        <f t="shared" si="67"/>
        <v>443731.17853214574</v>
      </c>
      <c r="AD99" s="155">
        <f t="shared" si="67"/>
        <v>466108.52346843999</v>
      </c>
      <c r="AE99" s="155">
        <f t="shared" si="67"/>
        <v>489013.90134313685</v>
      </c>
      <c r="AF99" s="155">
        <f t="shared" si="67"/>
        <v>512448.36452155898</v>
      </c>
      <c r="AG99" s="155">
        <f t="shared" si="67"/>
        <v>531902.71727636678</v>
      </c>
      <c r="AH99" s="155">
        <f t="shared" si="67"/>
        <v>551891.36288369913</v>
      </c>
      <c r="AI99" s="155">
        <f t="shared" si="67"/>
        <v>572415.07808210596</v>
      </c>
      <c r="AJ99" s="155">
        <f t="shared" si="67"/>
        <v>593474.60701897566</v>
      </c>
      <c r="AK99" s="155">
        <f t="shared" si="67"/>
        <v>615070.6630140004</v>
      </c>
      <c r="AL99" s="156">
        <f t="shared" si="67"/>
        <v>637203.93020482536</v>
      </c>
      <c r="AM99" s="154">
        <f t="shared" si="67"/>
        <v>659165.16082784231</v>
      </c>
      <c r="AN99" s="155">
        <f t="shared" si="67"/>
        <v>681664.88942439877</v>
      </c>
      <c r="AO99" s="155">
        <f t="shared" si="67"/>
        <v>704703.72141653323</v>
      </c>
      <c r="AP99" s="155">
        <f t="shared" si="67"/>
        <v>728282.23862285982</v>
      </c>
      <c r="AQ99" s="155">
        <f t="shared" si="67"/>
        <v>752401.00043921336</v>
      </c>
      <c r="AR99" s="155">
        <f t="shared" si="67"/>
        <v>777060.54494626867</v>
      </c>
      <c r="AS99" s="155">
        <f t="shared" si="67"/>
        <v>802261.38994948659</v>
      </c>
      <c r="AT99" s="155">
        <f t="shared" si="67"/>
        <v>828019.94318558997</v>
      </c>
      <c r="AU99" s="155">
        <f t="shared" si="67"/>
        <v>854336.28614471806</v>
      </c>
      <c r="AV99" s="155">
        <f t="shared" si="67"/>
        <v>881210.49745655153</v>
      </c>
      <c r="AW99" s="155">
        <f t="shared" si="67"/>
        <v>908642.65300034313</v>
      </c>
      <c r="AX99" s="156">
        <f t="shared" si="67"/>
        <v>936632.82600963442</v>
      </c>
      <c r="AY99" s="154">
        <f t="shared" si="67"/>
        <v>964675.73973073857</v>
      </c>
      <c r="AZ99" s="155">
        <f t="shared" si="67"/>
        <v>993276.80984139582</v>
      </c>
      <c r="BA99" s="155">
        <f t="shared" si="67"/>
        <v>1022436.102217624</v>
      </c>
      <c r="BB99" s="155">
        <f t="shared" si="67"/>
        <v>1052153.6804612558</v>
      </c>
      <c r="BC99" s="155">
        <f t="shared" si="67"/>
        <v>1082429.6059822754</v>
      </c>
      <c r="BD99" s="155">
        <f t="shared" si="67"/>
        <v>1112400.5079050425</v>
      </c>
      <c r="BE99" s="155">
        <f t="shared" si="67"/>
        <v>1142304.4652851603</v>
      </c>
      <c r="BF99" s="155">
        <f t="shared" si="67"/>
        <v>1172148.047693833</v>
      </c>
      <c r="BG99" s="155">
        <f t="shared" si="67"/>
        <v>1201937.5613511449</v>
      </c>
      <c r="BH99" s="155">
        <f t="shared" si="67"/>
        <v>1231679.084298667</v>
      </c>
      <c r="BI99" s="155">
        <f t="shared" si="67"/>
        <v>1261378.4987744482</v>
      </c>
      <c r="BJ99" s="156">
        <f t="shared" si="67"/>
        <v>1291041.5212465178</v>
      </c>
    </row>
    <row r="100" spans="1:63" ht="15.9" hidden="1" customHeight="1" x14ac:dyDescent="0.3">
      <c r="B100" s="158"/>
      <c r="C100" s="159">
        <f>IF((Investimentos!$C$20+Investimentos!$C$22)&gt;=C99,1,0)</f>
        <v>1</v>
      </c>
      <c r="D100" s="159">
        <f>IF((Investimentos!$C$20+Investimentos!$C$22)&gt;=D99,1,0)</f>
        <v>1</v>
      </c>
      <c r="E100" s="159">
        <f>IF((Investimentos!$C$20+Investimentos!$C$22)&gt;=E99,1,0)</f>
        <v>1</v>
      </c>
      <c r="F100" s="159">
        <f>IF((Investimentos!$C$20+Investimentos!$C$22)&gt;=F99,1,0)</f>
        <v>1</v>
      </c>
      <c r="G100" s="159">
        <f>IF((Investimentos!$C$20+Investimentos!$C$22)&gt;=G99,1,0)</f>
        <v>1</v>
      </c>
      <c r="H100" s="159">
        <f>IF((Investimentos!$C$20+Investimentos!$C$22)&gt;=H99,1,0)</f>
        <v>1</v>
      </c>
      <c r="I100" s="159">
        <f>IF((Investimentos!$C$20+Investimentos!$C$22)&gt;=I99,1,0)</f>
        <v>1</v>
      </c>
      <c r="J100" s="159">
        <f>IF((Investimentos!$C$20+Investimentos!$C$22)&gt;=J99,1,0)</f>
        <v>1</v>
      </c>
      <c r="K100" s="159">
        <f>IF((Investimentos!$C$20+Investimentos!$C$22)&gt;=K99,1,0)</f>
        <v>1</v>
      </c>
      <c r="L100" s="159">
        <f>IF((Investimentos!$C$20+Investimentos!$C$22)&gt;=L99,1,0)</f>
        <v>1</v>
      </c>
      <c r="M100" s="159">
        <f>IF((Investimentos!$C$20+Investimentos!$C$22)&gt;=M99,1,0)</f>
        <v>1</v>
      </c>
      <c r="N100" s="159">
        <f>IF((Investimentos!$C$20+Investimentos!$C$22)&gt;=N99,1,0)</f>
        <v>1</v>
      </c>
      <c r="O100" s="159">
        <f>IF((Investimentos!$C$20+Investimentos!$C$22)&gt;=O99,1,0)</f>
        <v>1</v>
      </c>
      <c r="P100" s="159">
        <f>IF((Investimentos!$C$20+Investimentos!$C$22)&gt;=P99,1,0)</f>
        <v>1</v>
      </c>
      <c r="Q100" s="159">
        <f>IF((Investimentos!$C$20+Investimentos!$C$22)&gt;=Q99,1,0)</f>
        <v>1</v>
      </c>
      <c r="R100" s="159">
        <f>IF((Investimentos!$C$20+Investimentos!$C$22)&gt;=R99,1,0)</f>
        <v>1</v>
      </c>
      <c r="S100" s="159">
        <f>IF((Investimentos!$C$20+Investimentos!$C$22)&gt;=S99,1,0)</f>
        <v>1</v>
      </c>
      <c r="T100" s="159">
        <f>IF((Investimentos!$C$20+Investimentos!$C$22)&gt;=T99,1,0)</f>
        <v>1</v>
      </c>
      <c r="U100" s="159">
        <f>IF((Investimentos!$C$20+Investimentos!$C$22)&gt;=U99,1,0)</f>
        <v>0</v>
      </c>
      <c r="V100" s="159">
        <f>IF((Investimentos!$C$20+Investimentos!$C$22)&gt;=V99,1,0)</f>
        <v>0</v>
      </c>
      <c r="W100" s="159">
        <f>IF((Investimentos!$C$20+Investimentos!$C$22)&gt;=W99,1,0)</f>
        <v>0</v>
      </c>
      <c r="X100" s="159">
        <f>IF((Investimentos!$C$20+Investimentos!$C$22)&gt;=X99,1,0)</f>
        <v>0</v>
      </c>
      <c r="Y100" s="159">
        <f>IF((Investimentos!$C$20+Investimentos!$C$22)&gt;=Y99,1,0)</f>
        <v>0</v>
      </c>
      <c r="Z100" s="159">
        <f>IF((Investimentos!$C$20+Investimentos!$C$22)&gt;=Z99,1,0)</f>
        <v>0</v>
      </c>
      <c r="AA100" s="159">
        <f>IF((Investimentos!$C$20+Investimentos!$C$22)&gt;=AA99,1,0)</f>
        <v>0</v>
      </c>
      <c r="AB100" s="159">
        <f>IF((Investimentos!$C$20+Investimentos!$C$22)&gt;=AB99,1,0)</f>
        <v>0</v>
      </c>
      <c r="AC100" s="159">
        <f>IF((Investimentos!$C$20+Investimentos!$C$22)&gt;=AC99,1,0)</f>
        <v>0</v>
      </c>
      <c r="AD100" s="159">
        <f>IF((Investimentos!$C$20+Investimentos!$C$22)&gt;=AD99,1,0)</f>
        <v>0</v>
      </c>
      <c r="AE100" s="159">
        <f>IF((Investimentos!$C$20+Investimentos!$C$22)&gt;=AE99,1,0)</f>
        <v>0</v>
      </c>
      <c r="AF100" s="159">
        <f>IF((Investimentos!$C$20+Investimentos!$C$22)&gt;=AF99,1,0)</f>
        <v>0</v>
      </c>
      <c r="AG100" s="159">
        <f>IF((Investimentos!$C$20+Investimentos!$C$22)&gt;=AG99,1,0)</f>
        <v>0</v>
      </c>
      <c r="AH100" s="159">
        <f>IF((Investimentos!$C$20+Investimentos!$C$22)&gt;=AH99,1,0)</f>
        <v>0</v>
      </c>
      <c r="AI100" s="159">
        <f>IF((Investimentos!$C$20+Investimentos!$C$22)&gt;=AI99,1,0)</f>
        <v>0</v>
      </c>
      <c r="AJ100" s="159">
        <f>IF((Investimentos!$C$20+Investimentos!$C$22)&gt;=AJ99,1,0)</f>
        <v>0</v>
      </c>
      <c r="AK100" s="159">
        <f>IF((Investimentos!$C$20+Investimentos!$C$22)&gt;=AK99,1,0)</f>
        <v>0</v>
      </c>
      <c r="AL100" s="159">
        <f>IF((Investimentos!$C$20+Investimentos!$C$22)&gt;=AL99,1,0)</f>
        <v>0</v>
      </c>
      <c r="AM100" s="159">
        <f>IF((Investimentos!$C$20+Investimentos!$C$22)&gt;=AM99,1,0)</f>
        <v>0</v>
      </c>
      <c r="AN100" s="159">
        <f>IF((Investimentos!$C$20+Investimentos!$C$22)&gt;=AN99,1,0)</f>
        <v>0</v>
      </c>
      <c r="AO100" s="159">
        <f>IF((Investimentos!$C$20+Investimentos!$C$22)&gt;=AO99,1,0)</f>
        <v>0</v>
      </c>
      <c r="AP100" s="159">
        <f>IF((Investimentos!$C$20+Investimentos!$C$22)&gt;=AP99,1,0)</f>
        <v>0</v>
      </c>
      <c r="AQ100" s="159">
        <f>IF((Investimentos!$C$20+Investimentos!$C$22)&gt;=AQ99,1,0)</f>
        <v>0</v>
      </c>
      <c r="AR100" s="159">
        <f>IF((Investimentos!$C$20+Investimentos!$C$22)&gt;=AR99,1,0)</f>
        <v>0</v>
      </c>
      <c r="AS100" s="159">
        <f>IF((Investimentos!$C$20+Investimentos!$C$22)&gt;=AS99,1,0)</f>
        <v>0</v>
      </c>
      <c r="AT100" s="159">
        <f>IF((Investimentos!$C$20+Investimentos!$C$22)&gt;=AT99,1,0)</f>
        <v>0</v>
      </c>
      <c r="AU100" s="159">
        <f>IF((Investimentos!$C$20+Investimentos!$C$22)&gt;=AU99,1,0)</f>
        <v>0</v>
      </c>
      <c r="AV100" s="159">
        <f>IF((Investimentos!$C$20+Investimentos!$C$22)&gt;=AV99,1,0)</f>
        <v>0</v>
      </c>
      <c r="AW100" s="159">
        <f>IF((Investimentos!$C$20+Investimentos!$C$22)&gt;=AW99,1,0)</f>
        <v>0</v>
      </c>
      <c r="AX100" s="159">
        <f>IF((Investimentos!$C$20+Investimentos!$C$22)&gt;=AX99,1,0)</f>
        <v>0</v>
      </c>
      <c r="AY100" s="159">
        <f>IF((Investimentos!$C$20+Investimentos!$C$22)&gt;=AY99,1,0)</f>
        <v>0</v>
      </c>
      <c r="AZ100" s="159">
        <f>IF((Investimentos!$C$20+Investimentos!$C$22)&gt;=AZ99,1,0)</f>
        <v>0</v>
      </c>
      <c r="BA100" s="159">
        <f>IF((Investimentos!$C$20+Investimentos!$C$22)&gt;=BA99,1,0)</f>
        <v>0</v>
      </c>
      <c r="BB100" s="159">
        <f>IF((Investimentos!$C$20+Investimentos!$C$22)&gt;=BB99,1,0)</f>
        <v>0</v>
      </c>
      <c r="BC100" s="159">
        <f>IF((Investimentos!$C$20+Investimentos!$C$22)&gt;=BC99,1,0)</f>
        <v>0</v>
      </c>
      <c r="BD100" s="159">
        <f>IF((Investimentos!$C$20+Investimentos!$C$22)&gt;=BD99,1,0)</f>
        <v>0</v>
      </c>
      <c r="BE100" s="159">
        <f>IF((Investimentos!$C$20+Investimentos!$C$22)&gt;=BE99,1,0)</f>
        <v>0</v>
      </c>
      <c r="BF100" s="159">
        <f>IF((Investimentos!$C$20+Investimentos!$C$22)&gt;=BF99,1,0)</f>
        <v>0</v>
      </c>
      <c r="BG100" s="159">
        <f>IF((Investimentos!$C$20+Investimentos!$C$22)&gt;=BG99,1,0)</f>
        <v>0</v>
      </c>
      <c r="BH100" s="159">
        <f>IF((Investimentos!$C$20+Investimentos!$C$22)&gt;=BH99,1,0)</f>
        <v>0</v>
      </c>
      <c r="BI100" s="159">
        <f>IF((Investimentos!$C$20+Investimentos!$C$22)&gt;=BI99,1,0)</f>
        <v>0</v>
      </c>
      <c r="BJ100" s="159">
        <f>IF((Investimentos!$C$20+Investimentos!$C$22)&gt;=BJ99,1,0)</f>
        <v>0</v>
      </c>
    </row>
    <row r="101" spans="1:63" ht="15.9" hidden="1" customHeight="1" x14ac:dyDescent="0.3">
      <c r="B101" s="160"/>
      <c r="C101" s="161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162"/>
      <c r="AV101" s="162"/>
      <c r="AW101" s="162"/>
      <c r="AX101" s="162"/>
      <c r="AY101" s="162"/>
      <c r="AZ101" s="162"/>
      <c r="BA101" s="162"/>
      <c r="BB101" s="162"/>
      <c r="BC101" s="162"/>
      <c r="BD101" s="162"/>
      <c r="BE101" s="162"/>
      <c r="BF101" s="162"/>
      <c r="BG101" s="162"/>
      <c r="BH101" s="162"/>
      <c r="BI101" s="162"/>
      <c r="BJ101" s="162"/>
    </row>
    <row r="102" spans="1:63" ht="15.9" hidden="1" customHeight="1" x14ac:dyDescent="0.3">
      <c r="C102" s="81"/>
      <c r="D102" s="81"/>
      <c r="E102" s="81"/>
      <c r="F102" s="81"/>
      <c r="G102" s="81"/>
    </row>
    <row r="103" spans="1:63" hidden="1" x14ac:dyDescent="0.3"/>
    <row r="104" spans="1:63" hidden="1" x14ac:dyDescent="0.3"/>
    <row r="105" spans="1:63" hidden="1" x14ac:dyDescent="0.3"/>
    <row r="107" spans="1:63" s="183" customFormat="1" ht="17.100000000000001" customHeight="1" x14ac:dyDescent="0.3">
      <c r="A107" s="18"/>
      <c r="B107" s="195" t="s">
        <v>197</v>
      </c>
      <c r="C107" s="196">
        <f t="shared" ref="C107:N107" si="68">C96</f>
        <v>14596.659999999996</v>
      </c>
      <c r="D107" s="196">
        <f t="shared" si="68"/>
        <v>10520.80249057641</v>
      </c>
      <c r="E107" s="196">
        <f t="shared" si="68"/>
        <v>11135.667506857619</v>
      </c>
      <c r="F107" s="196">
        <f t="shared" si="68"/>
        <v>11750.262118006402</v>
      </c>
      <c r="G107" s="196">
        <f t="shared" si="68"/>
        <v>11864.593155074548</v>
      </c>
      <c r="H107" s="196">
        <f t="shared" si="68"/>
        <v>12478.667220944561</v>
      </c>
      <c r="I107" s="196">
        <f t="shared" si="68"/>
        <v>13092.490699777358</v>
      </c>
      <c r="J107" s="196">
        <f t="shared" si="68"/>
        <v>13706.069765994343</v>
      </c>
      <c r="K107" s="196">
        <f t="shared" si="68"/>
        <v>14319.4103928205</v>
      </c>
      <c r="L107" s="196">
        <f t="shared" si="68"/>
        <v>14932.518360413294</v>
      </c>
      <c r="M107" s="196">
        <f t="shared" si="68"/>
        <v>15545.39926360052</v>
      </c>
      <c r="N107" s="198">
        <f t="shared" si="68"/>
        <v>16158.058519249127</v>
      </c>
      <c r="O107" s="196">
        <f>O96</f>
        <v>16268.991520930769</v>
      </c>
      <c r="P107" s="197">
        <f t="shared" ref="P107:BJ107" si="69">P96</f>
        <v>16890.376848733547</v>
      </c>
      <c r="Q107" s="197">
        <f t="shared" si="69"/>
        <v>17511.842549169265</v>
      </c>
      <c r="R107" s="197">
        <f t="shared" si="69"/>
        <v>18133.38432936748</v>
      </c>
      <c r="S107" s="197">
        <f t="shared" si="69"/>
        <v>18754.998151167882</v>
      </c>
      <c r="T107" s="197">
        <f t="shared" si="69"/>
        <v>19376.680212351388</v>
      </c>
      <c r="U107" s="197">
        <f t="shared" si="69"/>
        <v>16952.722767421306</v>
      </c>
      <c r="V107" s="197">
        <f t="shared" si="69"/>
        <v>17564.928671188223</v>
      </c>
      <c r="W107" s="197">
        <f t="shared" si="69"/>
        <v>18177.553827667565</v>
      </c>
      <c r="X107" s="197">
        <f t="shared" si="69"/>
        <v>18790.575472310797</v>
      </c>
      <c r="Y107" s="197">
        <f t="shared" si="69"/>
        <v>20355.722025903575</v>
      </c>
      <c r="Z107" s="198">
        <f t="shared" si="69"/>
        <v>20877.648273111292</v>
      </c>
      <c r="AA107" s="196">
        <f t="shared" si="69"/>
        <v>20800.092816857396</v>
      </c>
      <c r="AB107" s="197">
        <f t="shared" si="69"/>
        <v>21324.645672996383</v>
      </c>
      <c r="AC107" s="197">
        <f t="shared" si="69"/>
        <v>21850.415899654217</v>
      </c>
      <c r="AD107" s="197">
        <f t="shared" si="69"/>
        <v>22377.344936294256</v>
      </c>
      <c r="AE107" s="197">
        <f t="shared" si="69"/>
        <v>22905.37787469686</v>
      </c>
      <c r="AF107" s="197">
        <f t="shared" si="69"/>
        <v>23434.46317842212</v>
      </c>
      <c r="AG107" s="197">
        <f t="shared" si="69"/>
        <v>19454.352754807747</v>
      </c>
      <c r="AH107" s="197">
        <f t="shared" si="69"/>
        <v>19988.645607332335</v>
      </c>
      <c r="AI107" s="197">
        <f t="shared" si="69"/>
        <v>20523.715198406862</v>
      </c>
      <c r="AJ107" s="197">
        <f t="shared" si="69"/>
        <v>21059.528936869734</v>
      </c>
      <c r="AK107" s="197">
        <f t="shared" si="69"/>
        <v>21596.05599502477</v>
      </c>
      <c r="AL107" s="198">
        <f t="shared" si="69"/>
        <v>22133.267190824947</v>
      </c>
      <c r="AM107" s="196">
        <f t="shared" si="69"/>
        <v>21961.230623016905</v>
      </c>
      <c r="AN107" s="197">
        <f t="shared" si="69"/>
        <v>22499.728596556502</v>
      </c>
      <c r="AO107" s="197">
        <f t="shared" si="69"/>
        <v>23038.831992134474</v>
      </c>
      <c r="AP107" s="197">
        <f t="shared" si="69"/>
        <v>23578.517206326578</v>
      </c>
      <c r="AQ107" s="197">
        <f t="shared" si="69"/>
        <v>24118.761816353588</v>
      </c>
      <c r="AR107" s="197">
        <f t="shared" si="69"/>
        <v>24659.544507055289</v>
      </c>
      <c r="AS107" s="197">
        <f t="shared" si="69"/>
        <v>25200.845003217866</v>
      </c>
      <c r="AT107" s="197">
        <f t="shared" si="69"/>
        <v>25758.55323610342</v>
      </c>
      <c r="AU107" s="197">
        <f t="shared" si="69"/>
        <v>26316.342959128087</v>
      </c>
      <c r="AV107" s="197">
        <f t="shared" si="69"/>
        <v>26874.211311833438</v>
      </c>
      <c r="AW107" s="197">
        <f t="shared" si="69"/>
        <v>27432.155543791574</v>
      </c>
      <c r="AX107" s="198">
        <f t="shared" si="69"/>
        <v>27990.173009291255</v>
      </c>
      <c r="AY107" s="196">
        <f t="shared" si="69"/>
        <v>28042.913721104153</v>
      </c>
      <c r="AZ107" s="197">
        <f t="shared" si="69"/>
        <v>28601.070110657231</v>
      </c>
      <c r="BA107" s="197">
        <f t="shared" si="69"/>
        <v>29159.292376228092</v>
      </c>
      <c r="BB107" s="197">
        <f t="shared" si="69"/>
        <v>29717.578243631971</v>
      </c>
      <c r="BC107" s="197">
        <f t="shared" si="69"/>
        <v>30275.925521019672</v>
      </c>
      <c r="BD107" s="197">
        <f t="shared" si="69"/>
        <v>29970.901922767145</v>
      </c>
      <c r="BE107" s="197">
        <f t="shared" si="69"/>
        <v>29903.957380117856</v>
      </c>
      <c r="BF107" s="197">
        <f t="shared" si="69"/>
        <v>29843.582408672613</v>
      </c>
      <c r="BG107" s="197">
        <f t="shared" si="69"/>
        <v>29789.513657311916</v>
      </c>
      <c r="BH107" s="197">
        <f t="shared" si="69"/>
        <v>29741.522947522062</v>
      </c>
      <c r="BI107" s="197">
        <f t="shared" si="69"/>
        <v>29699.414475781166</v>
      </c>
      <c r="BJ107" s="198">
        <f t="shared" si="69"/>
        <v>29663.022472069606</v>
      </c>
      <c r="BK107" s="199"/>
    </row>
    <row r="108" spans="1:63" s="183" customFormat="1" ht="17.100000000000001" hidden="1" customHeight="1" x14ac:dyDescent="0.3">
      <c r="A108" s="200"/>
      <c r="B108" s="195" t="s">
        <v>198</v>
      </c>
      <c r="C108" s="196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8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8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8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8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  <c r="BJ108" s="198"/>
      <c r="BK108" s="199"/>
    </row>
    <row r="109" spans="1:63" s="183" customFormat="1" ht="17.100000000000001" hidden="1" customHeight="1" x14ac:dyDescent="0.3">
      <c r="A109" s="200"/>
      <c r="B109" s="195" t="s">
        <v>199</v>
      </c>
      <c r="C109" s="196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8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8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8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8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  <c r="BJ109" s="198"/>
      <c r="BK109" s="199"/>
    </row>
    <row r="110" spans="1:63" s="183" customFormat="1" hidden="1" x14ac:dyDescent="0.3">
      <c r="A110" s="18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</row>
    <row r="111" spans="1:63" s="183" customFormat="1" hidden="1" x14ac:dyDescent="0.3">
      <c r="A111" s="18"/>
      <c r="B111" s="191" t="s">
        <v>200</v>
      </c>
      <c r="C111" s="201"/>
      <c r="D111" s="201"/>
      <c r="E111" s="201"/>
      <c r="F111" s="187"/>
      <c r="G111" s="187"/>
      <c r="H111" s="187"/>
      <c r="I111" s="187"/>
      <c r="J111" s="187"/>
      <c r="K111" s="187"/>
      <c r="L111" s="187"/>
      <c r="M111" s="187"/>
      <c r="N111" s="187"/>
    </row>
    <row r="112" spans="1:63" s="183" customFormat="1" hidden="1" x14ac:dyDescent="0.3">
      <c r="A112" s="18"/>
      <c r="B112" s="202" t="s">
        <v>201</v>
      </c>
      <c r="C112" s="203" t="s">
        <v>202</v>
      </c>
      <c r="D112" s="203" t="s">
        <v>203</v>
      </c>
      <c r="E112" s="203" t="s">
        <v>204</v>
      </c>
      <c r="F112" s="187"/>
      <c r="G112" s="187"/>
      <c r="H112" s="187"/>
      <c r="I112" s="187"/>
      <c r="J112" s="187"/>
      <c r="K112" s="187"/>
      <c r="L112" s="187"/>
      <c r="M112" s="187"/>
      <c r="N112" s="187"/>
    </row>
    <row r="113" spans="1:14" s="183" customFormat="1" hidden="1" x14ac:dyDescent="0.3">
      <c r="A113" s="18"/>
      <c r="C113" s="184"/>
      <c r="D113" s="184"/>
      <c r="E113" s="184"/>
      <c r="F113" s="187"/>
      <c r="G113" s="187"/>
      <c r="H113" s="187"/>
      <c r="I113" s="187"/>
      <c r="J113" s="187"/>
      <c r="K113" s="187"/>
      <c r="L113" s="187"/>
      <c r="M113" s="187"/>
      <c r="N113" s="187"/>
    </row>
    <row r="114" spans="1:14" s="183" customFormat="1" hidden="1" x14ac:dyDescent="0.3">
      <c r="A114" s="18"/>
      <c r="B114" s="204" t="s">
        <v>214</v>
      </c>
      <c r="C114" s="205">
        <v>1</v>
      </c>
      <c r="D114" s="205">
        <v>1</v>
      </c>
      <c r="E114" s="205">
        <v>1</v>
      </c>
      <c r="F114" s="187"/>
      <c r="G114" s="187"/>
      <c r="H114" s="187"/>
      <c r="I114" s="187"/>
      <c r="J114" s="187"/>
      <c r="K114" s="187"/>
      <c r="L114" s="187"/>
      <c r="M114" s="187"/>
      <c r="N114" s="187"/>
    </row>
    <row r="115" spans="1:14" s="183" customFormat="1" x14ac:dyDescent="0.3">
      <c r="A115" s="18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</row>
    <row r="116" spans="1:14" s="183" customFormat="1" x14ac:dyDescent="0.3">
      <c r="A116" s="18"/>
      <c r="B116" s="206"/>
      <c r="C116" s="207" t="s">
        <v>213</v>
      </c>
      <c r="D116" s="207" t="s">
        <v>205</v>
      </c>
      <c r="E116" s="207" t="s">
        <v>206</v>
      </c>
      <c r="F116" s="207" t="s">
        <v>207</v>
      </c>
      <c r="G116" s="207" t="s">
        <v>208</v>
      </c>
      <c r="H116" s="207" t="s">
        <v>209</v>
      </c>
      <c r="I116" s="187"/>
      <c r="J116" s="187"/>
      <c r="K116" s="187"/>
      <c r="L116" s="187"/>
      <c r="M116" s="187"/>
      <c r="N116" s="187"/>
    </row>
    <row r="117" spans="1:14" s="183" customFormat="1" hidden="1" x14ac:dyDescent="0.3">
      <c r="A117" s="18"/>
      <c r="B117" s="208" t="s">
        <v>210</v>
      </c>
      <c r="C117" s="209"/>
      <c r="D117" s="209"/>
      <c r="E117" s="209"/>
      <c r="F117" s="209"/>
      <c r="G117" s="209"/>
      <c r="H117" s="209"/>
      <c r="I117" s="187"/>
      <c r="J117" s="187"/>
      <c r="K117" s="187"/>
      <c r="L117" s="187"/>
      <c r="M117" s="187"/>
      <c r="N117" s="187"/>
    </row>
    <row r="118" spans="1:14" s="214" customFormat="1" x14ac:dyDescent="0.3">
      <c r="A118" s="15"/>
      <c r="B118" s="210" t="s">
        <v>212</v>
      </c>
      <c r="C118" s="211">
        <f>-Investimentos!C25</f>
        <v>-299932.34999999998</v>
      </c>
      <c r="D118" s="212">
        <f>SUM(C107:N107)</f>
        <v>160100.59949331469</v>
      </c>
      <c r="E118" s="212">
        <f>SUM(O107:Z107)</f>
        <v>219655.4246493231</v>
      </c>
      <c r="F118" s="212">
        <f>SUM(AA107:AL107)</f>
        <v>257447.90606218763</v>
      </c>
      <c r="G118" s="212">
        <f>SUM(AM107:AX107)</f>
        <v>299428.89580480894</v>
      </c>
      <c r="H118" s="212">
        <f>SUM(AY107:BJ107)</f>
        <v>354408.69523688342</v>
      </c>
      <c r="I118" s="187"/>
      <c r="J118" s="187"/>
      <c r="K118" s="187"/>
      <c r="L118" s="187"/>
      <c r="M118" s="187"/>
      <c r="N118" s="213"/>
    </row>
    <row r="119" spans="1:14" s="208" customFormat="1" x14ac:dyDescent="0.3">
      <c r="A119" s="18"/>
      <c r="B119" s="215" t="s">
        <v>215</v>
      </c>
      <c r="C119" s="216"/>
      <c r="D119" s="217">
        <f>-D118/$C$118</f>
        <v>0.53378903440497394</v>
      </c>
      <c r="E119" s="217">
        <f>-E118/$C$118</f>
        <v>0.73234989373211368</v>
      </c>
      <c r="F119" s="217">
        <f t="shared" ref="F119:H119" si="70">-F118/$C$118</f>
        <v>0.85835324553082604</v>
      </c>
      <c r="G119" s="217">
        <f t="shared" si="70"/>
        <v>0.99832144083427132</v>
      </c>
      <c r="H119" s="217">
        <f t="shared" si="70"/>
        <v>1.1816287747449832</v>
      </c>
      <c r="I119" s="187"/>
      <c r="J119" s="187"/>
      <c r="K119" s="187"/>
      <c r="L119" s="187"/>
      <c r="M119" s="187"/>
      <c r="N119" s="209"/>
    </row>
    <row r="120" spans="1:14" s="214" customFormat="1" x14ac:dyDescent="0.3">
      <c r="A120" s="15"/>
      <c r="B120" s="218"/>
      <c r="C120" s="219"/>
      <c r="D120" s="220"/>
      <c r="E120" s="220"/>
      <c r="F120" s="220"/>
      <c r="G120" s="220"/>
      <c r="H120" s="220"/>
      <c r="I120" s="187"/>
      <c r="J120" s="187"/>
      <c r="K120" s="187"/>
      <c r="L120" s="187"/>
      <c r="M120" s="187"/>
      <c r="N120" s="213"/>
    </row>
    <row r="121" spans="1:14" s="214" customFormat="1" x14ac:dyDescent="0.3">
      <c r="A121" s="15"/>
      <c r="B121" s="218"/>
      <c r="C121" s="219"/>
      <c r="D121" s="220"/>
      <c r="E121" s="220"/>
      <c r="F121" s="220"/>
      <c r="G121" s="220"/>
      <c r="H121" s="220"/>
      <c r="I121" s="187"/>
      <c r="J121" s="187"/>
      <c r="K121" s="187"/>
      <c r="L121" s="187"/>
      <c r="M121" s="187"/>
      <c r="N121" s="213"/>
    </row>
    <row r="122" spans="1:14" s="214" customFormat="1" x14ac:dyDescent="0.3">
      <c r="A122" s="15"/>
      <c r="B122" s="218" t="s">
        <v>211</v>
      </c>
      <c r="C122" s="219">
        <f>C118</f>
        <v>-299932.34999999998</v>
      </c>
      <c r="D122" s="220">
        <f>C122+D118</f>
        <v>-139831.75050668529</v>
      </c>
      <c r="E122" s="220">
        <f>D122+E118</f>
        <v>79823.674142637814</v>
      </c>
      <c r="F122" s="220">
        <f>E122+F118</f>
        <v>337271.58020482544</v>
      </c>
      <c r="G122" s="220">
        <f>F122+G118</f>
        <v>636700.47600963432</v>
      </c>
      <c r="H122" s="220">
        <f>G122+H118</f>
        <v>991109.17124651768</v>
      </c>
      <c r="I122" s="187"/>
      <c r="J122" s="187"/>
      <c r="K122" s="187"/>
      <c r="L122" s="187"/>
      <c r="M122" s="187"/>
      <c r="N122" s="213"/>
    </row>
    <row r="123" spans="1:14" s="214" customFormat="1" x14ac:dyDescent="0.3">
      <c r="A123" s="15"/>
      <c r="B123" s="218"/>
      <c r="C123" s="221"/>
      <c r="D123" s="221">
        <f t="shared" ref="D123" si="71">IF(D122&lt;=0,1,0)</f>
        <v>1</v>
      </c>
      <c r="E123" s="221">
        <f>IF(E122&lt;=1000,1,0)</f>
        <v>0</v>
      </c>
      <c r="F123" s="221">
        <f t="shared" ref="F123:H123" si="72">IF(F122&lt;=0,1,0)</f>
        <v>0</v>
      </c>
      <c r="G123" s="221">
        <f t="shared" si="72"/>
        <v>0</v>
      </c>
      <c r="H123" s="221">
        <f t="shared" si="72"/>
        <v>0</v>
      </c>
      <c r="I123" s="187"/>
      <c r="J123" s="187"/>
      <c r="K123" s="187"/>
      <c r="L123" s="187"/>
      <c r="M123" s="187"/>
      <c r="N123" s="213"/>
    </row>
    <row r="124" spans="1:14" s="183" customFormat="1" x14ac:dyDescent="0.3">
      <c r="A124" s="18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</row>
    <row r="125" spans="1:14" s="183" customFormat="1" x14ac:dyDescent="0.3">
      <c r="A125" s="18"/>
      <c r="B125" s="232" t="s">
        <v>192</v>
      </c>
      <c r="C125" s="232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</row>
    <row r="126" spans="1:14" s="183" customFormat="1" x14ac:dyDescent="0.3">
      <c r="A126" s="18"/>
      <c r="B126" s="183" t="s">
        <v>193</v>
      </c>
      <c r="C126" s="194">
        <v>0.13750000000000001</v>
      </c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</row>
    <row r="127" spans="1:14" s="183" customFormat="1" x14ac:dyDescent="0.3">
      <c r="A127" s="18"/>
      <c r="B127" s="185" t="s">
        <v>216</v>
      </c>
      <c r="C127" s="186">
        <f>NPV(C126,C118:H118)</f>
        <v>483907.88557777385</v>
      </c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</row>
    <row r="128" spans="1:14" s="183" customFormat="1" x14ac:dyDescent="0.3">
      <c r="A128" s="18"/>
      <c r="B128" s="183" t="s">
        <v>217</v>
      </c>
      <c r="C128" s="187">
        <f>H118/(C126)</f>
        <v>2577517.7835409702</v>
      </c>
      <c r="D128" s="187"/>
      <c r="E128" s="187"/>
      <c r="F128" s="187"/>
      <c r="G128" s="222"/>
      <c r="H128" s="187"/>
      <c r="I128" s="187"/>
      <c r="J128" s="187"/>
      <c r="K128" s="187"/>
      <c r="L128" s="187"/>
      <c r="M128" s="187"/>
      <c r="N128" s="187"/>
    </row>
    <row r="129" spans="1:14" s="183" customFormat="1" x14ac:dyDescent="0.3">
      <c r="A129" s="18"/>
      <c r="B129" s="185" t="s">
        <v>194</v>
      </c>
      <c r="C129" s="188">
        <f>-PV(C126,5,,C128)</f>
        <v>1353457.5645544021</v>
      </c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</row>
    <row r="130" spans="1:14" s="183" customFormat="1" x14ac:dyDescent="0.3">
      <c r="A130" s="18"/>
      <c r="B130" s="189" t="s">
        <v>195</v>
      </c>
      <c r="C130" s="190">
        <f>C129+C127</f>
        <v>1837365.450132176</v>
      </c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</row>
    <row r="131" spans="1:14" s="183" customFormat="1" x14ac:dyDescent="0.3">
      <c r="A131" s="18"/>
      <c r="B131" s="191" t="s">
        <v>196</v>
      </c>
      <c r="C131" s="192">
        <f>IRR(C118:H118)</f>
        <v>0.66013182910161627</v>
      </c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</row>
    <row r="132" spans="1:14" s="183" customFormat="1" x14ac:dyDescent="0.3">
      <c r="A132" s="18"/>
      <c r="B132" s="233" t="str">
        <f>"O PayBack Simples ocorre em "&amp;COUNTIF(C123:L123,"=1")&amp;" anos"</f>
        <v>O PayBack Simples ocorre em 1 anos</v>
      </c>
      <c r="C132" s="233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</row>
    <row r="133" spans="1:14" s="183" customFormat="1" x14ac:dyDescent="0.3">
      <c r="A133" s="18"/>
      <c r="B133" s="185" t="s">
        <v>218</v>
      </c>
      <c r="C133" s="193">
        <f>AVERAGE(D119:H119)</f>
        <v>0.86088847784943356</v>
      </c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</row>
  </sheetData>
  <sheetProtection algorithmName="SHA-512" hashValue="jJNIDu3x5I+5atmGFzPqlLA5LWu1rMQO+Mg+JIvf8Eutiow7s+X4OqBWkYLgITx4hkf4H9E65RUbSIcBNmcRmw==" saltValue="2mqm4vdnBIQcHCudZetoeQ==" spinCount="100000" sheet="1" objects="1" scenarios="1"/>
  <mergeCells count="17">
    <mergeCell ref="F42:G42"/>
    <mergeCell ref="B125:C125"/>
    <mergeCell ref="B132:C132"/>
    <mergeCell ref="B38:B44"/>
    <mergeCell ref="D43:E43"/>
    <mergeCell ref="F43:G43"/>
    <mergeCell ref="D44:E44"/>
    <mergeCell ref="F44:G44"/>
    <mergeCell ref="D38:E38"/>
    <mergeCell ref="D39:E39"/>
    <mergeCell ref="D40:E40"/>
    <mergeCell ref="D41:E41"/>
    <mergeCell ref="D42:E42"/>
    <mergeCell ref="F38:G38"/>
    <mergeCell ref="F39:G39"/>
    <mergeCell ref="F40:G40"/>
    <mergeCell ref="F41:G41"/>
  </mergeCells>
  <conditionalFormatting sqref="C123:H123">
    <cfRule type="cellIs" dxfId="15" priority="1" operator="lessThan">
      <formula>0</formula>
    </cfRule>
  </conditionalFormatting>
  <conditionalFormatting sqref="C97:BJ99">
    <cfRule type="cellIs" dxfId="14" priority="4" stopIfTrue="1" operator="lessThan">
      <formula>0</formula>
    </cfRule>
  </conditionalFormatting>
  <conditionalFormatting sqref="C100:BJ100">
    <cfRule type="cellIs" dxfId="13" priority="5" operator="lessThan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scale="61" orientation="landscape" r:id="rId1"/>
  <colBreaks count="4" manualBreakCount="4">
    <brk id="14" min="39" max="99" man="1"/>
    <brk id="26" min="39" max="99" man="1"/>
    <brk id="38" min="39" max="99" man="1"/>
    <brk id="50" min="39" max="99" man="1"/>
  </colBreaks>
  <ignoredErrors>
    <ignoredError sqref="AA85:BJ9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A873-AE4E-4118-BC7D-2617288014E9}">
  <dimension ref="A3:K22"/>
  <sheetViews>
    <sheetView showGridLines="0" tabSelected="1" workbookViewId="0">
      <selection sqref="A1:A1048576"/>
    </sheetView>
  </sheetViews>
  <sheetFormatPr defaultRowHeight="14.4" x14ac:dyDescent="0.3"/>
  <cols>
    <col min="1" max="1" width="37" bestFit="1" customWidth="1"/>
    <col min="2" max="2" width="17.109375" style="248" customWidth="1"/>
    <col min="3" max="3" width="7.88671875" style="246" bestFit="1" customWidth="1"/>
    <col min="4" max="4" width="17.109375" style="248" bestFit="1" customWidth="1"/>
    <col min="5" max="5" width="8.88671875" style="246"/>
    <col min="6" max="6" width="17.109375" style="248" bestFit="1" customWidth="1"/>
    <col min="7" max="7" width="8.88671875" style="246"/>
    <col min="8" max="8" width="18.44140625" bestFit="1" customWidth="1"/>
    <col min="10" max="10" width="19.5546875" bestFit="1" customWidth="1"/>
  </cols>
  <sheetData>
    <row r="3" spans="1:11" x14ac:dyDescent="0.3">
      <c r="A3" s="254" t="s">
        <v>226</v>
      </c>
      <c r="B3" s="254"/>
      <c r="C3" s="254"/>
      <c r="D3" s="250" t="s">
        <v>227</v>
      </c>
      <c r="E3" s="250"/>
      <c r="F3" s="251" t="s">
        <v>234</v>
      </c>
      <c r="G3" s="251"/>
      <c r="H3" s="252" t="s">
        <v>233</v>
      </c>
      <c r="I3" s="253"/>
      <c r="J3" s="257" t="s">
        <v>237</v>
      </c>
      <c r="K3" s="257"/>
    </row>
    <row r="4" spans="1:11" x14ac:dyDescent="0.3">
      <c r="A4" s="245" t="s">
        <v>63</v>
      </c>
      <c r="B4" s="249" t="s">
        <v>64</v>
      </c>
      <c r="C4" s="247" t="s">
        <v>137</v>
      </c>
      <c r="D4" s="249" t="s">
        <v>228</v>
      </c>
      <c r="E4" s="247" t="s">
        <v>232</v>
      </c>
      <c r="F4" s="249" t="s">
        <v>230</v>
      </c>
      <c r="G4" s="247" t="s">
        <v>229</v>
      </c>
      <c r="H4" s="249" t="s">
        <v>236</v>
      </c>
      <c r="I4" s="247" t="s">
        <v>231</v>
      </c>
      <c r="J4" s="255" t="s">
        <v>238</v>
      </c>
      <c r="K4" s="256" t="s">
        <v>235</v>
      </c>
    </row>
    <row r="5" spans="1:11" x14ac:dyDescent="0.3">
      <c r="A5" s="245" t="s">
        <v>139</v>
      </c>
      <c r="B5" s="249">
        <v>2500</v>
      </c>
      <c r="C5" s="247">
        <f>B5/B15</f>
        <v>1.0641361225901839E-2</v>
      </c>
      <c r="D5" s="249">
        <v>2500</v>
      </c>
      <c r="E5" s="247">
        <f>D5/D15</f>
        <v>1.790327191603967E-2</v>
      </c>
      <c r="F5" s="249"/>
      <c r="G5" s="247" t="e">
        <f>F5/F15</f>
        <v>#DIV/0!</v>
      </c>
      <c r="H5" s="249"/>
      <c r="I5" s="247" t="e">
        <f>H5/H15</f>
        <v>#DIV/0!</v>
      </c>
      <c r="J5" s="249"/>
      <c r="K5" s="247" t="e">
        <f>J5/J15</f>
        <v>#DIV/0!</v>
      </c>
    </row>
    <row r="6" spans="1:11" x14ac:dyDescent="0.3">
      <c r="A6" s="245" t="s">
        <v>179</v>
      </c>
      <c r="B6" s="249">
        <v>26900</v>
      </c>
      <c r="C6" s="247">
        <f>B6/B15</f>
        <v>0.11450104679070379</v>
      </c>
      <c r="D6" s="249">
        <v>30000</v>
      </c>
      <c r="E6" s="247">
        <f>D6/D15</f>
        <v>0.21483926299247605</v>
      </c>
      <c r="F6" s="249"/>
      <c r="G6" s="247" t="e">
        <f>F6/F15</f>
        <v>#DIV/0!</v>
      </c>
      <c r="H6" s="249"/>
      <c r="I6" s="247" t="e">
        <f>H6/H15</f>
        <v>#DIV/0!</v>
      </c>
      <c r="J6" s="249"/>
      <c r="K6" s="247" t="e">
        <f>J6/J15</f>
        <v>#DIV/0!</v>
      </c>
    </row>
    <row r="7" spans="1:11" x14ac:dyDescent="0.3">
      <c r="A7" s="245" t="s">
        <v>131</v>
      </c>
      <c r="B7" s="249">
        <v>13190</v>
      </c>
      <c r="C7" s="247">
        <f>B7/B15</f>
        <v>5.6143821827858105E-2</v>
      </c>
      <c r="D7" s="249">
        <v>0</v>
      </c>
      <c r="E7" s="247">
        <f>D7/D15</f>
        <v>0</v>
      </c>
      <c r="F7" s="249"/>
      <c r="G7" s="247" t="e">
        <f>F7/F15</f>
        <v>#DIV/0!</v>
      </c>
      <c r="H7" s="249"/>
      <c r="I7" s="247" t="e">
        <f>H7/H15</f>
        <v>#DIV/0!</v>
      </c>
      <c r="J7" s="249"/>
      <c r="K7" s="247" t="e">
        <f>J7/J15</f>
        <v>#DIV/0!</v>
      </c>
    </row>
    <row r="8" spans="1:11" x14ac:dyDescent="0.3">
      <c r="A8" s="245" t="s">
        <v>116</v>
      </c>
      <c r="B8" s="249">
        <v>3499.98</v>
      </c>
      <c r="C8" s="247">
        <f>B8/B15</f>
        <v>1.4897820585372768E-2</v>
      </c>
      <c r="D8" s="249">
        <v>10000</v>
      </c>
      <c r="E8" s="247">
        <f>D8/D15</f>
        <v>7.1613087664158678E-2</v>
      </c>
      <c r="F8" s="249"/>
      <c r="G8" s="247" t="e">
        <f>F8/F15</f>
        <v>#DIV/0!</v>
      </c>
      <c r="H8" s="249"/>
      <c r="I8" s="247" t="e">
        <f>H8/H15</f>
        <v>#DIV/0!</v>
      </c>
      <c r="J8" s="249"/>
      <c r="K8" s="247" t="e">
        <f>J8/J15</f>
        <v>#DIV/0!</v>
      </c>
    </row>
    <row r="9" spans="1:11" x14ac:dyDescent="0.3">
      <c r="A9" s="245" t="s">
        <v>117</v>
      </c>
      <c r="B9" s="249">
        <v>139793.79999999999</v>
      </c>
      <c r="C9" s="247">
        <f>B9/B15</f>
        <v>0.59503852917659061</v>
      </c>
      <c r="D9" s="249">
        <v>70000</v>
      </c>
      <c r="E9" s="247">
        <f>D9/D15</f>
        <v>0.50129161364911079</v>
      </c>
      <c r="F9" s="249"/>
      <c r="G9" s="247" t="e">
        <f>F9/F15</f>
        <v>#DIV/0!</v>
      </c>
      <c r="H9" s="249"/>
      <c r="I9" s="247" t="e">
        <f>H9/H15</f>
        <v>#DIV/0!</v>
      </c>
      <c r="J9" s="249"/>
      <c r="K9" s="247" t="e">
        <f>J9/J15</f>
        <v>#DIV/0!</v>
      </c>
    </row>
    <row r="10" spans="1:11" x14ac:dyDescent="0.3">
      <c r="A10" s="245" t="s">
        <v>132</v>
      </c>
      <c r="B10" s="249">
        <v>13813.54</v>
      </c>
      <c r="C10" s="247">
        <f>B10/B15</f>
        <v>5.8797947579377639E-2</v>
      </c>
      <c r="D10" s="249">
        <v>10000</v>
      </c>
      <c r="E10" s="247">
        <f>D10/D15</f>
        <v>7.1613087664158678E-2</v>
      </c>
      <c r="F10" s="249"/>
      <c r="G10" s="247" t="e">
        <f>F10/F15</f>
        <v>#DIV/0!</v>
      </c>
      <c r="H10" s="249"/>
      <c r="I10" s="247" t="e">
        <f>H10/H15</f>
        <v>#DIV/0!</v>
      </c>
      <c r="J10" s="249"/>
      <c r="K10" s="247" t="e">
        <f>J10/J15</f>
        <v>#DIV/0!</v>
      </c>
    </row>
    <row r="11" spans="1:11" x14ac:dyDescent="0.3">
      <c r="A11" s="245" t="s">
        <v>118</v>
      </c>
      <c r="B11" s="249">
        <v>9628</v>
      </c>
      <c r="C11" s="247">
        <f>B11/B15</f>
        <v>4.0982010353193161E-2</v>
      </c>
      <c r="D11" s="249">
        <v>15000</v>
      </c>
      <c r="E11" s="247">
        <f>D11/D15</f>
        <v>0.10741963149623802</v>
      </c>
      <c r="F11" s="249"/>
      <c r="G11" s="247" t="e">
        <f>F11/F15</f>
        <v>#DIV/0!</v>
      </c>
      <c r="H11" s="249"/>
      <c r="I11" s="247" t="e">
        <f>H11/H15</f>
        <v>#DIV/0!</v>
      </c>
      <c r="J11" s="249"/>
      <c r="K11" s="247" t="e">
        <f>J11/J15</f>
        <v>#DIV/0!</v>
      </c>
    </row>
    <row r="12" spans="1:11" x14ac:dyDescent="0.3">
      <c r="A12" s="245" t="s">
        <v>183</v>
      </c>
      <c r="B12" s="249">
        <v>23467.75</v>
      </c>
      <c r="C12" s="247">
        <f>B12/B15</f>
        <v>9.989152196366316E-2</v>
      </c>
      <c r="D12" s="249">
        <v>0</v>
      </c>
      <c r="E12" s="247">
        <f>D12/D15</f>
        <v>0</v>
      </c>
      <c r="F12" s="249"/>
      <c r="G12" s="247" t="e">
        <f>F12/F15</f>
        <v>#DIV/0!</v>
      </c>
      <c r="H12" s="249"/>
      <c r="I12" s="247" t="e">
        <f>H12/H15</f>
        <v>#DIV/0!</v>
      </c>
      <c r="J12" s="249"/>
      <c r="K12" s="247" t="e">
        <f>J12/J15</f>
        <v>#DIV/0!</v>
      </c>
    </row>
    <row r="13" spans="1:11" x14ac:dyDescent="0.3">
      <c r="A13" s="245" t="s">
        <v>184</v>
      </c>
      <c r="B13" s="249">
        <v>2139.2800000000002</v>
      </c>
      <c r="C13" s="247">
        <f>B13/B15</f>
        <v>9.1059404973389147E-3</v>
      </c>
      <c r="D13" s="249">
        <v>2139.2800000000002</v>
      </c>
      <c r="E13" s="247">
        <f>D13/D15</f>
        <v>1.532004461781814E-2</v>
      </c>
      <c r="F13" s="249"/>
      <c r="G13" s="247" t="e">
        <f>F13/F15</f>
        <v>#DIV/0!</v>
      </c>
      <c r="H13" s="249"/>
      <c r="I13" s="247" t="e">
        <f>H13/H15</f>
        <v>#DIV/0!</v>
      </c>
      <c r="J13" s="249"/>
      <c r="K13" s="247" t="e">
        <f>J13/J15</f>
        <v>#DIV/0!</v>
      </c>
    </row>
    <row r="14" spans="1:11" x14ac:dyDescent="0.3">
      <c r="A14" s="245" t="s">
        <v>180</v>
      </c>
      <c r="B14" s="249">
        <v>0</v>
      </c>
      <c r="C14" s="247">
        <f>B14/B15</f>
        <v>0</v>
      </c>
      <c r="D14" s="249">
        <v>0</v>
      </c>
      <c r="E14" s="247">
        <f>D14/D15</f>
        <v>0</v>
      </c>
      <c r="F14" s="249"/>
      <c r="G14" s="247" t="e">
        <f>F14/F15</f>
        <v>#DIV/0!</v>
      </c>
      <c r="H14" s="249"/>
      <c r="I14" s="247" t="e">
        <f>H14/H15</f>
        <v>#DIV/0!</v>
      </c>
      <c r="J14" s="249"/>
      <c r="K14" s="247" t="e">
        <f>J14/J15</f>
        <v>#DIV/0!</v>
      </c>
    </row>
    <row r="15" spans="1:11" x14ac:dyDescent="0.3">
      <c r="A15" s="245" t="s">
        <v>126</v>
      </c>
      <c r="B15" s="249">
        <f>SUM(B5:B14)</f>
        <v>234932.35</v>
      </c>
      <c r="C15" s="247">
        <f>SUM(C5:C14)</f>
        <v>0.99999999999999989</v>
      </c>
      <c r="D15" s="249">
        <f>SUM(D5:D14)</f>
        <v>139639.28</v>
      </c>
      <c r="E15" s="247">
        <f>SUM(E5:E14)</f>
        <v>1</v>
      </c>
      <c r="F15" s="249">
        <f>SUM(F5:F14)</f>
        <v>0</v>
      </c>
      <c r="G15" s="247" t="e">
        <f>SUM(G5:G14)</f>
        <v>#DIV/0!</v>
      </c>
      <c r="H15" s="249">
        <f>SUM(H5:H14)</f>
        <v>0</v>
      </c>
      <c r="I15" s="247" t="e">
        <f>SUM(I5:I14)</f>
        <v>#DIV/0!</v>
      </c>
      <c r="J15" s="249">
        <f>SUM(J5:J14)</f>
        <v>0</v>
      </c>
      <c r="K15" s="247" t="e">
        <f>SUM(K5:K14)</f>
        <v>#DIV/0!</v>
      </c>
    </row>
    <row r="16" spans="1:11" x14ac:dyDescent="0.3">
      <c r="A16" s="245"/>
      <c r="B16" s="249"/>
      <c r="C16" s="247"/>
      <c r="D16" s="249"/>
      <c r="E16" s="247"/>
      <c r="F16" s="249"/>
      <c r="G16" s="247"/>
      <c r="H16" s="249"/>
      <c r="I16" s="247"/>
      <c r="J16" s="249"/>
      <c r="K16" s="247"/>
    </row>
    <row r="17" spans="1:11" x14ac:dyDescent="0.3">
      <c r="A17" s="245" t="s">
        <v>70</v>
      </c>
      <c r="B17" s="249">
        <v>40000</v>
      </c>
      <c r="C17" s="247"/>
      <c r="D17" s="249">
        <v>40000</v>
      </c>
      <c r="E17" s="247"/>
      <c r="F17" s="249"/>
      <c r="G17" s="247"/>
      <c r="H17" s="249">
        <v>60000</v>
      </c>
      <c r="I17" s="247"/>
      <c r="J17" s="249">
        <v>60000</v>
      </c>
      <c r="K17" s="247"/>
    </row>
    <row r="18" spans="1:11" x14ac:dyDescent="0.3">
      <c r="A18" s="245" t="s">
        <v>115</v>
      </c>
      <c r="B18" s="249">
        <v>25000</v>
      </c>
      <c r="C18" s="247"/>
      <c r="D18" s="249">
        <v>14000</v>
      </c>
      <c r="E18" s="247"/>
      <c r="F18" s="249"/>
      <c r="G18" s="247"/>
      <c r="H18" s="249"/>
      <c r="I18" s="247"/>
      <c r="J18" s="249"/>
      <c r="K18" s="247"/>
    </row>
    <row r="19" spans="1:11" x14ac:dyDescent="0.3">
      <c r="A19" s="245"/>
      <c r="B19" s="249"/>
      <c r="C19" s="247"/>
      <c r="D19" s="249"/>
      <c r="E19" s="247"/>
      <c r="F19" s="249"/>
      <c r="G19" s="247"/>
      <c r="H19" s="249"/>
      <c r="I19" s="247"/>
      <c r="J19" s="249"/>
      <c r="K19" s="247"/>
    </row>
    <row r="20" spans="1:11" x14ac:dyDescent="0.3">
      <c r="A20" s="245" t="s">
        <v>225</v>
      </c>
      <c r="B20" s="249">
        <f>B15+B17+B18</f>
        <v>299932.34999999998</v>
      </c>
      <c r="C20" s="247"/>
      <c r="D20" s="249">
        <f>D15+D17+D18</f>
        <v>193639.28</v>
      </c>
      <c r="E20" s="247"/>
      <c r="F20" s="249"/>
      <c r="G20" s="247"/>
      <c r="H20" s="249"/>
      <c r="I20" s="247"/>
      <c r="J20" s="249"/>
      <c r="K20" s="247"/>
    </row>
    <row r="21" spans="1:11" x14ac:dyDescent="0.3">
      <c r="A21" s="245"/>
      <c r="B21" s="249"/>
      <c r="C21" s="247"/>
      <c r="D21" s="249"/>
      <c r="E21" s="247"/>
      <c r="F21" s="249"/>
      <c r="G21" s="247"/>
      <c r="H21" s="249"/>
      <c r="I21" s="247"/>
      <c r="J21" s="249"/>
      <c r="K21" s="247"/>
    </row>
    <row r="22" spans="1:11" x14ac:dyDescent="0.3">
      <c r="A22" s="245" t="s">
        <v>114</v>
      </c>
      <c r="B22" s="249">
        <v>29000</v>
      </c>
      <c r="C22" s="247"/>
      <c r="D22" s="249">
        <v>10000</v>
      </c>
      <c r="E22" s="247"/>
      <c r="F22" s="249"/>
      <c r="G22" s="247"/>
      <c r="H22" s="249"/>
      <c r="I22" s="247"/>
      <c r="J22" s="249"/>
      <c r="K22" s="247"/>
    </row>
  </sheetData>
  <mergeCells count="5">
    <mergeCell ref="A3:C3"/>
    <mergeCell ref="D3:E3"/>
    <mergeCell ref="F3:G3"/>
    <mergeCell ref="H3:I3"/>
    <mergeCell ref="J3:K3"/>
  </mergeCells>
  <phoneticPr fontId="1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8CA4-8B9E-4B96-A6D8-A4F71BD8724C}">
  <dimension ref="B2:H9"/>
  <sheetViews>
    <sheetView workbookViewId="0">
      <selection activeCell="F5" sqref="F5"/>
    </sheetView>
  </sheetViews>
  <sheetFormatPr defaultRowHeight="14.4" x14ac:dyDescent="0.3"/>
  <cols>
    <col min="2" max="2" width="11.5546875" bestFit="1" customWidth="1"/>
    <col min="5" max="5" width="9.109375" bestFit="1" customWidth="1"/>
  </cols>
  <sheetData>
    <row r="2" spans="2:8" x14ac:dyDescent="0.3">
      <c r="E2" t="s">
        <v>186</v>
      </c>
    </row>
    <row r="4" spans="2:8" x14ac:dyDescent="0.3">
      <c r="B4" s="173">
        <f>SUM(Viabilidade!C59:N59)</f>
        <v>1288728</v>
      </c>
      <c r="C4" t="e">
        <f>(B4-B3)/B3%</f>
        <v>#DIV/0!</v>
      </c>
      <c r="E4" s="173">
        <v>1032290</v>
      </c>
      <c r="H4">
        <f>F4/12</f>
        <v>0</v>
      </c>
    </row>
    <row r="5" spans="2:8" x14ac:dyDescent="0.3">
      <c r="B5" s="173">
        <f>SUM(Viabilidade!O59:Z59)</f>
        <v>1568279.9999999998</v>
      </c>
      <c r="C5">
        <f>(B5-B4)/B4%</f>
        <v>21.692087081214947</v>
      </c>
      <c r="E5" s="173">
        <v>1139237</v>
      </c>
      <c r="F5">
        <f>(E5-E4)/E4%</f>
        <v>10.360170107237307</v>
      </c>
      <c r="H5">
        <f>F5/12</f>
        <v>0.8633475089364423</v>
      </c>
    </row>
    <row r="6" spans="2:8" x14ac:dyDescent="0.3">
      <c r="B6" s="173">
        <f>SUM(Viabilidade!AA59:AL59)</f>
        <v>1873031.9999999998</v>
      </c>
      <c r="C6">
        <f>(B6-B5)/B5%</f>
        <v>19.432244242099628</v>
      </c>
      <c r="E6" s="173">
        <v>1275413</v>
      </c>
      <c r="F6">
        <f>(E6-E5)/E5%</f>
        <v>11.953263456155304</v>
      </c>
      <c r="H6">
        <f t="shared" ref="H6:H8" si="0">F6/12</f>
        <v>0.99610528801294196</v>
      </c>
    </row>
    <row r="7" spans="2:8" x14ac:dyDescent="0.3">
      <c r="B7" s="173">
        <f>SUM(Viabilidade!AM59:AX59)</f>
        <v>2144183.9999999995</v>
      </c>
      <c r="C7">
        <f>(B7-B6)/B6%</f>
        <v>14.476634675755664</v>
      </c>
      <c r="E7" s="173">
        <v>1469241</v>
      </c>
      <c r="F7">
        <f>(E7-E6)/E6%</f>
        <v>15.197273353807748</v>
      </c>
      <c r="H7">
        <f t="shared" si="0"/>
        <v>1.2664394461506456</v>
      </c>
    </row>
    <row r="8" spans="2:8" x14ac:dyDescent="0.3">
      <c r="B8" s="173">
        <f>SUM(Viabilidade!AY58:BJ59)</f>
        <v>2337999.9999999995</v>
      </c>
      <c r="C8">
        <f>(B8-B7)/B7%</f>
        <v>9.039149625218732</v>
      </c>
      <c r="E8" s="173">
        <v>1564249</v>
      </c>
      <c r="F8">
        <f>(E8-E7)/E7%</f>
        <v>6.4664680607197864</v>
      </c>
      <c r="H8">
        <f t="shared" si="0"/>
        <v>0.5388723383933155</v>
      </c>
    </row>
    <row r="9" spans="2:8" x14ac:dyDescent="0.3">
      <c r="E9" s="173">
        <v>1687555</v>
      </c>
      <c r="F9">
        <f>(E9-E8)/E8%</f>
        <v>7.882760353370851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Investimentos</vt:lpstr>
      <vt:lpstr>Simples Nacional</vt:lpstr>
      <vt:lpstr>Folha de Pagamento</vt:lpstr>
      <vt:lpstr>Viabilidade</vt:lpstr>
      <vt:lpstr>Comparação</vt:lpstr>
      <vt:lpstr>Planilha1</vt:lpstr>
      <vt:lpstr>'Folha de Pagamento'!Area_de_impressao</vt:lpstr>
      <vt:lpstr>Investimentos!Area_de_impressao</vt:lpstr>
      <vt:lpstr>Viabilidade!Area_de_impressao</vt:lpstr>
      <vt:lpstr>Viabilidade!Titulos_de_impressao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Christiano Cruz</cp:lastModifiedBy>
  <cp:lastPrinted>2024-07-17T13:28:00Z</cp:lastPrinted>
  <dcterms:created xsi:type="dcterms:W3CDTF">2014-10-28T12:48:01Z</dcterms:created>
  <dcterms:modified xsi:type="dcterms:W3CDTF">2024-12-03T23:45:37Z</dcterms:modified>
</cp:coreProperties>
</file>