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Dell\OneDrive\Desktop\ITMOrbius\Physics_XVIIstarPt_\III semester\Решатели лаб по физике\"/>
    </mc:Choice>
  </mc:AlternateContent>
  <xr:revisionPtr revIDLastSave="2" documentId="13_ncr:1_{5B919F94-0351-4D5C-AA68-491169DFA8BE}" xr6:coauthVersionLast="36" xr6:coauthVersionMax="36" xr10:uidLastSave="{40C16E9F-BA5C-491B-8A5C-33ADB873AF3F}"/>
  <bookViews>
    <workbookView xWindow="0" yWindow="0" windowWidth="17256" windowHeight="5496" tabRatio="799" firstSheet="4" activeTab="10" xr2:uid="{00000000-000D-0000-FFFF-FFFF00000000}"/>
  </bookViews>
  <sheets>
    <sheet name="Погрешности косвенные (Шаблон)" sheetId="9" state="hidden" r:id="rId1"/>
    <sheet name="МНК (Шаблон)" sheetId="4" state="hidden" r:id="rId2"/>
    <sheet name="Таблица 1" sheetId="1" r:id="rId3"/>
    <sheet name="Таблица 2" sheetId="2" r:id="rId4"/>
    <sheet name="Таблица 3" sheetId="19" r:id="rId5"/>
    <sheet name="График 1" sheetId="23" r:id="rId6"/>
    <sheet name="График 2" sheetId="24" r:id="rId7"/>
    <sheet name="Печать 1" sheetId="25" r:id="rId8"/>
    <sheet name="Печать 2" sheetId="26" r:id="rId9"/>
    <sheet name="Печать 3" sheetId="27" r:id="rId10"/>
    <sheet name="Параметры установки" sheetId="22" r:id="rId11"/>
    <sheet name="Погрешности прямые (t)" sheetId="13" r:id="rId12"/>
    <sheet name="Погрешности прямые (a)" sheetId="5" r:id="rId13"/>
    <sheet name="Погрешности косвенные (a)" sheetId="12" r:id="rId14"/>
    <sheet name="Погрешности прямые (e)" sheetId="6" r:id="rId15"/>
    <sheet name="Погрешности косвенные (e)" sheetId="10" r:id="rId16"/>
    <sheet name="Погрешности прямые (M)" sheetId="7" r:id="rId17"/>
    <sheet name="Погрешности косвенные (M)" sheetId="11" r:id="rId18"/>
    <sheet name="МНК рис.1" sheetId="8" r:id="rId19"/>
    <sheet name="МНК рис.2" sheetId="14" r:id="rId20"/>
    <sheet name="МНК рис.3" sheetId="15" r:id="rId21"/>
    <sheet name="МНК рис.4" sheetId="16" r:id="rId22"/>
    <sheet name="МНК рис.5" sheetId="17" r:id="rId23"/>
    <sheet name="МНК рис.6" sheetId="18" r:id="rId24"/>
    <sheet name="МНК I" sheetId="21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1" l="1"/>
  <c r="B3" i="10" l="1"/>
  <c r="N2" i="5"/>
  <c r="M2" i="5"/>
  <c r="H2" i="5"/>
  <c r="N2" i="13"/>
  <c r="G18" i="1" l="1"/>
  <c r="F18" i="1"/>
  <c r="E18" i="1"/>
  <c r="D18" i="1"/>
  <c r="C18" i="1"/>
  <c r="B18" i="1"/>
  <c r="A15" i="1"/>
  <c r="G14" i="1"/>
  <c r="F14" i="1"/>
  <c r="E14" i="1"/>
  <c r="D14" i="1"/>
  <c r="C14" i="1"/>
  <c r="B14" i="1"/>
  <c r="A11" i="1"/>
  <c r="G10" i="1"/>
  <c r="F10" i="1"/>
  <c r="E10" i="1"/>
  <c r="D10" i="1"/>
  <c r="C10" i="1"/>
  <c r="B10" i="1"/>
  <c r="A7" i="1"/>
  <c r="G6" i="1"/>
  <c r="F6" i="1"/>
  <c r="E6" i="1"/>
  <c r="D6" i="1"/>
  <c r="C6" i="1"/>
  <c r="B6" i="1"/>
  <c r="A3" i="1"/>
  <c r="G19" i="25" l="1"/>
  <c r="F19" i="25"/>
  <c r="E19" i="25"/>
  <c r="D19" i="25"/>
  <c r="C19" i="25"/>
  <c r="B19" i="25"/>
  <c r="A16" i="25"/>
  <c r="G15" i="25"/>
  <c r="F15" i="25"/>
  <c r="E15" i="25"/>
  <c r="D15" i="25"/>
  <c r="C15" i="25"/>
  <c r="B15" i="25"/>
  <c r="A12" i="25"/>
  <c r="G11" i="25"/>
  <c r="F11" i="25"/>
  <c r="E11" i="25"/>
  <c r="D11" i="25"/>
  <c r="C11" i="25"/>
  <c r="B11" i="25"/>
  <c r="A8" i="25"/>
  <c r="G7" i="25"/>
  <c r="F7" i="25"/>
  <c r="E7" i="25"/>
  <c r="D7" i="25"/>
  <c r="C7" i="25"/>
  <c r="B7" i="25"/>
  <c r="A4" i="25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 s="1"/>
  <c r="B9" i="9" s="1"/>
  <c r="L2" i="21" l="1"/>
  <c r="E2" i="21" s="1"/>
  <c r="H2" i="13"/>
  <c r="B2" i="12" l="1"/>
  <c r="B4" i="10"/>
  <c r="B4" i="12"/>
  <c r="B2" i="10"/>
  <c r="C2" i="21"/>
  <c r="E4" i="21"/>
  <c r="C3" i="21"/>
  <c r="E7" i="21"/>
  <c r="E6" i="21"/>
  <c r="E5" i="21"/>
  <c r="E3" i="21"/>
  <c r="C7" i="21"/>
  <c r="C6" i="21"/>
  <c r="C5" i="21"/>
  <c r="C4" i="21"/>
  <c r="B4" i="13"/>
  <c r="B3" i="11"/>
  <c r="B3" i="13"/>
  <c r="B2" i="13"/>
  <c r="B3" i="12"/>
  <c r="I2" i="13" l="1"/>
  <c r="K2" i="13" s="1"/>
  <c r="M2" i="13" s="1"/>
  <c r="B5" i="10" s="1"/>
  <c r="P2" i="21"/>
  <c r="B6" i="12" l="1"/>
  <c r="B5" i="11"/>
  <c r="B5" i="12"/>
  <c r="B7" i="12" s="1"/>
  <c r="B8" i="12" s="1"/>
  <c r="M2" i="4"/>
  <c r="D3" i="4" s="1"/>
  <c r="L2" i="4"/>
  <c r="C2" i="4" s="1"/>
  <c r="B6" i="10" l="1"/>
  <c r="B6" i="1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A3" i="2"/>
  <c r="B4" i="11" s="1"/>
  <c r="B26" i="2"/>
  <c r="C26" i="2" s="1"/>
  <c r="D26" i="2" s="1"/>
  <c r="A5" i="18" s="1"/>
  <c r="B25" i="2"/>
  <c r="C25" i="2" s="1"/>
  <c r="D25" i="2" s="1"/>
  <c r="A5" i="17" s="1"/>
  <c r="B24" i="2"/>
  <c r="C24" i="2" s="1"/>
  <c r="D24" i="2" s="1"/>
  <c r="A5" i="16" s="1"/>
  <c r="B23" i="2"/>
  <c r="C23" i="2" s="1"/>
  <c r="D23" i="2" s="1"/>
  <c r="A5" i="15" s="1"/>
  <c r="B22" i="2"/>
  <c r="C22" i="2" s="1"/>
  <c r="D22" i="2" s="1"/>
  <c r="A5" i="14" s="1"/>
  <c r="B21" i="2"/>
  <c r="C21" i="2" s="1"/>
  <c r="D21" i="2" s="1"/>
  <c r="A5" i="8" s="1"/>
  <c r="B20" i="2"/>
  <c r="C20" i="2" s="1"/>
  <c r="D20" i="2" s="1"/>
  <c r="A4" i="18" s="1"/>
  <c r="B19" i="2"/>
  <c r="C19" i="2" s="1"/>
  <c r="D19" i="2" s="1"/>
  <c r="A4" i="17" s="1"/>
  <c r="B18" i="2"/>
  <c r="C18" i="2" s="1"/>
  <c r="D18" i="2" s="1"/>
  <c r="A4" i="16" s="1"/>
  <c r="B17" i="2"/>
  <c r="C17" i="2" s="1"/>
  <c r="D17" i="2" s="1"/>
  <c r="A4" i="15" s="1"/>
  <c r="B16" i="2"/>
  <c r="C16" i="2" s="1"/>
  <c r="D16" i="2" s="1"/>
  <c r="A4" i="14" s="1"/>
  <c r="B15" i="2"/>
  <c r="C15" i="2" s="1"/>
  <c r="D15" i="2" s="1"/>
  <c r="A4" i="8" s="1"/>
  <c r="B10" i="2"/>
  <c r="C10" i="2" s="1"/>
  <c r="D10" i="2" s="1"/>
  <c r="A3" i="14" s="1"/>
  <c r="B11" i="2"/>
  <c r="C11" i="2" s="1"/>
  <c r="D11" i="2" s="1"/>
  <c r="A3" i="15" s="1"/>
  <c r="B12" i="2"/>
  <c r="C12" i="2" s="1"/>
  <c r="D12" i="2" s="1"/>
  <c r="A3" i="16" s="1"/>
  <c r="B13" i="2"/>
  <c r="C13" i="2" s="1"/>
  <c r="D13" i="2" s="1"/>
  <c r="A3" i="17" s="1"/>
  <c r="B14" i="2"/>
  <c r="C14" i="2" s="1"/>
  <c r="D14" i="2" s="1"/>
  <c r="A3" i="18" s="1"/>
  <c r="B9" i="2"/>
  <c r="C9" i="2" s="1"/>
  <c r="D9" i="2" s="1"/>
  <c r="A3" i="8" s="1"/>
  <c r="B4" i="2"/>
  <c r="C4" i="2" s="1"/>
  <c r="B5" i="2"/>
  <c r="C5" i="2" s="1"/>
  <c r="B6" i="2"/>
  <c r="C6" i="2" s="1"/>
  <c r="B7" i="2"/>
  <c r="C7" i="2" s="1"/>
  <c r="A6" i="5" s="1"/>
  <c r="B8" i="2"/>
  <c r="C8" i="2" s="1"/>
  <c r="B3" i="2"/>
  <c r="C3" i="2" s="1"/>
  <c r="B2" i="11" l="1"/>
  <c r="B7" i="11" s="1"/>
  <c r="B8" i="11" s="1"/>
  <c r="D5" i="2"/>
  <c r="A4" i="5"/>
  <c r="D6" i="2"/>
  <c r="A5" i="5"/>
  <c r="D3" i="2"/>
  <c r="A2" i="5"/>
  <c r="D8" i="2"/>
  <c r="A7" i="5"/>
  <c r="E26" i="2"/>
  <c r="B5" i="18" s="1"/>
  <c r="D4" i="2"/>
  <c r="A3" i="5"/>
  <c r="G5" i="4"/>
  <c r="P2" i="4"/>
  <c r="G4" i="4"/>
  <c r="G6" i="4"/>
  <c r="G7" i="4"/>
  <c r="G2" i="4"/>
  <c r="G8" i="4"/>
  <c r="G3" i="4"/>
  <c r="E6" i="2"/>
  <c r="D7" i="2"/>
  <c r="E7" i="2"/>
  <c r="E10" i="2"/>
  <c r="B3" i="14" s="1"/>
  <c r="E5" i="2"/>
  <c r="E18" i="2"/>
  <c r="B4" i="16" s="1"/>
  <c r="E22" i="2"/>
  <c r="B5" i="14" s="1"/>
  <c r="E23" i="2"/>
  <c r="B5" i="15" s="1"/>
  <c r="E4" i="2"/>
  <c r="E24" i="2"/>
  <c r="B5" i="16" s="1"/>
  <c r="E3" i="2"/>
  <c r="E25" i="2"/>
  <c r="B5" i="17" s="1"/>
  <c r="E8" i="2"/>
  <c r="E21" i="2"/>
  <c r="B5" i="8" s="1"/>
  <c r="E17" i="2"/>
  <c r="B4" i="15" s="1"/>
  <c r="E20" i="2"/>
  <c r="B4" i="18" s="1"/>
  <c r="E19" i="2"/>
  <c r="B4" i="17" s="1"/>
  <c r="E15" i="2"/>
  <c r="B4" i="8" s="1"/>
  <c r="E16" i="2"/>
  <c r="B4" i="14" s="1"/>
  <c r="E13" i="2"/>
  <c r="B3" i="17" s="1"/>
  <c r="E12" i="2"/>
  <c r="B3" i="16" s="1"/>
  <c r="E11" i="2"/>
  <c r="B3" i="15" s="1"/>
  <c r="E9" i="2"/>
  <c r="B3" i="8" s="1"/>
  <c r="E14" i="2"/>
  <c r="B3" i="18" s="1"/>
  <c r="B2" i="18" l="1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B4" i="5"/>
  <c r="B2" i="16"/>
  <c r="A5" i="7"/>
  <c r="A2" i="18"/>
  <c r="A7" i="6"/>
  <c r="A2" i="8"/>
  <c r="A2" i="6"/>
  <c r="H5" i="4" l="1"/>
  <c r="I5" i="4" s="1"/>
  <c r="B3" i="5"/>
  <c r="B2" i="5"/>
  <c r="L2" i="14"/>
  <c r="E2" i="14" s="1"/>
  <c r="M2" i="16"/>
  <c r="F2" i="16" s="1"/>
  <c r="L2" i="17"/>
  <c r="E2" i="17" s="1"/>
  <c r="H2" i="7"/>
  <c r="B9" i="11" s="1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R2" i="4" s="1"/>
  <c r="R4" i="4" s="1"/>
  <c r="R6" i="4" s="1"/>
  <c r="H2" i="4"/>
  <c r="I2" i="4" s="1"/>
  <c r="M2" i="15"/>
  <c r="F2" i="15" s="1"/>
  <c r="L2" i="16"/>
  <c r="E2" i="16" s="1"/>
  <c r="H8" i="4"/>
  <c r="I8" i="4" s="1"/>
  <c r="B9" i="12"/>
  <c r="B6" i="5"/>
  <c r="H2" i="6"/>
  <c r="B7" i="5"/>
  <c r="L2" i="15"/>
  <c r="M2" i="18"/>
  <c r="F2" i="18" s="1"/>
  <c r="Q2" i="4" l="1"/>
  <c r="Q4" i="4" s="1"/>
  <c r="Q6" i="4" s="1"/>
  <c r="B4" i="7"/>
  <c r="B7" i="7"/>
  <c r="B6" i="7"/>
  <c r="B3" i="7"/>
  <c r="E2" i="8"/>
  <c r="G2" i="8" s="1"/>
  <c r="F2" i="8"/>
  <c r="C2" i="17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C5" i="14"/>
  <c r="E5" i="14"/>
  <c r="G5" i="14" s="1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J8" i="4"/>
  <c r="J2" i="4"/>
  <c r="G3" i="14" l="1"/>
  <c r="G5" i="17"/>
  <c r="G5" i="8"/>
  <c r="G4" i="8"/>
  <c r="G3" i="17"/>
  <c r="G4" i="17"/>
  <c r="G5" i="16"/>
  <c r="P2" i="8"/>
  <c r="P2" i="17"/>
  <c r="G5" i="18"/>
  <c r="G3" i="8"/>
  <c r="G4" i="14"/>
  <c r="N2" i="14" s="1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7" l="1"/>
  <c r="N2" i="8"/>
  <c r="O2" i="8" s="1"/>
  <c r="O2" i="17"/>
  <c r="H2" i="17" s="1"/>
  <c r="I2" i="17" s="1"/>
  <c r="F4" i="19"/>
  <c r="B6" i="21" s="1"/>
  <c r="O2" i="14"/>
  <c r="H5" i="14" s="1"/>
  <c r="I5" i="14" s="1"/>
  <c r="C4" i="19"/>
  <c r="B3" i="21" s="1"/>
  <c r="N2" i="15"/>
  <c r="N2" i="18"/>
  <c r="N2" i="16"/>
  <c r="B7" i="10"/>
  <c r="B8" i="10" s="1"/>
  <c r="B9" i="10" s="1"/>
  <c r="N2" i="6"/>
  <c r="H4" i="8" l="1"/>
  <c r="I4" i="8" s="1"/>
  <c r="H5" i="8"/>
  <c r="I5" i="8" s="1"/>
  <c r="B4" i="19"/>
  <c r="B2" i="21" s="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R4" i="17" s="1"/>
  <c r="R6" i="17" s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H2" i="16"/>
  <c r="I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R2" i="16"/>
  <c r="Q2" i="16"/>
  <c r="Q4" i="16" s="1"/>
  <c r="Q6" i="16" s="1"/>
  <c r="Q2" i="15"/>
  <c r="Q4" i="15" s="1"/>
  <c r="Q6" i="15" s="1"/>
  <c r="R2" i="15"/>
  <c r="N2" i="21" l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O2" i="21" l="1"/>
  <c r="H6" i="21" s="1"/>
  <c r="I6" i="21" s="1"/>
  <c r="H4" i="2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</calcChain>
</file>

<file path=xl/sharedStrings.xml><?xml version="1.0" encoding="utf-8"?>
<sst xmlns="http://schemas.openxmlformats.org/spreadsheetml/2006/main" count="295" uniqueCount="79">
  <si>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</si>
  <si>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</si>
  <si>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</si>
  <si>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</si>
  <si>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</si>
  <si>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</si>
  <si>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</si>
  <si>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</si>
  <si>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</si>
  <si>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</si>
  <si>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</si>
  <si>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</si>
  <si>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</si>
  <si>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</si>
  <si>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</si>
  <si>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</si>
  <si>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</si>
  <si>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</si>
  <si>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</si>
  <si>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</si>
  <si>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</si>
  <si>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</si>
  <si>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</si>
  <si>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</si>
  <si>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</si>
  <si>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</si>
  <si>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</si>
  <si>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</si>
  <si>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</si>
  <si>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</si>
  <si>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</si>
  <si>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</si>
  <si>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</si>
  <si>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</si>
  <si>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</si>
  <si>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</si>
  <si>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</si>
  <si>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</si>
  <si>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</si>
  <si>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</si>
  <si>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</si>
  <si>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</si>
  <si>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</si>
  <si>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</si>
  <si>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</si>
  <si>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</si>
  <si>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</si>
  <si>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</si>
  <si>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</si>
  <si>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</si>
  <si>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</si>
  <si>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</si>
  <si>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</si>
  <si>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</si>
  <si>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</si>
  <si>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</si>
  <si>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</si>
  <si>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</si>
  <si>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</si>
  <si>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</si>
  <si>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</si>
  <si>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</si>
  <si>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</si>
  <si>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</si>
  <si>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</si>
  <si>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</si>
  <si>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</si>
  <si>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</si>
  <si>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</si>
  <si>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</si>
  <si>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1 риска</t>
  </si>
  <si>
    <t>2 риска</t>
  </si>
  <si>
    <t>3 риска</t>
  </si>
  <si>
    <t>4 риска</t>
  </si>
  <si>
    <t>5 риска</t>
  </si>
  <si>
    <t>6 риска</t>
  </si>
  <si>
    <r>
      <t>ε, рад*с</t>
    </r>
    <r>
      <rPr>
        <vertAlign val="superscript"/>
        <sz val="11"/>
        <color theme="1"/>
        <rFont val="Calibri"/>
        <family val="2"/>
        <charset val="204"/>
      </rPr>
      <t>-2</t>
    </r>
  </si>
  <si>
    <t>a=2h/t^2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</si>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</sst>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"/>
    <numFmt numFmtId="166" formatCode="0.0000000"/>
    <numFmt numFmtId="167" formatCode="0.000000%"/>
    <numFmt numFmtId="168" formatCode="0.000000"/>
    <numFmt numFmtId="169" formatCode="0.000"/>
    <numFmt numFmtId="170" formatCode="0.00000%"/>
    <numFmt numFmtId="171" formatCode="0.00000000"/>
    <numFmt numFmtId="172" formatCode="0.00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5" fontId="0" fillId="0" borderId="1" xfId="0" applyNumberFormat="1" applyBorder="1"/>
    <xf numFmtId="168" fontId="0" fillId="0" borderId="1" xfId="0" applyNumberFormat="1" applyBorder="1"/>
    <xf numFmtId="168" fontId="0" fillId="0" borderId="7" xfId="0" applyNumberFormat="1" applyBorder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1" applyNumberFormat="1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2.482026744271694E-6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2.482026744271694E-6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2'!$D$3,'Таблица 2'!$D$9,'Таблица 2'!$D$15,'Таблица 2'!$D$21)</c:f>
              <c:numCache>
                <c:formatCode>0.00000</c:formatCode>
                <c:ptCount val="4"/>
                <c:pt idx="0">
                  <c:v>2.7712267833878061</c:v>
                </c:pt>
                <c:pt idx="1">
                  <c:v>5.1637862848196967</c:v>
                </c:pt>
                <c:pt idx="2">
                  <c:v>7.7271354674782042</c:v>
                </c:pt>
                <c:pt idx="3">
                  <c:v>10.36510933092643</c:v>
                </c:pt>
              </c:numCache>
            </c:numRef>
          </c:xVal>
          <c:yVal>
            <c:numRef>
              <c:f>('Таблица 2'!$E$3,'Таблица 2'!$E$9,'Таблица 2'!$E$15,'Таблица 2'!$E$21)</c:f>
              <c:numCache>
                <c:formatCode>0.00000</c:formatCode>
                <c:ptCount val="4"/>
                <c:pt idx="0">
                  <c:v>4.9265484626949338E-2</c:v>
                </c:pt>
                <c:pt idx="1">
                  <c:v>9.7974077104345372E-2</c:v>
                </c:pt>
                <c:pt idx="2">
                  <c:v>0.14606614792288466</c:v>
                </c:pt>
                <c:pt idx="3">
                  <c:v>0.19352683430426718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2'!$D$4,'Таблица 2'!$D$10,'Таблица 2'!$D$16,'Таблица 2'!$D$22)</c:f>
              <c:numCache>
                <c:formatCode>0.00000</c:formatCode>
                <c:ptCount val="4"/>
                <c:pt idx="0">
                  <c:v>1.9856534020239136</c:v>
                </c:pt>
                <c:pt idx="1">
                  <c:v>3.729387144482851</c:v>
                </c:pt>
                <c:pt idx="2">
                  <c:v>5.566976202325475</c:v>
                </c:pt>
                <c:pt idx="3">
                  <c:v>7.3047763729675035</c:v>
                </c:pt>
              </c:numCache>
            </c:numRef>
          </c:xVal>
          <c:yVal>
            <c:numRef>
              <c:f>('Таблица 2'!$E$4,'Таблица 2'!$E$10,'Таблица 2'!$E$16,'Таблица 2'!$E$22)</c:f>
              <c:numCache>
                <c:formatCode>0.00000</c:formatCode>
                <c:ptCount val="4"/>
                <c:pt idx="0">
                  <c:v>4.9356909657072463E-2</c:v>
                </c:pt>
                <c:pt idx="1">
                  <c:v>9.8307947848250185E-2</c:v>
                </c:pt>
                <c:pt idx="2">
                  <c:v>0.14682034592872009</c:v>
                </c:pt>
                <c:pt idx="3">
                  <c:v>0.19495148050285618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2'!$D$5,'Таблица 2'!$D$11,'Таблица 2'!$D$17,'Таблица 2'!$D$23)</c:f>
              <c:numCache>
                <c:formatCode>0.00000</c:formatCode>
                <c:ptCount val="4"/>
                <c:pt idx="0">
                  <c:v>1.4616116741847642</c:v>
                </c:pt>
                <c:pt idx="1">
                  <c:v>2.6978200650367334</c:v>
                </c:pt>
                <c:pt idx="2">
                  <c:v>4.1351575591845249</c:v>
                </c:pt>
                <c:pt idx="3">
                  <c:v>5.3703174880553055</c:v>
                </c:pt>
              </c:numCache>
            </c:numRef>
          </c:xVal>
          <c:yVal>
            <c:numRef>
              <c:f>('Таблица 2'!$E$5,'Таблица 2'!$E$11,'Таблица 2'!$E$17,'Таблица 2'!$E$23)</c:f>
              <c:numCache>
                <c:formatCode>0.00000</c:formatCode>
                <c:ptCount val="4"/>
                <c:pt idx="0">
                  <c:v>4.9417897633358389E-2</c:v>
                </c:pt>
                <c:pt idx="1">
                  <c:v>9.854805540166206E-2</c:v>
                </c:pt>
                <c:pt idx="2">
                  <c:v>0.14732025108978636</c:v>
                </c:pt>
                <c:pt idx="3">
                  <c:v>0.19585200980296052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2'!$D$6,'Таблица 2'!$D$12,'Таблица 2'!$D$18,'Таблица 2'!$D$24)</c:f>
              <c:numCache>
                <c:formatCode>0.00000</c:formatCode>
                <c:ptCount val="4"/>
                <c:pt idx="0">
                  <c:v>1.1277673800409949</c:v>
                </c:pt>
                <c:pt idx="1">
                  <c:v>2.095186413973217</c:v>
                </c:pt>
                <c:pt idx="2">
                  <c:v>3.0282947275826575</c:v>
                </c:pt>
                <c:pt idx="3">
                  <c:v>3.9679571712559296</c:v>
                </c:pt>
              </c:numCache>
            </c:numRef>
          </c:xVal>
          <c:yVal>
            <c:numRef>
              <c:f>('Таблица 2'!$E$6,'Таблица 2'!$E$12,'Таблица 2'!$E$18,'Таблица 2'!$E$24)</c:f>
              <c:numCache>
                <c:formatCode>0.00000</c:formatCode>
                <c:ptCount val="4"/>
                <c:pt idx="0">
                  <c:v>4.9456750432310834E-2</c:v>
                </c:pt>
                <c:pt idx="1">
                  <c:v>9.8688324410283607E-2</c:v>
                </c:pt>
                <c:pt idx="2">
                  <c:v>0.14770670117881182</c:v>
                </c:pt>
                <c:pt idx="3">
                  <c:v>0.19650483657763695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2'!$D$7,'Таблица 2'!$D$13,'Таблица 2'!$D$19,'Таблица 2'!$D$25)</c:f>
              <c:numCache>
                <c:formatCode>0.00000</c:formatCode>
                <c:ptCount val="4"/>
                <c:pt idx="0">
                  <c:v>0.85653487470454892</c:v>
                </c:pt>
                <c:pt idx="1">
                  <c:v>1.6163489747722946</c:v>
                </c:pt>
                <c:pt idx="2">
                  <c:v>2.4283028175327779</c:v>
                </c:pt>
                <c:pt idx="3">
                  <c:v>3.1251202923287114</c:v>
                </c:pt>
              </c:numCache>
            </c:numRef>
          </c:xVal>
          <c:yVal>
            <c:numRef>
              <c:f>('Таблица 2'!$E$7,'Таблица 2'!$E$13,'Таблица 2'!$E$19,'Таблица 2'!$E$25)</c:f>
              <c:numCache>
                <c:formatCode>0.00000</c:formatCode>
                <c:ptCount val="4"/>
                <c:pt idx="0">
                  <c:v>4.9488316471281893E-2</c:v>
                </c:pt>
                <c:pt idx="1">
                  <c:v>9.8799778612632005E-2</c:v>
                </c:pt>
                <c:pt idx="2">
                  <c:v>0.14791618235428663</c:v>
                </c:pt>
                <c:pt idx="3">
                  <c:v>0.19689719400151517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2'!$D$8,'Таблица 2'!$D$14,'Таблица 2'!$D$20,'Таблица 2'!$D$26)</c:f>
              <c:numCache>
                <c:formatCode>0.00000</c:formatCode>
                <c:ptCount val="4"/>
                <c:pt idx="0">
                  <c:v>0.6840216346271295</c:v>
                </c:pt>
                <c:pt idx="1">
                  <c:v>1.297236191963159</c:v>
                </c:pt>
                <c:pt idx="2">
                  <c:v>1.8453219777100629</c:v>
                </c:pt>
                <c:pt idx="3">
                  <c:v>2.5112024041693775</c:v>
                </c:pt>
              </c:numCache>
            </c:numRef>
          </c:xVal>
          <c:yVal>
            <c:numRef>
              <c:f>('Таблица 2'!$E$8,'Таблица 2'!$E$14,'Таблица 2'!$E$20,'Таблица 2'!$E$26)</c:f>
              <c:numCache>
                <c:formatCode>0.00000</c:formatCode>
                <c:ptCount val="4"/>
                <c:pt idx="0">
                  <c:v>4.9508393562162099E-2</c:v>
                </c:pt>
                <c:pt idx="1">
                  <c:v>9.8874055303958666E-2</c:v>
                </c:pt>
                <c:pt idx="2">
                  <c:v>0.14811972428470233</c:v>
                </c:pt>
                <c:pt idx="3">
                  <c:v>0.19718298505681109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0.000000</c:formatCode>
                <c:ptCount val="6"/>
                <c:pt idx="0">
                  <c:v>1.8961673083835066E-2</c:v>
                </c:pt>
                <c:pt idx="1">
                  <c:v>2.7268348908067931E-2</c:v>
                </c:pt>
                <c:pt idx="2">
                  <c:v>3.7042967023977441E-2</c:v>
                </c:pt>
                <c:pt idx="3">
                  <c:v>5.1846350121062403E-2</c:v>
                </c:pt>
                <c:pt idx="4">
                  <c:v>6.4448603816210467E-2</c:v>
                </c:pt>
                <c:pt idx="5">
                  <c:v>8.1533113335827481E-2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0.000000</c:formatCode>
                <c:ptCount val="6"/>
                <c:pt idx="0">
                  <c:v>1.8961673083835066E-2</c:v>
                </c:pt>
                <c:pt idx="1">
                  <c:v>2.7268348908067931E-2</c:v>
                </c:pt>
                <c:pt idx="2">
                  <c:v>3.7042967023977441E-2</c:v>
                </c:pt>
                <c:pt idx="3">
                  <c:v>5.1846350121062403E-2</c:v>
                </c:pt>
                <c:pt idx="4">
                  <c:v>6.4448603816210467E-2</c:v>
                </c:pt>
                <c:pt idx="5">
                  <c:v>8.1533113335827481E-2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17</xdr:col>
      <xdr:colOff>80010</xdr:colOff>
      <xdr:row>31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G9"/>
  <sheetViews>
    <sheetView workbookViewId="0">
      <selection activeCell="A18" sqref="A18"/>
    </sheetView>
  </sheetViews>
  <sheetFormatPr defaultRowHeight="14.4" x14ac:dyDescent="0.3"/>
  <cols>
    <col min="1" max="1" width="26.33203125" customWidth="1"/>
  </cols>
  <sheetData>
    <row r="1" spans="1:7" x14ac:dyDescent="0.3">
      <c r="A1" s="31" t="s">
        <v>41</v>
      </c>
    </row>
    <row r="2" spans="1:7" ht="43.2" x14ac:dyDescent="0.3">
      <c r="A2" s="31" t="s">
        <v>37</v>
      </c>
      <c r="B2" s="27">
        <v>1</v>
      </c>
      <c r="C2" s="27">
        <v>1</v>
      </c>
      <c r="D2" s="27">
        <v>1</v>
      </c>
      <c r="E2" s="27">
        <v>1</v>
      </c>
      <c r="F2" s="27"/>
      <c r="G2" s="27"/>
    </row>
    <row r="3" spans="1:7" ht="28.8" x14ac:dyDescent="0.3">
      <c r="A3" s="31" t="s">
        <v>40</v>
      </c>
      <c r="B3" s="27">
        <v>1</v>
      </c>
      <c r="C3" s="27">
        <v>1</v>
      </c>
      <c r="D3" s="27">
        <v>1</v>
      </c>
      <c r="E3" s="27">
        <v>1</v>
      </c>
      <c r="F3" s="27"/>
      <c r="G3" s="27"/>
    </row>
    <row r="4" spans="1:7" x14ac:dyDescent="0.3">
      <c r="A4" s="31" t="s">
        <v>39</v>
      </c>
    </row>
    <row r="5" spans="1:7" ht="28.8" x14ac:dyDescent="0.3">
      <c r="A5" s="31" t="s">
        <v>42</v>
      </c>
    </row>
    <row r="6" spans="1:7" ht="28.8" x14ac:dyDescent="0.3">
      <c r="A6" s="31" t="s">
        <v>45</v>
      </c>
      <c r="B6" s="30"/>
    </row>
    <row r="7" spans="1:7" x14ac:dyDescent="0.3">
      <c r="A7" s="31" t="s">
        <v>43</v>
      </c>
      <c r="B7">
        <f>B5*B5*B2*B2</f>
        <v>0</v>
      </c>
    </row>
    <row r="8" spans="1:7" ht="28.8" x14ac:dyDescent="0.3">
      <c r="A8" s="31" t="s">
        <v>38</v>
      </c>
      <c r="B8">
        <f>SQRT(SUM(7:7))</f>
        <v>0</v>
      </c>
    </row>
    <row r="9" spans="1:7" ht="28.8" x14ac:dyDescent="0.3">
      <c r="A9" s="31" t="s">
        <v>46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-0.499984740745262"/>
  </sheetPr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2"/>
  <sheetViews>
    <sheetView tabSelected="1" workbookViewId="0">
      <selection activeCell="D2" sqref="D2"/>
    </sheetView>
  </sheetViews>
  <sheetFormatPr defaultRowHeight="14.4" x14ac:dyDescent="0.3"/>
  <sheetData>
    <row r="1" spans="1:5" ht="15.6" x14ac:dyDescent="0.35">
      <c r="A1" s="1" t="s">
        <v>11</v>
      </c>
      <c r="B1" s="1" t="s">
        <v>12</v>
      </c>
      <c r="C1" s="1" t="s">
        <v>48</v>
      </c>
      <c r="D1" s="1" t="s">
        <v>49</v>
      </c>
      <c r="E1" s="1" t="s">
        <v>25</v>
      </c>
    </row>
    <row r="2" spans="1:5" x14ac:dyDescent="0.3">
      <c r="A2" s="11">
        <v>0.7</v>
      </c>
      <c r="B2" s="11">
        <v>4.5999999999999999E-2</v>
      </c>
      <c r="C2" s="1">
        <v>5.7000000000000002E-2</v>
      </c>
      <c r="D2" s="1">
        <v>2.5000000000000001E-2</v>
      </c>
      <c r="E2" s="1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N4"/>
  <sheetViews>
    <sheetView workbookViewId="0">
      <selection activeCell="G5" sqref="G5:H5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6" t="s">
        <v>14</v>
      </c>
      <c r="B1" s="6" t="s">
        <v>13</v>
      </c>
      <c r="C1" s="2"/>
      <c r="D1" s="2"/>
      <c r="E1" s="2"/>
      <c r="F1" s="2"/>
      <c r="G1" s="2"/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</row>
    <row r="2" spans="1:14" ht="15" thickTop="1" x14ac:dyDescent="0.3">
      <c r="A2" s="17">
        <f>'Таблица 1'!B3</f>
        <v>4.72</v>
      </c>
      <c r="B2">
        <f>(A2-$H$2)*(A2-$H$2)</f>
        <v>1.1111111111111033E-3</v>
      </c>
      <c r="H2">
        <f>SUM(A:A)/COUNT(A:A)</f>
        <v>4.6866666666666665</v>
      </c>
      <c r="I2">
        <f>SQRT(SUM(B:B)/COUNT(A:A)/(COUNT(A:A)-1))</f>
        <v>1.7638342073763844E-2</v>
      </c>
      <c r="J2">
        <v>0.95</v>
      </c>
      <c r="K2">
        <f>J2*I2</f>
        <v>1.6756424970075651E-2</v>
      </c>
      <c r="L2">
        <v>0.01</v>
      </c>
      <c r="M2">
        <f>SQRT(K2*K2+(2/3*L2)*(2/3*L2))</f>
        <v>1.8033918659631887E-2</v>
      </c>
      <c r="N2" s="53">
        <f>M2/H2</f>
        <v>3.8479200553979843E-3</v>
      </c>
    </row>
    <row r="3" spans="1:14" x14ac:dyDescent="0.3">
      <c r="A3" s="17">
        <f>'Таблица 1'!B4</f>
        <v>4.68</v>
      </c>
      <c r="B3">
        <f t="shared" ref="B3:B4" si="0">(A3-$H$2)*(A3-$H$2)</f>
        <v>4.44444444444465E-5</v>
      </c>
    </row>
    <row r="4" spans="1:14" x14ac:dyDescent="0.3">
      <c r="A4" s="17">
        <f>'Таблица 1'!B5</f>
        <v>4.66</v>
      </c>
      <c r="B4">
        <f t="shared" si="0"/>
        <v>7.1111111111109662E-4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7"/>
  <sheetViews>
    <sheetView workbookViewId="0">
      <selection activeCell="D3" sqref="D3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6" t="s">
        <v>14</v>
      </c>
      <c r="B1" s="6" t="s">
        <v>13</v>
      </c>
      <c r="C1" s="2"/>
      <c r="D1" s="2"/>
      <c r="E1" s="2"/>
      <c r="F1" s="2"/>
      <c r="G1" s="2"/>
      <c r="H1" t="s">
        <v>77</v>
      </c>
      <c r="I1" s="6"/>
      <c r="J1" s="6"/>
      <c r="K1" s="6"/>
      <c r="L1" s="6"/>
      <c r="M1" s="6" t="s">
        <v>20</v>
      </c>
      <c r="N1" s="6" t="s">
        <v>21</v>
      </c>
    </row>
    <row r="2" spans="1:14" ht="15" thickTop="1" x14ac:dyDescent="0.3">
      <c r="A2" s="57">
        <f>'Таблица 2'!C3</f>
        <v>6.3738216017919541E-2</v>
      </c>
      <c r="B2" s="34" t="e">
        <f>(A2-#REF!)*(A2-#REF!)</f>
        <v>#REF!</v>
      </c>
      <c r="H2" s="57">
        <f>'Параметры установки'!A2 * 2 / ('Погрешности прямые (t)'!H2 * 'Погрешности прямые (t)'!H2)</f>
        <v>6.3738216017919555E-2</v>
      </c>
      <c r="I2" s="17"/>
      <c r="J2" s="17"/>
      <c r="K2" s="17"/>
      <c r="L2" s="17"/>
      <c r="M2" s="34">
        <f>SQRT(POWER(2/POWER('Погрешности прямые (t)'!H2, 2)*2/3*'Параметры установки'!A3, 2)+POWER(-4*'Параметры установки'!A2/POWER('Погрешности прямые (t)'!H2, 3)*'Погрешности прямые (t)'!M2, 2))</f>
        <v>4.9051911942128343E-4</v>
      </c>
      <c r="N2" s="30">
        <f>M2/H2</f>
        <v>7.6958401107959686E-3</v>
      </c>
    </row>
    <row r="3" spans="1:14" x14ac:dyDescent="0.3">
      <c r="A3" s="57">
        <f>'Таблица 2'!C4</f>
        <v>4.5670028246550011E-2</v>
      </c>
      <c r="B3" s="34" t="e">
        <f>(A3-#REF!)*(A3-#REF!)</f>
        <v>#REF!</v>
      </c>
    </row>
    <row r="4" spans="1:14" x14ac:dyDescent="0.3">
      <c r="A4" s="57">
        <f>'Таблица 2'!C5</f>
        <v>3.3617068506249577E-2</v>
      </c>
      <c r="B4" s="34" t="e">
        <f>(A4-#REF!)*(A4-#REF!)</f>
        <v>#REF!</v>
      </c>
    </row>
    <row r="5" spans="1:14" x14ac:dyDescent="0.3">
      <c r="A5" s="57">
        <f>'Таблица 2'!C6</f>
        <v>2.5938649740942881E-2</v>
      </c>
      <c r="B5" s="34" t="e">
        <f>(A5-#REF!)*(A5-#REF!)</f>
        <v>#REF!</v>
      </c>
    </row>
    <row r="6" spans="1:14" x14ac:dyDescent="0.3">
      <c r="A6" s="57">
        <f>'Таблица 2'!C7</f>
        <v>1.9700302118204626E-2</v>
      </c>
      <c r="B6" s="34" t="e">
        <f>(A6-#REF!)*(A6-#REF!)</f>
        <v>#REF!</v>
      </c>
    </row>
    <row r="7" spans="1:14" x14ac:dyDescent="0.3">
      <c r="A7" s="57">
        <f>'Таблица 2'!C8</f>
        <v>1.5732497596423978E-2</v>
      </c>
      <c r="B7" s="34" t="e">
        <f>(A7-#REF!)*(A7-#REF!)</f>
        <v>#REF!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9"/>
  <sheetViews>
    <sheetView workbookViewId="0">
      <selection activeCell="B8" sqref="B8"/>
    </sheetView>
  </sheetViews>
  <sheetFormatPr defaultRowHeight="14.4" x14ac:dyDescent="0.3"/>
  <cols>
    <col min="1" max="1" width="26.33203125" customWidth="1"/>
  </cols>
  <sheetData>
    <row r="1" spans="1:7" x14ac:dyDescent="0.3">
      <c r="A1" s="31" t="s">
        <v>41</v>
      </c>
      <c r="B1" t="s">
        <v>26</v>
      </c>
    </row>
    <row r="2" spans="1:7" ht="43.2" x14ac:dyDescent="0.3">
      <c r="A2" s="31" t="s">
        <v>37</v>
      </c>
      <c r="B2" s="27">
        <f>-4*'Параметры установки'!A2/'Погрешности прямые (t)'!H2/'Погрешности прямые (t)'!H2/'Погрешности прямые (t)'!H2</f>
        <v>-2.7199807689012607E-2</v>
      </c>
      <c r="C2" s="27"/>
      <c r="D2" s="27"/>
      <c r="E2" s="27"/>
      <c r="F2" s="27"/>
      <c r="G2" s="27"/>
    </row>
    <row r="3" spans="1:7" ht="28.8" x14ac:dyDescent="0.3">
      <c r="A3" s="31" t="s">
        <v>40</v>
      </c>
      <c r="B3" s="29">
        <f>'Погрешности прямые (t)'!H2</f>
        <v>4.6866666666666665</v>
      </c>
      <c r="C3" s="27"/>
      <c r="D3" s="27"/>
      <c r="E3" s="27"/>
      <c r="F3" s="27"/>
      <c r="G3" s="27"/>
    </row>
    <row r="4" spans="1:7" x14ac:dyDescent="0.3">
      <c r="A4" s="31" t="s">
        <v>39</v>
      </c>
      <c r="B4" s="17">
        <f>2*'Параметры установки'!A2/'Погрешности прямые (t)'!H2/'Погрешности прямые (t)'!H2</f>
        <v>6.3738216017919541E-2</v>
      </c>
    </row>
    <row r="5" spans="1:7" ht="28.8" x14ac:dyDescent="0.3">
      <c r="A5" s="31" t="s">
        <v>42</v>
      </c>
      <c r="B5" s="17">
        <f>'Погрешности прямые (t)'!M2</f>
        <v>1.8033918659631887E-2</v>
      </c>
    </row>
    <row r="6" spans="1:7" ht="28.8" x14ac:dyDescent="0.3">
      <c r="A6" s="31" t="s">
        <v>45</v>
      </c>
      <c r="B6" s="30">
        <f>'Погрешности прямые (t)'!N2</f>
        <v>3.8479200553979843E-3</v>
      </c>
    </row>
    <row r="7" spans="1:7" x14ac:dyDescent="0.3">
      <c r="A7" s="31" t="s">
        <v>43</v>
      </c>
      <c r="B7">
        <f>B5*B5*B2*B2</f>
        <v>2.4060900651783119E-7</v>
      </c>
    </row>
    <row r="8" spans="1:7" ht="28.8" x14ac:dyDescent="0.3">
      <c r="A8" s="31" t="s">
        <v>38</v>
      </c>
      <c r="B8">
        <f>SQRT(SUM(7:7))</f>
        <v>4.9051911942128333E-4</v>
      </c>
    </row>
    <row r="9" spans="1:7" ht="28.8" x14ac:dyDescent="0.3">
      <c r="A9" s="31" t="s">
        <v>46</v>
      </c>
      <c r="B9" s="30">
        <f>B8/B4</f>
        <v>7.6958401107959686E-3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8"/>
  <sheetViews>
    <sheetView workbookViewId="0">
      <selection activeCell="A6" sqref="A6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6" t="s">
        <v>14</v>
      </c>
      <c r="B1" s="6" t="s">
        <v>13</v>
      </c>
      <c r="C1" s="2"/>
      <c r="D1" s="2"/>
      <c r="E1" s="2"/>
      <c r="F1" s="2"/>
      <c r="G1" s="2"/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</row>
    <row r="2" spans="1:14" ht="15" thickTop="1" x14ac:dyDescent="0.3">
      <c r="A2" s="17">
        <f>'Таблица 2'!D3</f>
        <v>2.7712267833878061</v>
      </c>
      <c r="B2" s="17">
        <f>(A2-$H$2)*(A2-$H$2)</f>
        <v>1.6643343373330239</v>
      </c>
      <c r="H2" s="17">
        <f>SUM(A:A)/COUNT(A:A)</f>
        <v>1.4811359581615262</v>
      </c>
      <c r="I2" s="17">
        <f>SQRT(SUM(B:B)/COUNT(A:A)/(COUNT(A:A)-1))</f>
        <v>0.31987708558140066</v>
      </c>
      <c r="J2" s="17">
        <v>0.95</v>
      </c>
      <c r="K2" s="17">
        <f>J2*I2</f>
        <v>0.30388323130233058</v>
      </c>
      <c r="L2" s="17">
        <v>1</v>
      </c>
      <c r="M2" s="17">
        <f>SQRT(K2*K2+(2/3*L2)*(2/3*L2))</f>
        <v>0.73265917226988309</v>
      </c>
      <c r="N2" s="30">
        <f>M2/H2</f>
        <v>0.4946603100361584</v>
      </c>
    </row>
    <row r="3" spans="1:14" x14ac:dyDescent="0.3">
      <c r="A3" s="17">
        <f>'Таблица 2'!D4</f>
        <v>1.9856534020239136</v>
      </c>
      <c r="B3" s="17">
        <f t="shared" ref="B3:B7" si="0">(A3-$H$2)*(A3-$H$2)</f>
        <v>0.25453785116143723</v>
      </c>
    </row>
    <row r="4" spans="1:14" x14ac:dyDescent="0.3">
      <c r="A4" s="17">
        <f>'Таблица 2'!D5</f>
        <v>1.4616116741847642</v>
      </c>
      <c r="B4" s="17">
        <f t="shared" si="0"/>
        <v>3.811976648052446E-4</v>
      </c>
    </row>
    <row r="5" spans="1:14" x14ac:dyDescent="0.3">
      <c r="A5" s="17">
        <f>'Таблица 2'!D6</f>
        <v>1.1277673800409949</v>
      </c>
      <c r="B5" s="17">
        <f t="shared" si="0"/>
        <v>0.12486935200292607</v>
      </c>
    </row>
    <row r="6" spans="1:14" x14ac:dyDescent="0.3">
      <c r="A6" s="17">
        <f>'Таблица 2'!D7</f>
        <v>0.85653487470454892</v>
      </c>
      <c r="B6" s="17">
        <f t="shared" si="0"/>
        <v>0.39012651345562993</v>
      </c>
    </row>
    <row r="7" spans="1:14" x14ac:dyDescent="0.3">
      <c r="A7" s="17">
        <f>'Таблица 2'!D8</f>
        <v>0.6840216346271295</v>
      </c>
      <c r="B7" s="17">
        <f t="shared" si="0"/>
        <v>0.63539124478369891</v>
      </c>
    </row>
    <row r="8" spans="1:14" x14ac:dyDescent="0.3">
      <c r="A8" s="17"/>
      <c r="B8" s="17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9"/>
  <sheetViews>
    <sheetView topLeftCell="A3" workbookViewId="0">
      <selection activeCell="B9" sqref="B9"/>
    </sheetView>
  </sheetViews>
  <sheetFormatPr defaultRowHeight="14.4" x14ac:dyDescent="0.3"/>
  <cols>
    <col min="1" max="1" width="26.33203125" customWidth="1"/>
  </cols>
  <sheetData>
    <row r="1" spans="1:7" x14ac:dyDescent="0.3">
      <c r="A1" s="31" t="s">
        <v>41</v>
      </c>
      <c r="B1" s="28" t="s">
        <v>44</v>
      </c>
    </row>
    <row r="2" spans="1:7" ht="43.2" x14ac:dyDescent="0.3">
      <c r="A2" s="31" t="s">
        <v>37</v>
      </c>
      <c r="B2" s="27">
        <f>-8*'Параметры установки'!A2/'Параметры установки'!B2/'Погрешности прямые (t)'!H2/'Погрешности прямые (t)'!H2/'Погрешности прямые (t)'!H2</f>
        <v>-1.1826003343048959</v>
      </c>
      <c r="C2" s="27"/>
      <c r="D2" s="27"/>
      <c r="E2" s="27"/>
      <c r="F2" s="27"/>
      <c r="G2" s="27"/>
    </row>
    <row r="3" spans="1:7" ht="28.8" x14ac:dyDescent="0.3">
      <c r="A3" s="31" t="s">
        <v>40</v>
      </c>
      <c r="B3" s="29">
        <f>'Погрешности прямые (t)'!H2</f>
        <v>4.6866666666666665</v>
      </c>
      <c r="C3" s="27"/>
      <c r="D3" s="27"/>
      <c r="E3" s="27"/>
      <c r="F3" s="27"/>
      <c r="G3" s="27"/>
    </row>
    <row r="4" spans="1:7" x14ac:dyDescent="0.3">
      <c r="A4" s="31" t="s">
        <v>39</v>
      </c>
      <c r="B4">
        <f>4*'Параметры установки'!A2/'Параметры установки'!B2/'Погрешности прямые (t)'!H2/'Погрешности прямые (t)'!H2</f>
        <v>2.7712267833878061</v>
      </c>
    </row>
    <row r="5" spans="1:7" ht="28.8" x14ac:dyDescent="0.3">
      <c r="A5" s="31" t="s">
        <v>42</v>
      </c>
      <c r="B5" s="17">
        <f>'Погрешности прямые (t)'!M2</f>
        <v>1.8033918659631887E-2</v>
      </c>
    </row>
    <row r="6" spans="1:7" ht="28.8" x14ac:dyDescent="0.3">
      <c r="A6" s="31" t="s">
        <v>45</v>
      </c>
      <c r="B6" s="30">
        <f>'Погрешности прямые (t)'!N2</f>
        <v>3.8479200553979843E-3</v>
      </c>
    </row>
    <row r="7" spans="1:7" x14ac:dyDescent="0.3">
      <c r="A7" s="31" t="s">
        <v>43</v>
      </c>
      <c r="B7">
        <f>B5*B5*B2*B2</f>
        <v>4.5483744143257309E-4</v>
      </c>
    </row>
    <row r="8" spans="1:7" ht="28.8" x14ac:dyDescent="0.3">
      <c r="A8" s="31" t="s">
        <v>38</v>
      </c>
      <c r="B8">
        <f>SQRT(SUM(7:7))</f>
        <v>2.1326918235707967E-2</v>
      </c>
    </row>
    <row r="9" spans="1:7" ht="28.8" x14ac:dyDescent="0.3">
      <c r="A9" s="31" t="s">
        <v>46</v>
      </c>
      <c r="B9" s="58">
        <f>B8/B4</f>
        <v>7.6958401107959677E-3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7"/>
  <sheetViews>
    <sheetView topLeftCell="C1" workbookViewId="0">
      <selection activeCell="N3" sqref="N3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6" t="s">
        <v>14</v>
      </c>
      <c r="B1" s="6" t="s">
        <v>13</v>
      </c>
      <c r="C1" s="2"/>
      <c r="D1" s="2"/>
      <c r="E1" s="2"/>
      <c r="F1" s="2"/>
      <c r="G1" s="2"/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</row>
    <row r="2" spans="1:14" ht="15" thickTop="1" x14ac:dyDescent="0.3">
      <c r="A2" s="17">
        <f>'Таблица 2'!E3</f>
        <v>4.9265484626949338E-2</v>
      </c>
      <c r="B2" s="17">
        <f>(A2-$H$2)*(A2-$H$2)</f>
        <v>2.2542250888207412E-8</v>
      </c>
      <c r="H2" s="17">
        <f>SUM(A:A)/COUNT(A:A)</f>
        <v>4.9415625397189161E-2</v>
      </c>
      <c r="I2" s="17">
        <f>SQRT(SUM(B:B)/COUNT(A:A)/(COUNT(A:A)-1))</f>
        <v>3.7227295219962742E-5</v>
      </c>
      <c r="J2" s="17">
        <v>0.95</v>
      </c>
      <c r="K2" s="17">
        <f>J2*I2</f>
        <v>3.5365930458964601E-5</v>
      </c>
      <c r="L2" s="17">
        <v>0.01</v>
      </c>
      <c r="M2" s="17">
        <f>SQRT(K2*K2+(2/3*L2)*(2/3*L2))</f>
        <v>6.666760472184498E-3</v>
      </c>
      <c r="N2" s="30">
        <f>M2/H2</f>
        <v>0.13491199228177153</v>
      </c>
    </row>
    <row r="3" spans="1:14" x14ac:dyDescent="0.3">
      <c r="A3" s="17">
        <f>'Таблица 2'!E4</f>
        <v>4.9356909657072463E-2</v>
      </c>
      <c r="B3" s="17">
        <f t="shared" ref="B3:B7" si="0">(A3-$H$2)*(A3-$H$2)</f>
        <v>3.4475381374516123E-9</v>
      </c>
    </row>
    <row r="4" spans="1:14" x14ac:dyDescent="0.3">
      <c r="A4" s="17">
        <f>'Таблица 2'!E5</f>
        <v>4.9417897633358389E-2</v>
      </c>
      <c r="B4" s="17">
        <f t="shared" si="0"/>
        <v>5.1630572087461865E-12</v>
      </c>
    </row>
    <row r="5" spans="1:14" x14ac:dyDescent="0.3">
      <c r="A5" s="17">
        <f>'Таблица 2'!E6</f>
        <v>4.9456750432310834E-2</v>
      </c>
      <c r="B5" s="17">
        <f t="shared" si="0"/>
        <v>1.6912685137587907E-9</v>
      </c>
    </row>
    <row r="6" spans="1:14" x14ac:dyDescent="0.3">
      <c r="A6" s="17">
        <f>'Таблица 2'!E7</f>
        <v>4.9488316471281893E-2</v>
      </c>
      <c r="B6" s="17">
        <f t="shared" si="0"/>
        <v>5.2839922527550065E-9</v>
      </c>
    </row>
    <row r="7" spans="1:14" x14ac:dyDescent="0.3">
      <c r="A7" s="17">
        <f>'Таблица 2'!E8</f>
        <v>4.9508393562162099E-2</v>
      </c>
      <c r="B7" s="17">
        <f t="shared" si="0"/>
        <v>8.6059324324462598E-9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G9"/>
  <sheetViews>
    <sheetView topLeftCell="A6" workbookViewId="0">
      <selection activeCell="B9" sqref="B9"/>
    </sheetView>
  </sheetViews>
  <sheetFormatPr defaultRowHeight="14.4" x14ac:dyDescent="0.3"/>
  <cols>
    <col min="1" max="1" width="26.33203125" customWidth="1"/>
    <col min="2" max="2" width="10.88671875" bestFit="1" customWidth="1"/>
  </cols>
  <sheetData>
    <row r="1" spans="1:7" x14ac:dyDescent="0.3">
      <c r="A1" s="31" t="s">
        <v>41</v>
      </c>
      <c r="B1" t="s">
        <v>47</v>
      </c>
    </row>
    <row r="2" spans="1:7" ht="43.2" x14ac:dyDescent="0.3">
      <c r="A2" s="31" t="s">
        <v>37</v>
      </c>
      <c r="B2" s="27">
        <f>2*'Таблица 2'!A3*'Параметры установки'!B2*'Параметры установки'!A2/'Погрешности прямые (t)'!H2/'Погрешности прямые (t)'!H2/'Погрешности прямые (t)'!H2</f>
        <v>1.3763102690640382E-4</v>
      </c>
      <c r="C2" s="27"/>
      <c r="D2" s="27"/>
      <c r="E2" s="27"/>
      <c r="F2" s="27"/>
      <c r="G2" s="27"/>
    </row>
    <row r="3" spans="1:7" ht="28.8" x14ac:dyDescent="0.3">
      <c r="A3" s="31" t="s">
        <v>40</v>
      </c>
      <c r="B3" s="29">
        <f>'Погрешности прямые (t)'!H2</f>
        <v>4.6866666666666665</v>
      </c>
      <c r="C3" s="27"/>
      <c r="D3" s="27"/>
      <c r="E3" s="27"/>
      <c r="F3" s="27"/>
      <c r="G3" s="27"/>
    </row>
    <row r="4" spans="1:7" x14ac:dyDescent="0.3">
      <c r="A4" s="31" t="s">
        <v>39</v>
      </c>
      <c r="B4">
        <f>'Таблица 2'!A3*'Параметры установки'!B2/2*(9.82-2*'Параметры установки'!A2/'Погрешности прямые (t)'!H2/'Погрешности прямые (t)'!H2)</f>
        <v>4.9366684626949334E-2</v>
      </c>
    </row>
    <row r="5" spans="1:7" ht="28.8" x14ac:dyDescent="0.3">
      <c r="A5" s="31" t="s">
        <v>42</v>
      </c>
      <c r="B5">
        <f>'Погрешности прямые (t)'!M2</f>
        <v>1.8033918659631887E-2</v>
      </c>
    </row>
    <row r="6" spans="1:7" ht="28.8" x14ac:dyDescent="0.3">
      <c r="A6" s="31" t="s">
        <v>45</v>
      </c>
      <c r="B6" s="58">
        <f>'Погрешности прямые (t)'!N2</f>
        <v>3.8479200553979843E-3</v>
      </c>
    </row>
    <row r="7" spans="1:7" x14ac:dyDescent="0.3">
      <c r="A7" s="31" t="s">
        <v>43</v>
      </c>
      <c r="B7">
        <f>B5*B5*B2*B2</f>
        <v>6.1604567592799453E-12</v>
      </c>
    </row>
    <row r="8" spans="1:7" ht="28.8" x14ac:dyDescent="0.3">
      <c r="A8" s="31" t="s">
        <v>38</v>
      </c>
      <c r="B8" s="59">
        <f>SQRT(SUM(7:7))</f>
        <v>2.482026744271694E-6</v>
      </c>
    </row>
    <row r="9" spans="1:7" ht="28.8" x14ac:dyDescent="0.3">
      <c r="A9" s="31" t="s">
        <v>46</v>
      </c>
      <c r="B9" s="60">
        <f>B8/B3</f>
        <v>5.2959318867817083E-7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R23"/>
  <sheetViews>
    <sheetView topLeftCell="D1" zoomScaleNormal="100" workbookViewId="0">
      <selection activeCell="Q5" sqref="Q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2'!D3</f>
        <v>2.7712267833878061</v>
      </c>
      <c r="B2" s="13">
        <f>'Таблица 2'!E3</f>
        <v>4.9265484626949338E-2</v>
      </c>
      <c r="C2" s="37">
        <f>(A2-$L$2)*(A2-$L$2)</f>
        <v>13.954615339362878</v>
      </c>
      <c r="D2" s="36">
        <f>(B2-$M$2)*(B2-$M$2)</f>
        <v>5.247937736452238E-3</v>
      </c>
      <c r="E2" s="15">
        <f>A2-$L$2</f>
        <v>-3.7355876832652286</v>
      </c>
      <c r="F2" s="13">
        <f>B2-$M$2</f>
        <v>-7.24426513626623E-2</v>
      </c>
      <c r="G2" s="38">
        <f>E2*F2</f>
        <v>0.2706158761734383</v>
      </c>
      <c r="H2" s="17">
        <f>B2-($O$2+$N$2*A2)</f>
        <v>-1.6096589365862182E-3</v>
      </c>
      <c r="I2" s="35">
        <f>H2*H2</f>
        <v>2.5910018921318749E-6</v>
      </c>
      <c r="J2" s="23">
        <f>SQRT(4*$R$2+4*$Q$2*A2*A2)</f>
        <v>5.6625206683211474E-3</v>
      </c>
      <c r="K2" s="17"/>
      <c r="L2" s="17">
        <f>SUM(A:A)/COUNT(A:A)</f>
        <v>6.5068144666530348</v>
      </c>
      <c r="M2" s="17">
        <f>SUM(B:B)/COUNT(B:B)</f>
        <v>0.12170813598961164</v>
      </c>
      <c r="N2" s="17">
        <f>SUM(G:G)/SUM(C:C)</f>
        <v>1.8961673083835066E-2</v>
      </c>
      <c r="O2" s="17">
        <f>M2-N2*L2</f>
        <v>-1.6719527442318333E-3</v>
      </c>
      <c r="P2" s="17">
        <f>SUM(C:C)</f>
        <v>32.133962641294836</v>
      </c>
      <c r="Q2" s="34">
        <f>1/P2*SUM(I:I)/(COUNT(I:I)-2)</f>
        <v>1.3808412309569562E-7</v>
      </c>
      <c r="R2" s="34">
        <f>(1/COUNT(I:I)+L2*L2/P2)*SUM(I:I)/(COUNT(I:I)-2)</f>
        <v>6.955590731705655E-6</v>
      </c>
    </row>
    <row r="3" spans="1:18" ht="16.8" thickTop="1" thickBot="1" x14ac:dyDescent="0.35">
      <c r="A3" s="12">
        <f>'Таблица 2'!D9</f>
        <v>5.1637862848196967</v>
      </c>
      <c r="B3" s="13">
        <f>'Таблица 2'!E9</f>
        <v>9.7974077104345372E-2</v>
      </c>
      <c r="C3" s="37">
        <f t="shared" ref="C3:C5" si="0">(A3-$L$2)*(A3-$L$2)</f>
        <v>1.8037246971985617</v>
      </c>
      <c r="D3" s="36">
        <f t="shared" ref="D3:D5" si="1">(B3-$M$2)*(B3-$M$2)</f>
        <v>5.6330555116928659E-4</v>
      </c>
      <c r="E3" s="19">
        <f>A3-$L$2</f>
        <v>-1.3430281818333381</v>
      </c>
      <c r="F3" s="13">
        <f>B3-$M$2</f>
        <v>-2.3734058885266265E-2</v>
      </c>
      <c r="G3" s="38">
        <f>E3*F3</f>
        <v>3.1875509952204534E-2</v>
      </c>
      <c r="H3" s="17">
        <f>B3-($O$2+$N$2*A3)</f>
        <v>1.7320024410348855E-3</v>
      </c>
      <c r="I3" s="36">
        <f>H3*H3</f>
        <v>2.9998324557508021E-6</v>
      </c>
      <c r="J3" s="16">
        <f t="shared" ref="J3:J5" si="2">SQRT(4*$R$2+4*$Q$2*A3*A3)</f>
        <v>6.5230547756777793E-3</v>
      </c>
      <c r="K3" s="26"/>
      <c r="L3" s="17"/>
      <c r="M3" s="17"/>
      <c r="N3" s="33" t="s">
        <v>53</v>
      </c>
      <c r="O3" s="33" t="s">
        <v>54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2'!D15</f>
        <v>7.7271354674782042</v>
      </c>
      <c r="B4" s="13">
        <f>'Таблица 2'!E15</f>
        <v>0.14606614792288466</v>
      </c>
      <c r="C4" s="37">
        <f t="shared" si="0"/>
        <v>1.4891833450549432</v>
      </c>
      <c r="D4" s="36">
        <f t="shared" si="1"/>
        <v>5.9331274534147119E-4</v>
      </c>
      <c r="E4" s="19">
        <f t="shared" ref="E4:E5" si="3">A4-$L$2</f>
        <v>1.2203210008251695</v>
      </c>
      <c r="F4" s="13">
        <f t="shared" ref="F4:F5" si="4">B4-$M$2</f>
        <v>2.4358011933273027E-2</v>
      </c>
      <c r="G4" s="38">
        <f t="shared" ref="G4:G5" si="5">E4*F4</f>
        <v>2.9724593500523162E-2</v>
      </c>
      <c r="H4" s="17">
        <f t="shared" ref="H4:H5" si="6">B4-($O$2+$N$2*A4)</f>
        <v>1.2186840582877612E-3</v>
      </c>
      <c r="I4" s="36">
        <f t="shared" ref="I4:I5" si="7">H4*H4</f>
        <v>1.4851908339247273E-6</v>
      </c>
      <c r="J4" s="16">
        <f t="shared" si="2"/>
        <v>7.7975389746749342E-3</v>
      </c>
      <c r="K4" s="17"/>
      <c r="L4" s="17"/>
      <c r="M4" s="17"/>
      <c r="N4" s="17"/>
      <c r="O4" s="17"/>
      <c r="P4" s="17"/>
      <c r="Q4" s="17">
        <f>SQRT(Q2)</f>
        <v>3.7159672105078594E-4</v>
      </c>
      <c r="R4" s="17">
        <f>SQRT(R2)</f>
        <v>2.6373453948441519E-3</v>
      </c>
    </row>
    <row r="5" spans="1:18" ht="16.8" thickTop="1" thickBot="1" x14ac:dyDescent="0.35">
      <c r="A5" s="12">
        <f>'Таблица 2'!D21</f>
        <v>10.36510933092643</v>
      </c>
      <c r="B5" s="13">
        <f>'Таблица 2'!E21</f>
        <v>0.19352683430426718</v>
      </c>
      <c r="C5" s="37">
        <f t="shared" si="0"/>
        <v>14.886439259678456</v>
      </c>
      <c r="D5" s="36">
        <f t="shared" si="1"/>
        <v>5.1579254276115059E-3</v>
      </c>
      <c r="E5" s="19">
        <f t="shared" si="3"/>
        <v>3.858294864273395</v>
      </c>
      <c r="F5" s="13">
        <f t="shared" si="4"/>
        <v>7.1818698314655538E-2</v>
      </c>
      <c r="G5" s="38">
        <f t="shared" si="5"/>
        <v>0.2770977148662358</v>
      </c>
      <c r="H5" s="17">
        <f t="shared" si="6"/>
        <v>-1.3410275627363799E-3</v>
      </c>
      <c r="I5" s="36">
        <f t="shared" si="7"/>
        <v>1.7983549240186754E-6</v>
      </c>
      <c r="J5" s="16">
        <f t="shared" si="2"/>
        <v>9.3361076165257139E-3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/>
      <c r="B6" s="13"/>
      <c r="C6" s="14"/>
      <c r="D6" s="13"/>
      <c r="E6" s="19"/>
      <c r="F6" s="13"/>
      <c r="G6" s="16"/>
      <c r="H6" s="17"/>
      <c r="I6" s="13"/>
      <c r="J6" s="16"/>
      <c r="K6" s="17"/>
      <c r="L6" s="17"/>
      <c r="M6" s="17"/>
      <c r="N6" s="17"/>
      <c r="O6" s="17"/>
      <c r="P6" s="17"/>
      <c r="Q6" s="17">
        <f>Q4*2</f>
        <v>7.4319344210157189E-4</v>
      </c>
      <c r="R6" s="17">
        <f>R4*2</f>
        <v>5.2746907896883037E-3</v>
      </c>
    </row>
    <row r="7" spans="1:18" x14ac:dyDescent="0.3">
      <c r="A7" s="12"/>
      <c r="B7" s="13"/>
      <c r="C7" s="14"/>
      <c r="D7" s="13"/>
      <c r="E7" s="19"/>
      <c r="F7" s="13"/>
      <c r="G7" s="16"/>
      <c r="H7" s="17"/>
      <c r="I7" s="13"/>
      <c r="J7" s="16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12"/>
      <c r="B10" s="13"/>
      <c r="C10" s="14"/>
      <c r="D10" s="13"/>
      <c r="E10" s="19"/>
      <c r="F10" s="13"/>
      <c r="G10" s="16"/>
      <c r="H10" s="17"/>
      <c r="I10" s="13"/>
      <c r="J10" s="16"/>
    </row>
    <row r="11" spans="1:18" x14ac:dyDescent="0.3">
      <c r="A11" s="12"/>
      <c r="B11" s="13"/>
      <c r="C11" s="14"/>
      <c r="D11" s="13"/>
      <c r="E11" s="19"/>
      <c r="F11" s="13"/>
      <c r="G11" s="16"/>
      <c r="H11" s="17"/>
      <c r="I11" s="13"/>
      <c r="J11" s="16"/>
    </row>
    <row r="12" spans="1:18" x14ac:dyDescent="0.3">
      <c r="A12" s="12"/>
      <c r="B12" s="13"/>
      <c r="C12" s="14"/>
      <c r="D12" s="13"/>
      <c r="E12" s="19"/>
      <c r="F12" s="13"/>
      <c r="G12" s="16"/>
      <c r="H12" s="17"/>
      <c r="I12" s="13"/>
      <c r="J12" s="16"/>
    </row>
    <row r="13" spans="1:18" x14ac:dyDescent="0.3">
      <c r="A13" s="12"/>
      <c r="B13" s="13"/>
      <c r="C13" s="14"/>
      <c r="D13" s="13"/>
      <c r="E13" s="19"/>
      <c r="F13" s="13"/>
      <c r="G13" s="16"/>
      <c r="H13" s="17"/>
      <c r="I13" s="13"/>
      <c r="J13" s="16"/>
    </row>
    <row r="14" spans="1:18" x14ac:dyDescent="0.3">
      <c r="A14" s="12"/>
      <c r="B14" s="13"/>
      <c r="C14" s="14"/>
      <c r="D14" s="13"/>
      <c r="E14" s="19"/>
      <c r="F14" s="13"/>
      <c r="G14" s="16"/>
      <c r="H14" s="17"/>
      <c r="I14" s="13"/>
      <c r="J14" s="16"/>
    </row>
    <row r="15" spans="1:18" x14ac:dyDescent="0.3">
      <c r="A15" s="12"/>
      <c r="B15" s="13"/>
      <c r="C15" s="14"/>
      <c r="D15" s="13"/>
      <c r="E15" s="19"/>
      <c r="F15" s="13"/>
      <c r="G15" s="16"/>
      <c r="H15" s="17"/>
      <c r="I15" s="13"/>
      <c r="J15" s="16"/>
    </row>
    <row r="16" spans="1:18" x14ac:dyDescent="0.3">
      <c r="A16" s="12"/>
      <c r="B16" s="13"/>
      <c r="C16" s="14"/>
      <c r="D16" s="13"/>
      <c r="E16" s="19"/>
      <c r="F16" s="13"/>
      <c r="G16" s="16"/>
      <c r="H16" s="17"/>
      <c r="I16" s="13"/>
      <c r="J16" s="16"/>
    </row>
    <row r="17" spans="1:10" x14ac:dyDescent="0.3">
      <c r="A17" s="12"/>
      <c r="B17" s="13"/>
      <c r="C17" s="14"/>
      <c r="D17" s="13"/>
      <c r="E17" s="19"/>
      <c r="F17" s="13"/>
      <c r="G17" s="16"/>
      <c r="H17" s="17"/>
      <c r="I17" s="13"/>
      <c r="J17" s="16"/>
    </row>
    <row r="18" spans="1:10" x14ac:dyDescent="0.3">
      <c r="A18" s="12"/>
      <c r="B18" s="13"/>
      <c r="C18" s="14"/>
      <c r="D18" s="13"/>
      <c r="E18" s="19"/>
      <c r="F18" s="13"/>
      <c r="G18" s="16"/>
      <c r="H18" s="17"/>
      <c r="I18" s="13"/>
      <c r="J18" s="16"/>
    </row>
    <row r="19" spans="1:10" x14ac:dyDescent="0.3">
      <c r="A19" s="12"/>
      <c r="B19" s="13"/>
      <c r="C19" s="14"/>
      <c r="D19" s="13"/>
      <c r="E19" s="19"/>
      <c r="F19" s="13"/>
      <c r="G19" s="16"/>
      <c r="H19" s="17"/>
      <c r="I19" s="13"/>
      <c r="J19" s="16"/>
    </row>
    <row r="20" spans="1:10" x14ac:dyDescent="0.3">
      <c r="A20" s="12"/>
      <c r="B20" s="13"/>
      <c r="C20" s="14"/>
      <c r="D20" s="13"/>
      <c r="E20" s="19"/>
      <c r="F20" s="13"/>
      <c r="G20" s="16"/>
      <c r="H20" s="17"/>
      <c r="I20" s="13"/>
      <c r="J20" s="16"/>
    </row>
    <row r="21" spans="1:10" x14ac:dyDescent="0.3">
      <c r="A21" s="12"/>
      <c r="B21" s="13"/>
      <c r="C21" s="14"/>
      <c r="D21" s="13"/>
      <c r="E21" s="19"/>
      <c r="F21" s="13"/>
      <c r="G21" s="16"/>
      <c r="H21" s="17"/>
      <c r="I21" s="13"/>
      <c r="J21" s="16"/>
    </row>
    <row r="22" spans="1:10" x14ac:dyDescent="0.3">
      <c r="A22" s="12"/>
      <c r="B22" s="13"/>
      <c r="C22" s="14"/>
      <c r="D22" s="13"/>
      <c r="E22" s="19"/>
      <c r="F22" s="13"/>
      <c r="G22" s="16"/>
      <c r="H22" s="17"/>
      <c r="I22" s="13"/>
      <c r="J22" s="16"/>
    </row>
    <row r="23" spans="1:10" x14ac:dyDescent="0.3">
      <c r="A23" s="12"/>
      <c r="B23" s="13"/>
      <c r="C23" s="14"/>
      <c r="D23" s="13"/>
      <c r="E23" s="19"/>
      <c r="F23" s="13"/>
      <c r="G23" s="16"/>
      <c r="H23" s="17"/>
      <c r="I23" s="13"/>
      <c r="J23" s="1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R9"/>
  <sheetViews>
    <sheetView workbookViewId="0">
      <selection activeCell="A3" sqref="A3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v>8.1666666666666637E-2</v>
      </c>
      <c r="B2" s="13">
        <v>48.691666666666663</v>
      </c>
      <c r="C2" s="14">
        <f>(A2-$L$2)*(A2-$L$2)</f>
        <v>0.67521436734693863</v>
      </c>
      <c r="D2" s="13">
        <f>(B2-$M$2)*(B2-$M$2)</f>
        <v>63998.398534240383</v>
      </c>
      <c r="E2" s="15">
        <f>A2-$L$2</f>
        <v>-0.82171428571428562</v>
      </c>
      <c r="F2" s="13">
        <f>B2-$M$2</f>
        <v>-252.97904761904766</v>
      </c>
      <c r="G2" s="16">
        <f>E2*F2</f>
        <v>207.876497414966</v>
      </c>
      <c r="H2" s="17">
        <f>B2-($O$2+$N$2*A2)</f>
        <v>0.42403696602093532</v>
      </c>
      <c r="I2" s="18">
        <f>H2*H2</f>
        <v>0.17980734855223987</v>
      </c>
      <c r="J2" s="23">
        <f>SQRT(4*$R$2+4*$Q$2*A2*A2)</f>
        <v>4.9576164097232098</v>
      </c>
      <c r="K2" s="17"/>
      <c r="L2" s="17">
        <f>SUM(A:A)/COUNT(A:A)</f>
        <v>0.90338095238095228</v>
      </c>
      <c r="M2" s="17">
        <f>SUM(B:B)/COUNT(B:B)</f>
        <v>301.67071428571433</v>
      </c>
      <c r="N2" s="17">
        <f>SUM(G:G)/SUM(C:C)</f>
        <v>308.38344786082757</v>
      </c>
      <c r="O2" s="17">
        <f>M2-N2*L2</f>
        <v>23.082981458678148</v>
      </c>
      <c r="P2" s="17">
        <f>SUM(C:C)</f>
        <v>1.902756984126984</v>
      </c>
      <c r="Q2" s="17">
        <f>1/P2*SUM(I:I)/(COUNT(I:I)-2)</f>
        <v>5.6135134076679245</v>
      </c>
      <c r="R2" s="17">
        <f>(1/COUNT(I:I)+L2*L2/P2)*SUM(I:I)/(COUNT(I:I)-2)</f>
        <v>6.1070511006786266</v>
      </c>
    </row>
    <row r="3" spans="1:18" ht="16.8" thickTop="1" thickBot="1" x14ac:dyDescent="0.35">
      <c r="A3" s="12">
        <v>0.38399999999999995</v>
      </c>
      <c r="B3" s="13">
        <v>141.54</v>
      </c>
      <c r="C3" s="14">
        <f>(A3-$L$2)*(A3-$L$2)</f>
        <v>0.26975657369614503</v>
      </c>
      <c r="D3" s="13">
        <f>(B3-$M$2)*(B3-$M$2)</f>
        <v>25641.845657653077</v>
      </c>
      <c r="E3" s="19">
        <f>A3-$L$2</f>
        <v>-0.51938095238095228</v>
      </c>
      <c r="F3" s="13">
        <f>B3-$M$2</f>
        <v>-160.13071428571433</v>
      </c>
      <c r="G3" s="16">
        <f>E3*F3</f>
        <v>83.168842891156473</v>
      </c>
      <c r="H3" s="17">
        <f>B3-($O$2+$N$2*A3)</f>
        <v>3.7774562764070652E-2</v>
      </c>
      <c r="I3" s="13">
        <f>H3*H3</f>
        <v>1.426917592016713E-3</v>
      </c>
      <c r="J3" s="16">
        <f t="shared" ref="J3:J8" si="0">SQRT(4*$R$2+4*$Q$2*A3*A3)</f>
        <v>5.2668006735473512</v>
      </c>
      <c r="K3" s="26"/>
      <c r="L3" s="17"/>
      <c r="M3" s="17"/>
      <c r="N3" s="33"/>
      <c r="O3" s="33"/>
      <c r="P3" s="17"/>
      <c r="Q3" s="33" t="s">
        <v>56</v>
      </c>
      <c r="R3" s="33" t="s">
        <v>57</v>
      </c>
    </row>
    <row r="4" spans="1:18" ht="15.6" thickTop="1" thickBot="1" x14ac:dyDescent="0.35">
      <c r="A4" s="12">
        <v>0.66499999999999992</v>
      </c>
      <c r="B4" s="13">
        <v>228.87500000000003</v>
      </c>
      <c r="C4" s="14">
        <f t="shared" ref="C4:C8" si="1">(A4-$L$2)*(A4-$L$2)</f>
        <v>5.6825478458049875E-2</v>
      </c>
      <c r="D4" s="13">
        <f t="shared" ref="D4:D8" si="2">(B4-$M$2)*(B4-$M$2)</f>
        <v>5299.2160183673486</v>
      </c>
      <c r="E4" s="19">
        <f t="shared" ref="E4:E8" si="3">A4-$L$2</f>
        <v>-0.23838095238095236</v>
      </c>
      <c r="F4" s="13">
        <f t="shared" ref="F4:F8" si="4">B4-$M$2</f>
        <v>-72.795714285714297</v>
      </c>
      <c r="G4" s="16">
        <f t="shared" ref="G4:G8" si="5">E4*F4</f>
        <v>17.353111700680273</v>
      </c>
      <c r="H4" s="17">
        <f t="shared" ref="H4:H8" si="6">B4-($O$2+$N$2*A4)</f>
        <v>0.71702571387157832</v>
      </c>
      <c r="I4" s="13">
        <f t="shared" ref="I4:I8" si="7">H4*H4</f>
        <v>0.51412587435304646</v>
      </c>
      <c r="J4" s="16">
        <f t="shared" si="0"/>
        <v>5.8615653429385484</v>
      </c>
      <c r="K4" s="17"/>
      <c r="L4" s="17"/>
      <c r="M4" s="17"/>
      <c r="N4" s="17"/>
      <c r="O4" s="17"/>
      <c r="P4" s="17"/>
      <c r="Q4" s="17">
        <f>SQRT(Q2)</f>
        <v>2.3692854213175591</v>
      </c>
      <c r="R4" s="17">
        <f>SQRT(R2)</f>
        <v>2.4712448483868665</v>
      </c>
    </row>
    <row r="5" spans="1:18" ht="16.8" thickTop="1" thickBot="1" x14ac:dyDescent="0.35">
      <c r="A5" s="12">
        <v>0.94166666666666643</v>
      </c>
      <c r="B5" s="13">
        <v>310.74166666666667</v>
      </c>
      <c r="C5" s="14">
        <f t="shared" si="1"/>
        <v>1.4657959183673362E-3</v>
      </c>
      <c r="D5" s="13">
        <f t="shared" si="2"/>
        <v>82.282177097505084</v>
      </c>
      <c r="E5" s="19">
        <f t="shared" si="3"/>
        <v>3.8285714285714145E-2</v>
      </c>
      <c r="F5" s="13">
        <f t="shared" si="4"/>
        <v>9.0709523809523489</v>
      </c>
      <c r="G5" s="16">
        <f t="shared" si="5"/>
        <v>0.34728789115646008</v>
      </c>
      <c r="H5" s="17">
        <f t="shared" si="6"/>
        <v>-2.7357281942906866</v>
      </c>
      <c r="I5" s="13">
        <f t="shared" si="7"/>
        <v>7.484208753036981</v>
      </c>
      <c r="J5" s="16">
        <f t="shared" si="0"/>
        <v>6.6587554841619347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>
        <v>1.1760000000000002</v>
      </c>
      <c r="B6" s="13">
        <v>388.98</v>
      </c>
      <c r="C6" s="14">
        <f t="shared" si="1"/>
        <v>7.4321145124716687E-2</v>
      </c>
      <c r="D6" s="13">
        <f t="shared" si="2"/>
        <v>7622.9113719387715</v>
      </c>
      <c r="E6" s="19">
        <f t="shared" si="3"/>
        <v>0.27261904761904787</v>
      </c>
      <c r="F6" s="13">
        <f t="shared" si="4"/>
        <v>87.309285714285693</v>
      </c>
      <c r="G6" s="16">
        <f t="shared" si="5"/>
        <v>23.802174319727907</v>
      </c>
      <c r="H6" s="17">
        <f t="shared" si="6"/>
        <v>3.2380838569886237</v>
      </c>
      <c r="I6" s="13">
        <f t="shared" si="7"/>
        <v>10.485187064890322</v>
      </c>
      <c r="J6" s="16">
        <f t="shared" si="0"/>
        <v>7.4485986384451097</v>
      </c>
      <c r="K6" s="17"/>
      <c r="L6" s="17"/>
      <c r="M6" s="17"/>
      <c r="N6" s="17"/>
      <c r="O6" s="17"/>
      <c r="P6" s="17"/>
      <c r="Q6" s="17">
        <f>Q4*2</f>
        <v>4.7385708426351183</v>
      </c>
      <c r="R6" s="17">
        <f>R4*2</f>
        <v>4.9424896967737331</v>
      </c>
    </row>
    <row r="7" spans="1:18" x14ac:dyDescent="0.3">
      <c r="A7" s="12">
        <v>1.436333333333333</v>
      </c>
      <c r="B7" s="13">
        <v>461.10166666666669</v>
      </c>
      <c r="C7" s="14">
        <f t="shared" si="1"/>
        <v>0.28403824036281156</v>
      </c>
      <c r="D7" s="13">
        <f t="shared" si="2"/>
        <v>25418.2285770975</v>
      </c>
      <c r="E7" s="19">
        <f t="shared" si="3"/>
        <v>0.53295238095238073</v>
      </c>
      <c r="F7" s="13">
        <f t="shared" si="4"/>
        <v>159.43095238095236</v>
      </c>
      <c r="G7" s="16">
        <f t="shared" si="5"/>
        <v>84.969105668934191</v>
      </c>
      <c r="H7" s="17">
        <f t="shared" si="6"/>
        <v>-4.9227404027800503</v>
      </c>
      <c r="I7" s="13">
        <f t="shared" si="7"/>
        <v>24.233373073163094</v>
      </c>
      <c r="J7" s="16">
        <f t="shared" si="0"/>
        <v>8.4114277674608857</v>
      </c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>
        <v>1.6390000000000002</v>
      </c>
      <c r="B8" s="13">
        <v>531.7650000000001</v>
      </c>
      <c r="C8" s="14">
        <f t="shared" si="1"/>
        <v>0.54113538321995514</v>
      </c>
      <c r="D8" s="13">
        <f t="shared" si="2"/>
        <v>52943.380318367374</v>
      </c>
      <c r="E8" s="19">
        <f t="shared" si="3"/>
        <v>0.73561904761904795</v>
      </c>
      <c r="F8" s="13">
        <f t="shared" si="4"/>
        <v>230.09428571428577</v>
      </c>
      <c r="G8" s="16">
        <f t="shared" si="5"/>
        <v>169.26173931972801</v>
      </c>
      <c r="H8" s="17">
        <f t="shared" si="6"/>
        <v>3.2415474974254721</v>
      </c>
      <c r="I8" s="13">
        <f t="shared" si="7"/>
        <v>10.507630178065341</v>
      </c>
      <c r="J8" s="16">
        <f t="shared" si="0"/>
        <v>9.2058133918689755</v>
      </c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R23"/>
  <sheetViews>
    <sheetView workbookViewId="0">
      <selection activeCell="M18" sqref="M18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2'!D4</f>
        <v>1.9856534020239136</v>
      </c>
      <c r="B2" s="13">
        <f>'Таблица 2'!E4</f>
        <v>4.9356909657072463E-2</v>
      </c>
      <c r="C2" s="14">
        <f>(A2-$L$2)*(A2-$L$2)</f>
        <v>7.0811598449973632</v>
      </c>
      <c r="D2" s="13">
        <f>(B2-$M$2)*(B2-$M$2)</f>
        <v>5.3293301588778312E-3</v>
      </c>
      <c r="E2" s="15">
        <f>A2-$L$2</f>
        <v>-2.6610448784260221</v>
      </c>
      <c r="F2" s="13">
        <f>B2-$M$2</f>
        <v>-7.3002261327152262E-2</v>
      </c>
      <c r="G2" s="16">
        <f>E2*F2</f>
        <v>0.1942622936181366</v>
      </c>
      <c r="H2" s="17">
        <f>B2-($O$2+$N$2*A2)</f>
        <v>-4.3996112220427708E-4</v>
      </c>
      <c r="I2" s="18">
        <f>H2*H2</f>
        <v>1.9356578905124682E-7</v>
      </c>
      <c r="J2" s="23">
        <f>SQRT(4*$R$2+4*$Q$2*A2*A2)</f>
        <v>2.3896896911090961E-3</v>
      </c>
      <c r="K2" s="17"/>
      <c r="L2" s="17">
        <f>SUM(A:A)/COUNT(A:A)</f>
        <v>4.6466982804499359</v>
      </c>
      <c r="M2" s="17">
        <f>SUM(B:B)/COUNT(B:B)</f>
        <v>0.12235917098422472</v>
      </c>
      <c r="N2" s="17">
        <f>SUM(G:G)/SUM(C:C)</f>
        <v>2.7268348908067931E-2</v>
      </c>
      <c r="O2" s="17">
        <f>M2-N2*L2</f>
        <v>-4.3486189976034151E-3</v>
      </c>
      <c r="P2" s="17">
        <f>SUM(C:C)</f>
        <v>15.834910164579977</v>
      </c>
      <c r="Q2" s="17">
        <f>1/P2*SUM(I:I)/(COUNT(I:I)-2)</f>
        <v>4.840596655748998E-8</v>
      </c>
      <c r="R2" s="17">
        <f>(1/COUNT(I:I)+L2*L2/P2)*SUM(I:I)/(COUNT(I:I)-2)</f>
        <v>1.2367982193337458E-6</v>
      </c>
    </row>
    <row r="3" spans="1:18" ht="16.8" thickTop="1" thickBot="1" x14ac:dyDescent="0.35">
      <c r="A3" s="12">
        <f>'Таблица 2'!D10</f>
        <v>3.729387144482851</v>
      </c>
      <c r="B3" s="13">
        <f>'Таблица 2'!E10</f>
        <v>9.8307947848250185E-2</v>
      </c>
      <c r="C3" s="14">
        <f t="shared" ref="C3:C5" si="0">(A3-$L$2)*(A3-$L$2)</f>
        <v>0.84145972016922377</v>
      </c>
      <c r="D3" s="13">
        <f t="shared" ref="D3:D5" si="1">(B3-$M$2)*(B3-$M$2)</f>
        <v>5.7846133433643674E-4</v>
      </c>
      <c r="E3" s="19">
        <f>A3-$L$2</f>
        <v>-0.91731113596708491</v>
      </c>
      <c r="F3" s="13">
        <f>B3-$M$2</f>
        <v>-2.4051223135974534E-2</v>
      </c>
      <c r="G3" s="16">
        <f>E3*F3</f>
        <v>2.2062454816258632E-2</v>
      </c>
      <c r="H3" s="17">
        <f>B3-($O$2+$N$2*A3)</f>
        <v>9.6233697683206776E-4</v>
      </c>
      <c r="I3" s="13">
        <f>H3*H3</f>
        <v>9.2609245697828374E-7</v>
      </c>
      <c r="J3" s="16">
        <f t="shared" ref="J3:J5" si="2">SQRT(4*$R$2+4*$Q$2*A3*A3)</f>
        <v>2.7640870480427171E-3</v>
      </c>
      <c r="K3" s="26"/>
      <c r="L3" s="17"/>
      <c r="M3" s="17"/>
      <c r="N3" s="33" t="s">
        <v>53</v>
      </c>
      <c r="O3" s="33" t="s">
        <v>54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2'!D16</f>
        <v>5.566976202325475</v>
      </c>
      <c r="B4" s="13">
        <f>'Таблица 2'!E16</f>
        <v>0.14682034592872009</v>
      </c>
      <c r="C4" s="14">
        <f t="shared" si="0"/>
        <v>0.84691145349156072</v>
      </c>
      <c r="D4" s="13">
        <f t="shared" si="1"/>
        <v>5.9834907966520821E-4</v>
      </c>
      <c r="E4" s="19">
        <f t="shared" ref="E4:E5" si="3">A4-$L$2</f>
        <v>0.92027792187553903</v>
      </c>
      <c r="F4" s="13">
        <f t="shared" ref="F4:F5" si="4">B4-$M$2</f>
        <v>2.4461174944495373E-2</v>
      </c>
      <c r="G4" s="16">
        <f t="shared" ref="G4:G5" si="5">E4*F4</f>
        <v>2.2511079244554207E-2</v>
      </c>
      <c r="H4" s="17">
        <f t="shared" ref="H4:H5" si="6">B4-($O$2+$N$2*A4)</f>
        <v>-6.3328452159852611E-4</v>
      </c>
      <c r="I4" s="13">
        <f t="shared" ref="I4:I5" si="7">H4*H4</f>
        <v>4.0104928529627408E-7</v>
      </c>
      <c r="J4" s="16">
        <f t="shared" si="2"/>
        <v>3.3087510475446435E-3</v>
      </c>
      <c r="K4" s="17"/>
      <c r="L4" s="17"/>
      <c r="M4" s="17"/>
      <c r="N4" s="17"/>
      <c r="O4" s="17"/>
      <c r="P4" s="17"/>
      <c r="Q4" s="17">
        <f>SQRT(Q2)</f>
        <v>2.2001355994004092E-4</v>
      </c>
      <c r="R4" s="17">
        <f>SQRT(R2)</f>
        <v>1.1121143013799193E-3</v>
      </c>
    </row>
    <row r="5" spans="1:18" ht="16.8" thickTop="1" thickBot="1" x14ac:dyDescent="0.35">
      <c r="A5" s="12">
        <f>'Таблица 2'!D22</f>
        <v>7.3047763729675035</v>
      </c>
      <c r="B5" s="13">
        <f>'Таблица 2'!E22</f>
        <v>0.19495148050285618</v>
      </c>
      <c r="C5" s="14">
        <f t="shared" si="0"/>
        <v>7.0653791459218303</v>
      </c>
      <c r="D5" s="13">
        <f t="shared" si="1"/>
        <v>5.2696434012487921E-3</v>
      </c>
      <c r="E5" s="19">
        <f t="shared" si="3"/>
        <v>2.6580780925175675</v>
      </c>
      <c r="F5" s="13">
        <f t="shared" si="4"/>
        <v>7.2592309518631465E-2</v>
      </c>
      <c r="G5" s="16">
        <f t="shared" si="5"/>
        <v>0.19295602761672878</v>
      </c>
      <c r="H5" s="17">
        <f t="shared" si="6"/>
        <v>1.109086669707493E-4</v>
      </c>
      <c r="I5" s="13">
        <f t="shared" si="7"/>
        <v>1.2300732409228577E-8</v>
      </c>
      <c r="J5" s="16">
        <f t="shared" si="2"/>
        <v>3.9088253344325193E-3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/>
      <c r="B6" s="13"/>
      <c r="C6" s="14"/>
      <c r="D6" s="13"/>
      <c r="E6" s="19"/>
      <c r="F6" s="13"/>
      <c r="G6" s="16"/>
      <c r="H6" s="17"/>
      <c r="I6" s="13"/>
      <c r="J6" s="16"/>
      <c r="K6" s="17"/>
      <c r="L6" s="17"/>
      <c r="M6" s="17"/>
      <c r="N6" s="17"/>
      <c r="O6" s="17"/>
      <c r="P6" s="17"/>
      <c r="Q6" s="17">
        <f>Q4*2</f>
        <v>4.4002711988008183E-4</v>
      </c>
      <c r="R6" s="17">
        <f>R4*2</f>
        <v>2.2242286027598385E-3</v>
      </c>
    </row>
    <row r="7" spans="1:18" x14ac:dyDescent="0.3">
      <c r="A7" s="12"/>
      <c r="B7" s="13"/>
      <c r="C7" s="14"/>
      <c r="D7" s="13"/>
      <c r="E7" s="19"/>
      <c r="F7" s="13"/>
      <c r="G7" s="16"/>
      <c r="H7" s="17"/>
      <c r="I7" s="13"/>
      <c r="J7" s="16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12"/>
      <c r="B10" s="13"/>
      <c r="C10" s="14"/>
      <c r="D10" s="13"/>
      <c r="E10" s="19"/>
      <c r="F10" s="13"/>
      <c r="G10" s="16"/>
      <c r="H10" s="17"/>
      <c r="I10" s="13"/>
      <c r="J10" s="16"/>
    </row>
    <row r="11" spans="1:18" x14ac:dyDescent="0.3">
      <c r="A11" s="12"/>
      <c r="B11" s="13"/>
      <c r="C11" s="14"/>
      <c r="D11" s="13"/>
      <c r="E11" s="19"/>
      <c r="F11" s="13"/>
      <c r="G11" s="16"/>
      <c r="H11" s="17"/>
      <c r="I11" s="13"/>
      <c r="J11" s="16"/>
    </row>
    <row r="12" spans="1:18" x14ac:dyDescent="0.3">
      <c r="A12" s="12"/>
      <c r="B12" s="13"/>
      <c r="C12" s="14"/>
      <c r="D12" s="13"/>
      <c r="E12" s="19"/>
      <c r="F12" s="13"/>
      <c r="G12" s="16"/>
      <c r="H12" s="17"/>
      <c r="I12" s="13"/>
      <c r="J12" s="16"/>
    </row>
    <row r="13" spans="1:18" x14ac:dyDescent="0.3">
      <c r="A13" s="12"/>
      <c r="B13" s="13"/>
      <c r="C13" s="14"/>
      <c r="D13" s="13"/>
      <c r="E13" s="19"/>
      <c r="F13" s="13"/>
      <c r="G13" s="16"/>
      <c r="H13" s="17"/>
      <c r="I13" s="13"/>
      <c r="J13" s="16"/>
    </row>
    <row r="14" spans="1:18" x14ac:dyDescent="0.3">
      <c r="A14" s="12"/>
      <c r="B14" s="13"/>
      <c r="C14" s="14"/>
      <c r="D14" s="13"/>
      <c r="E14" s="19"/>
      <c r="F14" s="13"/>
      <c r="G14" s="16"/>
      <c r="H14" s="17"/>
      <c r="I14" s="13"/>
      <c r="J14" s="16"/>
    </row>
    <row r="15" spans="1:18" x14ac:dyDescent="0.3">
      <c r="A15" s="12"/>
      <c r="B15" s="13"/>
      <c r="C15" s="14"/>
      <c r="D15" s="13"/>
      <c r="E15" s="19"/>
      <c r="F15" s="13"/>
      <c r="G15" s="16"/>
      <c r="H15" s="17"/>
      <c r="I15" s="13"/>
      <c r="J15" s="16"/>
    </row>
    <row r="16" spans="1:18" x14ac:dyDescent="0.3">
      <c r="A16" s="12"/>
      <c r="B16" s="13"/>
      <c r="C16" s="14"/>
      <c r="D16" s="13"/>
      <c r="E16" s="19"/>
      <c r="F16" s="13"/>
      <c r="G16" s="16"/>
      <c r="H16" s="17"/>
      <c r="I16" s="13"/>
      <c r="J16" s="16"/>
    </row>
    <row r="17" spans="1:10" x14ac:dyDescent="0.3">
      <c r="A17" s="12"/>
      <c r="B17" s="13"/>
      <c r="C17" s="14"/>
      <c r="D17" s="13"/>
      <c r="E17" s="19"/>
      <c r="F17" s="13"/>
      <c r="G17" s="16"/>
      <c r="H17" s="17"/>
      <c r="I17" s="13"/>
      <c r="J17" s="16"/>
    </row>
    <row r="18" spans="1:10" x14ac:dyDescent="0.3">
      <c r="A18" s="12"/>
      <c r="B18" s="13"/>
      <c r="C18" s="14"/>
      <c r="D18" s="13"/>
      <c r="E18" s="19"/>
      <c r="F18" s="13"/>
      <c r="G18" s="16"/>
      <c r="H18" s="17"/>
      <c r="I18" s="13"/>
      <c r="J18" s="16"/>
    </row>
    <row r="19" spans="1:10" x14ac:dyDescent="0.3">
      <c r="A19" s="12"/>
      <c r="B19" s="13"/>
      <c r="C19" s="14"/>
      <c r="D19" s="13"/>
      <c r="E19" s="19"/>
      <c r="F19" s="13"/>
      <c r="G19" s="16"/>
      <c r="H19" s="17"/>
      <c r="I19" s="13"/>
      <c r="J19" s="16"/>
    </row>
    <row r="20" spans="1:10" x14ac:dyDescent="0.3">
      <c r="A20" s="12"/>
      <c r="B20" s="13"/>
      <c r="C20" s="14"/>
      <c r="D20" s="13"/>
      <c r="E20" s="19"/>
      <c r="F20" s="13"/>
      <c r="G20" s="16"/>
      <c r="H20" s="17"/>
      <c r="I20" s="13"/>
      <c r="J20" s="16"/>
    </row>
    <row r="21" spans="1:10" x14ac:dyDescent="0.3">
      <c r="A21" s="12"/>
      <c r="B21" s="13"/>
      <c r="C21" s="14"/>
      <c r="D21" s="13"/>
      <c r="E21" s="19"/>
      <c r="F21" s="13"/>
      <c r="G21" s="16"/>
      <c r="H21" s="17"/>
      <c r="I21" s="13"/>
      <c r="J21" s="16"/>
    </row>
    <row r="22" spans="1:10" x14ac:dyDescent="0.3">
      <c r="A22" s="12"/>
      <c r="B22" s="13"/>
      <c r="C22" s="14"/>
      <c r="D22" s="13"/>
      <c r="E22" s="19"/>
      <c r="F22" s="13"/>
      <c r="G22" s="16"/>
      <c r="H22" s="17"/>
      <c r="I22" s="13"/>
      <c r="J22" s="16"/>
    </row>
    <row r="23" spans="1:10" x14ac:dyDescent="0.3">
      <c r="A23" s="12"/>
      <c r="B23" s="13"/>
      <c r="C23" s="14"/>
      <c r="D23" s="13"/>
      <c r="E23" s="19"/>
      <c r="F23" s="13"/>
      <c r="G23" s="16"/>
      <c r="H23" s="17"/>
      <c r="I23" s="13"/>
      <c r="J23" s="16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2'!D5</f>
        <v>1.4616116741847642</v>
      </c>
      <c r="B2" s="13">
        <f>'Таблица 2'!E5</f>
        <v>4.9417897633358389E-2</v>
      </c>
      <c r="C2" s="14">
        <f>(A2-$L$2)*(A2-$L$2)</f>
        <v>3.820519885911251</v>
      </c>
      <c r="D2" s="13">
        <f>(B2-$M$2)*(B2-$M$2)</f>
        <v>5.3826661904044807E-3</v>
      </c>
      <c r="E2" s="15">
        <f>A2-$L$2</f>
        <v>-1.9546150224305683</v>
      </c>
      <c r="F2" s="13">
        <f>B2-$M$2</f>
        <v>-7.3366655848583429E-2</v>
      </c>
      <c r="G2" s="16">
        <f>E2*F2</f>
        <v>0.14340356766713469</v>
      </c>
      <c r="H2" s="17">
        <f>B2-($O$2+$N$2*A2)</f>
        <v>-9.6191602811696725E-4</v>
      </c>
      <c r="I2" s="18">
        <f>H2*H2</f>
        <v>9.2528244514832215E-7</v>
      </c>
      <c r="J2" s="23">
        <f>SQRT(4*$R$2+4*$Q$2*A2*A2)</f>
        <v>6.4878554223891053E-3</v>
      </c>
      <c r="K2" s="17"/>
      <c r="L2" s="17">
        <f>SUM(A:A)/COUNT(A:A)</f>
        <v>3.4162266966153325</v>
      </c>
      <c r="M2" s="17">
        <f>SUM(B:B)/COUNT(B:B)</f>
        <v>0.12278455348194182</v>
      </c>
      <c r="N2" s="17">
        <f>SUM(G:G)/SUM(C:C)</f>
        <v>3.7042967023977441E-2</v>
      </c>
      <c r="O2" s="17">
        <f>M2-N2*L2</f>
        <v>-3.7626193872113273E-3</v>
      </c>
      <c r="P2" s="17">
        <f>SUM(C:C)</f>
        <v>8.671960380552342</v>
      </c>
      <c r="Q2" s="17">
        <f>1/P2*SUM(I:I)/(COUNT(I:I)-2)</f>
        <v>6.5872491272499211E-7</v>
      </c>
      <c r="R2" s="17">
        <f>(1/COUNT(I:I)+L2*L2/P2)*SUM(I:I)/(COUNT(I:I)-2)</f>
        <v>9.1158272426423749E-6</v>
      </c>
    </row>
    <row r="3" spans="1:18" ht="16.8" thickTop="1" thickBot="1" x14ac:dyDescent="0.35">
      <c r="A3" s="12">
        <f>'Таблица 2'!D11</f>
        <v>2.6978200650367334</v>
      </c>
      <c r="B3" s="13">
        <f>'Таблица 2'!E11</f>
        <v>9.854805540166206E-2</v>
      </c>
      <c r="C3" s="14">
        <f t="shared" ref="C3:C5" si="0">(A3-$L$2)*(A3-$L$2)</f>
        <v>0.51610808829610899</v>
      </c>
      <c r="D3" s="13">
        <f t="shared" ref="D3:D5" si="1">(B3-$M$2)*(B3-$M$2)</f>
        <v>5.8740783919540465E-4</v>
      </c>
      <c r="E3" s="19">
        <f>A3-$L$2</f>
        <v>-0.71840663157859908</v>
      </c>
      <c r="F3" s="13">
        <f>B3-$M$2</f>
        <v>-2.4236498080279764E-2</v>
      </c>
      <c r="G3" s="16">
        <f>E3*F3</f>
        <v>1.7411660947114969E-2</v>
      </c>
      <c r="H3" s="17">
        <f>B3-($O$2+$N$2*A3)</f>
        <v>2.3754150830929965E-3</v>
      </c>
      <c r="I3" s="13">
        <f>H3*H3</f>
        <v>5.6425968169857078E-6</v>
      </c>
      <c r="J3" s="16">
        <f t="shared" ref="J3:J5" si="2">SQRT(4*$R$2+4*$Q$2*A3*A3)</f>
        <v>7.4592709317776009E-3</v>
      </c>
      <c r="K3" s="26"/>
      <c r="L3" s="17"/>
      <c r="M3" s="17"/>
      <c r="N3" s="33" t="s">
        <v>53</v>
      </c>
      <c r="O3" s="33" t="s">
        <v>54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2'!D17</f>
        <v>4.1351575591845249</v>
      </c>
      <c r="B4" s="13">
        <f>'Таблица 2'!E17</f>
        <v>0.14732025108978636</v>
      </c>
      <c r="C4" s="14">
        <f t="shared" si="0"/>
        <v>0.51686158515448299</v>
      </c>
      <c r="D4" s="13">
        <f t="shared" si="1"/>
        <v>6.0200045710358794E-4</v>
      </c>
      <c r="E4" s="19">
        <f t="shared" ref="E4:E5" si="3">A4-$L$2</f>
        <v>0.71893086256919236</v>
      </c>
      <c r="F4" s="13">
        <f t="shared" ref="F4:F5" si="4">B4-$M$2</f>
        <v>2.4535697607844534E-2</v>
      </c>
      <c r="G4" s="16">
        <f t="shared" ref="G4:G5" si="5">E4*F4</f>
        <v>1.7639470244944541E-2</v>
      </c>
      <c r="H4" s="17">
        <f t="shared" ref="H4:H5" si="6">B4-($O$2+$N$2*A4)</f>
        <v>-2.0956346268257153E-3</v>
      </c>
      <c r="I4" s="13">
        <f t="shared" ref="I4:I5" si="7">H4*H4</f>
        <v>4.3916844891509554E-6</v>
      </c>
      <c r="J4" s="16">
        <f t="shared" si="2"/>
        <v>9.0287789557517133E-3</v>
      </c>
      <c r="K4" s="17"/>
      <c r="L4" s="17"/>
      <c r="M4" s="17"/>
      <c r="N4" s="17"/>
      <c r="O4" s="17"/>
      <c r="P4" s="17"/>
      <c r="Q4" s="17">
        <f>SQRT(Q2)</f>
        <v>8.1161869909766871E-4</v>
      </c>
      <c r="R4" s="17">
        <f>SQRT(R2)</f>
        <v>3.01924282604801E-3</v>
      </c>
    </row>
    <row r="5" spans="1:18" ht="16.8" thickTop="1" thickBot="1" x14ac:dyDescent="0.35">
      <c r="A5" s="12">
        <f>'Таблица 2'!D23</f>
        <v>5.3703174880553055</v>
      </c>
      <c r="B5" s="13">
        <f>'Таблица 2'!E23</f>
        <v>0.19585200980296052</v>
      </c>
      <c r="C5" s="14">
        <f t="shared" si="0"/>
        <v>3.8184708211905001</v>
      </c>
      <c r="D5" s="13">
        <f t="shared" si="1"/>
        <v>5.3388531732239753E-3</v>
      </c>
      <c r="E5" s="19">
        <f t="shared" si="3"/>
        <v>1.954090791439973</v>
      </c>
      <c r="F5" s="13">
        <f t="shared" si="4"/>
        <v>7.3067456321018701E-2</v>
      </c>
      <c r="G5" s="16">
        <f t="shared" si="5"/>
        <v>0.1427804435508451</v>
      </c>
      <c r="H5" s="17">
        <f t="shared" si="6"/>
        <v>6.8213557184981788E-4</v>
      </c>
      <c r="I5" s="13">
        <f t="shared" si="7"/>
        <v>4.6530893838287804E-7</v>
      </c>
      <c r="J5" s="16">
        <f t="shared" si="2"/>
        <v>1.0604462811347163E-2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/>
      <c r="B6" s="13"/>
      <c r="C6" s="14"/>
      <c r="D6" s="13"/>
      <c r="E6" s="19"/>
      <c r="F6" s="13"/>
      <c r="G6" s="16"/>
      <c r="H6" s="17"/>
      <c r="I6" s="13"/>
      <c r="J6" s="16"/>
      <c r="K6" s="17"/>
      <c r="L6" s="17"/>
      <c r="M6" s="17"/>
      <c r="N6" s="17"/>
      <c r="O6" s="17"/>
      <c r="P6" s="17"/>
      <c r="Q6" s="17">
        <f>Q4*2</f>
        <v>1.6232373981953374E-3</v>
      </c>
      <c r="R6" s="17">
        <f>R4*2</f>
        <v>6.0384856520960201E-3</v>
      </c>
    </row>
    <row r="7" spans="1:18" x14ac:dyDescent="0.3">
      <c r="A7" s="12"/>
      <c r="B7" s="13"/>
      <c r="C7" s="14"/>
      <c r="D7" s="13"/>
      <c r="E7" s="19"/>
      <c r="F7" s="13"/>
      <c r="G7" s="16"/>
      <c r="H7" s="17"/>
      <c r="I7" s="13"/>
      <c r="J7" s="16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12"/>
      <c r="B10" s="13"/>
      <c r="C10" s="14"/>
      <c r="D10" s="13"/>
      <c r="E10" s="19"/>
      <c r="F10" s="13"/>
      <c r="G10" s="16"/>
      <c r="H10" s="17"/>
      <c r="I10" s="13"/>
      <c r="J10" s="16"/>
    </row>
    <row r="11" spans="1:18" x14ac:dyDescent="0.3">
      <c r="A11" s="12"/>
      <c r="B11" s="13"/>
      <c r="C11" s="14"/>
      <c r="D11" s="13"/>
      <c r="E11" s="19"/>
      <c r="F11" s="13"/>
      <c r="G11" s="16"/>
      <c r="H11" s="17"/>
      <c r="I11" s="13"/>
      <c r="J11" s="16"/>
    </row>
    <row r="12" spans="1:18" x14ac:dyDescent="0.3">
      <c r="A12" s="12"/>
      <c r="B12" s="13"/>
      <c r="C12" s="14"/>
      <c r="D12" s="13"/>
      <c r="E12" s="19"/>
      <c r="F12" s="13"/>
      <c r="G12" s="16"/>
      <c r="H12" s="17"/>
      <c r="I12" s="13"/>
      <c r="J12" s="16"/>
    </row>
    <row r="13" spans="1:18" x14ac:dyDescent="0.3">
      <c r="A13" s="12"/>
      <c r="B13" s="13"/>
      <c r="C13" s="14"/>
      <c r="D13" s="13"/>
      <c r="E13" s="19"/>
      <c r="F13" s="13"/>
      <c r="G13" s="16"/>
      <c r="H13" s="17"/>
      <c r="I13" s="13"/>
      <c r="J13" s="16"/>
    </row>
    <row r="14" spans="1:18" x14ac:dyDescent="0.3">
      <c r="A14" s="12"/>
      <c r="B14" s="13"/>
      <c r="C14" s="14"/>
      <c r="D14" s="13"/>
      <c r="E14" s="19"/>
      <c r="F14" s="13"/>
      <c r="G14" s="16"/>
      <c r="H14" s="17"/>
      <c r="I14" s="13"/>
      <c r="J14" s="16"/>
    </row>
    <row r="15" spans="1:18" x14ac:dyDescent="0.3">
      <c r="A15" s="12"/>
      <c r="B15" s="13"/>
      <c r="C15" s="14"/>
      <c r="D15" s="13"/>
      <c r="E15" s="19"/>
      <c r="F15" s="13"/>
      <c r="G15" s="16"/>
      <c r="H15" s="17"/>
      <c r="I15" s="13"/>
      <c r="J15" s="16"/>
    </row>
    <row r="16" spans="1:18" x14ac:dyDescent="0.3">
      <c r="A16" s="12"/>
      <c r="B16" s="13"/>
      <c r="C16" s="14"/>
      <c r="D16" s="13"/>
      <c r="E16" s="19"/>
      <c r="F16" s="13"/>
      <c r="G16" s="16"/>
      <c r="H16" s="17"/>
      <c r="I16" s="13"/>
      <c r="J16" s="16"/>
    </row>
    <row r="17" spans="1:10" x14ac:dyDescent="0.3">
      <c r="A17" s="12"/>
      <c r="B17" s="13"/>
      <c r="C17" s="14"/>
      <c r="D17" s="13"/>
      <c r="E17" s="19"/>
      <c r="F17" s="13"/>
      <c r="G17" s="16"/>
      <c r="H17" s="17"/>
      <c r="I17" s="13"/>
      <c r="J17" s="16"/>
    </row>
    <row r="18" spans="1:10" x14ac:dyDescent="0.3">
      <c r="A18" s="12"/>
      <c r="B18" s="13"/>
      <c r="C18" s="14"/>
      <c r="D18" s="13"/>
      <c r="E18" s="19"/>
      <c r="F18" s="13"/>
      <c r="G18" s="16"/>
      <c r="H18" s="17"/>
      <c r="I18" s="13"/>
      <c r="J18" s="16"/>
    </row>
    <row r="19" spans="1:10" x14ac:dyDescent="0.3">
      <c r="A19" s="12"/>
      <c r="B19" s="13"/>
      <c r="C19" s="14"/>
      <c r="D19" s="13"/>
      <c r="E19" s="19"/>
      <c r="F19" s="13"/>
      <c r="G19" s="16"/>
      <c r="H19" s="17"/>
      <c r="I19" s="13"/>
      <c r="J19" s="16"/>
    </row>
    <row r="20" spans="1:10" x14ac:dyDescent="0.3">
      <c r="A20" s="12"/>
      <c r="B20" s="13"/>
      <c r="C20" s="14"/>
      <c r="D20" s="13"/>
      <c r="E20" s="19"/>
      <c r="F20" s="13"/>
      <c r="G20" s="16"/>
      <c r="H20" s="17"/>
      <c r="I20" s="13"/>
      <c r="J20" s="16"/>
    </row>
    <row r="21" spans="1:10" x14ac:dyDescent="0.3">
      <c r="A21" s="12"/>
      <c r="B21" s="13"/>
      <c r="C21" s="14"/>
      <c r="D21" s="13"/>
      <c r="E21" s="19"/>
      <c r="F21" s="13"/>
      <c r="G21" s="16"/>
      <c r="H21" s="17"/>
      <c r="I21" s="13"/>
      <c r="J21" s="16"/>
    </row>
    <row r="22" spans="1:10" x14ac:dyDescent="0.3">
      <c r="A22" s="12"/>
      <c r="B22" s="13"/>
      <c r="C22" s="14"/>
      <c r="D22" s="13"/>
      <c r="E22" s="19"/>
      <c r="F22" s="13"/>
      <c r="G22" s="16"/>
      <c r="H22" s="17"/>
      <c r="I22" s="13"/>
      <c r="J22" s="16"/>
    </row>
    <row r="23" spans="1:10" x14ac:dyDescent="0.3">
      <c r="A23" s="12"/>
      <c r="B23" s="13"/>
      <c r="C23" s="14"/>
      <c r="D23" s="13"/>
      <c r="E23" s="19"/>
      <c r="F23" s="13"/>
      <c r="G23" s="16"/>
      <c r="H23" s="17"/>
      <c r="I23" s="13"/>
      <c r="J23" s="16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2'!D6</f>
        <v>1.1277673800409949</v>
      </c>
      <c r="B2" s="13">
        <f>'Таблица 2'!E6</f>
        <v>4.9456750432310834E-2</v>
      </c>
      <c r="C2" s="14">
        <f>(A2-$L$2)*(A2-$L$2)</f>
        <v>2.036426160372411</v>
      </c>
      <c r="D2" s="13">
        <f>(B2-$M$2)*(B2-$M$2)</f>
        <v>5.4217307299447319E-3</v>
      </c>
      <c r="E2" s="15">
        <f>A2-$L$2</f>
        <v>-1.4270340431722051</v>
      </c>
      <c r="F2" s="13">
        <f>B2-$M$2</f>
        <v>-7.363240271744996E-2</v>
      </c>
      <c r="G2" s="16">
        <f>E2*F2</f>
        <v>0.10507594535836667</v>
      </c>
      <c r="H2" s="17">
        <f>B2-($O$2+$N$2*A2)</f>
        <v>3.5410391953145243E-4</v>
      </c>
      <c r="I2" s="18">
        <f>H2*H2</f>
        <v>1.2538958582753734E-7</v>
      </c>
      <c r="J2" s="23">
        <f>SQRT(4*$R$2+4*$Q$2*A2*A2)</f>
        <v>1.3822209250483899E-3</v>
      </c>
      <c r="K2" s="17"/>
      <c r="L2" s="17">
        <f>SUM(A:A)/COUNT(A:A)</f>
        <v>2.5548014232131999</v>
      </c>
      <c r="M2" s="17">
        <f>SUM(B:B)/COUNT(B:B)</f>
        <v>0.12308915314976079</v>
      </c>
      <c r="N2" s="17">
        <f>SUM(G:G)/SUM(C:C)</f>
        <v>5.1846350121062403E-2</v>
      </c>
      <c r="O2" s="17">
        <f>M2-N2*L2</f>
        <v>-9.3679759279392816E-3</v>
      </c>
      <c r="P2" s="17">
        <f>SUM(C:C)</f>
        <v>4.4688771945999957</v>
      </c>
      <c r="Q2" s="17">
        <f>1/P2*SUM(I:I)/(COUNT(I:I)-2)</f>
        <v>5.3569864337402517E-8</v>
      </c>
      <c r="R2" s="17">
        <f>(1/COUNT(I:I)+L2*L2/P2)*SUM(I:I)/(COUNT(I:I)-2)</f>
        <v>4.0950034320927159E-7</v>
      </c>
    </row>
    <row r="3" spans="1:18" ht="16.8" thickTop="1" thickBot="1" x14ac:dyDescent="0.35">
      <c r="A3" s="12">
        <f>'Таблица 2'!D12</f>
        <v>2.095186413973217</v>
      </c>
      <c r="B3" s="13">
        <f>'Таблица 2'!E12</f>
        <v>9.8688324410283607E-2</v>
      </c>
      <c r="C3" s="14">
        <f t="shared" ref="C3:C5" si="0">(A3-$L$2)*(A3-$L$2)</f>
        <v>0.21124595671866955</v>
      </c>
      <c r="D3" s="13">
        <f t="shared" ref="D3:D5" si="1">(B3-$M$2)*(B3-$M$2)</f>
        <v>5.9540044317329586E-4</v>
      </c>
      <c r="E3" s="19">
        <f>A3-$L$2</f>
        <v>-0.45961500923998289</v>
      </c>
      <c r="F3" s="13">
        <f>B3-$M$2</f>
        <v>-2.4400828739477187E-2</v>
      </c>
      <c r="G3" s="16">
        <f>E3*F3</f>
        <v>1.1214987126558048E-2</v>
      </c>
      <c r="H3" s="17">
        <f>B3-($O$2+$N$2*A3)</f>
        <v>-5.7146804952570851E-4</v>
      </c>
      <c r="I3" s="13">
        <f>H3*H3</f>
        <v>3.2657573162871765E-7</v>
      </c>
      <c r="J3" s="16">
        <f t="shared" ref="J3:J5" si="2">SQRT(4*$R$2+4*$Q$2*A3*A3)</f>
        <v>1.6058165037785151E-3</v>
      </c>
      <c r="K3" s="26"/>
      <c r="L3" s="17"/>
      <c r="M3" s="17"/>
      <c r="N3" s="33" t="s">
        <v>53</v>
      </c>
      <c r="O3" s="33" t="s">
        <v>54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2'!D18</f>
        <v>3.0282947275826575</v>
      </c>
      <c r="B4" s="13">
        <f>'Таблица 2'!E18</f>
        <v>0.14770670117881182</v>
      </c>
      <c r="C4" s="14">
        <f t="shared" si="0"/>
        <v>0.2241959092827078</v>
      </c>
      <c r="D4" s="13">
        <f t="shared" si="1"/>
        <v>6.0602367096263422E-4</v>
      </c>
      <c r="E4" s="19">
        <f t="shared" ref="E4:E5" si="3">A4-$L$2</f>
        <v>0.47349330436945758</v>
      </c>
      <c r="F4" s="13">
        <f t="shared" ref="F4:F5" si="4">B4-$M$2</f>
        <v>2.4617548029051028E-2</v>
      </c>
      <c r="G4" s="16">
        <f t="shared" ref="G4:G5" si="5">E4*F4</f>
        <v>1.1656244161749199E-2</v>
      </c>
      <c r="H4" s="17">
        <f t="shared" ref="H4:H5" si="6">B4-($O$2+$N$2*A4)</f>
        <v>6.8648390733366815E-5</v>
      </c>
      <c r="I4" s="13">
        <f t="shared" ref="I4:I5" si="7">H4*H4</f>
        <v>4.7126015502810025E-9</v>
      </c>
      <c r="J4" s="16">
        <f t="shared" si="2"/>
        <v>1.8981743630532755E-3</v>
      </c>
      <c r="K4" s="17"/>
      <c r="L4" s="17"/>
      <c r="M4" s="17"/>
      <c r="N4" s="17"/>
      <c r="O4" s="17"/>
      <c r="P4" s="17"/>
      <c r="Q4" s="17">
        <f>SQRT(Q2)</f>
        <v>2.3145164578676584E-4</v>
      </c>
      <c r="R4" s="17">
        <f>SQRT(R2)</f>
        <v>6.3992213839597048E-4</v>
      </c>
    </row>
    <row r="5" spans="1:18" ht="16.8" thickTop="1" thickBot="1" x14ac:dyDescent="0.35">
      <c r="A5" s="12">
        <f>'Таблица 2'!D24</f>
        <v>3.9679571712559296</v>
      </c>
      <c r="B5" s="13">
        <f>'Таблица 2'!E24</f>
        <v>0.19650483657763695</v>
      </c>
      <c r="C5" s="14">
        <f t="shared" si="0"/>
        <v>1.997009168226207</v>
      </c>
      <c r="D5" s="13">
        <f t="shared" si="1"/>
        <v>5.3898625731821307E-3</v>
      </c>
      <c r="E5" s="19">
        <f t="shared" si="3"/>
        <v>1.4131557480427297</v>
      </c>
      <c r="F5" s="13">
        <f t="shared" si="4"/>
        <v>7.3415683427876161E-2</v>
      </c>
      <c r="G5" s="16">
        <f t="shared" si="5"/>
        <v>0.10374779503258857</v>
      </c>
      <c r="H5" s="17">
        <f t="shared" si="6"/>
        <v>1.4871573926095172E-4</v>
      </c>
      <c r="I5" s="13">
        <f t="shared" si="7"/>
        <v>2.2116371103931376E-8</v>
      </c>
      <c r="J5" s="16">
        <f t="shared" si="2"/>
        <v>2.2386968845055605E-3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/>
      <c r="B6" s="13"/>
      <c r="C6" s="14"/>
      <c r="D6" s="13"/>
      <c r="E6" s="19"/>
      <c r="F6" s="13"/>
      <c r="G6" s="16"/>
      <c r="H6" s="17"/>
      <c r="I6" s="13"/>
      <c r="J6" s="16"/>
      <c r="K6" s="17"/>
      <c r="L6" s="17"/>
      <c r="M6" s="17"/>
      <c r="N6" s="17"/>
      <c r="O6" s="17"/>
      <c r="P6" s="17"/>
      <c r="Q6" s="17">
        <f>Q4*2</f>
        <v>4.6290329157353167E-4</v>
      </c>
      <c r="R6" s="17">
        <f>R4*2</f>
        <v>1.279844276791941E-3</v>
      </c>
    </row>
    <row r="7" spans="1:18" x14ac:dyDescent="0.3">
      <c r="A7" s="12"/>
      <c r="B7" s="13"/>
      <c r="C7" s="14"/>
      <c r="D7" s="13"/>
      <c r="E7" s="19"/>
      <c r="F7" s="13"/>
      <c r="G7" s="16"/>
      <c r="H7" s="17"/>
      <c r="I7" s="13"/>
      <c r="J7" s="16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12"/>
      <c r="B10" s="13"/>
      <c r="C10" s="14"/>
      <c r="D10" s="13"/>
      <c r="E10" s="19"/>
      <c r="F10" s="13"/>
      <c r="G10" s="16"/>
      <c r="H10" s="17"/>
      <c r="I10" s="13"/>
      <c r="J10" s="16"/>
    </row>
    <row r="11" spans="1:18" x14ac:dyDescent="0.3">
      <c r="A11" s="12"/>
      <c r="B11" s="13"/>
      <c r="C11" s="14"/>
      <c r="D11" s="13"/>
      <c r="E11" s="19"/>
      <c r="F11" s="13"/>
      <c r="G11" s="16"/>
      <c r="H11" s="17"/>
      <c r="I11" s="13"/>
      <c r="J11" s="16"/>
    </row>
    <row r="12" spans="1:18" x14ac:dyDescent="0.3">
      <c r="A12" s="12"/>
      <c r="B12" s="13"/>
      <c r="C12" s="14"/>
      <c r="D12" s="13"/>
      <c r="E12" s="19"/>
      <c r="F12" s="13"/>
      <c r="G12" s="16"/>
      <c r="H12" s="17"/>
      <c r="I12" s="13"/>
      <c r="J12" s="16"/>
    </row>
    <row r="13" spans="1:18" x14ac:dyDescent="0.3">
      <c r="A13" s="12"/>
      <c r="B13" s="13"/>
      <c r="C13" s="14"/>
      <c r="D13" s="13"/>
      <c r="E13" s="19"/>
      <c r="F13" s="13"/>
      <c r="G13" s="16"/>
      <c r="H13" s="17"/>
      <c r="I13" s="13"/>
      <c r="J13" s="16"/>
    </row>
    <row r="14" spans="1:18" x14ac:dyDescent="0.3">
      <c r="A14" s="12"/>
      <c r="B14" s="13"/>
      <c r="C14" s="14"/>
      <c r="D14" s="13"/>
      <c r="E14" s="19"/>
      <c r="F14" s="13"/>
      <c r="G14" s="16"/>
      <c r="H14" s="17"/>
      <c r="I14" s="13"/>
      <c r="J14" s="16"/>
    </row>
    <row r="15" spans="1:18" x14ac:dyDescent="0.3">
      <c r="A15" s="12"/>
      <c r="B15" s="13"/>
      <c r="C15" s="14"/>
      <c r="D15" s="13"/>
      <c r="E15" s="19"/>
      <c r="F15" s="13"/>
      <c r="G15" s="16"/>
      <c r="H15" s="17"/>
      <c r="I15" s="13"/>
      <c r="J15" s="16"/>
    </row>
    <row r="16" spans="1:18" x14ac:dyDescent="0.3">
      <c r="A16" s="12"/>
      <c r="B16" s="13"/>
      <c r="C16" s="14"/>
      <c r="D16" s="13"/>
      <c r="E16" s="19"/>
      <c r="F16" s="13"/>
      <c r="G16" s="16"/>
      <c r="H16" s="17"/>
      <c r="I16" s="13"/>
      <c r="J16" s="16"/>
    </row>
    <row r="17" spans="1:10" x14ac:dyDescent="0.3">
      <c r="A17" s="12"/>
      <c r="B17" s="13"/>
      <c r="C17" s="14"/>
      <c r="D17" s="13"/>
      <c r="E17" s="19"/>
      <c r="F17" s="13"/>
      <c r="G17" s="16"/>
      <c r="H17" s="17"/>
      <c r="I17" s="13"/>
      <c r="J17" s="16"/>
    </row>
    <row r="18" spans="1:10" x14ac:dyDescent="0.3">
      <c r="A18" s="12"/>
      <c r="B18" s="13"/>
      <c r="C18" s="14"/>
      <c r="D18" s="13"/>
      <c r="E18" s="19"/>
      <c r="F18" s="13"/>
      <c r="G18" s="16"/>
      <c r="H18" s="17"/>
      <c r="I18" s="13"/>
      <c r="J18" s="16"/>
    </row>
    <row r="19" spans="1:10" x14ac:dyDescent="0.3">
      <c r="A19" s="12"/>
      <c r="B19" s="13"/>
      <c r="C19" s="14"/>
      <c r="D19" s="13"/>
      <c r="E19" s="19"/>
      <c r="F19" s="13"/>
      <c r="G19" s="16"/>
      <c r="H19" s="17"/>
      <c r="I19" s="13"/>
      <c r="J19" s="16"/>
    </row>
    <row r="20" spans="1:10" x14ac:dyDescent="0.3">
      <c r="A20" s="12"/>
      <c r="B20" s="13"/>
      <c r="C20" s="14"/>
      <c r="D20" s="13"/>
      <c r="E20" s="19"/>
      <c r="F20" s="13"/>
      <c r="G20" s="16"/>
      <c r="H20" s="17"/>
      <c r="I20" s="13"/>
      <c r="J20" s="16"/>
    </row>
    <row r="21" spans="1:10" x14ac:dyDescent="0.3">
      <c r="A21" s="12"/>
      <c r="B21" s="13"/>
      <c r="C21" s="14"/>
      <c r="D21" s="13"/>
      <c r="E21" s="19"/>
      <c r="F21" s="13"/>
      <c r="G21" s="16"/>
      <c r="H21" s="17"/>
      <c r="I21" s="13"/>
      <c r="J21" s="16"/>
    </row>
    <row r="22" spans="1:10" x14ac:dyDescent="0.3">
      <c r="A22" s="12"/>
      <c r="B22" s="13"/>
      <c r="C22" s="14"/>
      <c r="D22" s="13"/>
      <c r="E22" s="19"/>
      <c r="F22" s="13"/>
      <c r="G22" s="16"/>
      <c r="H22" s="17"/>
      <c r="I22" s="13"/>
      <c r="J22" s="16"/>
    </row>
    <row r="23" spans="1:10" x14ac:dyDescent="0.3">
      <c r="A23" s="12"/>
      <c r="B23" s="13"/>
      <c r="C23" s="14"/>
      <c r="D23" s="13"/>
      <c r="E23" s="19"/>
      <c r="F23" s="13"/>
      <c r="G23" s="16"/>
      <c r="H23" s="17"/>
      <c r="I23" s="13"/>
      <c r="J23" s="16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2'!D7</f>
        <v>0.85653487470454892</v>
      </c>
      <c r="B2" s="13">
        <f>'Таблица 2'!E7</f>
        <v>4.9488316471281893E-2</v>
      </c>
      <c r="C2" s="14">
        <f>(A2-$L$2)*(A2-$L$2)</f>
        <v>1.3225962915517682</v>
      </c>
      <c r="D2" s="13">
        <f>(B2-$M$2)*(B2-$M$2)</f>
        <v>5.4445289526308385E-3</v>
      </c>
      <c r="E2" s="15">
        <f>A2-$L$2</f>
        <v>-1.1500418651300344</v>
      </c>
      <c r="F2" s="13">
        <f>B2-$M$2</f>
        <v>-7.3787051388647037E-2</v>
      </c>
      <c r="G2" s="16">
        <f>E2*F2</f>
        <v>8.4858198201445328E-2</v>
      </c>
      <c r="H2" s="17">
        <f>B2-($O$2+$N$2*A2)</f>
        <v>3.3154114917430949E-4</v>
      </c>
      <c r="I2" s="18">
        <f>H2*H2</f>
        <v>1.0991953359582174E-7</v>
      </c>
      <c r="J2" s="23">
        <f>SQRT(4*$R$2+4*$Q$2*A2*A2)</f>
        <v>5.9471789384135214E-3</v>
      </c>
      <c r="K2" s="17"/>
      <c r="L2" s="17">
        <f>SUM(A:A)/COUNT(A:A)</f>
        <v>2.0065767398345833</v>
      </c>
      <c r="M2" s="17">
        <f>SUM(B:B)/COUNT(B:B)</f>
        <v>0.12327536785992893</v>
      </c>
      <c r="N2" s="17">
        <f>SUM(G:G)/SUM(C:C)</f>
        <v>6.4448603816210467E-2</v>
      </c>
      <c r="O2" s="17">
        <f>M2-N2*L2</f>
        <v>-6.0457014724933644E-3</v>
      </c>
      <c r="P2" s="17">
        <f>SUM(C:C)</f>
        <v>2.903866563614165</v>
      </c>
      <c r="Q2" s="17">
        <f>1/P2*SUM(I:I)/(COUNT(I:I)-2)</f>
        <v>1.6117908396250153E-6</v>
      </c>
      <c r="R2" s="17">
        <f>(1/COUNT(I:I)+L2*L2/P2)*SUM(I:I)/(COUNT(I:I)-2)</f>
        <v>7.6597407718677703E-6</v>
      </c>
    </row>
    <row r="3" spans="1:18" ht="16.8" thickTop="1" thickBot="1" x14ac:dyDescent="0.35">
      <c r="A3" s="12">
        <f>'Таблица 2'!D13</f>
        <v>1.6163489747722946</v>
      </c>
      <c r="B3" s="13">
        <f>'Таблица 2'!E13</f>
        <v>9.8799778612632005E-2</v>
      </c>
      <c r="C3" s="14">
        <f t="shared" ref="C3:C5" si="0">(A3-$L$2)*(A3-$L$2)</f>
        <v>0.15227770862550882</v>
      </c>
      <c r="D3" s="13">
        <f t="shared" ref="D3:D5" si="1">(B3-$M$2)*(B3-$M$2)</f>
        <v>5.9905446900239683E-4</v>
      </c>
      <c r="E3" s="19">
        <f>A3-$L$2</f>
        <v>-0.39022776506228873</v>
      </c>
      <c r="F3" s="13">
        <f>B3-$M$2</f>
        <v>-2.4475589247296925E-2</v>
      </c>
      <c r="G3" s="16">
        <f>E3*F3</f>
        <v>9.5510544905552646E-3</v>
      </c>
      <c r="H3" s="17">
        <f>B3-($O$2+$N$2*A3)</f>
        <v>6.7404538128779112E-4</v>
      </c>
      <c r="I3" s="13">
        <f>H3*H3</f>
        <v>4.543371760354037E-7</v>
      </c>
      <c r="J3" s="16">
        <f t="shared" ref="J3:J5" si="2">SQRT(4*$R$2+4*$Q$2*A3*A3)</f>
        <v>6.8907705647806364E-3</v>
      </c>
      <c r="K3" s="26"/>
      <c r="L3" s="17"/>
      <c r="M3" s="17"/>
      <c r="N3" s="33" t="s">
        <v>53</v>
      </c>
      <c r="O3" s="33" t="s">
        <v>54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2'!D19</f>
        <v>2.4283028175327779</v>
      </c>
      <c r="B4" s="13">
        <f>'Таблица 2'!E19</f>
        <v>0.14791618235428663</v>
      </c>
      <c r="C4" s="14">
        <f t="shared" si="0"/>
        <v>0.17785288461070367</v>
      </c>
      <c r="D4" s="13">
        <f t="shared" si="1"/>
        <v>6.0716973894534877E-4</v>
      </c>
      <c r="E4" s="19">
        <f t="shared" ref="E4:E5" si="3">A4-$L$2</f>
        <v>0.42172607769819459</v>
      </c>
      <c r="F4" s="13">
        <f t="shared" ref="F4:F5" si="4">B4-$M$2</f>
        <v>2.4640814494357705E-2</v>
      </c>
      <c r="G4" s="16">
        <f t="shared" ref="G4:G5" si="5">E4*F4</f>
        <v>1.0391674047994296E-2</v>
      </c>
      <c r="H4" s="17">
        <f t="shared" ref="H4:H5" si="6">B4-($O$2+$N$2*A4)</f>
        <v>-2.5388424061776327E-3</v>
      </c>
      <c r="I4" s="13">
        <f t="shared" ref="I4:I5" si="7">H4*H4</f>
        <v>6.4457207634058313E-6</v>
      </c>
      <c r="J4" s="16">
        <f t="shared" si="2"/>
        <v>8.2858710098793718E-3</v>
      </c>
      <c r="K4" s="17"/>
      <c r="L4" s="17"/>
      <c r="M4" s="17"/>
      <c r="N4" s="17"/>
      <c r="O4" s="17"/>
      <c r="P4" s="17"/>
      <c r="Q4" s="17">
        <f>SQRT(Q2)</f>
        <v>1.2695632475875375E-3</v>
      </c>
      <c r="R4" s="17">
        <f>SQRT(R2)</f>
        <v>2.7676236687576889E-3</v>
      </c>
    </row>
    <row r="5" spans="1:18" ht="16.8" thickTop="1" thickBot="1" x14ac:dyDescent="0.35">
      <c r="A5" s="12">
        <f>'Таблица 2'!D25</f>
        <v>3.1251202923287114</v>
      </c>
      <c r="B5" s="13">
        <f>'Таблица 2'!E25</f>
        <v>0.19689719400151517</v>
      </c>
      <c r="C5" s="14">
        <f t="shared" si="0"/>
        <v>1.2511396788261842</v>
      </c>
      <c r="D5" s="13">
        <f t="shared" si="1"/>
        <v>5.4201732844219516E-3</v>
      </c>
      <c r="E5" s="19">
        <f t="shared" si="3"/>
        <v>1.1185435524941281</v>
      </c>
      <c r="F5" s="13">
        <f t="shared" si="4"/>
        <v>7.3621826141586244E-2</v>
      </c>
      <c r="G5" s="16">
        <f t="shared" si="5"/>
        <v>8.2349218953514949E-2</v>
      </c>
      <c r="H5" s="17">
        <f t="shared" si="6"/>
        <v>1.5332558757155668E-3</v>
      </c>
      <c r="I5" s="13">
        <f t="shared" si="7"/>
        <v>2.3508735804163096E-6</v>
      </c>
      <c r="J5" s="16">
        <f t="shared" si="2"/>
        <v>9.6749361757818651E-3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/>
      <c r="B6" s="13"/>
      <c r="C6" s="14"/>
      <c r="D6" s="13"/>
      <c r="E6" s="19"/>
      <c r="F6" s="13"/>
      <c r="G6" s="16"/>
      <c r="H6" s="17"/>
      <c r="I6" s="13"/>
      <c r="J6" s="16"/>
      <c r="K6" s="17"/>
      <c r="L6" s="17"/>
      <c r="M6" s="17"/>
      <c r="N6" s="17"/>
      <c r="O6" s="17"/>
      <c r="P6" s="17"/>
      <c r="Q6" s="17">
        <f>Q4*2</f>
        <v>2.539126495175075E-3</v>
      </c>
      <c r="R6" s="17">
        <f>R4*2</f>
        <v>5.5352473375153777E-3</v>
      </c>
    </row>
    <row r="7" spans="1:18" x14ac:dyDescent="0.3">
      <c r="A7" s="12"/>
      <c r="B7" s="13"/>
      <c r="C7" s="14"/>
      <c r="D7" s="13"/>
      <c r="E7" s="19"/>
      <c r="F7" s="13"/>
      <c r="G7" s="16"/>
      <c r="H7" s="17"/>
      <c r="I7" s="13"/>
      <c r="J7" s="16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12"/>
      <c r="B10" s="13"/>
      <c r="C10" s="14"/>
      <c r="D10" s="13"/>
      <c r="E10" s="19"/>
      <c r="F10" s="13"/>
      <c r="G10" s="16"/>
      <c r="H10" s="17"/>
      <c r="I10" s="13"/>
      <c r="J10" s="16"/>
    </row>
    <row r="11" spans="1:18" x14ac:dyDescent="0.3">
      <c r="A11" s="12"/>
      <c r="B11" s="13"/>
      <c r="C11" s="14"/>
      <c r="D11" s="13"/>
      <c r="E11" s="19"/>
      <c r="F11" s="13"/>
      <c r="G11" s="16"/>
      <c r="H11" s="17"/>
      <c r="I11" s="13"/>
      <c r="J11" s="16"/>
    </row>
    <row r="12" spans="1:18" x14ac:dyDescent="0.3">
      <c r="A12" s="12"/>
      <c r="B12" s="13"/>
      <c r="C12" s="14"/>
      <c r="D12" s="13"/>
      <c r="E12" s="19"/>
      <c r="F12" s="13"/>
      <c r="G12" s="16"/>
      <c r="H12" s="17"/>
      <c r="I12" s="13"/>
      <c r="J12" s="16"/>
    </row>
    <row r="13" spans="1:18" x14ac:dyDescent="0.3">
      <c r="A13" s="12"/>
      <c r="B13" s="13"/>
      <c r="C13" s="14"/>
      <c r="D13" s="13"/>
      <c r="E13" s="19"/>
      <c r="F13" s="13"/>
      <c r="G13" s="16"/>
      <c r="H13" s="17"/>
      <c r="I13" s="13"/>
      <c r="J13" s="16"/>
    </row>
    <row r="14" spans="1:18" x14ac:dyDescent="0.3">
      <c r="A14" s="12"/>
      <c r="B14" s="13"/>
      <c r="C14" s="14"/>
      <c r="D14" s="13"/>
      <c r="E14" s="19"/>
      <c r="F14" s="13"/>
      <c r="G14" s="16"/>
      <c r="H14" s="17"/>
      <c r="I14" s="13"/>
      <c r="J14" s="16"/>
    </row>
    <row r="15" spans="1:18" x14ac:dyDescent="0.3">
      <c r="A15" s="12"/>
      <c r="B15" s="13"/>
      <c r="C15" s="14"/>
      <c r="D15" s="13"/>
      <c r="E15" s="19"/>
      <c r="F15" s="13"/>
      <c r="G15" s="16"/>
      <c r="H15" s="17"/>
      <c r="I15" s="13"/>
      <c r="J15" s="16"/>
    </row>
    <row r="16" spans="1:18" x14ac:dyDescent="0.3">
      <c r="A16" s="12"/>
      <c r="B16" s="13"/>
      <c r="C16" s="14"/>
      <c r="D16" s="13"/>
      <c r="E16" s="19"/>
      <c r="F16" s="13"/>
      <c r="G16" s="16"/>
      <c r="H16" s="17"/>
      <c r="I16" s="13"/>
      <c r="J16" s="16"/>
    </row>
    <row r="17" spans="1:10" x14ac:dyDescent="0.3">
      <c r="A17" s="12"/>
      <c r="B17" s="13"/>
      <c r="C17" s="14"/>
      <c r="D17" s="13"/>
      <c r="E17" s="19"/>
      <c r="F17" s="13"/>
      <c r="G17" s="16"/>
      <c r="H17" s="17"/>
      <c r="I17" s="13"/>
      <c r="J17" s="16"/>
    </row>
    <row r="18" spans="1:10" x14ac:dyDescent="0.3">
      <c r="A18" s="12"/>
      <c r="B18" s="13"/>
      <c r="C18" s="14"/>
      <c r="D18" s="13"/>
      <c r="E18" s="19"/>
      <c r="F18" s="13"/>
      <c r="G18" s="16"/>
      <c r="H18" s="17"/>
      <c r="I18" s="13"/>
      <c r="J18" s="16"/>
    </row>
    <row r="19" spans="1:10" x14ac:dyDescent="0.3">
      <c r="A19" s="12"/>
      <c r="B19" s="13"/>
      <c r="C19" s="14"/>
      <c r="D19" s="13"/>
      <c r="E19" s="19"/>
      <c r="F19" s="13"/>
      <c r="G19" s="16"/>
      <c r="H19" s="17"/>
      <c r="I19" s="13"/>
      <c r="J19" s="16"/>
    </row>
    <row r="20" spans="1:10" x14ac:dyDescent="0.3">
      <c r="A20" s="12"/>
      <c r="B20" s="13"/>
      <c r="C20" s="14"/>
      <c r="D20" s="13"/>
      <c r="E20" s="19"/>
      <c r="F20" s="13"/>
      <c r="G20" s="16"/>
      <c r="H20" s="17"/>
      <c r="I20" s="13"/>
      <c r="J20" s="16"/>
    </row>
    <row r="21" spans="1:10" x14ac:dyDescent="0.3">
      <c r="A21" s="12"/>
      <c r="B21" s="13"/>
      <c r="C21" s="14"/>
      <c r="D21" s="13"/>
      <c r="E21" s="19"/>
      <c r="F21" s="13"/>
      <c r="G21" s="16"/>
      <c r="H21" s="17"/>
      <c r="I21" s="13"/>
      <c r="J21" s="16"/>
    </row>
    <row r="22" spans="1:10" x14ac:dyDescent="0.3">
      <c r="A22" s="12"/>
      <c r="B22" s="13"/>
      <c r="C22" s="14"/>
      <c r="D22" s="13"/>
      <c r="E22" s="19"/>
      <c r="F22" s="13"/>
      <c r="G22" s="16"/>
      <c r="H22" s="17"/>
      <c r="I22" s="13"/>
      <c r="J22" s="16"/>
    </row>
    <row r="23" spans="1:10" x14ac:dyDescent="0.3">
      <c r="A23" s="12"/>
      <c r="B23" s="13"/>
      <c r="C23" s="14"/>
      <c r="D23" s="13"/>
      <c r="E23" s="19"/>
      <c r="F23" s="13"/>
      <c r="G23" s="16"/>
      <c r="H23" s="17"/>
      <c r="I23" s="13"/>
      <c r="J23" s="16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2'!D8</f>
        <v>0.6840216346271295</v>
      </c>
      <c r="B2" s="13">
        <f>'Таблица 2'!E8</f>
        <v>4.9508393562162099E-2</v>
      </c>
      <c r="C2" s="14">
        <f>(A2-$L$2)*(A2-$L$2)</f>
        <v>0.81076323118858362</v>
      </c>
      <c r="D2" s="13">
        <f>(B2-$M$2)*(B2-$M$2)</f>
        <v>5.4631161935910742E-3</v>
      </c>
      <c r="E2" s="15">
        <f>A2-$L$2</f>
        <v>-0.90042391749030282</v>
      </c>
      <c r="F2" s="13">
        <f>B2-$M$2</f>
        <v>-7.391289598974643E-2</v>
      </c>
      <c r="G2" s="16">
        <f>E2*F2</f>
        <v>6.655293936014077E-2</v>
      </c>
      <c r="H2" s="17">
        <f>B2-($O$2+$N$2*A2)</f>
        <v>-4.9853067471981871E-4</v>
      </c>
      <c r="I2" s="18">
        <f>H2*H2</f>
        <v>2.4853283363659769E-7</v>
      </c>
      <c r="J2" s="23">
        <f>SQRT(4*$R$2+4*$Q$2*A2*A2)</f>
        <v>7.8940941203222686E-3</v>
      </c>
      <c r="K2" s="17"/>
      <c r="L2" s="17">
        <f>SUM(A:A)/COUNT(A:A)</f>
        <v>1.5844455521174323</v>
      </c>
      <c r="M2" s="17">
        <f>SUM(B:B)/COUNT(B:B)</f>
        <v>0.12342128955190854</v>
      </c>
      <c r="N2" s="17">
        <f>SUM(G:G)/SUM(C:C)</f>
        <v>8.1533113335827481E-2</v>
      </c>
      <c r="O2" s="17">
        <f>M2-N2*L2</f>
        <v>-5.7634892233298096E-3</v>
      </c>
      <c r="P2" s="17">
        <f>SUM(C:C)</f>
        <v>1.820187220004029</v>
      </c>
      <c r="Q2" s="17">
        <f>1/P2*SUM(I:I)/(COUNT(I:I)-2)</f>
        <v>4.5375371350086184E-6</v>
      </c>
      <c r="R2" s="17">
        <f>(1/COUNT(I:I)+L2*L2/P2)*SUM(I:I)/(COUNT(I:I)-2)</f>
        <v>1.34561322254462E-5</v>
      </c>
    </row>
    <row r="3" spans="1:18" ht="16.8" thickTop="1" thickBot="1" x14ac:dyDescent="0.35">
      <c r="A3" s="12">
        <f>'Таблица 2'!D14</f>
        <v>1.297236191963159</v>
      </c>
      <c r="B3" s="13">
        <f>'Таблица 2'!E14</f>
        <v>9.8874055303958666E-2</v>
      </c>
      <c r="C3" s="14">
        <f t="shared" ref="C3:C5" si="0">(A3-$L$2)*(A3-$L$2)</f>
        <v>8.2489216560227091E-2</v>
      </c>
      <c r="D3" s="13">
        <f t="shared" ref="D3:D5" si="1">(B3-$M$2)*(B3-$M$2)</f>
        <v>6.0256670922372306E-4</v>
      </c>
      <c r="E3" s="19">
        <f>A3-$L$2</f>
        <v>-0.28720936015427334</v>
      </c>
      <c r="F3" s="13">
        <f>B3-$M$2</f>
        <v>-2.454723424794987E-2</v>
      </c>
      <c r="G3" s="16">
        <f>E3*F3</f>
        <v>7.0501954419107471E-3</v>
      </c>
      <c r="H3" s="17">
        <f>B3-($O$2+$N$2*A3)</f>
        <v>-1.1301609353810138E-3</v>
      </c>
      <c r="I3" s="13">
        <f>H3*H3</f>
        <v>1.277263739861288E-6</v>
      </c>
      <c r="J3" s="16">
        <f t="shared" ref="J3:J5" si="2">SQRT(4*$R$2+4*$Q$2*A3*A3)</f>
        <v>9.1852051369660757E-3</v>
      </c>
      <c r="K3" s="26"/>
      <c r="L3" s="17"/>
      <c r="M3" s="17"/>
      <c r="N3" s="33" t="s">
        <v>53</v>
      </c>
      <c r="O3" s="33" t="s">
        <v>54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2'!D20</f>
        <v>1.8453219777100629</v>
      </c>
      <c r="B4" s="13">
        <f>'Таблица 2'!E20</f>
        <v>0.14811972428470233</v>
      </c>
      <c r="C4" s="14">
        <f t="shared" si="0"/>
        <v>6.8056509429987325E-2</v>
      </c>
      <c r="D4" s="13">
        <f t="shared" si="1"/>
        <v>6.1001267825007465E-4</v>
      </c>
      <c r="E4" s="19">
        <f t="shared" ref="E4:E5" si="3">A4-$L$2</f>
        <v>0.26087642559263058</v>
      </c>
      <c r="F4" s="13">
        <f t="shared" ref="F4:F5" si="4">B4-$M$2</f>
        <v>2.4698434732793789E-2</v>
      </c>
      <c r="G4" s="16">
        <f t="shared" ref="G4:G5" si="5">E4*F4</f>
        <v>6.4432393708241213E-3</v>
      </c>
      <c r="H4" s="17">
        <f t="shared" ref="H4:H5" si="6">B4-($O$2+$N$2*A4)</f>
        <v>3.4283675583042517E-3</v>
      </c>
      <c r="I4" s="13">
        <f t="shared" ref="I4:I5" si="7">H4*H4</f>
        <v>1.1753704114833056E-5</v>
      </c>
      <c r="J4" s="16">
        <f t="shared" si="2"/>
        <v>1.0753123003018243E-2</v>
      </c>
      <c r="K4" s="17"/>
      <c r="L4" s="17"/>
      <c r="M4" s="17"/>
      <c r="N4" s="17"/>
      <c r="O4" s="17"/>
      <c r="P4" s="17"/>
      <c r="Q4" s="17">
        <f>SQRT(Q2)</f>
        <v>2.13014955695806E-3</v>
      </c>
      <c r="R4" s="17">
        <f>SQRT(R2)</f>
        <v>3.6682601087499509E-3</v>
      </c>
    </row>
    <row r="5" spans="1:18" ht="16.8" thickTop="1" thickBot="1" x14ac:dyDescent="0.35">
      <c r="A5" s="12">
        <f>'Таблица 2'!D26</f>
        <v>2.5112024041693775</v>
      </c>
      <c r="B5" s="13">
        <f>'Таблица 2'!E26</f>
        <v>0.19718298505681109</v>
      </c>
      <c r="C5" s="14">
        <f t="shared" si="0"/>
        <v>0.85887826282523094</v>
      </c>
      <c r="D5" s="13">
        <f t="shared" si="1"/>
        <v>5.4407877237579614E-3</v>
      </c>
      <c r="E5" s="19">
        <f t="shared" si="3"/>
        <v>0.92675685205194513</v>
      </c>
      <c r="F5" s="13">
        <f t="shared" si="4"/>
        <v>7.3761695504902552E-2</v>
      </c>
      <c r="G5" s="16">
        <f t="shared" si="5"/>
        <v>6.8359156728137596E-2</v>
      </c>
      <c r="H5" s="17">
        <f t="shared" si="6"/>
        <v>-1.7996759482034053E-3</v>
      </c>
      <c r="I5" s="13">
        <f t="shared" si="7"/>
        <v>3.2388335185418259E-6</v>
      </c>
      <c r="J5" s="16">
        <f t="shared" si="2"/>
        <v>1.2972349883794518E-2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/>
      <c r="B6" s="13"/>
      <c r="C6" s="14"/>
      <c r="D6" s="13"/>
      <c r="E6" s="19"/>
      <c r="F6" s="13"/>
      <c r="G6" s="16"/>
      <c r="H6" s="17"/>
      <c r="I6" s="13"/>
      <c r="J6" s="16"/>
      <c r="K6" s="17"/>
      <c r="L6" s="17"/>
      <c r="M6" s="17"/>
      <c r="N6" s="17"/>
      <c r="O6" s="17"/>
      <c r="P6" s="17"/>
      <c r="Q6" s="17">
        <f>Q4*2</f>
        <v>4.26029911391612E-3</v>
      </c>
      <c r="R6" s="17">
        <f>R4*2</f>
        <v>7.3365202174999018E-3</v>
      </c>
    </row>
    <row r="7" spans="1:18" x14ac:dyDescent="0.3">
      <c r="A7" s="12"/>
      <c r="B7" s="13"/>
      <c r="C7" s="14"/>
      <c r="D7" s="13"/>
      <c r="E7" s="19"/>
      <c r="F7" s="13"/>
      <c r="G7" s="16"/>
      <c r="H7" s="17"/>
      <c r="I7" s="13"/>
      <c r="J7" s="16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12"/>
      <c r="B10" s="13"/>
      <c r="C10" s="14"/>
      <c r="D10" s="13"/>
      <c r="E10" s="19"/>
      <c r="F10" s="13"/>
      <c r="G10" s="16"/>
      <c r="H10" s="17"/>
      <c r="I10" s="13"/>
      <c r="J10" s="16"/>
    </row>
    <row r="11" spans="1:18" x14ac:dyDescent="0.3">
      <c r="A11" s="12"/>
      <c r="B11" s="13"/>
      <c r="C11" s="14"/>
      <c r="D11" s="13"/>
      <c r="E11" s="19"/>
      <c r="F11" s="13"/>
      <c r="G11" s="16"/>
      <c r="H11" s="17"/>
      <c r="I11" s="13"/>
      <c r="J11" s="16"/>
    </row>
    <row r="12" spans="1:18" x14ac:dyDescent="0.3">
      <c r="A12" s="12"/>
      <c r="B12" s="13"/>
      <c r="C12" s="14"/>
      <c r="D12" s="13"/>
      <c r="E12" s="19"/>
      <c r="F12" s="13"/>
      <c r="G12" s="16"/>
      <c r="H12" s="17"/>
      <c r="I12" s="13"/>
      <c r="J12" s="16"/>
    </row>
    <row r="13" spans="1:18" x14ac:dyDescent="0.3">
      <c r="A13" s="12"/>
      <c r="B13" s="13"/>
      <c r="C13" s="14"/>
      <c r="D13" s="13"/>
      <c r="E13" s="19"/>
      <c r="F13" s="13"/>
      <c r="G13" s="16"/>
      <c r="H13" s="17"/>
      <c r="I13" s="13"/>
      <c r="J13" s="16"/>
    </row>
    <row r="14" spans="1:18" x14ac:dyDescent="0.3">
      <c r="A14" s="12"/>
      <c r="B14" s="13"/>
      <c r="C14" s="14"/>
      <c r="D14" s="13"/>
      <c r="E14" s="19"/>
      <c r="F14" s="13"/>
      <c r="G14" s="16"/>
      <c r="H14" s="17"/>
      <c r="I14" s="13"/>
      <c r="J14" s="16"/>
    </row>
    <row r="15" spans="1:18" x14ac:dyDescent="0.3">
      <c r="A15" s="12"/>
      <c r="B15" s="13"/>
      <c r="C15" s="14"/>
      <c r="D15" s="13"/>
      <c r="E15" s="19"/>
      <c r="F15" s="13"/>
      <c r="G15" s="16"/>
      <c r="H15" s="17"/>
      <c r="I15" s="13"/>
      <c r="J15" s="16"/>
    </row>
    <row r="16" spans="1:18" x14ac:dyDescent="0.3">
      <c r="A16" s="12"/>
      <c r="B16" s="13"/>
      <c r="C16" s="14"/>
      <c r="D16" s="13"/>
      <c r="E16" s="19"/>
      <c r="F16" s="13"/>
      <c r="G16" s="16"/>
      <c r="H16" s="17"/>
      <c r="I16" s="13"/>
      <c r="J16" s="16"/>
    </row>
    <row r="17" spans="1:10" x14ac:dyDescent="0.3">
      <c r="A17" s="12"/>
      <c r="B17" s="13"/>
      <c r="C17" s="14"/>
      <c r="D17" s="13"/>
      <c r="E17" s="19"/>
      <c r="F17" s="13"/>
      <c r="G17" s="16"/>
      <c r="H17" s="17"/>
      <c r="I17" s="13"/>
      <c r="J17" s="16"/>
    </row>
    <row r="18" spans="1:10" x14ac:dyDescent="0.3">
      <c r="A18" s="12"/>
      <c r="B18" s="13"/>
      <c r="C18" s="14"/>
      <c r="D18" s="13"/>
      <c r="E18" s="19"/>
      <c r="F18" s="13"/>
      <c r="G18" s="16"/>
      <c r="H18" s="17"/>
      <c r="I18" s="13"/>
      <c r="J18" s="16"/>
    </row>
    <row r="19" spans="1:10" x14ac:dyDescent="0.3">
      <c r="A19" s="12"/>
      <c r="B19" s="13"/>
      <c r="C19" s="14"/>
      <c r="D19" s="13"/>
      <c r="E19" s="19"/>
      <c r="F19" s="13"/>
      <c r="G19" s="16"/>
      <c r="H19" s="17"/>
      <c r="I19" s="13"/>
      <c r="J19" s="16"/>
    </row>
    <row r="20" spans="1:10" x14ac:dyDescent="0.3">
      <c r="A20" s="12"/>
      <c r="B20" s="13"/>
      <c r="C20" s="14"/>
      <c r="D20" s="13"/>
      <c r="E20" s="19"/>
      <c r="F20" s="13"/>
      <c r="G20" s="16"/>
      <c r="H20" s="17"/>
      <c r="I20" s="13"/>
      <c r="J20" s="16"/>
    </row>
    <row r="21" spans="1:10" x14ac:dyDescent="0.3">
      <c r="A21" s="12"/>
      <c r="B21" s="13"/>
      <c r="C21" s="14"/>
      <c r="D21" s="13"/>
      <c r="E21" s="19"/>
      <c r="F21" s="13"/>
      <c r="G21" s="16"/>
      <c r="H21" s="17"/>
      <c r="I21" s="13"/>
      <c r="J21" s="16"/>
    </row>
    <row r="22" spans="1:10" x14ac:dyDescent="0.3">
      <c r="A22" s="12"/>
      <c r="B22" s="13"/>
      <c r="C22" s="14"/>
      <c r="D22" s="13"/>
      <c r="E22" s="19"/>
      <c r="F22" s="13"/>
      <c r="G22" s="16"/>
      <c r="H22" s="17"/>
      <c r="I22" s="13"/>
      <c r="J22" s="16"/>
    </row>
    <row r="23" spans="1:10" x14ac:dyDescent="0.3">
      <c r="A23" s="12"/>
      <c r="B23" s="13"/>
      <c r="C23" s="14"/>
      <c r="D23" s="13"/>
      <c r="E23" s="19"/>
      <c r="F23" s="13"/>
      <c r="G23" s="16"/>
      <c r="H23" s="17"/>
      <c r="I23" s="13"/>
      <c r="J23" s="16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R9"/>
  <sheetViews>
    <sheetView workbookViewId="0">
      <selection activeCell="N4" sqref="N4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5" width="9.44140625" bestFit="1" customWidth="1"/>
    <col min="16" max="18" width="9" bestFit="1" customWidth="1"/>
  </cols>
  <sheetData>
    <row r="1" spans="1:18" ht="46.8" thickTop="1" thickBot="1" x14ac:dyDescent="0.35">
      <c r="A1" s="3" t="s">
        <v>22</v>
      </c>
      <c r="B1" s="4" t="s">
        <v>23</v>
      </c>
      <c r="C1" s="5" t="s">
        <v>27</v>
      </c>
      <c r="D1" s="25" t="s">
        <v>28</v>
      </c>
      <c r="E1" s="24" t="s">
        <v>29</v>
      </c>
      <c r="F1" s="25" t="s">
        <v>30</v>
      </c>
      <c r="G1" s="6" t="s">
        <v>31</v>
      </c>
      <c r="H1" s="10" t="s">
        <v>12</v>
      </c>
      <c r="I1" s="9" t="s">
        <v>35</v>
      </c>
      <c r="J1" s="8" t="s">
        <v>36</v>
      </c>
      <c r="L1" s="6" t="s">
        <v>15</v>
      </c>
      <c r="M1" s="6" t="s">
        <v>24</v>
      </c>
      <c r="N1" s="7" t="s">
        <v>25</v>
      </c>
      <c r="O1" s="7" t="s">
        <v>26</v>
      </c>
      <c r="P1" s="7" t="s">
        <v>32</v>
      </c>
      <c r="Q1" s="7" t="s">
        <v>33</v>
      </c>
      <c r="R1" s="7" t="s">
        <v>34</v>
      </c>
    </row>
    <row r="2" spans="1:18" ht="15.6" thickTop="1" thickBot="1" x14ac:dyDescent="0.35">
      <c r="A2" s="12">
        <f>'Таблица 3'!B3</f>
        <v>5.9290000000000002E-3</v>
      </c>
      <c r="B2" s="13">
        <f>'Таблица 3'!B4</f>
        <v>1.8961673083835066E-2</v>
      </c>
      <c r="C2" s="14">
        <f>(A2-$L$2)*(A2-$L$2)</f>
        <v>2.3575043402777784E-4</v>
      </c>
      <c r="D2" s="13">
        <f>(B2-$M$2)*(B2-$M$2)</f>
        <v>7.7776859759135398E-4</v>
      </c>
      <c r="E2" s="15">
        <f>A2-$L$2</f>
        <v>-1.5354166666666669E-2</v>
      </c>
      <c r="F2" s="13">
        <f>B2-$M$2</f>
        <v>-2.7888502964328401E-2</v>
      </c>
      <c r="G2" s="56">
        <f>E2*F2</f>
        <v>4.2820472259812571E-4</v>
      </c>
      <c r="H2" s="17">
        <f>B2-($O$2+$N$2*A2)</f>
        <v>-3.2245916545730821E-4</v>
      </c>
      <c r="I2" s="18">
        <f>H2*H2</f>
        <v>1.0397991338742367E-7</v>
      </c>
      <c r="J2" s="23">
        <f>SQRT(4*$R$2+4*$Q$2*A2*A2)</f>
        <v>1.6482133025882998E-3</v>
      </c>
      <c r="K2" s="17"/>
      <c r="L2" s="17">
        <f>SUM(A:A)/COUNT(A:A)</f>
        <v>2.1283166666666669E-2</v>
      </c>
      <c r="M2" s="17">
        <f>SUM(B:B)/COUNT(B:B)</f>
        <v>4.6850176048163467E-2</v>
      </c>
      <c r="N2" s="51">
        <f>SUM(G:G)/SUM(C:C)</f>
        <v>1.7953461361544265</v>
      </c>
      <c r="O2" s="52">
        <f>M2-N2*L2</f>
        <v>8.6395250080327779E-3</v>
      </c>
      <c r="P2" s="17">
        <f>SUM(C:C)</f>
        <v>8.6596927083333294E-4</v>
      </c>
      <c r="Q2" s="17">
        <f>1/P2*SUM(I:I)/(COUNT(I:I)-2)</f>
        <v>1.0738351000012356E-3</v>
      </c>
      <c r="R2" s="17">
        <f>(1/COUNT(I:I)+L2*L2/P2)*SUM(I:I)/(COUNT(I:I)-2)</f>
        <v>6.4140320340967509E-7</v>
      </c>
    </row>
    <row r="3" spans="1:18" ht="16.8" thickTop="1" thickBot="1" x14ac:dyDescent="0.35">
      <c r="A3" s="12">
        <f>'Таблица 3'!C3</f>
        <v>1.0404000000000002E-2</v>
      </c>
      <c r="B3" s="13">
        <f>'Таблица 3'!C4</f>
        <v>2.7268348908067931E-2</v>
      </c>
      <c r="C3" s="14">
        <f>(A3-$L$2)*(A3-$L$2)</f>
        <v>1.1835626736111112E-4</v>
      </c>
      <c r="D3" s="13">
        <f>(B3-$M$2)*(B3-$M$2)</f>
        <v>3.8344795414458211E-4</v>
      </c>
      <c r="E3" s="19">
        <f>A3-$L$2</f>
        <v>-1.0879166666666667E-2</v>
      </c>
      <c r="F3" s="13">
        <f>B3-$M$2</f>
        <v>-1.9581827140095535E-2</v>
      </c>
      <c r="G3" s="56">
        <f>E3*F3</f>
        <v>2.1303396109495601E-4</v>
      </c>
      <c r="H3" s="17">
        <f>B3-($O$2+$N$2*A3)</f>
        <v>-4.9957300515504621E-5</v>
      </c>
      <c r="I3" s="13">
        <f>H3*H3</f>
        <v>2.4957318747964381E-9</v>
      </c>
      <c r="J3" s="16">
        <f t="shared" ref="J3:J7" si="0">SQRT(4*$R$2+4*$Q$2*A3*A3)</f>
        <v>1.7408487218451699E-3</v>
      </c>
      <c r="K3" s="26"/>
      <c r="L3" s="17"/>
      <c r="M3" s="17"/>
      <c r="N3" s="33" t="s">
        <v>78</v>
      </c>
      <c r="O3" s="33" t="s">
        <v>55</v>
      </c>
      <c r="P3" s="17"/>
      <c r="Q3" s="33" t="s">
        <v>56</v>
      </c>
      <c r="R3" s="33" t="s">
        <v>57</v>
      </c>
    </row>
    <row r="4" spans="1:18" ht="15.6" thickTop="1" thickBot="1" x14ac:dyDescent="0.35">
      <c r="A4" s="12">
        <f>'Таблица 3'!D3</f>
        <v>1.6129000000000001E-2</v>
      </c>
      <c r="B4" s="13">
        <f>'Таблица 3'!D4</f>
        <v>3.7042967023977441E-2</v>
      </c>
      <c r="C4" s="14">
        <f t="shared" ref="C4:C7" si="1">(A4-$L$2)*(A4-$L$2)</f>
        <v>2.6565434027777793E-5</v>
      </c>
      <c r="D4" s="13">
        <f t="shared" ref="D4:D7" si="2">(B4-$M$2)*(B4-$M$2)</f>
        <v>9.6181348844075811E-5</v>
      </c>
      <c r="E4" s="19">
        <f t="shared" ref="E4:E7" si="3">A4-$L$2</f>
        <v>-5.154166666666668E-3</v>
      </c>
      <c r="F4" s="13">
        <f t="shared" ref="F4:F7" si="4">B4-$M$2</f>
        <v>-9.8072090241860255E-3</v>
      </c>
      <c r="G4" s="56">
        <f t="shared" ref="G4:G7" si="5">E4*F4</f>
        <v>5.0547989845492155E-5</v>
      </c>
      <c r="H4" s="17">
        <f t="shared" ref="H4:H7" si="6">B4-($O$2+$N$2*A4)</f>
        <v>-5.5369581409007995E-4</v>
      </c>
      <c r="I4" s="13">
        <f t="shared" ref="I4:I7" si="7">H4*H4</f>
        <v>3.0657905454087638E-7</v>
      </c>
      <c r="J4" s="16">
        <f t="shared" si="0"/>
        <v>1.9191202671981719E-3</v>
      </c>
      <c r="K4" s="17"/>
      <c r="L4" s="17"/>
      <c r="M4" s="17"/>
      <c r="N4" s="51">
        <f>N2/4</f>
        <v>0.44883653403860663</v>
      </c>
      <c r="O4" s="17"/>
      <c r="P4" s="17"/>
      <c r="Q4" s="17">
        <f>SQRT(Q2)</f>
        <v>3.2769423247918712E-2</v>
      </c>
      <c r="R4" s="17">
        <f>SQRT(R2)</f>
        <v>8.008765219493421E-4</v>
      </c>
    </row>
    <row r="5" spans="1:18" ht="16.8" thickTop="1" thickBot="1" x14ac:dyDescent="0.35">
      <c r="A5" s="12">
        <f>'Таблица 3'!E3</f>
        <v>2.3104E-2</v>
      </c>
      <c r="B5" s="13">
        <f>'Таблица 3'!E4</f>
        <v>5.1846350121062403E-2</v>
      </c>
      <c r="C5" s="14">
        <f t="shared" si="1"/>
        <v>3.3154340277777676E-6</v>
      </c>
      <c r="D5" s="13">
        <f t="shared" si="2"/>
        <v>2.4961755366707542E-5</v>
      </c>
      <c r="E5" s="19">
        <f t="shared" si="3"/>
        <v>1.8208333333333306E-3</v>
      </c>
      <c r="F5" s="13">
        <f t="shared" si="4"/>
        <v>4.9961740728989359E-3</v>
      </c>
      <c r="G5" s="56">
        <f t="shared" si="5"/>
        <v>9.0972002910701312E-6</v>
      </c>
      <c r="H5" s="17">
        <f t="shared" si="6"/>
        <v>1.7271479833177589E-3</v>
      </c>
      <c r="I5" s="13">
        <f t="shared" si="7"/>
        <v>2.9830401562786015E-6</v>
      </c>
      <c r="J5" s="16">
        <f t="shared" si="0"/>
        <v>2.2041876626359889E-3</v>
      </c>
      <c r="K5" s="17"/>
      <c r="L5" s="17"/>
      <c r="M5" s="17"/>
      <c r="N5" s="17"/>
      <c r="O5" s="17"/>
      <c r="P5" s="17"/>
      <c r="Q5" s="33" t="s">
        <v>58</v>
      </c>
      <c r="R5" s="33" t="s">
        <v>59</v>
      </c>
    </row>
    <row r="6" spans="1:18" ht="15" thickTop="1" x14ac:dyDescent="0.3">
      <c r="A6" s="12">
        <f>'Таблица 3'!F3</f>
        <v>3.1328999999999996E-2</v>
      </c>
      <c r="B6" s="13">
        <f>'Таблица 3'!F4</f>
        <v>6.4448603816210467E-2</v>
      </c>
      <c r="C6" s="14">
        <f t="shared" si="1"/>
        <v>1.0091876736111099E-4</v>
      </c>
      <c r="D6" s="13">
        <f t="shared" si="2"/>
        <v>3.0970465990716776E-4</v>
      </c>
      <c r="E6" s="19">
        <f t="shared" si="3"/>
        <v>1.0045833333333327E-2</v>
      </c>
      <c r="F6" s="13">
        <f t="shared" si="4"/>
        <v>1.7598427768047001E-2</v>
      </c>
      <c r="G6" s="56">
        <f t="shared" si="5"/>
        <v>1.7679087228650539E-4</v>
      </c>
      <c r="H6" s="17">
        <f t="shared" si="6"/>
        <v>-4.3732029140432227E-4</v>
      </c>
      <c r="I6" s="13">
        <f t="shared" si="7"/>
        <v>1.9124903727396134E-7</v>
      </c>
      <c r="J6" s="16">
        <f t="shared" si="0"/>
        <v>2.6041344480389229E-3</v>
      </c>
      <c r="K6" s="17"/>
      <c r="L6" s="17"/>
      <c r="M6" s="17"/>
      <c r="N6" s="17"/>
      <c r="O6" s="17"/>
      <c r="P6" s="17"/>
      <c r="Q6" s="17">
        <f>Q4*2</f>
        <v>6.5538846495837424E-2</v>
      </c>
      <c r="R6" s="17">
        <f>R4*2</f>
        <v>1.6017530438986842E-3</v>
      </c>
    </row>
    <row r="7" spans="1:18" x14ac:dyDescent="0.3">
      <c r="A7" s="12">
        <f>'Таблица 3'!G3</f>
        <v>4.0803999999999993E-2</v>
      </c>
      <c r="B7" s="13">
        <f>'Таблица 3'!G4</f>
        <v>8.1533113335827481E-2</v>
      </c>
      <c r="C7" s="14">
        <f t="shared" si="1"/>
        <v>3.8106293402777742E-4</v>
      </c>
      <c r="D7" s="13">
        <f t="shared" si="2"/>
        <v>1.2029061389000348E-3</v>
      </c>
      <c r="E7" s="19">
        <f t="shared" si="3"/>
        <v>1.9520833333333324E-2</v>
      </c>
      <c r="F7" s="13">
        <f t="shared" si="4"/>
        <v>3.4682937287664015E-2</v>
      </c>
      <c r="G7" s="56">
        <f t="shared" si="5"/>
        <v>6.77039838302941E-4</v>
      </c>
      <c r="H7" s="17">
        <f t="shared" si="6"/>
        <v>-3.6371541185049872E-4</v>
      </c>
      <c r="I7" s="13">
        <f t="shared" si="7"/>
        <v>1.3228890081757791E-7</v>
      </c>
      <c r="J7" s="16">
        <f t="shared" si="0"/>
        <v>3.117244027171266E-3</v>
      </c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12"/>
      <c r="B8" s="13"/>
      <c r="C8" s="14"/>
      <c r="D8" s="13"/>
      <c r="E8" s="19"/>
      <c r="F8" s="13"/>
      <c r="G8" s="16"/>
      <c r="H8" s="17"/>
      <c r="I8" s="13"/>
      <c r="J8" s="16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12"/>
      <c r="B9" s="13"/>
      <c r="C9" s="14"/>
      <c r="D9" s="13"/>
      <c r="E9" s="19"/>
      <c r="F9" s="13"/>
      <c r="G9" s="16"/>
      <c r="H9" s="17"/>
      <c r="I9" s="13"/>
      <c r="J9" s="16"/>
      <c r="K9" s="17"/>
      <c r="L9" s="17"/>
      <c r="M9" s="17"/>
      <c r="N9" s="17"/>
      <c r="O9" s="17"/>
      <c r="P9" s="17"/>
      <c r="Q9" s="17"/>
      <c r="R9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8"/>
  <sheetViews>
    <sheetView workbookViewId="0">
      <selection activeCell="C21" sqref="C21"/>
    </sheetView>
  </sheetViews>
  <sheetFormatPr defaultRowHeight="14.4" x14ac:dyDescent="0.3"/>
  <cols>
    <col min="1" max="1" width="13.44140625" bestFit="1" customWidth="1"/>
  </cols>
  <sheetData>
    <row r="1" spans="1:7" x14ac:dyDescent="0.3">
      <c r="A1" s="62" t="s">
        <v>63</v>
      </c>
      <c r="B1" s="62" t="s">
        <v>1</v>
      </c>
      <c r="C1" s="62"/>
      <c r="D1" s="62"/>
      <c r="E1" s="62"/>
      <c r="F1" s="62"/>
      <c r="G1" s="62"/>
    </row>
    <row r="2" spans="1:7" x14ac:dyDescent="0.3">
      <c r="A2" s="62"/>
      <c r="B2" s="50" t="s">
        <v>70</v>
      </c>
      <c r="C2" s="50" t="s">
        <v>71</v>
      </c>
      <c r="D2" s="50" t="s">
        <v>72</v>
      </c>
      <c r="E2" s="50" t="s">
        <v>73</v>
      </c>
      <c r="F2" s="50" t="s">
        <v>74</v>
      </c>
      <c r="G2" s="50" t="s">
        <v>75</v>
      </c>
    </row>
    <row r="3" spans="1:7" x14ac:dyDescent="0.3">
      <c r="A3" s="61">
        <f>0.22</f>
        <v>0.22</v>
      </c>
      <c r="B3" s="11">
        <v>4.72</v>
      </c>
      <c r="C3" s="11">
        <v>5.56</v>
      </c>
      <c r="D3" s="11">
        <v>6.41</v>
      </c>
      <c r="E3" s="11">
        <v>7.45</v>
      </c>
      <c r="F3" s="11">
        <v>8.52</v>
      </c>
      <c r="G3" s="11">
        <v>9.34</v>
      </c>
    </row>
    <row r="4" spans="1:7" x14ac:dyDescent="0.3">
      <c r="A4" s="61"/>
      <c r="B4" s="11">
        <v>4.68</v>
      </c>
      <c r="C4" s="11">
        <v>5.48</v>
      </c>
      <c r="D4" s="11">
        <v>6.5</v>
      </c>
      <c r="E4" s="11">
        <v>7.38</v>
      </c>
      <c r="F4" s="11">
        <v>8.44</v>
      </c>
      <c r="G4" s="11">
        <v>9.51</v>
      </c>
    </row>
    <row r="5" spans="1:7" x14ac:dyDescent="0.3">
      <c r="A5" s="61"/>
      <c r="B5" s="11">
        <v>4.66</v>
      </c>
      <c r="C5" s="11">
        <v>5.57</v>
      </c>
      <c r="D5" s="11">
        <v>6.45</v>
      </c>
      <c r="E5" s="11">
        <v>7.21</v>
      </c>
      <c r="F5" s="11">
        <v>8.33</v>
      </c>
      <c r="G5" s="11">
        <v>9.4499999999999993</v>
      </c>
    </row>
    <row r="6" spans="1:7" x14ac:dyDescent="0.3">
      <c r="A6" s="61"/>
      <c r="B6" s="11">
        <f>SUM(B3:B5)/3</f>
        <v>4.6866666666666665</v>
      </c>
      <c r="C6" s="11">
        <f t="shared" ref="C6:G6" si="0">SUM(C3:C5)/3</f>
        <v>5.5366666666666662</v>
      </c>
      <c r="D6" s="11">
        <f t="shared" si="0"/>
        <v>6.4533333333333331</v>
      </c>
      <c r="E6" s="11">
        <f t="shared" si="0"/>
        <v>7.3466666666666667</v>
      </c>
      <c r="F6" s="11">
        <f t="shared" si="0"/>
        <v>8.43</v>
      </c>
      <c r="G6" s="11">
        <f t="shared" si="0"/>
        <v>9.4333333333333336</v>
      </c>
    </row>
    <row r="7" spans="1:7" x14ac:dyDescent="0.3">
      <c r="A7" s="61">
        <f>0.22*2</f>
        <v>0.44</v>
      </c>
      <c r="B7" s="11">
        <v>3.39</v>
      </c>
      <c r="C7" s="11">
        <v>4.01</v>
      </c>
      <c r="D7" s="11">
        <v>4.7699999999999996</v>
      </c>
      <c r="E7" s="11">
        <v>5.36</v>
      </c>
      <c r="F7" s="11">
        <v>6.09</v>
      </c>
      <c r="G7" s="11">
        <v>6.82</v>
      </c>
    </row>
    <row r="8" spans="1:7" x14ac:dyDescent="0.3">
      <c r="A8" s="61"/>
      <c r="B8" s="11">
        <v>3.47</v>
      </c>
      <c r="C8" s="11">
        <v>4.0999999999999996</v>
      </c>
      <c r="D8" s="11">
        <v>4.7699999999999996</v>
      </c>
      <c r="E8" s="11">
        <v>5.34</v>
      </c>
      <c r="F8" s="11">
        <v>6.15</v>
      </c>
      <c r="G8" s="11">
        <v>6.88</v>
      </c>
    </row>
    <row r="9" spans="1:7" x14ac:dyDescent="0.3">
      <c r="A9" s="61"/>
      <c r="B9" s="11">
        <v>3.44</v>
      </c>
      <c r="C9" s="11">
        <v>4.01</v>
      </c>
      <c r="D9" s="11">
        <v>4.71</v>
      </c>
      <c r="E9" s="11">
        <v>5.47</v>
      </c>
      <c r="F9" s="11">
        <v>6.17</v>
      </c>
      <c r="G9" s="11">
        <v>6.85</v>
      </c>
    </row>
    <row r="10" spans="1:7" x14ac:dyDescent="0.3">
      <c r="A10" s="61"/>
      <c r="B10" s="11">
        <f>SUM(B7:B9)/3</f>
        <v>3.4333333333333336</v>
      </c>
      <c r="C10" s="11">
        <f t="shared" ref="C10:F10" si="1">SUM(C7:C9)/3</f>
        <v>4.04</v>
      </c>
      <c r="D10" s="11">
        <f t="shared" si="1"/>
        <v>4.75</v>
      </c>
      <c r="E10" s="11">
        <f t="shared" si="1"/>
        <v>5.39</v>
      </c>
      <c r="F10" s="11">
        <f t="shared" si="1"/>
        <v>6.1366666666666667</v>
      </c>
      <c r="G10" s="11">
        <f>SUM(G7:G9)/3</f>
        <v>6.8499999999999988</v>
      </c>
    </row>
    <row r="11" spans="1:7" x14ac:dyDescent="0.3">
      <c r="A11" s="61">
        <f>0.22*3</f>
        <v>0.66</v>
      </c>
      <c r="B11" s="11">
        <v>2.79</v>
      </c>
      <c r="C11" s="11">
        <v>3.3</v>
      </c>
      <c r="D11" s="11">
        <v>3.82</v>
      </c>
      <c r="E11" s="11">
        <v>4.4400000000000004</v>
      </c>
      <c r="F11" s="11">
        <v>5.0599999999999996</v>
      </c>
      <c r="G11" s="11">
        <v>5.78</v>
      </c>
    </row>
    <row r="12" spans="1:7" x14ac:dyDescent="0.3">
      <c r="A12" s="61"/>
      <c r="B12" s="11">
        <v>2.78</v>
      </c>
      <c r="C12" s="11">
        <v>3.31</v>
      </c>
      <c r="D12" s="11">
        <v>3.86</v>
      </c>
      <c r="E12" s="11">
        <v>4.55</v>
      </c>
      <c r="F12" s="11">
        <v>5</v>
      </c>
      <c r="G12" s="11">
        <v>5.8</v>
      </c>
    </row>
    <row r="13" spans="1:7" x14ac:dyDescent="0.3">
      <c r="A13" s="61"/>
      <c r="B13" s="11">
        <v>2.85</v>
      </c>
      <c r="C13" s="11">
        <v>3.31</v>
      </c>
      <c r="D13" s="11">
        <v>3.83</v>
      </c>
      <c r="E13" s="11">
        <v>4.46</v>
      </c>
      <c r="F13" s="11">
        <v>4.96</v>
      </c>
      <c r="G13" s="11">
        <v>5.65</v>
      </c>
    </row>
    <row r="14" spans="1:7" x14ac:dyDescent="0.3">
      <c r="A14" s="61"/>
      <c r="B14" s="11">
        <f>SUM(B11:B13)/3</f>
        <v>2.8066666666666666</v>
      </c>
      <c r="C14" s="11">
        <f t="shared" ref="C14:G14" si="2">SUM(C11:C13)/3</f>
        <v>3.3066666666666666</v>
      </c>
      <c r="D14" s="11">
        <f t="shared" si="2"/>
        <v>3.8366666666666664</v>
      </c>
      <c r="E14" s="11">
        <f t="shared" si="2"/>
        <v>4.4833333333333334</v>
      </c>
      <c r="F14" s="11">
        <f t="shared" si="2"/>
        <v>5.0066666666666668</v>
      </c>
      <c r="G14" s="11">
        <f t="shared" si="2"/>
        <v>5.7433333333333332</v>
      </c>
    </row>
    <row r="15" spans="1:7" x14ac:dyDescent="0.3">
      <c r="A15" s="61">
        <f>0.22*4</f>
        <v>0.88</v>
      </c>
      <c r="B15" s="11">
        <v>2.41</v>
      </c>
      <c r="C15" s="11">
        <v>2.88</v>
      </c>
      <c r="D15" s="11">
        <v>3.41</v>
      </c>
      <c r="E15" s="11">
        <v>3.83</v>
      </c>
      <c r="F15" s="11">
        <v>4.43</v>
      </c>
      <c r="G15" s="11">
        <v>4.96</v>
      </c>
    </row>
    <row r="16" spans="1:7" x14ac:dyDescent="0.3">
      <c r="A16" s="61"/>
      <c r="B16" s="11">
        <v>2.39</v>
      </c>
      <c r="C16" s="11">
        <v>2.87</v>
      </c>
      <c r="D16" s="11">
        <v>3.36</v>
      </c>
      <c r="E16" s="11">
        <v>4.01</v>
      </c>
      <c r="F16" s="11">
        <v>4.37</v>
      </c>
      <c r="G16" s="11">
        <v>4.92</v>
      </c>
    </row>
    <row r="17" spans="1:7" x14ac:dyDescent="0.3">
      <c r="A17" s="61"/>
      <c r="B17" s="11">
        <v>2.4700000000000002</v>
      </c>
      <c r="C17" s="11">
        <v>2.91</v>
      </c>
      <c r="D17" s="11">
        <v>3.33</v>
      </c>
      <c r="E17" s="11">
        <v>3.91</v>
      </c>
      <c r="F17" s="11">
        <v>4.4400000000000004</v>
      </c>
      <c r="G17" s="11">
        <v>4.8899999999999997</v>
      </c>
    </row>
    <row r="18" spans="1:7" x14ac:dyDescent="0.3">
      <c r="A18" s="61"/>
      <c r="B18" s="11">
        <f>SUM(B15:B17)/3</f>
        <v>2.4233333333333338</v>
      </c>
      <c r="C18" s="11">
        <f t="shared" ref="C18:G18" si="3">SUM(C15:C17)/3</f>
        <v>2.8866666666666667</v>
      </c>
      <c r="D18" s="11">
        <f t="shared" si="3"/>
        <v>3.3666666666666667</v>
      </c>
      <c r="E18" s="11">
        <f t="shared" si="3"/>
        <v>3.9166666666666665</v>
      </c>
      <c r="F18" s="11">
        <f t="shared" si="3"/>
        <v>4.413333333333334</v>
      </c>
      <c r="G18" s="11">
        <f t="shared" si="3"/>
        <v>4.9233333333333329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E26"/>
  <sheetViews>
    <sheetView topLeftCell="A16" workbookViewId="0">
      <selection activeCell="D21" sqref="D21"/>
    </sheetView>
  </sheetViews>
  <sheetFormatPr defaultRowHeight="14.4" x14ac:dyDescent="0.3"/>
  <cols>
    <col min="1" max="1" width="13.44140625" bestFit="1" customWidth="1"/>
  </cols>
  <sheetData>
    <row r="1" spans="1:5" ht="18" customHeight="1" x14ac:dyDescent="0.3"/>
    <row r="2" spans="1:5" ht="16.8" x14ac:dyDescent="0.35">
      <c r="A2" s="20" t="s">
        <v>0</v>
      </c>
      <c r="B2" s="20" t="s">
        <v>8</v>
      </c>
      <c r="C2" s="21" t="s">
        <v>9</v>
      </c>
      <c r="D2" s="22" t="s">
        <v>76</v>
      </c>
      <c r="E2" s="1" t="s">
        <v>10</v>
      </c>
    </row>
    <row r="3" spans="1:5" x14ac:dyDescent="0.3">
      <c r="A3" s="61">
        <f>'Таблица 1'!A3</f>
        <v>0.22</v>
      </c>
      <c r="B3" s="54">
        <f>'Таблица 1'!B6</f>
        <v>4.6866666666666665</v>
      </c>
      <c r="C3" s="54">
        <f>'Параметры установки'!$A$2*2/B3/B3</f>
        <v>6.3738216017919541E-2</v>
      </c>
      <c r="D3" s="54">
        <f>2*C3/'Параметры установки'!$B$2</f>
        <v>2.7712267833878061</v>
      </c>
      <c r="E3" s="54">
        <f>$A$3*'Параметры установки'!$B$2/2*(9.8-C3)</f>
        <v>4.9265484626949338E-2</v>
      </c>
    </row>
    <row r="4" spans="1:5" x14ac:dyDescent="0.3">
      <c r="A4" s="61"/>
      <c r="B4" s="54">
        <f>'Таблица 1'!C6</f>
        <v>5.5366666666666662</v>
      </c>
      <c r="C4" s="54">
        <f>'Параметры установки'!$A$2*2/B4/B4</f>
        <v>4.5670028246550011E-2</v>
      </c>
      <c r="D4" s="54">
        <f>2*C4/'Параметры установки'!$B$2</f>
        <v>1.9856534020239136</v>
      </c>
      <c r="E4" s="54">
        <f>$A$3*'Параметры установки'!$B$2/2*(9.8-C4)</f>
        <v>4.9356909657072463E-2</v>
      </c>
    </row>
    <row r="5" spans="1:5" x14ac:dyDescent="0.3">
      <c r="A5" s="61"/>
      <c r="B5" s="54">
        <f>'Таблица 1'!D6</f>
        <v>6.4533333333333331</v>
      </c>
      <c r="C5" s="54">
        <f>'Параметры установки'!$A$2*2/B5/B5</f>
        <v>3.3617068506249577E-2</v>
      </c>
      <c r="D5" s="54">
        <f>2*C5/'Параметры установки'!$B$2</f>
        <v>1.4616116741847642</v>
      </c>
      <c r="E5" s="54">
        <f>$A$3*'Параметры установки'!$B$2/2*(9.8-C5)</f>
        <v>4.9417897633358389E-2</v>
      </c>
    </row>
    <row r="6" spans="1:5" x14ac:dyDescent="0.3">
      <c r="A6" s="61"/>
      <c r="B6" s="54">
        <f>'Таблица 1'!E6</f>
        <v>7.3466666666666667</v>
      </c>
      <c r="C6" s="54">
        <f>'Параметры установки'!$A$2*2/B6/B6</f>
        <v>2.5938649740942881E-2</v>
      </c>
      <c r="D6" s="54">
        <f>2*C6/'Параметры установки'!$B$2</f>
        <v>1.1277673800409949</v>
      </c>
      <c r="E6" s="54">
        <f>$A$3*'Параметры установки'!$B$2/2*(9.8-C6)</f>
        <v>4.9456750432310834E-2</v>
      </c>
    </row>
    <row r="7" spans="1:5" x14ac:dyDescent="0.3">
      <c r="A7" s="61"/>
      <c r="B7" s="54">
        <f>'Таблица 1'!F6</f>
        <v>8.43</v>
      </c>
      <c r="C7" s="54">
        <f>'Параметры установки'!$A$2*2/B7/B7</f>
        <v>1.9700302118204626E-2</v>
      </c>
      <c r="D7" s="54">
        <f>2*C7/'Параметры установки'!$B$2</f>
        <v>0.85653487470454892</v>
      </c>
      <c r="E7" s="54">
        <f>$A$3*'Параметры установки'!$B$2/2*(9.8-C7)</f>
        <v>4.9488316471281893E-2</v>
      </c>
    </row>
    <row r="8" spans="1:5" x14ac:dyDescent="0.3">
      <c r="A8" s="61"/>
      <c r="B8" s="54">
        <f>'Таблица 1'!G6</f>
        <v>9.4333333333333336</v>
      </c>
      <c r="C8" s="54">
        <f>'Параметры установки'!$A$2*2/B8/B8</f>
        <v>1.5732497596423978E-2</v>
      </c>
      <c r="D8" s="54">
        <f>2*C8/'Параметры установки'!$B$2</f>
        <v>0.6840216346271295</v>
      </c>
      <c r="E8" s="54">
        <f>$A$3*'Параметры установки'!$B$2/2*(9.8-C8)</f>
        <v>4.9508393562162099E-2</v>
      </c>
    </row>
    <row r="9" spans="1:5" x14ac:dyDescent="0.3">
      <c r="A9" s="61">
        <f>'Таблица 1'!A7</f>
        <v>0.44</v>
      </c>
      <c r="B9" s="54">
        <f>'Таблица 1'!B10</f>
        <v>3.4333333333333336</v>
      </c>
      <c r="C9" s="54">
        <f>'Параметры установки'!$A$2*2/B9/B9</f>
        <v>0.11876708455085302</v>
      </c>
      <c r="D9" s="54">
        <f>2*C9/'Параметры установки'!$B$2</f>
        <v>5.1637862848196967</v>
      </c>
      <c r="E9" s="54">
        <f>$A$9*'Параметры установки'!$B$2/2*(9.8-C9)</f>
        <v>9.7974077104345372E-2</v>
      </c>
    </row>
    <row r="10" spans="1:5" x14ac:dyDescent="0.3">
      <c r="A10" s="61"/>
      <c r="B10" s="54">
        <f>'Таблица 1'!C10</f>
        <v>4.04</v>
      </c>
      <c r="C10" s="54">
        <f>'Параметры установки'!$A$2*2/B10/B10</f>
        <v>8.577590432310557E-2</v>
      </c>
      <c r="D10" s="54">
        <f>2*C10/'Параметры установки'!$B$2</f>
        <v>3.729387144482851</v>
      </c>
      <c r="E10" s="54">
        <f>$A$9*'Параметры установки'!$B$2/2*(9.8-C10)</f>
        <v>9.8307947848250185E-2</v>
      </c>
    </row>
    <row r="11" spans="1:5" x14ac:dyDescent="0.3">
      <c r="A11" s="61"/>
      <c r="B11" s="54">
        <f>'Таблица 1'!D10</f>
        <v>4.75</v>
      </c>
      <c r="C11" s="54">
        <f>'Параметры установки'!$A$2*2/B11/B11</f>
        <v>6.204986149584487E-2</v>
      </c>
      <c r="D11" s="54">
        <f>2*C11/'Параметры установки'!$B$2</f>
        <v>2.6978200650367334</v>
      </c>
      <c r="E11" s="54">
        <f>$A$9*'Параметры установки'!$B$2/2*(9.8-C11)</f>
        <v>9.854805540166206E-2</v>
      </c>
    </row>
    <row r="12" spans="1:5" x14ac:dyDescent="0.3">
      <c r="A12" s="61"/>
      <c r="B12" s="54">
        <f>'Таблица 1'!E10</f>
        <v>5.39</v>
      </c>
      <c r="C12" s="54">
        <f>'Параметры установки'!$A$2*2/B12/B12</f>
        <v>4.8189287521383996E-2</v>
      </c>
      <c r="D12" s="54">
        <f>2*C12/'Параметры установки'!$B$2</f>
        <v>2.095186413973217</v>
      </c>
      <c r="E12" s="54">
        <f>$A$9*'Параметры установки'!$B$2/2*(9.8-C12)</f>
        <v>9.8688324410283607E-2</v>
      </c>
    </row>
    <row r="13" spans="1:5" x14ac:dyDescent="0.3">
      <c r="A13" s="61"/>
      <c r="B13" s="54">
        <f>'Таблица 1'!F10</f>
        <v>6.1366666666666667</v>
      </c>
      <c r="C13" s="54">
        <f>'Параметры установки'!$A$2*2/B13/B13</f>
        <v>3.7176026419762774E-2</v>
      </c>
      <c r="D13" s="54">
        <f>2*C13/'Параметры установки'!$B$2</f>
        <v>1.6163489747722946</v>
      </c>
      <c r="E13" s="54">
        <f>$A$9*'Параметры установки'!$B$2/2*(9.8-C13)</f>
        <v>9.8799778612632005E-2</v>
      </c>
    </row>
    <row r="14" spans="1:5" x14ac:dyDescent="0.3">
      <c r="A14" s="61"/>
      <c r="B14" s="54">
        <f>'Таблица 1'!G10</f>
        <v>6.8499999999999988</v>
      </c>
      <c r="C14" s="54">
        <f>'Параметры установки'!$A$2*2/B14/B14</f>
        <v>2.9836432415152655E-2</v>
      </c>
      <c r="D14" s="54">
        <f>2*C14/'Параметры установки'!$B$2</f>
        <v>1.297236191963159</v>
      </c>
      <c r="E14" s="54">
        <f>$A$9*'Параметры установки'!$B$2/2*(9.8-C14)</f>
        <v>9.8874055303958666E-2</v>
      </c>
    </row>
    <row r="15" spans="1:5" x14ac:dyDescent="0.3">
      <c r="A15" s="61">
        <f>'Таблица 1'!A11</f>
        <v>0.66</v>
      </c>
      <c r="B15" s="54">
        <f>'Таблица 1'!B14</f>
        <v>2.8066666666666666</v>
      </c>
      <c r="C15" s="54">
        <f>'Параметры установки'!$A$2*2/B15/B15</f>
        <v>0.1777241157519987</v>
      </c>
      <c r="D15" s="54">
        <f>2*C15/'Параметры установки'!$B$2</f>
        <v>7.7271354674782042</v>
      </c>
      <c r="E15" s="54">
        <f>$A$15*'Параметры установки'!$B$2/2*(9.8-C15)</f>
        <v>0.14606614792288466</v>
      </c>
    </row>
    <row r="16" spans="1:5" x14ac:dyDescent="0.3">
      <c r="A16" s="61"/>
      <c r="B16" s="54">
        <f>'Таблица 1'!C14</f>
        <v>3.3066666666666666</v>
      </c>
      <c r="C16" s="54">
        <f>'Параметры установки'!$A$2*2/B16/B16</f>
        <v>0.12804045265348593</v>
      </c>
      <c r="D16" s="54">
        <f>2*C16/'Параметры установки'!$B$2</f>
        <v>5.566976202325475</v>
      </c>
      <c r="E16" s="54">
        <f>$A$15*'Параметры установки'!$B$2/2*(9.8-C16)</f>
        <v>0.14682034592872009</v>
      </c>
    </row>
    <row r="17" spans="1:5" x14ac:dyDescent="0.3">
      <c r="A17" s="61"/>
      <c r="B17" s="54">
        <f>'Таблица 1'!D14</f>
        <v>3.8366666666666664</v>
      </c>
      <c r="C17" s="54">
        <f>'Параметры установки'!$A$2*2/B17/B17</f>
        <v>9.5108623861244079E-2</v>
      </c>
      <c r="D17" s="54">
        <f>2*C17/'Параметры установки'!$B$2</f>
        <v>4.1351575591845249</v>
      </c>
      <c r="E17" s="54">
        <f>$A$15*'Параметры установки'!$B$2/2*(9.8-C17)</f>
        <v>0.14732025108978636</v>
      </c>
    </row>
    <row r="18" spans="1:5" x14ac:dyDescent="0.3">
      <c r="A18" s="61"/>
      <c r="B18" s="54">
        <f>'Таблица 1'!E14</f>
        <v>4.4833333333333334</v>
      </c>
      <c r="C18" s="54">
        <f>'Параметры установки'!$A$2*2/B18/B18</f>
        <v>6.965077873440112E-2</v>
      </c>
      <c r="D18" s="54">
        <f>2*C18/'Параметры установки'!$B$2</f>
        <v>3.0282947275826575</v>
      </c>
      <c r="E18" s="54">
        <f>$A$15*'Параметры установки'!$B$2/2*(9.8-C18)</f>
        <v>0.14770670117881182</v>
      </c>
    </row>
    <row r="19" spans="1:5" x14ac:dyDescent="0.3">
      <c r="A19" s="61"/>
      <c r="B19" s="54">
        <f>'Таблица 1'!F14</f>
        <v>5.0066666666666668</v>
      </c>
      <c r="C19" s="54">
        <f>'Параметры установки'!$A$2*2/B19/B19</f>
        <v>5.585096480325389E-2</v>
      </c>
      <c r="D19" s="54">
        <f>2*C19/'Параметры установки'!$B$2</f>
        <v>2.4283028175327779</v>
      </c>
      <c r="E19" s="54">
        <f>$A$15*'Параметры установки'!$B$2/2*(9.8-C19)</f>
        <v>0.14791618235428663</v>
      </c>
    </row>
    <row r="20" spans="1:5" x14ac:dyDescent="0.3">
      <c r="A20" s="61"/>
      <c r="B20" s="54">
        <f>'Таблица 1'!G14</f>
        <v>5.7433333333333332</v>
      </c>
      <c r="C20" s="54">
        <f>'Параметры установки'!$A$2*2/B20/B20</f>
        <v>4.2442405487331449E-2</v>
      </c>
      <c r="D20" s="54">
        <f>2*C20/'Параметры установки'!$B$2</f>
        <v>1.8453219777100629</v>
      </c>
      <c r="E20" s="54">
        <f>$A$15*'Параметры установки'!$B$2/2*(9.8-C20)</f>
        <v>0.14811972428470233</v>
      </c>
    </row>
    <row r="21" spans="1:5" x14ac:dyDescent="0.3">
      <c r="A21" s="61">
        <f>'Таблица 1'!A15</f>
        <v>0.88</v>
      </c>
      <c r="B21" s="54">
        <f>'Таблица 1'!B18</f>
        <v>2.4233333333333338</v>
      </c>
      <c r="C21" s="54">
        <f>'Параметры установки'!$A$2*2/B21/B21</f>
        <v>0.23839751461130787</v>
      </c>
      <c r="D21" s="54">
        <f>2*C21/'Параметры установки'!$B$2</f>
        <v>10.36510933092643</v>
      </c>
      <c r="E21" s="54">
        <f>$A$21*'Параметры установки'!$B$2/2*(9.8-C21)</f>
        <v>0.19352683430426718</v>
      </c>
    </row>
    <row r="22" spans="1:5" x14ac:dyDescent="0.3">
      <c r="A22" s="61"/>
      <c r="B22" s="54">
        <f>'Таблица 1'!C18</f>
        <v>2.8866666666666667</v>
      </c>
      <c r="C22" s="54">
        <f>'Параметры установки'!$A$2*2/B22/B22</f>
        <v>0.16800985657825257</v>
      </c>
      <c r="D22" s="54">
        <f>2*C22/'Параметры установки'!$B$2</f>
        <v>7.3047763729675035</v>
      </c>
      <c r="E22" s="54">
        <f>$A$21*'Параметры установки'!$B$2/2*(9.8-C22)</f>
        <v>0.19495148050285618</v>
      </c>
    </row>
    <row r="23" spans="1:5" x14ac:dyDescent="0.3">
      <c r="A23" s="61"/>
      <c r="B23" s="54">
        <f>'Таблица 1'!D18</f>
        <v>3.3666666666666667</v>
      </c>
      <c r="C23" s="54">
        <f>'Параметры установки'!$A$2*2/B23/B23</f>
        <v>0.12351730222527202</v>
      </c>
      <c r="D23" s="54">
        <f>2*C23/'Параметры установки'!$B$2</f>
        <v>5.3703174880553055</v>
      </c>
      <c r="E23" s="54">
        <f>$A$21*'Параметры установки'!$B$2/2*(9.8-C23)</f>
        <v>0.19585200980296052</v>
      </c>
    </row>
    <row r="24" spans="1:5" x14ac:dyDescent="0.3">
      <c r="A24" s="61"/>
      <c r="B24" s="54">
        <f>'Таблица 1'!E18</f>
        <v>3.9166666666666665</v>
      </c>
      <c r="C24" s="54">
        <f>'Параметры установки'!$A$2*2/B24/B24</f>
        <v>9.1263014938886375E-2</v>
      </c>
      <c r="D24" s="54">
        <f>2*C24/'Параметры установки'!$B$2</f>
        <v>3.9679571712559296</v>
      </c>
      <c r="E24" s="54">
        <f>$A$21*'Параметры установки'!$B$2/2*(9.8-C24)</f>
        <v>0.19650483657763695</v>
      </c>
    </row>
    <row r="25" spans="1:5" x14ac:dyDescent="0.3">
      <c r="A25" s="61"/>
      <c r="B25" s="54">
        <f>'Таблица 1'!F18</f>
        <v>4.413333333333334</v>
      </c>
      <c r="C25" s="54">
        <f>'Параметры установки'!$A$2*2/B25/B25</f>
        <v>7.187776672356036E-2</v>
      </c>
      <c r="D25" s="54">
        <f>2*C25/'Параметры установки'!$B$2</f>
        <v>3.1251202923287114</v>
      </c>
      <c r="E25" s="54">
        <f>$A$21*'Параметры установки'!$B$2/2*(9.8-C25)</f>
        <v>0.19689719400151517</v>
      </c>
    </row>
    <row r="26" spans="1:5" x14ac:dyDescent="0.3">
      <c r="A26" s="61"/>
      <c r="B26" s="54">
        <f>'Таблица 1'!G18</f>
        <v>4.9233333333333329</v>
      </c>
      <c r="C26" s="54">
        <f>'Параметры установки'!$A$2*2/B26/B26</f>
        <v>5.7757655295895681E-2</v>
      </c>
      <c r="D26" s="54">
        <f>2*C26/'Параметры установки'!$B$2</f>
        <v>2.5112024041693775</v>
      </c>
      <c r="E26" s="54">
        <f>$A$21*'Параметры установки'!$B$2/2*(9.8-C26)</f>
        <v>0.19718298505681109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4"/>
  <sheetViews>
    <sheetView workbookViewId="0">
      <selection activeCell="C4" sqref="C4"/>
    </sheetView>
  </sheetViews>
  <sheetFormatPr defaultRowHeight="14.4" x14ac:dyDescent="0.3"/>
  <cols>
    <col min="1" max="1" width="12.88671875" bestFit="1" customWidth="1"/>
  </cols>
  <sheetData>
    <row r="1" spans="1:7" ht="28.8" x14ac:dyDescent="0.3">
      <c r="A1" s="31" t="s">
        <v>50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</row>
    <row r="2" spans="1:7" x14ac:dyDescent="0.3">
      <c r="A2" s="31" t="s">
        <v>51</v>
      </c>
      <c r="B2" s="1">
        <f>'Параметры установки'!$C$2+(B1-1)*'Параметры установки'!$D$2+'Параметры установки'!$E$2/2</f>
        <v>7.6999999999999999E-2</v>
      </c>
      <c r="C2" s="1">
        <f>'Параметры установки'!$C$2+(C1-1)*'Параметры установки'!$D$2+'Параметры установки'!$E$2/2</f>
        <v>0.10200000000000001</v>
      </c>
      <c r="D2" s="1">
        <f>'Параметры установки'!$C$2+(D1-1)*'Параметры установки'!$D$2+'Параметры установки'!$E$2/2</f>
        <v>0.127</v>
      </c>
      <c r="E2" s="1">
        <f>'Параметры установки'!$C$2+(E1-1)*'Параметры установки'!$D$2+'Параметры установки'!$E$2/2</f>
        <v>0.152</v>
      </c>
      <c r="F2" s="1">
        <f>'Параметры установки'!$C$2+(F1-1)*'Параметры установки'!$D$2+'Параметры установки'!$E$2/2</f>
        <v>0.17699999999999999</v>
      </c>
      <c r="G2" s="1">
        <f>'Параметры установки'!$C$2+(G1-1)*'Параметры установки'!$D$2+'Параметры установки'!$E$2/2</f>
        <v>0.20199999999999999</v>
      </c>
    </row>
    <row r="3" spans="1:7" ht="16.2" x14ac:dyDescent="0.3">
      <c r="A3" s="31" t="s">
        <v>52</v>
      </c>
      <c r="B3" s="1">
        <f>B2*B2</f>
        <v>5.9290000000000002E-3</v>
      </c>
      <c r="C3" s="1">
        <f t="shared" ref="C3:G3" si="0">C2*C2</f>
        <v>1.0404000000000002E-2</v>
      </c>
      <c r="D3" s="1">
        <f t="shared" si="0"/>
        <v>1.6129000000000001E-2</v>
      </c>
      <c r="E3" s="1">
        <f t="shared" si="0"/>
        <v>2.3104E-2</v>
      </c>
      <c r="F3" s="1">
        <f t="shared" si="0"/>
        <v>3.1328999999999996E-2</v>
      </c>
      <c r="G3" s="1">
        <f t="shared" si="0"/>
        <v>4.0803999999999993E-2</v>
      </c>
    </row>
    <row r="4" spans="1:7" x14ac:dyDescent="0.3">
      <c r="A4" s="31" t="s">
        <v>53</v>
      </c>
      <c r="B4" s="55">
        <f>'МНК рис.1'!N2</f>
        <v>1.8961673083835066E-2</v>
      </c>
      <c r="C4" s="55">
        <f>'МНК рис.2'!N2</f>
        <v>2.7268348908067931E-2</v>
      </c>
      <c r="D4" s="55">
        <f>'МНК рис.3'!N2</f>
        <v>3.7042967023977441E-2</v>
      </c>
      <c r="E4" s="55">
        <f>'МНК рис.4'!N2</f>
        <v>5.1846350121062403E-2</v>
      </c>
      <c r="F4" s="55">
        <f>'МНК рис.5'!N2</f>
        <v>6.4448603816210467E-2</v>
      </c>
      <c r="G4" s="55">
        <f>'МНК рис.6'!N2</f>
        <v>8.1533113335827481E-2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"/>
  <sheetViews>
    <sheetView zoomScaleNormal="100" workbookViewId="0">
      <selection activeCell="R24" sqref="R24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499984740745262"/>
  </sheetPr>
  <dimension ref="A1:G51"/>
  <sheetViews>
    <sheetView topLeftCell="A31" workbookViewId="0">
      <selection activeCell="B31" sqref="B31"/>
    </sheetView>
  </sheetViews>
  <sheetFormatPr defaultRowHeight="14.4" x14ac:dyDescent="0.3"/>
  <cols>
    <col min="1" max="1" width="14.33203125" customWidth="1"/>
    <col min="2" max="2" width="11" customWidth="1"/>
    <col min="3" max="3" width="11.33203125" customWidth="1"/>
    <col min="4" max="4" width="10.6640625" customWidth="1"/>
    <col min="5" max="5" width="10" customWidth="1"/>
    <col min="6" max="6" width="10.33203125" customWidth="1"/>
    <col min="7" max="7" width="13.44140625" customWidth="1"/>
  </cols>
  <sheetData>
    <row r="1" spans="1:7" ht="47.4" customHeight="1" x14ac:dyDescent="0.3">
      <c r="A1" s="63" t="s">
        <v>60</v>
      </c>
      <c r="B1" s="63"/>
      <c r="C1" s="63"/>
      <c r="D1" s="63"/>
      <c r="E1" s="63"/>
      <c r="F1" s="63"/>
      <c r="G1" s="63"/>
    </row>
    <row r="2" spans="1:7" x14ac:dyDescent="0.3">
      <c r="A2" s="72" t="s">
        <v>63</v>
      </c>
      <c r="B2" s="65" t="s">
        <v>1</v>
      </c>
      <c r="C2" s="66"/>
      <c r="D2" s="66"/>
      <c r="E2" s="66"/>
      <c r="F2" s="66"/>
      <c r="G2" s="67"/>
    </row>
    <row r="3" spans="1:7" x14ac:dyDescent="0.3">
      <c r="A3" s="73"/>
      <c r="B3" s="39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39" t="s">
        <v>7</v>
      </c>
    </row>
    <row r="4" spans="1:7" x14ac:dyDescent="0.3">
      <c r="A4" s="68">
        <f>0.047+0.22</f>
        <v>0.26700000000000002</v>
      </c>
      <c r="B4" s="40">
        <v>4.2</v>
      </c>
      <c r="C4" s="40">
        <v>4.97</v>
      </c>
      <c r="D4" s="40">
        <v>6</v>
      </c>
      <c r="E4" s="40">
        <v>6.86</v>
      </c>
      <c r="F4" s="40">
        <v>7.78</v>
      </c>
      <c r="G4" s="40">
        <v>8.8800000000000008</v>
      </c>
    </row>
    <row r="5" spans="1:7" x14ac:dyDescent="0.3">
      <c r="A5" s="69"/>
      <c r="B5" s="40">
        <v>4.3</v>
      </c>
      <c r="C5" s="40">
        <v>4.87</v>
      </c>
      <c r="D5" s="40">
        <v>5.93</v>
      </c>
      <c r="E5" s="40">
        <v>6.87</v>
      </c>
      <c r="F5" s="40">
        <v>7.8</v>
      </c>
      <c r="G5" s="40">
        <v>8.94</v>
      </c>
    </row>
    <row r="6" spans="1:7" x14ac:dyDescent="0.3">
      <c r="A6" s="69"/>
      <c r="B6" s="40">
        <v>4.3600000000000003</v>
      </c>
      <c r="C6" s="40">
        <v>4.95</v>
      </c>
      <c r="D6" s="40">
        <v>6.04</v>
      </c>
      <c r="E6" s="40">
        <v>6.96</v>
      </c>
      <c r="F6" s="40">
        <v>7.91</v>
      </c>
      <c r="G6" s="40">
        <v>9.02</v>
      </c>
    </row>
    <row r="7" spans="1:7" x14ac:dyDescent="0.3">
      <c r="A7" s="70"/>
      <c r="B7" s="40">
        <f>SUM(B4:B6)/3</f>
        <v>4.2866666666666662</v>
      </c>
      <c r="C7" s="40">
        <f t="shared" ref="C7:G7" si="0">SUM(C4:C6)/3</f>
        <v>4.93</v>
      </c>
      <c r="D7" s="40">
        <f t="shared" si="0"/>
        <v>5.9899999999999993</v>
      </c>
      <c r="E7" s="40">
        <f t="shared" si="0"/>
        <v>6.8966666666666674</v>
      </c>
      <c r="F7" s="40">
        <f t="shared" si="0"/>
        <v>7.830000000000001</v>
      </c>
      <c r="G7" s="40">
        <f t="shared" si="0"/>
        <v>8.9466666666666672</v>
      </c>
    </row>
    <row r="8" spans="1:7" x14ac:dyDescent="0.3">
      <c r="A8" s="68">
        <f>0.047+0.22*2</f>
        <v>0.48699999999999999</v>
      </c>
      <c r="B8" s="40">
        <v>3.27</v>
      </c>
      <c r="C8" s="40">
        <v>3.52</v>
      </c>
      <c r="D8" s="40">
        <v>4.3600000000000003</v>
      </c>
      <c r="E8" s="40">
        <v>4.99</v>
      </c>
      <c r="F8" s="40">
        <v>5.67</v>
      </c>
      <c r="G8" s="40">
        <v>6.36</v>
      </c>
    </row>
    <row r="9" spans="1:7" x14ac:dyDescent="0.3">
      <c r="A9" s="69"/>
      <c r="B9" s="40">
        <v>3.18</v>
      </c>
      <c r="C9" s="40">
        <v>3.63</v>
      </c>
      <c r="D9" s="40">
        <v>4.3499999999999996</v>
      </c>
      <c r="E9" s="40">
        <v>5.0199999999999996</v>
      </c>
      <c r="F9" s="40">
        <v>5.74</v>
      </c>
      <c r="G9" s="40">
        <v>6.39</v>
      </c>
    </row>
    <row r="10" spans="1:7" x14ac:dyDescent="0.3">
      <c r="A10" s="69"/>
      <c r="B10" s="40">
        <v>3.13</v>
      </c>
      <c r="C10" s="40">
        <v>3.64</v>
      </c>
      <c r="D10" s="40">
        <v>4.17</v>
      </c>
      <c r="E10" s="40">
        <v>4.96</v>
      </c>
      <c r="F10" s="40">
        <v>5.65</v>
      </c>
      <c r="G10" s="40">
        <v>6.37</v>
      </c>
    </row>
    <row r="11" spans="1:7" x14ac:dyDescent="0.3">
      <c r="A11" s="70"/>
      <c r="B11" s="40">
        <f>SUM(B8:B10)/3</f>
        <v>3.1933333333333334</v>
      </c>
      <c r="C11" s="40">
        <f t="shared" ref="C11:G11" si="1">SUM(C8:C10)/3</f>
        <v>3.5966666666666671</v>
      </c>
      <c r="D11" s="40">
        <f t="shared" si="1"/>
        <v>4.2933333333333339</v>
      </c>
      <c r="E11" s="40">
        <f t="shared" si="1"/>
        <v>4.9899999999999993</v>
      </c>
      <c r="F11" s="40">
        <f t="shared" si="1"/>
        <v>5.6866666666666674</v>
      </c>
      <c r="G11" s="40">
        <f t="shared" si="1"/>
        <v>6.373333333333334</v>
      </c>
    </row>
    <row r="12" spans="1:7" x14ac:dyDescent="0.3">
      <c r="A12" s="68">
        <f>0.047+0.22*3</f>
        <v>0.70700000000000007</v>
      </c>
      <c r="B12" s="40">
        <v>2.5099999999999998</v>
      </c>
      <c r="C12" s="40">
        <v>2.94</v>
      </c>
      <c r="D12" s="40">
        <v>3.45</v>
      </c>
      <c r="E12" s="40">
        <v>4.1399999999999997</v>
      </c>
      <c r="F12" s="40">
        <v>4.6399999999999997</v>
      </c>
      <c r="G12" s="40">
        <v>5.24</v>
      </c>
    </row>
    <row r="13" spans="1:7" x14ac:dyDescent="0.3">
      <c r="A13" s="69"/>
      <c r="B13" s="40">
        <v>2.56</v>
      </c>
      <c r="C13" s="40">
        <v>2.93</v>
      </c>
      <c r="D13" s="40">
        <v>3.55</v>
      </c>
      <c r="E13" s="40">
        <v>4.08</v>
      </c>
      <c r="F13" s="40">
        <v>4.75</v>
      </c>
      <c r="G13" s="40">
        <v>5.27</v>
      </c>
    </row>
    <row r="14" spans="1:7" x14ac:dyDescent="0.3">
      <c r="A14" s="69"/>
      <c r="B14" s="40">
        <v>2.5299999999999998</v>
      </c>
      <c r="C14" s="40">
        <v>3.02</v>
      </c>
      <c r="D14" s="40">
        <v>3.49</v>
      </c>
      <c r="E14" s="40">
        <v>4.07</v>
      </c>
      <c r="F14" s="40">
        <v>4.62</v>
      </c>
      <c r="G14" s="40">
        <v>5.28</v>
      </c>
    </row>
    <row r="15" spans="1:7" x14ac:dyDescent="0.3">
      <c r="A15" s="70"/>
      <c r="B15" s="40">
        <f>SUM(B12:B14)/3</f>
        <v>2.5333333333333332</v>
      </c>
      <c r="C15" s="40">
        <f t="shared" ref="C15" si="2">SUM(C12:C14)/3</f>
        <v>2.9633333333333334</v>
      </c>
      <c r="D15" s="40">
        <f t="shared" ref="D15:G15" si="3">SUM(D12:D14)/3</f>
        <v>3.4966666666666666</v>
      </c>
      <c r="E15" s="40">
        <f t="shared" si="3"/>
        <v>4.0966666666666667</v>
      </c>
      <c r="F15" s="40">
        <f t="shared" si="3"/>
        <v>4.6700000000000008</v>
      </c>
      <c r="G15" s="40">
        <f t="shared" si="3"/>
        <v>5.2633333333333328</v>
      </c>
    </row>
    <row r="16" spans="1:7" x14ac:dyDescent="0.3">
      <c r="A16" s="68">
        <f>0.047+0.22*4</f>
        <v>0.92700000000000005</v>
      </c>
      <c r="B16" s="40">
        <v>2.23</v>
      </c>
      <c r="C16" s="40">
        <v>2.59</v>
      </c>
      <c r="D16" s="40">
        <v>3.1</v>
      </c>
      <c r="E16" s="40">
        <v>3.55</v>
      </c>
      <c r="F16" s="40">
        <v>4.0599999999999996</v>
      </c>
      <c r="G16" s="40">
        <v>4.6100000000000003</v>
      </c>
    </row>
    <row r="17" spans="1:7" x14ac:dyDescent="0.3">
      <c r="A17" s="69"/>
      <c r="B17" s="40">
        <v>2.23</v>
      </c>
      <c r="C17" s="40">
        <v>2.59</v>
      </c>
      <c r="D17" s="40">
        <v>3.06</v>
      </c>
      <c r="E17" s="40">
        <v>3.56</v>
      </c>
      <c r="F17" s="40">
        <v>4.01</v>
      </c>
      <c r="G17" s="40">
        <v>4.5599999999999996</v>
      </c>
    </row>
    <row r="18" spans="1:7" x14ac:dyDescent="0.3">
      <c r="A18" s="69"/>
      <c r="B18" s="40">
        <v>2.12</v>
      </c>
      <c r="C18" s="40">
        <v>2.46</v>
      </c>
      <c r="D18" s="40">
        <v>3.09</v>
      </c>
      <c r="E18" s="40">
        <v>3.58</v>
      </c>
      <c r="F18" s="40">
        <v>4.07</v>
      </c>
      <c r="G18" s="40">
        <v>4.68</v>
      </c>
    </row>
    <row r="19" spans="1:7" x14ac:dyDescent="0.3">
      <c r="A19" s="70"/>
      <c r="B19" s="40">
        <f>SUM(B16:B18)/3</f>
        <v>2.1933333333333334</v>
      </c>
      <c r="C19" s="40">
        <f t="shared" ref="C19" si="4">SUM(C16:C18)/3</f>
        <v>2.5466666666666664</v>
      </c>
      <c r="D19" s="40">
        <f t="shared" ref="D19:G19" si="5">SUM(D16:D18)/3</f>
        <v>3.0833333333333335</v>
      </c>
      <c r="E19" s="40">
        <f t="shared" si="5"/>
        <v>3.563333333333333</v>
      </c>
      <c r="F19" s="40">
        <f t="shared" si="5"/>
        <v>4.0466666666666669</v>
      </c>
      <c r="G19" s="40">
        <f t="shared" si="5"/>
        <v>4.6166666666666663</v>
      </c>
    </row>
    <row r="20" spans="1:7" ht="41.4" customHeight="1" x14ac:dyDescent="0.3">
      <c r="A20" s="63" t="s">
        <v>61</v>
      </c>
      <c r="B20" s="63"/>
      <c r="C20" s="63"/>
      <c r="D20" s="63"/>
      <c r="E20" s="63"/>
      <c r="F20" s="41"/>
      <c r="G20" s="41"/>
    </row>
    <row r="21" spans="1:7" ht="15.6" x14ac:dyDescent="0.35">
      <c r="A21" s="39" t="s">
        <v>63</v>
      </c>
      <c r="B21" s="42" t="s">
        <v>65</v>
      </c>
      <c r="C21" s="43" t="s">
        <v>66</v>
      </c>
      <c r="D21" s="44" t="s">
        <v>67</v>
      </c>
      <c r="E21" s="45" t="s">
        <v>10</v>
      </c>
      <c r="F21" s="41"/>
      <c r="G21" s="41"/>
    </row>
    <row r="22" spans="1:7" x14ac:dyDescent="0.3">
      <c r="A22" s="68">
        <v>0.26700000000000002</v>
      </c>
      <c r="B22" s="40">
        <v>4.2866666666666662</v>
      </c>
      <c r="C22" s="40">
        <v>7.6188356967848536E-2</v>
      </c>
      <c r="D22" s="40">
        <v>3.3125372594716755</v>
      </c>
      <c r="E22" s="40">
        <v>5.9713927299860449E-2</v>
      </c>
      <c r="F22" s="41"/>
      <c r="G22" s="41"/>
    </row>
    <row r="23" spans="1:7" x14ac:dyDescent="0.3">
      <c r="A23" s="69"/>
      <c r="B23" s="40">
        <v>4.93</v>
      </c>
      <c r="C23" s="40">
        <v>5.7601553596188425E-2</v>
      </c>
      <c r="D23" s="40">
        <v>2.5044153737473227</v>
      </c>
      <c r="E23" s="40">
        <v>5.982806885936582E-2</v>
      </c>
      <c r="F23" s="41"/>
      <c r="G23" s="41"/>
    </row>
    <row r="24" spans="1:7" x14ac:dyDescent="0.3">
      <c r="A24" s="69"/>
      <c r="B24" s="40">
        <v>5.9899999999999993</v>
      </c>
      <c r="C24" s="40">
        <v>3.901884331426056E-2</v>
      </c>
      <c r="D24" s="40">
        <v>1.6964714484461114</v>
      </c>
      <c r="E24" s="40">
        <v>5.994218528320714E-2</v>
      </c>
      <c r="F24" s="41"/>
      <c r="G24" s="41"/>
    </row>
    <row r="25" spans="1:7" x14ac:dyDescent="0.3">
      <c r="A25" s="69"/>
      <c r="B25" s="40">
        <v>6.8966666666666674</v>
      </c>
      <c r="C25" s="40">
        <v>2.9434018857861947E-2</v>
      </c>
      <c r="D25" s="40">
        <v>1.2797399503418239</v>
      </c>
      <c r="E25" s="40">
        <v>6.0001045690193884E-2</v>
      </c>
      <c r="F25" s="41"/>
      <c r="G25" s="41"/>
    </row>
    <row r="26" spans="1:7" x14ac:dyDescent="0.3">
      <c r="A26" s="69"/>
      <c r="B26" s="40">
        <v>7.830000000000001</v>
      </c>
      <c r="C26" s="40">
        <v>2.2835183798763304E-2</v>
      </c>
      <c r="D26" s="40">
        <v>0.99283407820710023</v>
      </c>
      <c r="E26" s="40">
        <v>6.0041569136291807E-2</v>
      </c>
      <c r="F26" s="41"/>
      <c r="G26" s="41"/>
    </row>
    <row r="27" spans="1:7" x14ac:dyDescent="0.3">
      <c r="A27" s="70"/>
      <c r="B27" s="40">
        <v>8.9466666666666672</v>
      </c>
      <c r="C27" s="40">
        <v>1.7490632794436755E-2</v>
      </c>
      <c r="D27" s="40">
        <v>0.76046229541029375</v>
      </c>
      <c r="E27" s="40">
        <v>6.0074390024009376E-2</v>
      </c>
      <c r="F27" s="41"/>
      <c r="G27" s="41"/>
    </row>
    <row r="28" spans="1:7" x14ac:dyDescent="0.3">
      <c r="A28" s="68">
        <v>0.48699999999999999</v>
      </c>
      <c r="B28" s="40">
        <v>3.1933333333333334</v>
      </c>
      <c r="C28" s="40">
        <v>0.13729019660827838</v>
      </c>
      <c r="D28" s="40">
        <v>5.9691389829686248</v>
      </c>
      <c r="E28" s="40">
        <v>0.10823201250779067</v>
      </c>
      <c r="F28" s="41"/>
      <c r="G28" s="41"/>
    </row>
    <row r="29" spans="1:7" x14ac:dyDescent="0.3">
      <c r="A29" s="69"/>
      <c r="B29" s="40">
        <v>3.5966666666666671</v>
      </c>
      <c r="C29" s="40">
        <v>0.10822501526745747</v>
      </c>
      <c r="D29" s="40">
        <v>4.7054354464111947</v>
      </c>
      <c r="E29" s="40">
        <v>0.10855757160398921</v>
      </c>
      <c r="F29" s="41"/>
      <c r="G29" s="41"/>
    </row>
    <row r="30" spans="1:7" x14ac:dyDescent="0.3">
      <c r="A30" s="69"/>
      <c r="B30" s="40">
        <v>4.2933333333333339</v>
      </c>
      <c r="C30" s="40">
        <v>7.5951930866864678E-2</v>
      </c>
      <c r="D30" s="40">
        <v>3.3022578637767253</v>
      </c>
      <c r="E30" s="40">
        <v>0.10891906242236025</v>
      </c>
      <c r="F30" s="41"/>
      <c r="G30" s="41"/>
    </row>
    <row r="31" spans="1:7" x14ac:dyDescent="0.3">
      <c r="A31" s="69"/>
      <c r="B31" s="40">
        <v>4.9899999999999993</v>
      </c>
      <c r="C31" s="40">
        <v>5.6224673796490786E-2</v>
      </c>
      <c r="D31" s="40">
        <v>2.4445510346300341</v>
      </c>
      <c r="E31" s="40">
        <v>0.10914002742880551</v>
      </c>
      <c r="F31" s="41"/>
      <c r="G31" s="41"/>
    </row>
    <row r="32" spans="1:7" x14ac:dyDescent="0.3">
      <c r="A32" s="69"/>
      <c r="B32" s="40">
        <v>5.6866666666666674</v>
      </c>
      <c r="C32" s="40">
        <v>4.3292482638340082E-2</v>
      </c>
      <c r="D32" s="40">
        <v>1.8822818538408732</v>
      </c>
      <c r="E32" s="40">
        <v>0.10928488090196795</v>
      </c>
      <c r="F32" s="41"/>
      <c r="G32" s="41"/>
    </row>
    <row r="33" spans="1:7" x14ac:dyDescent="0.3">
      <c r="A33" s="70"/>
      <c r="B33" s="40">
        <v>6.373333333333334</v>
      </c>
      <c r="C33" s="40">
        <v>3.4466308362948818E-2</v>
      </c>
      <c r="D33" s="40">
        <v>1.4985351462151659</v>
      </c>
      <c r="E33" s="40">
        <v>0.1093837428800266</v>
      </c>
      <c r="F33" s="41"/>
      <c r="G33" s="41"/>
    </row>
    <row r="34" spans="1:7" x14ac:dyDescent="0.3">
      <c r="A34" s="68">
        <v>0.70700000000000007</v>
      </c>
      <c r="B34" s="40">
        <v>2.5333333333333332</v>
      </c>
      <c r="C34" s="40">
        <v>0.21814404432132964</v>
      </c>
      <c r="D34" s="40">
        <v>9.4845236661447672</v>
      </c>
      <c r="E34" s="40">
        <v>0.1558105596952909</v>
      </c>
      <c r="F34" s="41"/>
      <c r="G34" s="41"/>
    </row>
    <row r="35" spans="1:7" x14ac:dyDescent="0.3">
      <c r="A35" s="69"/>
      <c r="B35" s="40">
        <v>2.9633333333333334</v>
      </c>
      <c r="C35" s="40">
        <v>0.15942889028635199</v>
      </c>
      <c r="D35" s="40">
        <v>6.931690882015304</v>
      </c>
      <c r="E35" s="40">
        <v>0.15676532681505367</v>
      </c>
      <c r="F35" s="41"/>
      <c r="G35" s="41"/>
    </row>
    <row r="36" spans="1:7" x14ac:dyDescent="0.3">
      <c r="A36" s="69"/>
      <c r="B36" s="40">
        <v>3.4966666666666666</v>
      </c>
      <c r="C36" s="40">
        <v>0.11450371273744753</v>
      </c>
      <c r="D36" s="40">
        <v>4.9784222929325015</v>
      </c>
      <c r="E36" s="40">
        <v>0.1574958551271764</v>
      </c>
      <c r="F36" s="41"/>
      <c r="G36" s="41"/>
    </row>
    <row r="37" spans="1:7" x14ac:dyDescent="0.3">
      <c r="A37" s="69"/>
      <c r="B37" s="40">
        <v>4.0966666666666667</v>
      </c>
      <c r="C37" s="40">
        <v>8.3419345740747233E-2</v>
      </c>
      <c r="D37" s="40">
        <v>3.6269280756846625</v>
      </c>
      <c r="E37" s="40">
        <v>0.15800131801890974</v>
      </c>
      <c r="F37" s="41"/>
      <c r="G37" s="41"/>
    </row>
    <row r="38" spans="1:7" x14ac:dyDescent="0.3">
      <c r="A38" s="69"/>
      <c r="B38" s="40">
        <v>4.6700000000000008</v>
      </c>
      <c r="C38" s="40">
        <v>6.4193975853894483E-2</v>
      </c>
      <c r="D38" s="40">
        <v>2.7910424284301949</v>
      </c>
      <c r="E38" s="40">
        <v>0.15831394175863983</v>
      </c>
      <c r="F38" s="41"/>
      <c r="G38" s="41"/>
    </row>
    <row r="39" spans="1:7" x14ac:dyDescent="0.3">
      <c r="A39" s="70"/>
      <c r="B39" s="40">
        <v>5.2633333333333328</v>
      </c>
      <c r="C39" s="40">
        <v>5.0536630835125856E-2</v>
      </c>
      <c r="D39" s="40">
        <v>2.1972448189185156</v>
      </c>
      <c r="E39" s="40">
        <v>0.15853602384599005</v>
      </c>
      <c r="F39" s="41"/>
      <c r="G39" s="41"/>
    </row>
    <row r="40" spans="1:7" x14ac:dyDescent="0.3">
      <c r="A40" s="71">
        <v>0.92700000000000005</v>
      </c>
      <c r="B40" s="40">
        <v>2.1933333333333334</v>
      </c>
      <c r="C40" s="40">
        <v>0.29101726702451008</v>
      </c>
      <c r="D40" s="40">
        <v>12.65292465323957</v>
      </c>
      <c r="E40" s="40">
        <v>0.20274102084977044</v>
      </c>
      <c r="F40" s="41"/>
      <c r="G40" s="41"/>
    </row>
    <row r="41" spans="1:7" x14ac:dyDescent="0.3">
      <c r="A41" s="71"/>
      <c r="B41" s="40">
        <v>2.5466666666666664</v>
      </c>
      <c r="C41" s="40">
        <v>0.21586579315259999</v>
      </c>
      <c r="D41" s="40">
        <v>9.3854692675043481</v>
      </c>
      <c r="E41" s="40">
        <v>0.20434332542419342</v>
      </c>
      <c r="F41" s="41"/>
      <c r="G41" s="41"/>
    </row>
    <row r="42" spans="1:7" x14ac:dyDescent="0.3">
      <c r="A42" s="71"/>
      <c r="B42" s="40">
        <v>3.0833333333333335</v>
      </c>
      <c r="C42" s="40">
        <v>0.14726077428780129</v>
      </c>
      <c r="D42" s="40">
        <v>6.4026423603391871</v>
      </c>
      <c r="E42" s="40">
        <v>0.20580605303140981</v>
      </c>
      <c r="F42" s="41"/>
      <c r="G42" s="41"/>
    </row>
    <row r="43" spans="1:7" x14ac:dyDescent="0.3">
      <c r="A43" s="71"/>
      <c r="B43" s="40">
        <v>3.563333333333333</v>
      </c>
      <c r="C43" s="40">
        <v>0.11025927556155662</v>
      </c>
      <c r="D43" s="40">
        <v>4.793881546154636</v>
      </c>
      <c r="E43" s="40">
        <v>0.20659496198575206</v>
      </c>
      <c r="F43" s="41"/>
      <c r="G43" s="41"/>
    </row>
    <row r="44" spans="1:7" x14ac:dyDescent="0.3">
      <c r="A44" s="71"/>
      <c r="B44" s="40">
        <v>4.0466666666666669</v>
      </c>
      <c r="C44" s="40">
        <v>8.5493514706241558E-2</v>
      </c>
      <c r="D44" s="40">
        <v>3.7171093350539808</v>
      </c>
      <c r="E44" s="40">
        <v>0.20712299277294824</v>
      </c>
      <c r="F44" s="41"/>
      <c r="G44" s="41"/>
    </row>
    <row r="45" spans="1:7" x14ac:dyDescent="0.3">
      <c r="A45" s="71"/>
      <c r="B45" s="40">
        <v>4.6166666666666663</v>
      </c>
      <c r="C45" s="40">
        <v>6.5685725084387928E-2</v>
      </c>
      <c r="D45" s="40">
        <v>2.855901090625562</v>
      </c>
      <c r="E45" s="40">
        <v>0.20754531465547579</v>
      </c>
      <c r="F45" s="41"/>
      <c r="G45" s="41"/>
    </row>
    <row r="46" spans="1:7" x14ac:dyDescent="0.3">
      <c r="A46" s="48"/>
      <c r="B46" s="49"/>
      <c r="C46" s="49"/>
      <c r="D46" s="49"/>
      <c r="E46" s="49"/>
      <c r="F46" s="41"/>
      <c r="G46" s="41"/>
    </row>
    <row r="47" spans="1:7" x14ac:dyDescent="0.3">
      <c r="A47" s="64" t="s">
        <v>64</v>
      </c>
      <c r="B47" s="64"/>
      <c r="C47" s="64"/>
      <c r="D47" s="64"/>
      <c r="E47" s="64"/>
      <c r="F47" s="64"/>
      <c r="G47" s="64"/>
    </row>
    <row r="48" spans="1:7" x14ac:dyDescent="0.3">
      <c r="A48" s="46" t="s">
        <v>50</v>
      </c>
      <c r="B48" s="47">
        <v>1</v>
      </c>
      <c r="C48" s="47">
        <v>2</v>
      </c>
      <c r="D48" s="47">
        <v>3</v>
      </c>
      <c r="E48" s="47">
        <v>4</v>
      </c>
      <c r="F48" s="47">
        <v>5</v>
      </c>
      <c r="G48" s="47">
        <v>6</v>
      </c>
    </row>
    <row r="49" spans="1:7" x14ac:dyDescent="0.3">
      <c r="A49" s="46" t="s">
        <v>62</v>
      </c>
      <c r="B49" s="45">
        <v>7.6999999999999999E-2</v>
      </c>
      <c r="C49" s="45">
        <v>0.10200000000000001</v>
      </c>
      <c r="D49" s="45">
        <v>0.127</v>
      </c>
      <c r="E49" s="45">
        <v>0.152</v>
      </c>
      <c r="F49" s="45">
        <v>0.17699999999999999</v>
      </c>
      <c r="G49" s="45">
        <v>0.20199999999999999</v>
      </c>
    </row>
    <row r="50" spans="1:7" ht="15" x14ac:dyDescent="0.3">
      <c r="A50" s="46" t="s">
        <v>68</v>
      </c>
      <c r="B50" s="45">
        <v>5.9290000000000002E-3</v>
      </c>
      <c r="C50" s="45">
        <v>1.0404000000000002E-2</v>
      </c>
      <c r="D50" s="45">
        <v>1.6129000000000001E-2</v>
      </c>
      <c r="E50" s="45">
        <v>2.3104E-2</v>
      </c>
      <c r="F50" s="45">
        <v>3.1328999999999996E-2</v>
      </c>
      <c r="G50" s="45">
        <v>4.0803999999999993E-2</v>
      </c>
    </row>
    <row r="51" spans="1:7" ht="15" x14ac:dyDescent="0.3">
      <c r="A51" s="46" t="s">
        <v>69</v>
      </c>
      <c r="B51" s="40">
        <v>1.5068213537674789E-2</v>
      </c>
      <c r="C51" s="40">
        <v>2.1048078241893361E-2</v>
      </c>
      <c r="D51" s="40">
        <v>3.0749652241374853E-2</v>
      </c>
      <c r="E51" s="40">
        <v>4.1675635135226742E-2</v>
      </c>
      <c r="F51" s="40">
        <v>5.3980073805964597E-2</v>
      </c>
      <c r="G51" s="40">
        <v>7.0331102837393106E-2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499984740745262"/>
    <pageSetUpPr fitToPage="1"/>
  </sheetPr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pageSetup paperSize="9" scale="81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Погрешности косвенные (Шаблон)</vt:lpstr>
      <vt:lpstr>МНК (Шаблон)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2</vt:lpstr>
      <vt:lpstr>Печать 3</vt:lpstr>
      <vt:lpstr>Параметры установки</vt:lpstr>
      <vt:lpstr>Погрешности прямые (t)</vt:lpstr>
      <vt:lpstr>Погрешности прямые (a)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cp:lastPrinted>2021-10-21T21:58:13Z</cp:lastPrinted>
  <dcterms:created xsi:type="dcterms:W3CDTF">2015-06-05T18:19:34Z</dcterms:created>
  <dcterms:modified xsi:type="dcterms:W3CDTF">2023-11-22T19:04:47Z</dcterms:modified>
</cp:coreProperties>
</file>