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юда Даня" sheetId="1" r:id="rId4"/>
    <sheet state="visible" name="Лист1" sheetId="2" r:id="rId5"/>
  </sheets>
  <definedNames/>
  <calcPr/>
  <extLst>
    <ext uri="GoogleSheetsCustomDataVersion2">
      <go:sheetsCustomData xmlns:go="http://customooxmlschemas.google.com/" r:id="rId6" roundtripDataChecksum="pNNwAGKwvhNqehj2XJUrUtTSYK4zG0OCS4y2Z+S1yMI="/>
    </ext>
  </extLst>
</workbook>
</file>

<file path=xl/sharedStrings.xml><?xml version="1.0" encoding="utf-8"?>
<sst xmlns="http://schemas.openxmlformats.org/spreadsheetml/2006/main" count="208" uniqueCount="100">
  <si>
    <t>Xc, дел</t>
  </si>
  <si>
    <t>Yr, дел</t>
  </si>
  <si>
    <t>Hc, А/м</t>
  </si>
  <si>
    <t>Br, Тл</t>
  </si>
  <si>
    <t>Величина</t>
  </si>
  <si>
    <t>Значение</t>
  </si>
  <si>
    <t>Размерность</t>
  </si>
  <si>
    <t>Комментарий</t>
  </si>
  <si>
    <t>R1</t>
  </si>
  <si>
    <t>Ом</t>
  </si>
  <si>
    <t>первое сопротивление</t>
  </si>
  <si>
    <t>R2</t>
  </si>
  <si>
    <t>кОм</t>
  </si>
  <si>
    <t>второе сопротивление</t>
  </si>
  <si>
    <t>Xm, дел</t>
  </si>
  <si>
    <t>Ym, дел</t>
  </si>
  <si>
    <t>Hm, А/м</t>
  </si>
  <si>
    <t>Bm, Тл</t>
  </si>
  <si>
    <t>(mu)насыщения</t>
  </si>
  <si>
    <t>C1</t>
  </si>
  <si>
    <t>мкФ</t>
  </si>
  <si>
    <t>емкость конденсатора</t>
  </si>
  <si>
    <t>S</t>
  </si>
  <si>
    <t>см^2</t>
  </si>
  <si>
    <t>площадь поперчного сечения ферромагнетика</t>
  </si>
  <si>
    <t>L</t>
  </si>
  <si>
    <t>см</t>
  </si>
  <si>
    <t>средняя длина ферромагнетика</t>
  </si>
  <si>
    <t>№</t>
  </si>
  <si>
    <t>U, В</t>
  </si>
  <si>
    <t>Ux, В</t>
  </si>
  <si>
    <t>H, А/м</t>
  </si>
  <si>
    <t>Uy, В</t>
  </si>
  <si>
    <t>B, Тл</t>
  </si>
  <si>
    <t>(mu)</t>
  </si>
  <si>
    <t>M</t>
  </si>
  <si>
    <t>N1</t>
  </si>
  <si>
    <t>Вит</t>
  </si>
  <si>
    <t>число витков намагничивающей обмотки</t>
  </si>
  <si>
    <t>N2</t>
  </si>
  <si>
    <t>число витков измерительной обмотки</t>
  </si>
  <si>
    <t>Kx</t>
  </si>
  <si>
    <t>мВ/дел</t>
  </si>
  <si>
    <t>коэффициенты измерения величин Xc, Yr, Xm, Ym</t>
  </si>
  <si>
    <t>Ky</t>
  </si>
  <si>
    <t>alpha</t>
  </si>
  <si>
    <t>1/м*Ом</t>
  </si>
  <si>
    <t>соответствующие коэффициенты</t>
  </si>
  <si>
    <t>beta</t>
  </si>
  <si>
    <t>Ом*Ф/м^2</t>
  </si>
  <si>
    <t>(mu)0</t>
  </si>
  <si>
    <t>Гн/м</t>
  </si>
  <si>
    <t>магнитная постоянная</t>
  </si>
  <si>
    <t>каппа</t>
  </si>
  <si>
    <t>безразмерная</t>
  </si>
  <si>
    <t>магнитная восприимчивость</t>
  </si>
  <si>
    <t>Sпг</t>
  </si>
  <si>
    <t>дел</t>
  </si>
  <si>
    <t>площадь петли гистерезиса</t>
  </si>
  <si>
    <t>Pср</t>
  </si>
  <si>
    <t>Вт</t>
  </si>
  <si>
    <t>мощность на перемагничивание образца</t>
  </si>
  <si>
    <t>xi</t>
  </si>
  <si>
    <t>f</t>
  </si>
  <si>
    <t>Гц</t>
  </si>
  <si>
    <t>входная частота генератора</t>
  </si>
  <si>
    <t>n(Fe)</t>
  </si>
  <si>
    <t>Переход к получению РЕЗУЛЬТАТОВ лабораторной работы</t>
  </si>
  <si>
    <t>коэрцитивная напряженность</t>
  </si>
  <si>
    <t>остаточная индукция</t>
  </si>
  <si>
    <t>магнитная проницаемость</t>
  </si>
  <si>
    <t>Средняя мощность, требуемая на перемагничивание</t>
  </si>
  <si>
    <t>Максимальное значение проницаемости и напряженность, соответсвующая ей</t>
  </si>
  <si>
    <t>Оценка погрешности:</t>
  </si>
  <si>
    <t>Далее ручками находим по таблице Hm для этой мю</t>
  </si>
  <si>
    <t>del(Sпг)</t>
  </si>
  <si>
    <t>так как меряется на глаз</t>
  </si>
  <si>
    <t>Найдем их погрешности</t>
  </si>
  <si>
    <t>само Sпг</t>
  </si>
  <si>
    <t>e(Sпг)</t>
  </si>
  <si>
    <t>e(alpha) = 0,2</t>
  </si>
  <si>
    <t>e(beta) = 0,3</t>
  </si>
  <si>
    <t>e(mu) = e(B) + e(H)</t>
  </si>
  <si>
    <t>e(Xc) = 0,1 / 1</t>
  </si>
  <si>
    <t>e(Yr) = 0,1 / 1,1</t>
  </si>
  <si>
    <t>e(Bm)  = 0,35</t>
  </si>
  <si>
    <t>e(kappa)</t>
  </si>
  <si>
    <t>e(Pcp)</t>
  </si>
  <si>
    <t>e(Hc) = e1 + e2 = 0,3</t>
  </si>
  <si>
    <t>e(Hc) = e1 + e2 = 0,41</t>
  </si>
  <si>
    <t>e(Hm) = 0,23</t>
  </si>
  <si>
    <t>Тогда del(Pcp) = Pcp * e(Pcp)</t>
  </si>
  <si>
    <t>погрешность del(Hc)</t>
  </si>
  <si>
    <t>погрешность del(Br)</t>
  </si>
  <si>
    <t>погрешность del(mu)</t>
  </si>
  <si>
    <t>X,  дел</t>
  </si>
  <si>
    <t>Kx, В/дел</t>
  </si>
  <si>
    <t>Y, дел</t>
  </si>
  <si>
    <t>Ky, В/дел</t>
  </si>
  <si>
    <t>e(betta) = 0,3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</si>
</sst>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/>
  </fonts>
  <fills count="2">
    <fill>
      <patternFill patternType="none"/>
    </fill>
    <fill>
      <patternFill patternType="lightGray"/>
    </fill>
  </fills>
  <borders count="3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2" numFmtId="0" xfId="0" applyFont="1"/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" fillId="0" fontId="1" numFmtId="1" xfId="0" applyAlignment="1" applyBorder="1" applyFont="1" applyNumberFormat="1">
      <alignment horizontal="center" readingOrder="0" vertical="center"/>
    </xf>
    <xf borderId="1" fillId="0" fontId="1" numFmtId="2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2" xfId="0" applyAlignment="1" applyBorder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11" xfId="0" applyAlignment="1" applyFont="1" applyNumberFormat="1">
      <alignment horizontal="center" vertical="center"/>
    </xf>
    <xf borderId="0" fillId="0" fontId="2" numFmtId="0" xfId="0" applyAlignment="1" applyFont="1">
      <alignment readingOrder="0"/>
    </xf>
    <xf borderId="2" fillId="0" fontId="1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center"/>
    </xf>
    <xf borderId="12" fillId="0" fontId="1" numFmtId="0" xfId="0" applyAlignment="1" applyBorder="1" applyFont="1">
      <alignment horizontal="left" vertical="center"/>
    </xf>
    <xf borderId="13" fillId="0" fontId="1" numFmtId="0" xfId="0" applyAlignment="1" applyBorder="1" applyFont="1">
      <alignment horizontal="center" vertical="center"/>
    </xf>
    <xf borderId="14" fillId="0" fontId="1" numFmtId="2" xfId="0" applyAlignment="1" applyBorder="1" applyFont="1" applyNumberFormat="1">
      <alignment horizontal="center" vertical="center"/>
    </xf>
    <xf borderId="15" fillId="0" fontId="1" numFmtId="164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17" fillId="0" fontId="3" numFmtId="0" xfId="0" applyBorder="1" applyFont="1"/>
    <xf borderId="18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center" vertical="center"/>
    </xf>
    <xf borderId="20" fillId="0" fontId="3" numFmtId="0" xfId="0" applyBorder="1" applyFont="1"/>
    <xf borderId="21" fillId="0" fontId="3" numFmtId="0" xfId="0" applyBorder="1" applyFont="1"/>
    <xf borderId="17" fillId="0" fontId="1" numFmtId="164" xfId="0" applyAlignment="1" applyBorder="1" applyFont="1" applyNumberFormat="1">
      <alignment horizontal="center" vertical="center"/>
    </xf>
    <xf borderId="22" fillId="0" fontId="1" numFmtId="0" xfId="0" applyAlignment="1" applyBorder="1" applyFont="1">
      <alignment horizontal="center" vertical="center"/>
    </xf>
    <xf borderId="23" fillId="0" fontId="1" numFmtId="0" xfId="0" applyAlignment="1" applyBorder="1" applyFont="1">
      <alignment horizontal="center" readingOrder="0" vertical="center"/>
    </xf>
    <xf borderId="24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30" fillId="0" fontId="1" numFmtId="164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readingOrder="0"/>
    </xf>
    <xf borderId="1" fillId="0" fontId="1" numFmtId="1" xfId="0" applyAlignment="1" applyBorder="1" applyFont="1" applyNumberFormat="1">
      <alignment horizontal="center"/>
    </xf>
    <xf borderId="31" fillId="0" fontId="1" numFmtId="2" xfId="0" applyAlignment="1" applyBorder="1" applyFont="1" applyNumberFormat="1">
      <alignment horizontal="center"/>
    </xf>
    <xf borderId="31" fillId="0" fontId="1" numFmtId="164" xfId="0" applyAlignment="1" applyBorder="1" applyFont="1" applyNumberFormat="1">
      <alignment horizontal="center"/>
    </xf>
    <xf borderId="0" fillId="0" fontId="1" numFmtId="0" xfId="0" applyAlignment="1" applyFont="1">
      <alignment shrinkToFit="0" wrapText="1"/>
    </xf>
    <xf borderId="32" fillId="0" fontId="1" numFmtId="2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2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23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Зависимость магн.проницаемости от Hm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'Сюда Даня'!$D$9:$D$16</c:f>
            </c:strRef>
          </c:cat>
          <c:val>
            <c:numRef>
              <c:f>'Сюда Даня'!$G$9:$G$16</c:f>
              <c:numCache/>
            </c:numRef>
          </c:val>
          <c:smooth val="0"/>
        </c:ser>
        <c:axId val="463286292"/>
        <c:axId val="316015730"/>
      </c:lineChart>
      <c:catAx>
        <c:axId val="463286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16015730"/>
      </c:catAx>
      <c:valAx>
        <c:axId val="316015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328629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Зависимость магн.проницаемости от Hm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'Сюда Даня'!$D$57:$D$64</c:f>
            </c:strRef>
          </c:cat>
          <c:val>
            <c:numRef>
              <c:f>'Сюда Даня'!$G$57:$G$64</c:f>
              <c:numCache/>
            </c:numRef>
          </c:val>
          <c:smooth val="0"/>
        </c:ser>
        <c:axId val="1812883748"/>
        <c:axId val="1871826337"/>
      </c:lineChart>
      <c:catAx>
        <c:axId val="1812883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1826337"/>
      </c:catAx>
      <c:valAx>
        <c:axId val="1871826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288374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Зависимость Bm от Hm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'Сюда Даня'!$D$57:$D$64</c:f>
            </c:strRef>
          </c:cat>
          <c:val>
            <c:numRef>
              <c:f>'Сюда Даня'!$F$57:$F$64</c:f>
              <c:numCache/>
            </c:numRef>
          </c:val>
          <c:smooth val="0"/>
        </c:ser>
        <c:axId val="2115830239"/>
        <c:axId val="1771989814"/>
      </c:lineChart>
      <c:catAx>
        <c:axId val="2115830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771989814"/>
      </c:catAx>
      <c:valAx>
        <c:axId val="1771989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211583023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Зависимость магн. индукции от напряженности магнитного поля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'Сюда Даня'!$D$9:$D$16</c:f>
            </c:strRef>
          </c:cat>
          <c:val>
            <c:numRef>
              <c:f>'Сюда Даня'!$F$9:$F$16</c:f>
              <c:numCache/>
            </c:numRef>
          </c:val>
          <c:smooth val="0"/>
        </c:ser>
        <c:axId val="1394525873"/>
        <c:axId val="1619790499"/>
      </c:lineChart>
      <c:catAx>
        <c:axId val="1394525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9790499"/>
      </c:catAx>
      <c:valAx>
        <c:axId val="1619790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4525873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Зависимость Bm от Hm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'Лист1'!$E$9:$E$21</c:f>
            </c:strRef>
          </c:cat>
          <c:val>
            <c:numRef>
              <c:f>'Лист1'!$H$9:$H$21</c:f>
              <c:numCache/>
            </c:numRef>
          </c:val>
          <c:smooth val="0"/>
        </c:ser>
        <c:axId val="1920492696"/>
        <c:axId val="486887438"/>
      </c:lineChart>
      <c:catAx>
        <c:axId val="192049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6887438"/>
      </c:catAx>
      <c:valAx>
        <c:axId val="486887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0492696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Зависимость магн.проницаемости от Hm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'Лист1'!$E$9:$E$23</c:f>
            </c:strRef>
          </c:cat>
          <c:val>
            <c:numRef>
              <c:f>'Лист1'!$I$9:$I$23</c:f>
              <c:numCache/>
            </c:numRef>
          </c:val>
          <c:smooth val="0"/>
        </c:ser>
        <c:axId val="1266743109"/>
        <c:axId val="964723947"/>
      </c:lineChart>
      <c:catAx>
        <c:axId val="1266743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4723947"/>
      </c:catAx>
      <c:valAx>
        <c:axId val="964723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6674310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733425</xdr:colOff>
      <xdr:row>21</xdr:row>
      <xdr:rowOff>171450</xdr:rowOff>
    </xdr:from>
    <xdr:ext cx="4619625" cy="2714625"/>
    <xdr:graphicFrame>
      <xdr:nvGraphicFramePr>
        <xdr:cNvPr id="830913783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581025</xdr:colOff>
      <xdr:row>65</xdr:row>
      <xdr:rowOff>171450</xdr:rowOff>
    </xdr:from>
    <xdr:ext cx="4619625" cy="2714625"/>
    <xdr:graphicFrame>
      <xdr:nvGraphicFramePr>
        <xdr:cNvPr id="328233184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65</xdr:row>
      <xdr:rowOff>171450</xdr:rowOff>
    </xdr:from>
    <xdr:ext cx="5438775" cy="2714625"/>
    <xdr:graphicFrame>
      <xdr:nvGraphicFramePr>
        <xdr:cNvPr id="624153137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21</xdr:row>
      <xdr:rowOff>171450</xdr:rowOff>
    </xdr:from>
    <xdr:ext cx="4619625" cy="2714625"/>
    <xdr:graphicFrame>
      <xdr:nvGraphicFramePr>
        <xdr:cNvPr id="1677038198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23</xdr:row>
      <xdr:rowOff>171450</xdr:rowOff>
    </xdr:from>
    <xdr:ext cx="7219950" cy="2714625"/>
    <xdr:graphicFrame>
      <xdr:nvGraphicFramePr>
        <xdr:cNvPr id="596004462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0</xdr:colOff>
      <xdr:row>23</xdr:row>
      <xdr:rowOff>171450</xdr:rowOff>
    </xdr:from>
    <xdr:ext cx="4619625" cy="2714625"/>
    <xdr:graphicFrame>
      <xdr:nvGraphicFramePr>
        <xdr:cNvPr id="52329956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57"/>
    <col customWidth="1" min="3" max="3" width="20.71"/>
    <col customWidth="1" min="4" max="4" width="18.71"/>
    <col customWidth="1" min="5" max="5" width="11.71"/>
    <col customWidth="1" min="6" max="6" width="14.71"/>
    <col customWidth="1" min="7" max="7" width="12.29"/>
    <col customWidth="1" min="8" max="8" width="10.71"/>
    <col customWidth="1" min="9" max="9" width="11.71"/>
    <col customWidth="1" min="10" max="10" width="11.0"/>
    <col customWidth="1" min="11" max="11" width="9.57"/>
    <col customWidth="1" min="12" max="12" width="18.71"/>
    <col customWidth="1" min="13" max="13" width="14.71"/>
    <col customWidth="1" min="14" max="14" width="47.43"/>
    <col customWidth="1" min="15" max="26" width="8.71"/>
  </cols>
  <sheetData>
    <row r="1" ht="14.25" customHeight="1"/>
    <row r="2" ht="14.25" customHeight="1">
      <c r="B2" s="1" t="s">
        <v>0</v>
      </c>
      <c r="C2" s="1" t="s">
        <v>1</v>
      </c>
      <c r="D2" s="1" t="s">
        <v>2</v>
      </c>
      <c r="E2" s="1" t="s">
        <v>3</v>
      </c>
      <c r="F2" s="2"/>
      <c r="G2" s="2"/>
      <c r="H2" s="2"/>
      <c r="I2" s="2"/>
      <c r="J2" s="2"/>
      <c r="K2" s="2" t="s">
        <v>4</v>
      </c>
      <c r="L2" s="2" t="s">
        <v>5</v>
      </c>
      <c r="M2" s="2" t="s">
        <v>6</v>
      </c>
      <c r="N2" s="2" t="s">
        <v>7</v>
      </c>
    </row>
    <row r="3" ht="14.25" customHeight="1">
      <c r="B3" s="1">
        <v>1.0</v>
      </c>
      <c r="C3" s="1">
        <v>1.1</v>
      </c>
      <c r="D3" s="3">
        <f>L12*B3*L10/1000</f>
        <v>62.78280543</v>
      </c>
      <c r="E3" s="3">
        <f>L13*L11*C3/1000</f>
        <v>0.1957071521</v>
      </c>
      <c r="F3" s="2"/>
      <c r="G3" s="2"/>
      <c r="H3" s="2"/>
      <c r="I3" s="2"/>
      <c r="J3" s="2"/>
      <c r="K3" s="4" t="s">
        <v>8</v>
      </c>
      <c r="L3" s="5">
        <v>68.0</v>
      </c>
      <c r="M3" s="5" t="s">
        <v>9</v>
      </c>
      <c r="N3" s="6" t="s">
        <v>10</v>
      </c>
    </row>
    <row r="4" ht="14.25" customHeight="1">
      <c r="B4" s="2"/>
      <c r="C4" s="2"/>
      <c r="D4" s="2"/>
      <c r="E4" s="2"/>
      <c r="F4" s="2"/>
      <c r="G4" s="2"/>
      <c r="H4" s="2"/>
      <c r="I4" s="2"/>
      <c r="J4" s="2"/>
      <c r="K4" s="4" t="s">
        <v>11</v>
      </c>
      <c r="L4" s="5">
        <v>470.0</v>
      </c>
      <c r="M4" s="5" t="s">
        <v>12</v>
      </c>
      <c r="N4" s="6" t="s">
        <v>13</v>
      </c>
    </row>
    <row r="5" ht="14.25" customHeight="1">
      <c r="B5" s="1" t="s">
        <v>14</v>
      </c>
      <c r="C5" s="1" t="s">
        <v>15</v>
      </c>
      <c r="D5" s="1" t="s">
        <v>16</v>
      </c>
      <c r="E5" s="1" t="s">
        <v>17</v>
      </c>
      <c r="F5" s="1" t="s">
        <v>18</v>
      </c>
      <c r="G5" s="2"/>
      <c r="H5" s="2"/>
      <c r="I5" s="2"/>
      <c r="J5" s="2"/>
      <c r="K5" s="4" t="s">
        <v>19</v>
      </c>
      <c r="L5" s="5">
        <f>0.47</f>
        <v>0.47</v>
      </c>
      <c r="M5" s="5" t="s">
        <v>20</v>
      </c>
      <c r="N5" s="6" t="s">
        <v>21</v>
      </c>
    </row>
    <row r="6" ht="14.25" customHeight="1">
      <c r="B6" s="1">
        <v>2.4</v>
      </c>
      <c r="C6" s="1">
        <v>2.0</v>
      </c>
      <c r="D6" s="1">
        <f>L12*L10*B6/1000</f>
        <v>150.678733</v>
      </c>
      <c r="E6" s="1">
        <f>L13*L11*C6/1000</f>
        <v>0.3558311856</v>
      </c>
      <c r="F6" s="1">
        <f>E6/(L14*D6)</f>
        <v>1879.239722</v>
      </c>
      <c r="G6" s="2"/>
      <c r="H6" s="2"/>
      <c r="I6" s="2"/>
      <c r="J6" s="2"/>
      <c r="K6" s="4" t="s">
        <v>22</v>
      </c>
      <c r="L6" s="5">
        <v>0.64</v>
      </c>
      <c r="M6" s="5" t="s">
        <v>23</v>
      </c>
      <c r="N6" s="6" t="s">
        <v>24</v>
      </c>
    </row>
    <row r="7" ht="14.25" customHeight="1">
      <c r="B7" s="2"/>
      <c r="C7" s="2"/>
      <c r="D7" s="2"/>
      <c r="E7" s="2"/>
      <c r="F7" s="2"/>
      <c r="G7" s="2"/>
      <c r="H7" s="2"/>
      <c r="I7" s="2"/>
      <c r="J7" s="2"/>
      <c r="K7" s="4" t="s">
        <v>25</v>
      </c>
      <c r="L7" s="5">
        <v>7.8</v>
      </c>
      <c r="M7" s="5" t="s">
        <v>26</v>
      </c>
      <c r="N7" s="6" t="s">
        <v>27</v>
      </c>
    </row>
    <row r="8" ht="14.25" customHeight="1">
      <c r="A8" s="7" t="s">
        <v>28</v>
      </c>
      <c r="B8" s="1" t="s">
        <v>29</v>
      </c>
      <c r="C8" s="8" t="s">
        <v>30</v>
      </c>
      <c r="D8" s="1" t="s">
        <v>31</v>
      </c>
      <c r="E8" s="8" t="s">
        <v>32</v>
      </c>
      <c r="F8" s="1" t="s">
        <v>33</v>
      </c>
      <c r="G8" s="1" t="s">
        <v>34</v>
      </c>
      <c r="H8" s="9" t="s">
        <v>35</v>
      </c>
      <c r="I8" s="2"/>
      <c r="J8" s="2"/>
      <c r="K8" s="4" t="s">
        <v>36</v>
      </c>
      <c r="L8" s="5">
        <v>1665.0</v>
      </c>
      <c r="M8" s="5" t="s">
        <v>37</v>
      </c>
      <c r="N8" s="6" t="s">
        <v>38</v>
      </c>
    </row>
    <row r="9" ht="14.25" customHeight="1">
      <c r="A9" s="7">
        <v>1.0</v>
      </c>
      <c r="B9" s="10">
        <v>20.0</v>
      </c>
      <c r="C9" s="11">
        <f>1.65/2</f>
        <v>0.825</v>
      </c>
      <c r="D9" s="3">
        <f t="shared" ref="D9:D16" si="1">$L$12*C9</f>
        <v>258.9790724</v>
      </c>
      <c r="E9" s="12">
        <f>0.402/2</f>
        <v>0.201</v>
      </c>
      <c r="F9" s="3">
        <f t="shared" ref="F9:F16" si="2">$L$13*E9</f>
        <v>0.715220683</v>
      </c>
      <c r="G9" s="13">
        <f t="shared" ref="G9:G16" si="3">F9/($L$14*D9)</f>
        <v>2197.685435</v>
      </c>
      <c r="H9" s="14">
        <f t="shared" ref="H9:H16" si="4">(F9/$L$14)-D9</f>
        <v>568895.5564</v>
      </c>
      <c r="I9" s="15"/>
      <c r="J9" s="2"/>
      <c r="K9" s="4" t="s">
        <v>39</v>
      </c>
      <c r="L9" s="5">
        <v>970.0</v>
      </c>
      <c r="M9" s="5" t="s">
        <v>37</v>
      </c>
      <c r="N9" s="6" t="s">
        <v>40</v>
      </c>
    </row>
    <row r="10" ht="14.25" customHeight="1">
      <c r="A10" s="7">
        <v>3.0</v>
      </c>
      <c r="B10" s="10">
        <v>18.0</v>
      </c>
      <c r="C10" s="11">
        <f>1.28/2</f>
        <v>0.64</v>
      </c>
      <c r="D10" s="3">
        <f t="shared" si="1"/>
        <v>200.9049774</v>
      </c>
      <c r="E10" s="12">
        <f>0.364/2</f>
        <v>0.182</v>
      </c>
      <c r="F10" s="3">
        <f t="shared" si="2"/>
        <v>0.6476127577</v>
      </c>
      <c r="G10" s="13">
        <f t="shared" si="3"/>
        <v>2565.162221</v>
      </c>
      <c r="H10" s="14">
        <f t="shared" si="4"/>
        <v>515152.953</v>
      </c>
      <c r="I10" s="15"/>
      <c r="J10" s="2"/>
      <c r="K10" s="4" t="s">
        <v>41</v>
      </c>
      <c r="L10" s="5">
        <v>200.0</v>
      </c>
      <c r="M10" s="5" t="s">
        <v>42</v>
      </c>
      <c r="N10" s="2" t="s">
        <v>43</v>
      </c>
    </row>
    <row r="11" ht="14.25" customHeight="1">
      <c r="A11" s="7">
        <v>5.0</v>
      </c>
      <c r="B11" s="10">
        <v>16.0</v>
      </c>
      <c r="C11" s="11">
        <f>1/2</f>
        <v>0.5</v>
      </c>
      <c r="D11" s="3">
        <f t="shared" si="1"/>
        <v>156.9570136</v>
      </c>
      <c r="E11" s="12">
        <f>0.324/2</f>
        <v>0.162</v>
      </c>
      <c r="F11" s="3">
        <f t="shared" si="2"/>
        <v>0.5764465206</v>
      </c>
      <c r="G11" s="13">
        <f t="shared" si="3"/>
        <v>2922.593616</v>
      </c>
      <c r="H11" s="14">
        <f t="shared" si="4"/>
        <v>458564.6089</v>
      </c>
      <c r="I11" s="15"/>
      <c r="J11" s="2"/>
      <c r="K11" s="4" t="s">
        <v>44</v>
      </c>
      <c r="L11" s="5">
        <v>50.0</v>
      </c>
      <c r="M11" s="5" t="s">
        <v>42</v>
      </c>
    </row>
    <row r="12" ht="14.25" customHeight="1">
      <c r="A12" s="7">
        <v>7.0</v>
      </c>
      <c r="B12" s="10">
        <v>14.0</v>
      </c>
      <c r="C12" s="11">
        <f>0.8/2</f>
        <v>0.4</v>
      </c>
      <c r="D12" s="3">
        <f t="shared" si="1"/>
        <v>125.5656109</v>
      </c>
      <c r="E12" s="12">
        <f>0.286/2</f>
        <v>0.143</v>
      </c>
      <c r="F12" s="3">
        <f t="shared" si="2"/>
        <v>0.5088385954</v>
      </c>
      <c r="G12" s="13">
        <f t="shared" si="3"/>
        <v>3224.775364</v>
      </c>
      <c r="H12" s="14">
        <f t="shared" si="4"/>
        <v>404795.3228</v>
      </c>
      <c r="I12" s="15"/>
      <c r="J12" s="2"/>
      <c r="K12" s="4" t="s">
        <v>45</v>
      </c>
      <c r="L12" s="5">
        <f>L8/(L7 / 100 *L3)</f>
        <v>313.9140271</v>
      </c>
      <c r="M12" s="16" t="s">
        <v>46</v>
      </c>
      <c r="N12" s="17" t="s">
        <v>47</v>
      </c>
    </row>
    <row r="13" ht="14.25" customHeight="1">
      <c r="A13" s="7">
        <v>9.0</v>
      </c>
      <c r="B13" s="10">
        <v>12.0</v>
      </c>
      <c r="C13" s="11">
        <f>0.64/2</f>
        <v>0.32</v>
      </c>
      <c r="D13" s="3">
        <f t="shared" si="1"/>
        <v>100.4524887</v>
      </c>
      <c r="E13" s="12">
        <f>0.244/2</f>
        <v>0.122</v>
      </c>
      <c r="F13" s="3">
        <f t="shared" si="2"/>
        <v>0.4341140464</v>
      </c>
      <c r="G13" s="13">
        <f t="shared" si="3"/>
        <v>3439.008692</v>
      </c>
      <c r="H13" s="14">
        <f t="shared" si="4"/>
        <v>345356.5293</v>
      </c>
      <c r="I13" s="15"/>
      <c r="J13" s="15"/>
      <c r="K13" s="4" t="s">
        <v>48</v>
      </c>
      <c r="L13" s="5">
        <f>L4*1000*L5*POWER(10,-6)/(L9*L6/10000)</f>
        <v>3.558311856</v>
      </c>
      <c r="M13" s="16" t="s">
        <v>49</v>
      </c>
      <c r="N13" s="6" t="s">
        <v>47</v>
      </c>
    </row>
    <row r="14" ht="14.25" customHeight="1">
      <c r="A14" s="7">
        <v>11.0</v>
      </c>
      <c r="B14" s="10">
        <v>10.0</v>
      </c>
      <c r="C14" s="11">
        <f>0.52/2</f>
        <v>0.26</v>
      </c>
      <c r="D14" s="3">
        <f t="shared" si="1"/>
        <v>81.61764706</v>
      </c>
      <c r="E14" s="12">
        <f>0.2/2</f>
        <v>0.1</v>
      </c>
      <c r="F14" s="3">
        <f t="shared" si="2"/>
        <v>0.3558311856</v>
      </c>
      <c r="G14" s="13">
        <f t="shared" si="3"/>
        <v>3469.365642</v>
      </c>
      <c r="H14" s="14">
        <f t="shared" si="4"/>
        <v>283079.8428</v>
      </c>
      <c r="I14" s="15"/>
      <c r="J14" s="2"/>
      <c r="K14" s="4" t="s">
        <v>50</v>
      </c>
      <c r="L14" s="5">
        <f>4*PI()*POWER(10,-7)</f>
        <v>0.000001256637061</v>
      </c>
      <c r="M14" s="5" t="s">
        <v>51</v>
      </c>
      <c r="N14" s="6" t="s">
        <v>52</v>
      </c>
    </row>
    <row r="15" ht="14.25" customHeight="1">
      <c r="A15" s="7">
        <v>13.0</v>
      </c>
      <c r="B15" s="10">
        <v>8.0</v>
      </c>
      <c r="C15" s="11">
        <f>0.4/2</f>
        <v>0.2</v>
      </c>
      <c r="D15" s="3">
        <f t="shared" si="1"/>
        <v>62.78280543</v>
      </c>
      <c r="E15" s="12">
        <f>0.16/2</f>
        <v>0.08</v>
      </c>
      <c r="F15" s="3">
        <f t="shared" si="2"/>
        <v>0.2846649485</v>
      </c>
      <c r="G15" s="13">
        <f t="shared" si="3"/>
        <v>3608.140267</v>
      </c>
      <c r="H15" s="14">
        <f t="shared" si="4"/>
        <v>226466.3856</v>
      </c>
      <c r="I15" s="15"/>
      <c r="J15" s="2"/>
      <c r="K15" s="4" t="s">
        <v>53</v>
      </c>
      <c r="L15" s="5">
        <v>5.6E-5</v>
      </c>
      <c r="M15" s="5" t="s">
        <v>54</v>
      </c>
      <c r="N15" s="6" t="s">
        <v>55</v>
      </c>
    </row>
    <row r="16" ht="14.25" customHeight="1">
      <c r="A16" s="7">
        <v>15.0</v>
      </c>
      <c r="B16" s="10">
        <v>6.0</v>
      </c>
      <c r="C16" s="11">
        <f>0.33/2</f>
        <v>0.165</v>
      </c>
      <c r="D16" s="3">
        <f t="shared" si="1"/>
        <v>51.79581448</v>
      </c>
      <c r="E16" s="12">
        <f>0.124/2</f>
        <v>0.062</v>
      </c>
      <c r="F16" s="3">
        <f t="shared" si="2"/>
        <v>0.2206153351</v>
      </c>
      <c r="G16" s="13">
        <f t="shared" si="3"/>
        <v>3389.465099</v>
      </c>
      <c r="H16" s="14">
        <f t="shared" si="4"/>
        <v>175508.3097</v>
      </c>
      <c r="I16" s="15"/>
      <c r="J16" s="2"/>
      <c r="K16" s="4" t="s">
        <v>56</v>
      </c>
      <c r="L16" s="5">
        <v>6.5</v>
      </c>
      <c r="M16" s="5" t="s">
        <v>57</v>
      </c>
      <c r="N16" s="6" t="s">
        <v>58</v>
      </c>
    </row>
    <row r="17" ht="14.25" customHeight="1">
      <c r="H17" s="14"/>
      <c r="I17" s="15"/>
      <c r="J17" s="2"/>
      <c r="K17" s="4" t="s">
        <v>59</v>
      </c>
      <c r="L17" s="5">
        <f>L15*L16</f>
        <v>0.000364</v>
      </c>
      <c r="M17" s="5" t="s">
        <v>60</v>
      </c>
      <c r="N17" s="6" t="s">
        <v>61</v>
      </c>
    </row>
    <row r="18" ht="14.25" customHeight="1">
      <c r="H18" s="14"/>
      <c r="I18" s="15"/>
      <c r="J18" s="2"/>
      <c r="K18" s="18" t="s">
        <v>62</v>
      </c>
      <c r="L18" s="5">
        <f>L10/1000*L11/1000*((L8*L4*1000*L5/1000000)/(L9*L3))*L19</f>
        <v>0.000557608399</v>
      </c>
      <c r="M18" s="19" t="s">
        <v>60</v>
      </c>
      <c r="N18" s="6" t="s">
        <v>47</v>
      </c>
    </row>
    <row r="19" ht="14.25" customHeight="1">
      <c r="H19" s="20">
        <f>H9/L20</f>
        <v>0</v>
      </c>
      <c r="J19" s="2"/>
      <c r="K19" s="18" t="s">
        <v>63</v>
      </c>
      <c r="L19" s="19">
        <v>10.0</v>
      </c>
      <c r="M19" s="19" t="s">
        <v>64</v>
      </c>
      <c r="N19" s="21" t="s">
        <v>65</v>
      </c>
    </row>
    <row r="20" ht="14.25" customHeight="1">
      <c r="H20" s="14"/>
      <c r="I20" s="15"/>
      <c r="J20" s="2"/>
      <c r="K20" s="9" t="s">
        <v>66</v>
      </c>
      <c r="L20" s="2">
        <f>8.94*POWER(10,28)</f>
        <v>8.94E+28</v>
      </c>
      <c r="M20" s="2"/>
    </row>
    <row r="21" ht="14.25" customHeight="1">
      <c r="H21" s="14"/>
      <c r="I21" s="15"/>
      <c r="J21" s="2"/>
      <c r="K21" s="2"/>
      <c r="L21" s="2"/>
      <c r="M21" s="2"/>
    </row>
    <row r="22" ht="14.25" customHeight="1">
      <c r="H22" s="14"/>
      <c r="I22" s="15"/>
      <c r="J22" s="2"/>
      <c r="K22" s="2"/>
      <c r="L22" s="2"/>
      <c r="M22" s="2"/>
    </row>
    <row r="23" ht="14.25" customHeight="1">
      <c r="H23" s="14"/>
      <c r="I23" s="15"/>
      <c r="J23" s="2"/>
      <c r="K23" s="2"/>
      <c r="L23" s="2"/>
      <c r="M23" s="2"/>
    </row>
    <row r="24" ht="14.25" customHeight="1">
      <c r="H24" s="15"/>
      <c r="I24" s="15"/>
      <c r="J24" s="2"/>
      <c r="K24" s="2"/>
      <c r="L24" s="2"/>
      <c r="M24" s="2"/>
    </row>
    <row r="25" ht="14.25" customHeight="1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ht="14.25" customHeight="1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ht="14.25" customHeight="1">
      <c r="B27" s="2"/>
      <c r="C27" s="2"/>
      <c r="D27" s="2"/>
      <c r="E27" s="2"/>
      <c r="F27" s="2"/>
      <c r="G27" s="2"/>
      <c r="H27" s="2"/>
      <c r="I27" s="2"/>
      <c r="K27" s="2"/>
      <c r="L27" s="2"/>
      <c r="M27" s="2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>
      <c r="A41" s="22" t="s">
        <v>67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4"/>
    </row>
    <row r="42" ht="14.2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7"/>
    </row>
    <row r="43" ht="14.25" customHeight="1">
      <c r="A43" s="2"/>
      <c r="B43" s="28" t="s">
        <v>68</v>
      </c>
      <c r="C43" s="28" t="s">
        <v>69</v>
      </c>
      <c r="D43" s="28" t="s">
        <v>70</v>
      </c>
      <c r="E43" s="2"/>
      <c r="F43" s="2"/>
      <c r="G43" s="29" t="s">
        <v>71</v>
      </c>
      <c r="H43" s="26"/>
      <c r="I43" s="26"/>
      <c r="J43" s="27"/>
      <c r="K43" s="2"/>
      <c r="L43" s="2"/>
      <c r="M43" s="30"/>
      <c r="N43" s="31" t="s">
        <v>72</v>
      </c>
      <c r="O43" s="2"/>
    </row>
    <row r="44" ht="14.25" customHeight="1">
      <c r="A44" s="2"/>
      <c r="B44" s="32" t="s">
        <v>2</v>
      </c>
      <c r="C44" s="32" t="s">
        <v>3</v>
      </c>
      <c r="D44" s="32" t="s">
        <v>18</v>
      </c>
      <c r="E44" s="2"/>
      <c r="F44" s="2"/>
      <c r="G44" s="33" t="s">
        <v>59</v>
      </c>
      <c r="H44" s="34">
        <f>L17</f>
        <v>0.000364</v>
      </c>
      <c r="I44" s="34" t="s">
        <v>60</v>
      </c>
      <c r="J44" s="35"/>
      <c r="K44" s="2"/>
      <c r="L44" s="2"/>
      <c r="M44" s="2"/>
      <c r="N44" s="36">
        <f>MAX(G9:G24)</f>
        <v>3608.140267</v>
      </c>
      <c r="O44" s="2"/>
    </row>
    <row r="45" ht="14.25" customHeight="1">
      <c r="A45" s="2"/>
      <c r="B45" s="37">
        <f t="shared" ref="B45:C45" si="5">D3</f>
        <v>62.78280543</v>
      </c>
      <c r="C45" s="37">
        <f t="shared" si="5"/>
        <v>0.1957071521</v>
      </c>
      <c r="D45" s="37">
        <f>F6</f>
        <v>1879.239722</v>
      </c>
      <c r="E45" s="2"/>
      <c r="F45" s="2"/>
      <c r="G45" s="22" t="s">
        <v>73</v>
      </c>
      <c r="H45" s="23"/>
      <c r="I45" s="38"/>
      <c r="J45" s="39"/>
      <c r="K45" s="2"/>
      <c r="L45" s="2"/>
      <c r="M45" s="2"/>
      <c r="N45" s="40" t="s">
        <v>74</v>
      </c>
      <c r="O45" s="2"/>
    </row>
    <row r="46" ht="14.25" customHeight="1">
      <c r="A46" s="2"/>
      <c r="B46" s="2"/>
      <c r="C46" s="2"/>
      <c r="D46" s="2"/>
      <c r="E46" s="2"/>
      <c r="F46" s="2"/>
      <c r="G46" s="41" t="s">
        <v>75</v>
      </c>
      <c r="H46" s="2">
        <v>0.5</v>
      </c>
      <c r="I46" s="2" t="s">
        <v>76</v>
      </c>
      <c r="J46" s="42"/>
      <c r="K46" s="2"/>
      <c r="L46" s="2"/>
      <c r="M46" s="2"/>
      <c r="N46" s="43">
        <v>47.087</v>
      </c>
      <c r="O46" s="2"/>
    </row>
    <row r="47" ht="14.25" customHeight="1">
      <c r="A47" s="2"/>
      <c r="B47" s="44" t="s">
        <v>77</v>
      </c>
      <c r="C47" s="45"/>
      <c r="D47" s="46"/>
      <c r="E47" s="2"/>
      <c r="F47" s="2"/>
      <c r="G47" s="41" t="s">
        <v>78</v>
      </c>
      <c r="H47" s="2">
        <v>6.5</v>
      </c>
      <c r="I47" s="2" t="s">
        <v>79</v>
      </c>
      <c r="J47" s="47">
        <f>H46/H47</f>
        <v>0.07692307692</v>
      </c>
      <c r="K47" s="2"/>
      <c r="L47" s="2"/>
      <c r="M47" s="2"/>
      <c r="N47" s="2"/>
      <c r="O47" s="2"/>
    </row>
    <row r="48" ht="14.25" customHeight="1">
      <c r="A48" s="2"/>
      <c r="B48" s="48" t="s">
        <v>80</v>
      </c>
      <c r="C48" s="49" t="s">
        <v>81</v>
      </c>
      <c r="D48" s="50" t="s">
        <v>82</v>
      </c>
      <c r="E48" s="2"/>
      <c r="F48" s="2"/>
      <c r="G48" s="41"/>
      <c r="H48" s="2"/>
      <c r="I48" s="2"/>
      <c r="J48" s="51"/>
      <c r="K48" s="2"/>
      <c r="L48" s="2"/>
      <c r="M48" s="2"/>
      <c r="N48" s="2"/>
      <c r="O48" s="2"/>
    </row>
    <row r="49" ht="14.25" customHeight="1">
      <c r="A49" s="2"/>
      <c r="B49" s="52" t="s">
        <v>83</v>
      </c>
      <c r="C49" s="32" t="s">
        <v>84</v>
      </c>
      <c r="D49" s="53" t="s">
        <v>85</v>
      </c>
      <c r="E49" s="2"/>
      <c r="F49" s="2">
        <f>109/187</f>
        <v>0.5828877005</v>
      </c>
      <c r="G49" s="41" t="s">
        <v>86</v>
      </c>
      <c r="H49" s="2">
        <v>0.3</v>
      </c>
      <c r="I49" s="2" t="s">
        <v>87</v>
      </c>
      <c r="J49" s="47">
        <f>J47+H49</f>
        <v>0.3769230769</v>
      </c>
      <c r="K49" s="2"/>
      <c r="L49" s="2"/>
      <c r="M49" s="2"/>
      <c r="N49" s="2"/>
      <c r="O49" s="2"/>
    </row>
    <row r="50" ht="14.25" customHeight="1">
      <c r="A50" s="2"/>
      <c r="B50" s="52" t="s">
        <v>88</v>
      </c>
      <c r="C50" s="32" t="s">
        <v>89</v>
      </c>
      <c r="D50" s="53" t="s">
        <v>90</v>
      </c>
      <c r="E50" s="2"/>
      <c r="F50" s="2"/>
      <c r="G50" s="41" t="s">
        <v>91</v>
      </c>
      <c r="J50" s="42"/>
      <c r="K50" s="2"/>
      <c r="L50" s="2"/>
      <c r="M50" s="2"/>
      <c r="N50" s="2"/>
      <c r="O50" s="2"/>
    </row>
    <row r="51" ht="14.25" customHeight="1">
      <c r="A51" s="2"/>
      <c r="B51" s="52" t="s">
        <v>92</v>
      </c>
      <c r="C51" s="32" t="s">
        <v>93</v>
      </c>
      <c r="D51" s="53" t="s">
        <v>94</v>
      </c>
      <c r="E51" s="2"/>
      <c r="F51" s="2"/>
      <c r="G51" s="41">
        <f>H44*J49</f>
        <v>0.0001372</v>
      </c>
      <c r="J51" s="42"/>
      <c r="K51" s="2"/>
      <c r="L51" s="2"/>
      <c r="M51" s="2"/>
      <c r="N51" s="2"/>
      <c r="O51" s="2"/>
    </row>
    <row r="52" ht="14.25" customHeight="1">
      <c r="A52" s="2"/>
      <c r="B52" s="54">
        <f>0.3*B45</f>
        <v>18.83484163</v>
      </c>
      <c r="C52" s="55">
        <f>0.41*C45</f>
        <v>0.08023993235</v>
      </c>
      <c r="D52" s="56">
        <f>0.58*D45</f>
        <v>1089.959039</v>
      </c>
      <c r="E52" s="2"/>
      <c r="F52" s="2"/>
      <c r="G52" s="25"/>
      <c r="H52" s="26"/>
      <c r="I52" s="26"/>
      <c r="J52" s="27"/>
      <c r="K52" s="2"/>
      <c r="L52" s="2"/>
      <c r="M52" s="2"/>
      <c r="N52" s="2"/>
      <c r="O52" s="2"/>
    </row>
    <row r="53" ht="14.25" customHeight="1">
      <c r="A53" s="2"/>
      <c r="B53" s="2">
        <f>(B52/B45) * 100</f>
        <v>30</v>
      </c>
      <c r="C53" s="2">
        <f t="shared" ref="C53:D53" si="6">(C52/C45)*100%</f>
        <v>0.41</v>
      </c>
      <c r="D53" s="2">
        <f t="shared" si="6"/>
        <v>0.58</v>
      </c>
      <c r="E53" s="2"/>
      <c r="F53" s="2"/>
      <c r="G53" s="2"/>
      <c r="H53" s="2">
        <f>G51/H44</f>
        <v>0.3769230769</v>
      </c>
      <c r="I53" s="2"/>
      <c r="J53" s="2"/>
      <c r="K53" s="2"/>
      <c r="L53" s="2"/>
      <c r="M53" s="2"/>
      <c r="N53" s="2"/>
      <c r="O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ht="14.25" customHeight="1">
      <c r="A56" s="7" t="s">
        <v>28</v>
      </c>
      <c r="B56" s="1" t="s">
        <v>29</v>
      </c>
      <c r="C56" s="8" t="s">
        <v>30</v>
      </c>
      <c r="D56" s="1" t="s">
        <v>31</v>
      </c>
      <c r="E56" s="8" t="s">
        <v>32</v>
      </c>
      <c r="F56" s="1" t="s">
        <v>33</v>
      </c>
      <c r="G56" s="1" t="s">
        <v>34</v>
      </c>
      <c r="I56" s="2"/>
      <c r="J56" s="2"/>
      <c r="K56" s="2"/>
      <c r="L56" s="2"/>
      <c r="M56" s="2"/>
      <c r="N56" s="2"/>
      <c r="O56" s="2"/>
    </row>
    <row r="57" ht="14.25" customHeight="1">
      <c r="A57" s="7">
        <v>2.0</v>
      </c>
      <c r="B57" s="10">
        <v>5.0</v>
      </c>
      <c r="C57" s="11">
        <f>0.28/2</f>
        <v>0.14</v>
      </c>
      <c r="D57" s="3">
        <f t="shared" ref="D57:D64" si="7">$L$12*C57</f>
        <v>43.9479638</v>
      </c>
      <c r="E57" s="57">
        <f>0.108/2</f>
        <v>0.054</v>
      </c>
      <c r="F57" s="3">
        <f t="shared" ref="F57:F64" si="8">$L$13*E57</f>
        <v>0.1921488402</v>
      </c>
      <c r="G57" s="13">
        <f t="shared" ref="G57:G64" si="9">F57/($L$14*D57)</f>
        <v>3479.278115</v>
      </c>
      <c r="I57" s="2"/>
      <c r="J57" s="2"/>
      <c r="K57" s="2"/>
      <c r="L57" s="2"/>
      <c r="M57" s="2"/>
      <c r="N57" s="2"/>
      <c r="O57" s="2"/>
    </row>
    <row r="58" ht="14.25" customHeight="1">
      <c r="A58" s="7">
        <v>4.0</v>
      </c>
      <c r="B58" s="10">
        <v>7.0</v>
      </c>
      <c r="C58" s="11">
        <f>0.37/2</f>
        <v>0.185</v>
      </c>
      <c r="D58" s="3">
        <f t="shared" si="7"/>
        <v>58.07409502</v>
      </c>
      <c r="E58" s="12">
        <f>0.138/2</f>
        <v>0.069</v>
      </c>
      <c r="F58" s="3">
        <f t="shared" si="8"/>
        <v>0.245523518</v>
      </c>
      <c r="G58" s="13">
        <f t="shared" si="9"/>
        <v>3364.347006</v>
      </c>
      <c r="I58" s="2"/>
      <c r="J58" s="2"/>
    </row>
    <row r="59" ht="14.25" customHeight="1">
      <c r="A59" s="7">
        <v>6.0</v>
      </c>
      <c r="B59" s="10">
        <v>9.0</v>
      </c>
      <c r="C59" s="11">
        <f>0.46/2</f>
        <v>0.23</v>
      </c>
      <c r="D59" s="3">
        <f t="shared" si="7"/>
        <v>72.20022624</v>
      </c>
      <c r="E59" s="12">
        <f>0.186/2</f>
        <v>0.093</v>
      </c>
      <c r="F59" s="3">
        <f t="shared" si="8"/>
        <v>0.3309230026</v>
      </c>
      <c r="G59" s="13">
        <f t="shared" si="9"/>
        <v>3647.359183</v>
      </c>
    </row>
    <row r="60" ht="14.25" customHeight="1">
      <c r="A60" s="7">
        <v>8.0</v>
      </c>
      <c r="B60" s="10">
        <v>11.0</v>
      </c>
      <c r="C60" s="11">
        <f>0.58/2</f>
        <v>0.29</v>
      </c>
      <c r="D60" s="3">
        <f t="shared" si="7"/>
        <v>91.03506787</v>
      </c>
      <c r="E60" s="12">
        <f>0.226/2</f>
        <v>0.113</v>
      </c>
      <c r="F60" s="3">
        <f t="shared" si="8"/>
        <v>0.4020892397</v>
      </c>
      <c r="G60" s="13">
        <f t="shared" si="9"/>
        <v>3514.826295</v>
      </c>
      <c r="I60" s="2"/>
      <c r="J60" s="2"/>
    </row>
    <row r="61" ht="14.25" customHeight="1">
      <c r="A61" s="7">
        <v>10.0</v>
      </c>
      <c r="B61" s="10">
        <v>13.0</v>
      </c>
      <c r="C61" s="58">
        <f>0.71/2</f>
        <v>0.355</v>
      </c>
      <c r="D61" s="3">
        <f t="shared" si="7"/>
        <v>111.4394796</v>
      </c>
      <c r="E61" s="12">
        <f>0.264/2</f>
        <v>0.132</v>
      </c>
      <c r="F61" s="3">
        <f t="shared" si="8"/>
        <v>0.4696971649</v>
      </c>
      <c r="G61" s="13">
        <f t="shared" si="9"/>
        <v>3354.045882</v>
      </c>
      <c r="I61" s="2"/>
      <c r="J61" s="2"/>
    </row>
    <row r="62" ht="14.25" customHeight="1">
      <c r="A62" s="7">
        <v>12.0</v>
      </c>
      <c r="B62" s="10">
        <v>15.0</v>
      </c>
      <c r="C62" s="11">
        <f>0.88/2</f>
        <v>0.44</v>
      </c>
      <c r="D62" s="3">
        <f t="shared" si="7"/>
        <v>138.1221719</v>
      </c>
      <c r="E62" s="12">
        <f>0.304/2</f>
        <v>0.152</v>
      </c>
      <c r="F62" s="3">
        <f t="shared" si="8"/>
        <v>0.5408634021</v>
      </c>
      <c r="G62" s="13">
        <f t="shared" si="9"/>
        <v>3116.12114</v>
      </c>
      <c r="O62" s="2"/>
    </row>
    <row r="63" ht="14.25" customHeight="1">
      <c r="A63" s="7">
        <v>14.0</v>
      </c>
      <c r="B63" s="10">
        <v>17.0</v>
      </c>
      <c r="C63" s="11">
        <f>1.11/2</f>
        <v>0.555</v>
      </c>
      <c r="D63" s="3">
        <f t="shared" si="7"/>
        <v>174.2222851</v>
      </c>
      <c r="E63" s="12">
        <f>0.344/2</f>
        <v>0.172</v>
      </c>
      <c r="F63" s="3">
        <f t="shared" si="8"/>
        <v>0.6120296392</v>
      </c>
      <c r="G63" s="13">
        <f t="shared" si="9"/>
        <v>2795.496063</v>
      </c>
      <c r="I63" s="2"/>
      <c r="J63" s="2"/>
      <c r="K63" s="2"/>
      <c r="L63" s="2"/>
      <c r="M63" s="2"/>
      <c r="N63" s="2"/>
      <c r="O63" s="2"/>
    </row>
    <row r="64" ht="14.25" customHeight="1">
      <c r="A64" s="7">
        <v>16.0</v>
      </c>
      <c r="B64" s="59">
        <v>19.0</v>
      </c>
      <c r="C64" s="60">
        <f>1.45/2</f>
        <v>0.725</v>
      </c>
      <c r="D64" s="61">
        <f t="shared" si="7"/>
        <v>227.5876697</v>
      </c>
      <c r="E64" s="61">
        <f>0.384/2</f>
        <v>0.192</v>
      </c>
      <c r="F64" s="61">
        <f t="shared" si="8"/>
        <v>0.6831958763</v>
      </c>
      <c r="G64" s="60">
        <f t="shared" si="9"/>
        <v>2388.837694</v>
      </c>
      <c r="I64" s="2"/>
      <c r="J64" s="2"/>
      <c r="K64" s="2"/>
      <c r="L64" s="2"/>
      <c r="M64" s="2"/>
      <c r="N64" s="2"/>
      <c r="O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N10:N11"/>
    <mergeCell ref="A41:N42"/>
    <mergeCell ref="G43:J43"/>
    <mergeCell ref="G45:H45"/>
    <mergeCell ref="I46:J46"/>
    <mergeCell ref="B47:D47"/>
    <mergeCell ref="G50:J50"/>
    <mergeCell ref="G51:J5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23.0"/>
    <col customWidth="1" min="3" max="3" width="19.71"/>
    <col customWidth="1" min="4" max="4" width="19.86"/>
    <col customWidth="1" min="5" max="5" width="13.29"/>
    <col customWidth="1" min="6" max="6" width="15.43"/>
    <col customWidth="1" min="7" max="7" width="16.0"/>
    <col customWidth="1" min="8" max="8" width="13.29"/>
    <col customWidth="1" min="9" max="9" width="22.86"/>
    <col customWidth="1" min="10" max="10" width="6.0"/>
    <col customWidth="1" min="11" max="11" width="9.71"/>
    <col customWidth="1" min="12" max="12" width="18.71"/>
    <col customWidth="1" min="13" max="13" width="13.86"/>
    <col customWidth="1" min="14" max="14" width="48.29"/>
    <col customWidth="1" min="15" max="26" width="8.71"/>
  </cols>
  <sheetData>
    <row r="1" ht="14.25" customHeight="1"/>
    <row r="2" ht="14.25" customHeight="1">
      <c r="B2" s="1" t="s">
        <v>0</v>
      </c>
      <c r="C2" s="1" t="s">
        <v>1</v>
      </c>
      <c r="D2" s="1" t="s">
        <v>2</v>
      </c>
      <c r="E2" s="1" t="s">
        <v>3</v>
      </c>
      <c r="F2" s="2"/>
      <c r="G2" s="2"/>
      <c r="H2" s="2"/>
      <c r="I2" s="2"/>
      <c r="J2" s="2"/>
      <c r="K2" s="2" t="s">
        <v>4</v>
      </c>
      <c r="L2" s="2" t="s">
        <v>5</v>
      </c>
      <c r="M2" s="2" t="s">
        <v>6</v>
      </c>
      <c r="N2" s="2" t="s">
        <v>7</v>
      </c>
    </row>
    <row r="3" ht="14.25" customHeight="1">
      <c r="B3" s="8">
        <v>0.112</v>
      </c>
      <c r="C3" s="8">
        <v>0.094</v>
      </c>
      <c r="D3" s="3">
        <f>L12*B3</f>
        <v>35.15837104</v>
      </c>
      <c r="E3" s="3">
        <f>L13*C3</f>
        <v>0.3344813144</v>
      </c>
      <c r="F3" s="2"/>
      <c r="G3" s="2"/>
      <c r="H3" s="2"/>
      <c r="I3" s="2"/>
      <c r="J3" s="2"/>
      <c r="K3" s="4" t="s">
        <v>8</v>
      </c>
      <c r="L3" s="5">
        <v>68.0</v>
      </c>
      <c r="M3" s="5" t="s">
        <v>9</v>
      </c>
      <c r="N3" s="6" t="s">
        <v>10</v>
      </c>
    </row>
    <row r="4" ht="14.25" customHeight="1">
      <c r="B4" s="2"/>
      <c r="C4" s="2"/>
      <c r="D4" s="2"/>
      <c r="E4" s="2"/>
      <c r="F4" s="2"/>
      <c r="G4" s="2"/>
      <c r="H4" s="2"/>
      <c r="I4" s="2"/>
      <c r="J4" s="2"/>
      <c r="K4" s="4" t="s">
        <v>11</v>
      </c>
      <c r="L4" s="5">
        <v>470.0</v>
      </c>
      <c r="M4" s="5" t="s">
        <v>12</v>
      </c>
      <c r="N4" s="6" t="s">
        <v>13</v>
      </c>
    </row>
    <row r="5" ht="14.25" customHeight="1">
      <c r="B5" s="1" t="s">
        <v>14</v>
      </c>
      <c r="C5" s="1" t="s">
        <v>15</v>
      </c>
      <c r="D5" s="1" t="s">
        <v>16</v>
      </c>
      <c r="E5" s="1" t="s">
        <v>17</v>
      </c>
      <c r="F5" s="1" t="s">
        <v>18</v>
      </c>
      <c r="G5" s="2"/>
      <c r="H5" s="2"/>
      <c r="I5" s="2"/>
      <c r="J5" s="2"/>
      <c r="K5" s="4" t="s">
        <v>19</v>
      </c>
      <c r="L5" s="5">
        <f>0.47</f>
        <v>0.47</v>
      </c>
      <c r="M5" s="5" t="s">
        <v>20</v>
      </c>
      <c r="N5" s="6" t="s">
        <v>21</v>
      </c>
    </row>
    <row r="6" ht="14.25" customHeight="1">
      <c r="B6" s="8">
        <v>0.74</v>
      </c>
      <c r="C6" s="8">
        <v>0.196</v>
      </c>
      <c r="D6" s="1">
        <f>L12*B6/2</f>
        <v>116.14819</v>
      </c>
      <c r="E6" s="1">
        <f>L13*C6/2</f>
        <v>0.3487145619</v>
      </c>
      <c r="F6" s="1">
        <f>E6*2/(L14*D6*2)</f>
        <v>2389.173961</v>
      </c>
      <c r="G6" s="2"/>
      <c r="H6" s="2"/>
      <c r="I6" s="2"/>
      <c r="J6" s="2"/>
      <c r="K6" s="4" t="s">
        <v>22</v>
      </c>
      <c r="L6" s="5">
        <v>0.64</v>
      </c>
      <c r="M6" s="5" t="s">
        <v>23</v>
      </c>
      <c r="N6" s="6" t="s">
        <v>24</v>
      </c>
    </row>
    <row r="7" ht="14.25" customHeight="1">
      <c r="B7" s="2"/>
      <c r="C7" s="2"/>
      <c r="D7" s="2"/>
      <c r="E7" s="2"/>
      <c r="F7" s="2"/>
      <c r="G7" s="2"/>
      <c r="H7" s="2"/>
      <c r="I7" s="2"/>
      <c r="J7" s="2"/>
      <c r="K7" s="4" t="s">
        <v>25</v>
      </c>
      <c r="L7" s="5">
        <v>7.8</v>
      </c>
      <c r="M7" s="5" t="s">
        <v>26</v>
      </c>
      <c r="N7" s="6" t="s">
        <v>27</v>
      </c>
    </row>
    <row r="8" ht="14.25" customHeight="1">
      <c r="B8" s="1" t="s">
        <v>29</v>
      </c>
      <c r="C8" s="1" t="s">
        <v>95</v>
      </c>
      <c r="D8" s="1" t="s">
        <v>96</v>
      </c>
      <c r="E8" s="1" t="s">
        <v>31</v>
      </c>
      <c r="F8" s="1" t="s">
        <v>97</v>
      </c>
      <c r="G8" s="1" t="s">
        <v>98</v>
      </c>
      <c r="H8" s="1" t="s">
        <v>33</v>
      </c>
      <c r="I8" s="1" t="s">
        <v>34</v>
      </c>
      <c r="J8" s="2"/>
      <c r="K8" s="4" t="s">
        <v>36</v>
      </c>
      <c r="L8" s="5">
        <v>1665.0</v>
      </c>
      <c r="M8" s="5" t="s">
        <v>37</v>
      </c>
      <c r="N8" s="6" t="s">
        <v>38</v>
      </c>
    </row>
    <row r="9" ht="14.25" customHeight="1">
      <c r="B9" s="13">
        <v>1.2</v>
      </c>
      <c r="C9" s="13">
        <v>0.7</v>
      </c>
      <c r="D9" s="13">
        <v>0.1</v>
      </c>
      <c r="E9" s="3">
        <f t="shared" ref="E9:E21" si="1">$L$12*D9*C9</f>
        <v>21.9739819</v>
      </c>
      <c r="F9" s="13">
        <v>0.4</v>
      </c>
      <c r="G9" s="13">
        <v>0.05</v>
      </c>
      <c r="H9" s="3">
        <f t="shared" ref="H9:H21" si="2">$L$13*G9*F9</f>
        <v>0.07116623711</v>
      </c>
      <c r="I9" s="13">
        <f t="shared" ref="I9:I21" si="3">H9/($L$14*E9)</f>
        <v>2577.243048</v>
      </c>
      <c r="J9" s="2"/>
      <c r="K9" s="4" t="s">
        <v>39</v>
      </c>
      <c r="L9" s="5">
        <v>970.0</v>
      </c>
      <c r="M9" s="5" t="s">
        <v>37</v>
      </c>
      <c r="N9" s="6" t="s">
        <v>40</v>
      </c>
    </row>
    <row r="10" ht="14.25" customHeight="1">
      <c r="B10" s="13">
        <v>1.7</v>
      </c>
      <c r="C10" s="13">
        <v>1.0</v>
      </c>
      <c r="D10" s="13">
        <v>0.1</v>
      </c>
      <c r="E10" s="3">
        <f t="shared" si="1"/>
        <v>31.39140271</v>
      </c>
      <c r="F10" s="13">
        <v>0.6</v>
      </c>
      <c r="G10" s="13">
        <v>0.05</v>
      </c>
      <c r="H10" s="3">
        <f t="shared" si="2"/>
        <v>0.1067493557</v>
      </c>
      <c r="I10" s="13">
        <f t="shared" si="3"/>
        <v>2706.1052</v>
      </c>
      <c r="J10" s="2"/>
      <c r="K10" s="4" t="s">
        <v>41</v>
      </c>
      <c r="L10" s="5">
        <v>200.0</v>
      </c>
      <c r="M10" s="5" t="s">
        <v>42</v>
      </c>
      <c r="N10" s="2" t="s">
        <v>43</v>
      </c>
    </row>
    <row r="11" ht="14.25" customHeight="1">
      <c r="B11" s="13">
        <v>2.6</v>
      </c>
      <c r="C11" s="13">
        <v>1.5</v>
      </c>
      <c r="D11" s="13">
        <v>0.1</v>
      </c>
      <c r="E11" s="3">
        <f t="shared" si="1"/>
        <v>47.08710407</v>
      </c>
      <c r="F11" s="13">
        <v>1.0</v>
      </c>
      <c r="G11" s="13">
        <v>0.05</v>
      </c>
      <c r="H11" s="3">
        <f t="shared" si="2"/>
        <v>0.1779155928</v>
      </c>
      <c r="I11" s="13">
        <f t="shared" si="3"/>
        <v>3006.783556</v>
      </c>
      <c r="J11" s="2"/>
      <c r="K11" s="4" t="s">
        <v>44</v>
      </c>
      <c r="L11" s="5">
        <v>50.0</v>
      </c>
      <c r="M11" s="5" t="s">
        <v>42</v>
      </c>
    </row>
    <row r="12" ht="14.25" customHeight="1">
      <c r="B12" s="13">
        <v>3.0</v>
      </c>
      <c r="C12" s="13">
        <v>1.7</v>
      </c>
      <c r="D12" s="13">
        <v>0.1</v>
      </c>
      <c r="E12" s="3">
        <f t="shared" si="1"/>
        <v>53.36538462</v>
      </c>
      <c r="F12" s="13">
        <v>1.0</v>
      </c>
      <c r="G12" s="13">
        <v>0.05</v>
      </c>
      <c r="H12" s="3">
        <f t="shared" si="2"/>
        <v>0.1779155928</v>
      </c>
      <c r="I12" s="13">
        <f t="shared" si="3"/>
        <v>2653.044314</v>
      </c>
      <c r="J12" s="2"/>
      <c r="K12" s="4" t="s">
        <v>45</v>
      </c>
      <c r="L12" s="5">
        <f>L8/(L7 / 100 *L3)</f>
        <v>313.9140271</v>
      </c>
      <c r="M12" s="62"/>
      <c r="N12" s="17" t="s">
        <v>47</v>
      </c>
    </row>
    <row r="13" ht="14.25" customHeight="1">
      <c r="B13" s="13">
        <v>3.9</v>
      </c>
      <c r="C13" s="13">
        <v>2.2</v>
      </c>
      <c r="D13" s="13">
        <v>0.1</v>
      </c>
      <c r="E13" s="3">
        <f t="shared" si="1"/>
        <v>69.06108597</v>
      </c>
      <c r="F13" s="13">
        <v>1.2</v>
      </c>
      <c r="G13" s="13">
        <v>0.05</v>
      </c>
      <c r="H13" s="3">
        <f t="shared" si="2"/>
        <v>0.2134987113</v>
      </c>
      <c r="I13" s="13">
        <f t="shared" si="3"/>
        <v>2460.095637</v>
      </c>
      <c r="J13" s="15"/>
      <c r="K13" s="4" t="s">
        <v>48</v>
      </c>
      <c r="L13" s="5">
        <f>L4*1000*L5*POWER(10,-6)/(L9*L6/10000)</f>
        <v>3.558311856</v>
      </c>
      <c r="M13" s="62"/>
      <c r="N13" s="6" t="s">
        <v>47</v>
      </c>
    </row>
    <row r="14" ht="14.25" customHeight="1">
      <c r="B14" s="13">
        <v>4.8</v>
      </c>
      <c r="C14" s="13">
        <v>2.8</v>
      </c>
      <c r="D14" s="13">
        <v>0.1</v>
      </c>
      <c r="E14" s="3">
        <f t="shared" si="1"/>
        <v>87.8959276</v>
      </c>
      <c r="F14" s="13">
        <v>1.5</v>
      </c>
      <c r="G14" s="13">
        <v>0.05</v>
      </c>
      <c r="H14" s="3">
        <f t="shared" si="2"/>
        <v>0.2668733892</v>
      </c>
      <c r="I14" s="13">
        <f t="shared" si="3"/>
        <v>2416.165357</v>
      </c>
      <c r="J14" s="2"/>
      <c r="K14" s="4" t="s">
        <v>50</v>
      </c>
      <c r="L14" s="5">
        <f>4*PI()*POWER(10,-7)</f>
        <v>0.000001256637061</v>
      </c>
      <c r="M14" s="5" t="s">
        <v>51</v>
      </c>
      <c r="N14" s="6" t="s">
        <v>52</v>
      </c>
    </row>
    <row r="15" ht="14.25" customHeight="1">
      <c r="B15" s="13">
        <v>5.6</v>
      </c>
      <c r="C15" s="13">
        <v>3.3</v>
      </c>
      <c r="D15" s="13">
        <v>0.1</v>
      </c>
      <c r="E15" s="3">
        <f t="shared" si="1"/>
        <v>103.591629</v>
      </c>
      <c r="F15" s="13">
        <v>1.7</v>
      </c>
      <c r="G15" s="13">
        <v>0.05</v>
      </c>
      <c r="H15" s="3">
        <f t="shared" si="2"/>
        <v>0.3024565077</v>
      </c>
      <c r="I15" s="13">
        <f t="shared" si="3"/>
        <v>2323.423657</v>
      </c>
      <c r="J15" s="2"/>
      <c r="K15" s="4" t="s">
        <v>53</v>
      </c>
      <c r="L15" s="5">
        <v>5.6E-5</v>
      </c>
      <c r="M15" s="5" t="s">
        <v>54</v>
      </c>
      <c r="N15" s="6" t="s">
        <v>55</v>
      </c>
    </row>
    <row r="16" ht="14.25" customHeight="1">
      <c r="B16" s="13">
        <v>6.2</v>
      </c>
      <c r="C16" s="13">
        <v>3.6</v>
      </c>
      <c r="D16" s="13">
        <v>0.2</v>
      </c>
      <c r="E16" s="3">
        <f t="shared" si="1"/>
        <v>226.0180995</v>
      </c>
      <c r="F16" s="13">
        <v>1.9</v>
      </c>
      <c r="G16" s="13">
        <v>0.05</v>
      </c>
      <c r="H16" s="3">
        <f t="shared" si="2"/>
        <v>0.3380396263</v>
      </c>
      <c r="I16" s="13">
        <f t="shared" si="3"/>
        <v>1190.185158</v>
      </c>
      <c r="J16" s="2"/>
      <c r="K16" s="4" t="s">
        <v>56</v>
      </c>
      <c r="L16" s="5">
        <v>6.5</v>
      </c>
      <c r="M16" s="5" t="s">
        <v>57</v>
      </c>
      <c r="N16" s="6" t="s">
        <v>58</v>
      </c>
    </row>
    <row r="17" ht="14.25" customHeight="1">
      <c r="B17" s="13">
        <v>7.1</v>
      </c>
      <c r="C17" s="13">
        <v>2.1</v>
      </c>
      <c r="D17" s="13">
        <v>0.2</v>
      </c>
      <c r="E17" s="3">
        <f t="shared" si="1"/>
        <v>131.8438914</v>
      </c>
      <c r="F17" s="13">
        <v>2.1</v>
      </c>
      <c r="G17" s="13">
        <v>0.05</v>
      </c>
      <c r="H17" s="3">
        <f t="shared" si="2"/>
        <v>0.3736227448</v>
      </c>
      <c r="I17" s="13">
        <f t="shared" si="3"/>
        <v>2255.087667</v>
      </c>
      <c r="J17" s="2"/>
      <c r="K17" s="4" t="s">
        <v>59</v>
      </c>
      <c r="L17" s="5">
        <f>L15*L16</f>
        <v>0.000364</v>
      </c>
      <c r="M17" s="5" t="s">
        <v>60</v>
      </c>
      <c r="N17" s="6" t="s">
        <v>61</v>
      </c>
    </row>
    <row r="18" ht="14.25" customHeight="1">
      <c r="B18" s="13">
        <v>7.7</v>
      </c>
      <c r="C18" s="13">
        <v>2.2</v>
      </c>
      <c r="D18" s="13">
        <v>0.2</v>
      </c>
      <c r="E18" s="3">
        <f t="shared" si="1"/>
        <v>138.1221719</v>
      </c>
      <c r="F18" s="13">
        <v>2.2</v>
      </c>
      <c r="G18" s="13">
        <v>0.05</v>
      </c>
      <c r="H18" s="3">
        <f t="shared" si="2"/>
        <v>0.3914143041</v>
      </c>
      <c r="I18" s="13">
        <f t="shared" si="3"/>
        <v>2255.087667</v>
      </c>
      <c r="J18" s="2"/>
      <c r="K18" s="2"/>
      <c r="L18" s="2"/>
      <c r="M18" s="2"/>
    </row>
    <row r="19" ht="14.25" customHeight="1">
      <c r="B19" s="13">
        <v>8.6</v>
      </c>
      <c r="C19" s="13">
        <v>2.5</v>
      </c>
      <c r="D19" s="13">
        <v>0.2</v>
      </c>
      <c r="E19" s="3">
        <f t="shared" si="1"/>
        <v>156.9570136</v>
      </c>
      <c r="F19" s="13">
        <v>2.5</v>
      </c>
      <c r="G19" s="13">
        <v>0.05</v>
      </c>
      <c r="H19" s="3">
        <f t="shared" si="2"/>
        <v>0.444788982</v>
      </c>
      <c r="I19" s="13">
        <f t="shared" si="3"/>
        <v>2255.087667</v>
      </c>
      <c r="J19" s="2"/>
      <c r="K19" s="2"/>
      <c r="L19" s="2"/>
      <c r="M19" s="2"/>
    </row>
    <row r="20" ht="14.25" customHeight="1">
      <c r="B20" s="13">
        <v>9.2</v>
      </c>
      <c r="C20" s="13">
        <v>2.7</v>
      </c>
      <c r="D20" s="13">
        <v>0.2</v>
      </c>
      <c r="E20" s="3">
        <f t="shared" si="1"/>
        <v>169.5135747</v>
      </c>
      <c r="F20" s="13">
        <v>2.6</v>
      </c>
      <c r="G20" s="13">
        <v>0.05</v>
      </c>
      <c r="H20" s="3">
        <f t="shared" si="2"/>
        <v>0.4625805412</v>
      </c>
      <c r="I20" s="13">
        <f t="shared" si="3"/>
        <v>2171.565902</v>
      </c>
      <c r="J20" s="2"/>
      <c r="K20" s="2"/>
      <c r="L20" s="2"/>
      <c r="M20" s="2"/>
    </row>
    <row r="21" ht="14.25" customHeight="1">
      <c r="B21" s="13">
        <v>10.0</v>
      </c>
      <c r="C21" s="13">
        <v>2.9</v>
      </c>
      <c r="D21" s="13">
        <v>0.2</v>
      </c>
      <c r="E21" s="3">
        <f t="shared" si="1"/>
        <v>182.0701357</v>
      </c>
      <c r="F21" s="13">
        <v>2.8</v>
      </c>
      <c r="G21" s="13">
        <v>0.05</v>
      </c>
      <c r="H21" s="3">
        <f t="shared" si="2"/>
        <v>0.4981636598</v>
      </c>
      <c r="I21" s="13">
        <f t="shared" si="3"/>
        <v>2177.326023</v>
      </c>
      <c r="J21" s="2"/>
      <c r="K21" s="2"/>
      <c r="L21" s="2"/>
      <c r="M21" s="2"/>
    </row>
    <row r="22" ht="14.25" customHeight="1">
      <c r="B22" s="13"/>
      <c r="C22" s="13"/>
      <c r="D22" s="13"/>
      <c r="E22" s="3"/>
      <c r="F22" s="13"/>
      <c r="G22" s="13"/>
      <c r="H22" s="3"/>
      <c r="I22" s="13"/>
      <c r="J22" s="2"/>
      <c r="K22" s="2"/>
      <c r="L22" s="2"/>
      <c r="M22" s="2"/>
    </row>
    <row r="23" ht="14.25" customHeight="1">
      <c r="B23" s="63"/>
      <c r="C23" s="63"/>
      <c r="D23" s="63"/>
      <c r="E23" s="64"/>
      <c r="F23" s="63"/>
      <c r="G23" s="13"/>
      <c r="H23" s="64"/>
      <c r="I23" s="63"/>
      <c r="J23" s="2"/>
      <c r="K23" s="2"/>
      <c r="L23" s="2"/>
      <c r="M23" s="2"/>
    </row>
    <row r="24" ht="14.25" customHeight="1">
      <c r="B24" s="65"/>
      <c r="C24" s="65"/>
      <c r="D24" s="65"/>
      <c r="E24" s="65"/>
      <c r="F24" s="65"/>
      <c r="G24" s="65"/>
      <c r="H24" s="65"/>
      <c r="I24" s="65"/>
      <c r="J24" s="2"/>
      <c r="K24" s="2"/>
      <c r="L24" s="2"/>
      <c r="M24" s="2"/>
    </row>
    <row r="25" ht="14.25" customHeight="1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ht="14.25" customHeight="1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ht="14.25" customHeight="1">
      <c r="B27" s="2"/>
      <c r="C27" s="2"/>
      <c r="D27" s="2"/>
      <c r="E27" s="2"/>
      <c r="F27" s="2"/>
      <c r="G27" s="2"/>
      <c r="H27" s="2"/>
      <c r="I27" s="2"/>
      <c r="K27" s="2"/>
      <c r="L27" s="2"/>
      <c r="M27" s="2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>
      <c r="A41" s="22" t="s">
        <v>67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4"/>
    </row>
    <row r="42" ht="14.2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7"/>
    </row>
    <row r="43" ht="14.25" customHeight="1">
      <c r="A43" s="2"/>
      <c r="B43" s="28" t="s">
        <v>68</v>
      </c>
      <c r="C43" s="28" t="s">
        <v>69</v>
      </c>
      <c r="D43" s="28" t="s">
        <v>70</v>
      </c>
      <c r="E43" s="2"/>
      <c r="F43" s="2"/>
      <c r="G43" s="29" t="s">
        <v>71</v>
      </c>
      <c r="H43" s="26"/>
      <c r="I43" s="26"/>
      <c r="J43" s="27"/>
      <c r="K43" s="2"/>
      <c r="L43" s="2"/>
      <c r="M43" s="30"/>
      <c r="N43" s="31" t="s">
        <v>72</v>
      </c>
      <c r="O43" s="2"/>
    </row>
    <row r="44" ht="14.25" customHeight="1">
      <c r="A44" s="2"/>
      <c r="B44" s="32" t="s">
        <v>2</v>
      </c>
      <c r="C44" s="32" t="s">
        <v>3</v>
      </c>
      <c r="D44" s="32" t="s">
        <v>18</v>
      </c>
      <c r="E44" s="2"/>
      <c r="F44" s="2"/>
      <c r="G44" s="33" t="s">
        <v>59</v>
      </c>
      <c r="H44" s="34">
        <f>L17</f>
        <v>0.000364</v>
      </c>
      <c r="I44" s="34" t="s">
        <v>60</v>
      </c>
      <c r="J44" s="35"/>
      <c r="K44" s="2"/>
      <c r="L44" s="2"/>
      <c r="M44" s="2"/>
      <c r="N44" s="36">
        <f>MAX(I9:I23)</f>
        <v>3006.783556</v>
      </c>
      <c r="O44" s="2"/>
    </row>
    <row r="45" ht="14.25" customHeight="1">
      <c r="A45" s="2"/>
      <c r="B45" s="37">
        <f t="shared" ref="B45:C45" si="4">D3</f>
        <v>35.15837104</v>
      </c>
      <c r="C45" s="37">
        <f t="shared" si="4"/>
        <v>0.3344813144</v>
      </c>
      <c r="D45" s="37">
        <f>F6</f>
        <v>2389.173961</v>
      </c>
      <c r="E45" s="2"/>
      <c r="F45" s="2"/>
      <c r="G45" s="22" t="s">
        <v>73</v>
      </c>
      <c r="H45" s="23"/>
      <c r="I45" s="38"/>
      <c r="J45" s="39"/>
      <c r="K45" s="2"/>
      <c r="L45" s="2"/>
      <c r="M45" s="2"/>
      <c r="N45" s="40" t="s">
        <v>74</v>
      </c>
      <c r="O45" s="2"/>
    </row>
    <row r="46" ht="14.25" customHeight="1">
      <c r="A46" s="2"/>
      <c r="B46" s="2"/>
      <c r="C46" s="2"/>
      <c r="D46" s="2"/>
      <c r="E46" s="2"/>
      <c r="F46" s="2"/>
      <c r="G46" s="41" t="s">
        <v>75</v>
      </c>
      <c r="H46" s="2">
        <v>0.5</v>
      </c>
      <c r="I46" s="2" t="s">
        <v>76</v>
      </c>
      <c r="J46" s="42"/>
      <c r="K46" s="2"/>
      <c r="L46" s="2"/>
      <c r="M46" s="2"/>
      <c r="N46" s="43">
        <v>47.087</v>
      </c>
      <c r="O46" s="2"/>
    </row>
    <row r="47" ht="14.25" customHeight="1">
      <c r="A47" s="2"/>
      <c r="B47" s="66" t="s">
        <v>77</v>
      </c>
      <c r="C47" s="67"/>
      <c r="D47" s="68"/>
      <c r="E47" s="2"/>
      <c r="F47" s="2"/>
      <c r="G47" s="41" t="s">
        <v>78</v>
      </c>
      <c r="H47" s="2">
        <v>6.5</v>
      </c>
      <c r="I47" s="2" t="s">
        <v>79</v>
      </c>
      <c r="J47" s="47">
        <f>H46/H47</f>
        <v>0.07692307692</v>
      </c>
      <c r="K47" s="2"/>
      <c r="L47" s="2"/>
      <c r="M47" s="2"/>
      <c r="N47" s="2"/>
      <c r="O47" s="2"/>
    </row>
    <row r="48" ht="14.25" customHeight="1">
      <c r="A48" s="2"/>
      <c r="B48" s="69" t="s">
        <v>80</v>
      </c>
      <c r="C48" s="69" t="s">
        <v>99</v>
      </c>
      <c r="D48" s="69" t="s">
        <v>82</v>
      </c>
      <c r="E48" s="2"/>
      <c r="F48" s="2"/>
      <c r="G48" s="41"/>
      <c r="H48" s="2"/>
      <c r="I48" s="2"/>
      <c r="J48" s="51"/>
      <c r="K48" s="2"/>
      <c r="L48" s="2"/>
      <c r="M48" s="2"/>
      <c r="N48" s="2"/>
      <c r="O48" s="2"/>
    </row>
    <row r="49" ht="14.25" customHeight="1">
      <c r="A49" s="2"/>
      <c r="B49" s="32" t="s">
        <v>83</v>
      </c>
      <c r="C49" s="32" t="s">
        <v>84</v>
      </c>
      <c r="D49" s="32" t="s">
        <v>85</v>
      </c>
      <c r="E49" s="2"/>
      <c r="F49" s="2">
        <f>109/187</f>
        <v>0.5828877005</v>
      </c>
      <c r="G49" s="41" t="s">
        <v>86</v>
      </c>
      <c r="H49" s="2">
        <v>0.3</v>
      </c>
      <c r="I49" s="2" t="s">
        <v>87</v>
      </c>
      <c r="J49" s="47">
        <f>J47+H49</f>
        <v>0.3769230769</v>
      </c>
      <c r="K49" s="2"/>
      <c r="L49" s="2"/>
      <c r="M49" s="2"/>
      <c r="N49" s="2"/>
      <c r="O49" s="2"/>
    </row>
    <row r="50" ht="14.25" customHeight="1">
      <c r="A50" s="2"/>
      <c r="B50" s="32" t="s">
        <v>88</v>
      </c>
      <c r="C50" s="32" t="s">
        <v>89</v>
      </c>
      <c r="D50" s="32" t="s">
        <v>90</v>
      </c>
      <c r="E50" s="2"/>
      <c r="F50" s="2"/>
      <c r="G50" s="41" t="s">
        <v>91</v>
      </c>
      <c r="J50" s="42"/>
      <c r="K50" s="2"/>
      <c r="L50" s="2"/>
      <c r="M50" s="2"/>
      <c r="N50" s="2"/>
      <c r="O50" s="2"/>
    </row>
    <row r="51" ht="14.25" customHeight="1">
      <c r="A51" s="2"/>
      <c r="B51" s="32" t="s">
        <v>92</v>
      </c>
      <c r="C51" s="32" t="s">
        <v>93</v>
      </c>
      <c r="D51" s="32" t="s">
        <v>94</v>
      </c>
      <c r="E51" s="2"/>
      <c r="F51" s="2"/>
      <c r="G51" s="41">
        <f>H44*J49</f>
        <v>0.0001372</v>
      </c>
      <c r="J51" s="42"/>
      <c r="K51" s="2"/>
      <c r="L51" s="2"/>
      <c r="M51" s="2"/>
      <c r="N51" s="2"/>
      <c r="O51" s="2"/>
    </row>
    <row r="52" ht="14.25" customHeight="1">
      <c r="A52" s="2"/>
      <c r="B52" s="37">
        <f>0.3*B45</f>
        <v>10.54751131</v>
      </c>
      <c r="C52" s="37">
        <f>0.41*C45</f>
        <v>0.1371373389</v>
      </c>
      <c r="D52" s="37">
        <f>0.58*D45</f>
        <v>1385.720897</v>
      </c>
      <c r="E52" s="2"/>
      <c r="F52" s="2"/>
      <c r="G52" s="25"/>
      <c r="H52" s="26"/>
      <c r="I52" s="26"/>
      <c r="J52" s="27"/>
      <c r="K52" s="2"/>
      <c r="L52" s="2"/>
      <c r="M52" s="2"/>
      <c r="N52" s="2"/>
      <c r="O52" s="2"/>
    </row>
    <row r="53" ht="14.25" customHeight="1">
      <c r="A53" s="2"/>
      <c r="B53" s="2">
        <f>(B52/B45) * 100</f>
        <v>30</v>
      </c>
      <c r="C53" s="2">
        <f t="shared" ref="C53:D53" si="5">(C52/C45)*100%</f>
        <v>0.41</v>
      </c>
      <c r="D53" s="2">
        <f t="shared" si="5"/>
        <v>0.58</v>
      </c>
      <c r="E53" s="2"/>
      <c r="F53" s="2"/>
      <c r="G53" s="2"/>
      <c r="H53" s="2">
        <f>G51/H44</f>
        <v>0.3769230769</v>
      </c>
      <c r="I53" s="2"/>
      <c r="J53" s="2"/>
      <c r="K53" s="2"/>
      <c r="L53" s="2"/>
      <c r="M53" s="2"/>
      <c r="N53" s="2"/>
      <c r="O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N10:N11"/>
    <mergeCell ref="A41:N42"/>
    <mergeCell ref="G43:J43"/>
    <mergeCell ref="G45:H45"/>
    <mergeCell ref="I46:J46"/>
    <mergeCell ref="B47:D47"/>
    <mergeCell ref="G50:J50"/>
    <mergeCell ref="G51:J5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2021-04-23T20:37:10Z</dcterms:created>
  <dc:creator>Жекич это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ab681163-1784-442c-9770-4f7b2ca83a65</vt:lpwstr>
  </property>
</Properties>
</file>