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ym\OneDrive\Рабочий стол\"/>
    </mc:Choice>
  </mc:AlternateContent>
  <xr:revisionPtr revIDLastSave="0" documentId="13_ncr:1_{DD5AFFDC-4220-4BB5-AF76-84F64B55713B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Товар" sheetId="1" r:id="rId1"/>
    <sheet name="Квартал 1" sheetId="26" r:id="rId2"/>
    <sheet name="Квартал 2" sheetId="35" r:id="rId3"/>
    <sheet name="Півріччя" sheetId="36" r:id="rId4"/>
    <sheet name="Обчислення" sheetId="37" r:id="rId5"/>
    <sheet name="циклічні посилання" sheetId="38" r:id="rId6"/>
  </sheets>
  <definedNames>
    <definedName name="cibna">Обчислення!$C$12:$F$12</definedName>
    <definedName name="cina">Обчислення!$C$12:$F$12</definedName>
    <definedName name="cina1">'Квартал 2'!$C$4:$C$7</definedName>
    <definedName name="formula2">Обчислення!$C$19:$F$19*Обчислення!$B$20:$B$22</definedName>
    <definedName name="formulaa">kilkist*cibna</definedName>
    <definedName name="kilkyst">Обчислення!$B$13:$B$15</definedName>
    <definedName name="Благодійні_внески">'циклічні посилання'!$E$6</definedName>
    <definedName name="Витрати">'циклічні посилання'!$E$5</definedName>
    <definedName name="Відпускна_ціна">'Квартал 2'!$D$4:$D$7</definedName>
    <definedName name="Всього">'Квартал 2'!$C$9:$H$9</definedName>
    <definedName name="Всього_за_квартал">'Квартал 2'!$H$4:$H$7</definedName>
    <definedName name="Долар">Товар!$K$9</definedName>
    <definedName name="Квітень">'Квартал 2'!$E$4:$E$7</definedName>
    <definedName name="Макс">'Квартал 2'!$C$11:$H$11</definedName>
    <definedName name="Мін">'Квартал 2'!$C$10:$H$10</definedName>
    <definedName name="обэм">'Квартал 1:Квартал 2'!$H$12</definedName>
    <definedName name="Прибуток">'циклічні посилання'!$E$4</definedName>
    <definedName name="Процент">12%</definedName>
    <definedName name="Травень">'Квартал 2'!$F$4:$F$7</definedName>
    <definedName name="ціна">'Квартал 2'!$C$4:$C$7</definedName>
    <definedName name="ццц">'Квартал 2'!$C$4:$C$7</definedName>
    <definedName name="Червень">'Квартал 2'!$G$4:$G$7</definedName>
    <definedName name="Чистий_прибуток">'циклічні посилання'!$E$7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5" l="1" a="1"/>
  <c r="D4" i="35" s="1"/>
  <c r="D5" i="36"/>
  <c r="E9" i="36" s="1"/>
  <c r="C27" i="37" a="1"/>
  <c r="C28" i="37" s="1"/>
  <c r="C20" i="37" a="1"/>
  <c r="C20" i="37" s="1"/>
  <c r="C5" i="37"/>
  <c r="D5" i="37"/>
  <c r="E5" i="37"/>
  <c r="F5" i="37"/>
  <c r="C6" i="37"/>
  <c r="D6" i="37"/>
  <c r="E6" i="37"/>
  <c r="F6" i="37"/>
  <c r="D4" i="37"/>
  <c r="E4" i="37"/>
  <c r="F4" i="37"/>
  <c r="C4" i="37"/>
  <c r="C13" i="37" a="1"/>
  <c r="C13" i="37" s="1"/>
  <c r="F12" i="36"/>
  <c r="G12" i="36"/>
  <c r="E12" i="36"/>
  <c r="F11" i="36"/>
  <c r="G11" i="36"/>
  <c r="E11" i="36"/>
  <c r="F10" i="36"/>
  <c r="E10" i="36"/>
  <c r="F9" i="36"/>
  <c r="G9" i="36"/>
  <c r="G5" i="36"/>
  <c r="G10" i="36" s="1"/>
  <c r="G6" i="36"/>
  <c r="G7" i="36"/>
  <c r="G4" i="36"/>
  <c r="F5" i="36"/>
  <c r="F6" i="36"/>
  <c r="F7" i="36"/>
  <c r="F4" i="36"/>
  <c r="E5" i="36"/>
  <c r="E6" i="36"/>
  <c r="E7" i="36"/>
  <c r="E4" i="36"/>
  <c r="D6" i="36"/>
  <c r="D7" i="36"/>
  <c r="D4" i="36"/>
  <c r="G11" i="35"/>
  <c r="F11" i="35"/>
  <c r="E11" i="35"/>
  <c r="G10" i="35"/>
  <c r="F10" i="35"/>
  <c r="E10" i="35"/>
  <c r="H9" i="26"/>
  <c r="H12" i="26" s="1"/>
  <c r="F12" i="26"/>
  <c r="G12" i="26"/>
  <c r="E12" i="26"/>
  <c r="F11" i="26"/>
  <c r="G11" i="26"/>
  <c r="H11" i="26"/>
  <c r="E11" i="26"/>
  <c r="F10" i="26"/>
  <c r="G10" i="26"/>
  <c r="H10" i="26"/>
  <c r="E10" i="26"/>
  <c r="F9" i="26"/>
  <c r="G9" i="26"/>
  <c r="E9" i="26"/>
  <c r="H4" i="1"/>
  <c r="H5" i="1"/>
  <c r="H6" i="1"/>
  <c r="H3" i="1"/>
  <c r="G4" i="1"/>
  <c r="G5" i="1"/>
  <c r="G6" i="1"/>
  <c r="G3" i="1"/>
  <c r="H5" i="26"/>
  <c r="H6" i="26"/>
  <c r="H7" i="26"/>
  <c r="H4" i="26"/>
  <c r="D5" i="26"/>
  <c r="D6" i="26"/>
  <c r="D7" i="26"/>
  <c r="D4" i="26"/>
  <c r="E4" i="1"/>
  <c r="E5" i="1"/>
  <c r="E6" i="1"/>
  <c r="E3" i="1"/>
  <c r="F4" i="1"/>
  <c r="F5" i="1"/>
  <c r="F6" i="1"/>
  <c r="F3" i="1"/>
  <c r="G9" i="35" l="1"/>
  <c r="G12" i="35" s="1"/>
  <c r="F9" i="35"/>
  <c r="F12" i="35" s="1"/>
  <c r="E9" i="35"/>
  <c r="H4" i="35" a="1"/>
  <c r="H4" i="35" s="1"/>
  <c r="E28" i="37"/>
  <c r="F29" i="37"/>
  <c r="F27" i="37"/>
  <c r="E29" i="37"/>
  <c r="E27" i="37"/>
  <c r="D29" i="37"/>
  <c r="D27" i="37"/>
  <c r="C29" i="37"/>
  <c r="C27" i="37"/>
  <c r="F28" i="37"/>
  <c r="D28" i="37"/>
  <c r="K4" i="1"/>
  <c r="M4" i="1"/>
  <c r="E12" i="35" l="1"/>
  <c r="H4" i="36" a="1"/>
  <c r="H4" i="36" s="1"/>
  <c r="H10" i="35"/>
  <c r="H9" i="35"/>
  <c r="H12" i="35" s="1"/>
  <c r="H11" i="35"/>
  <c r="H12" i="36" l="1"/>
  <c r="H9" i="36"/>
  <c r="H11" i="36"/>
  <c r="H10" i="36"/>
  <c r="E6" i="38"/>
  <c r="E7" i="3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<sst xmlns="http://schemas.openxmlformats.org/spreadsheetml/2006/main" count="120" uniqueCount="75">
  <si>
    <t>Товар</t>
  </si>
  <si>
    <t>ціна</t>
  </si>
  <si>
    <t>кількість</t>
  </si>
  <si>
    <t>сума в грн.</t>
  </si>
  <si>
    <t>сума в $</t>
  </si>
  <si>
    <t>Товар 1</t>
  </si>
  <si>
    <t>Товар 2</t>
  </si>
  <si>
    <t>Товар 3</t>
  </si>
  <si>
    <t>Товар 4</t>
  </si>
  <si>
    <t>Групи товарів</t>
  </si>
  <si>
    <t>Найменування товару</t>
  </si>
  <si>
    <t>Відпускна ціна</t>
  </si>
  <si>
    <t>Квартал 1</t>
  </si>
  <si>
    <t>Січень</t>
  </si>
  <si>
    <t>Лютий</t>
  </si>
  <si>
    <t>Березень</t>
  </si>
  <si>
    <t>Всього</t>
  </si>
  <si>
    <t>Капілярні</t>
  </si>
  <si>
    <t>Кулькові</t>
  </si>
  <si>
    <t>Чорнильні</t>
  </si>
  <si>
    <t>Гульові</t>
  </si>
  <si>
    <t>Мін</t>
  </si>
  <si>
    <t>Макс</t>
  </si>
  <si>
    <t>Ручки</t>
  </si>
  <si>
    <t>Сума прибутку в у.о., за курсом $</t>
  </si>
  <si>
    <t>Прибуток</t>
  </si>
  <si>
    <t>Благодійні внески</t>
  </si>
  <si>
    <t>Чистий прибуток</t>
  </si>
  <si>
    <t>Квартал 2</t>
  </si>
  <si>
    <t xml:space="preserve">Курс валют на </t>
  </si>
  <si>
    <t>дата</t>
  </si>
  <si>
    <t>час</t>
  </si>
  <si>
    <t>Долар</t>
  </si>
  <si>
    <t>Евро</t>
  </si>
  <si>
    <t>Сума в евро</t>
  </si>
  <si>
    <t>Виконати обчислення використовуючи посилання на комірки</t>
  </si>
  <si>
    <t xml:space="preserve">Процент </t>
  </si>
  <si>
    <t>1. Встановити відповідні числові формати</t>
  </si>
  <si>
    <r>
      <t xml:space="preserve">2. Обчислити </t>
    </r>
    <r>
      <rPr>
        <b/>
        <sz val="10"/>
        <rFont val="Arial Cyr"/>
        <charset val="204"/>
      </rPr>
      <t>Вдпускну ціну= Ціна*Процент</t>
    </r>
  </si>
  <si>
    <r>
      <t>3. Обчислити</t>
    </r>
    <r>
      <rPr>
        <b/>
        <sz val="10"/>
        <rFont val="Arial Cyr"/>
        <charset val="204"/>
      </rPr>
      <t xml:space="preserve"> Всього за квартал = Сума(Січень:Березень)*Відпускна ціна</t>
    </r>
  </si>
  <si>
    <t>Всього за квартал</t>
  </si>
  <si>
    <r>
      <t xml:space="preserve">4. Обчислити </t>
    </r>
    <r>
      <rPr>
        <b/>
        <sz val="10"/>
        <rFont val="Arial Cyr"/>
        <charset val="204"/>
      </rPr>
      <t>Всього=Сумапроизведеній(Відпукна ціна;кількість)</t>
    </r>
  </si>
  <si>
    <t>5. Обчислити МІН та МАК (місяць)</t>
  </si>
  <si>
    <t>6. Сума по курсу (Лист ТОВАР)</t>
  </si>
  <si>
    <t>Виконати обчислення використовуючи    І М Е Н О В А Н І  Д І А П А З О Н И</t>
  </si>
  <si>
    <t>0. Створити іметовані діапазони та іменовану константу Процент</t>
  </si>
  <si>
    <t>Квітень</t>
  </si>
  <si>
    <t>Травень</t>
  </si>
  <si>
    <t>Червень</t>
  </si>
  <si>
    <t>Півріччя</t>
  </si>
  <si>
    <t>Виконати обчислення використовуючи  посилання на інший лист</t>
  </si>
  <si>
    <t>1. Відпускна ціна обчислюється з листа Квартал 2</t>
  </si>
  <si>
    <t>3. Знайти суму продаж за Квартал 2</t>
  </si>
  <si>
    <t>2. Знайти суму продаж за Квартал 1</t>
  </si>
  <si>
    <t xml:space="preserve"> Встановити відповідні числові формати</t>
  </si>
  <si>
    <t>Всього за півріччя 
1 спосіб</t>
  </si>
  <si>
    <t>Всього за півріччя 
2 спосіб</t>
  </si>
  <si>
    <t>4. Всього за півріччя 1 спосіб= Відпускна ціна*Сумма(Квартал 1+ квартал 2)</t>
  </si>
  <si>
    <t>5. Всього за півріччя 2 спосіб= Лист Квартал 1.Всього+Лист Квартал 2.Всього</t>
  </si>
  <si>
    <t>Розрахунок обємної формули</t>
  </si>
  <si>
    <r>
      <t xml:space="preserve">6. Обчислити </t>
    </r>
    <r>
      <rPr>
        <b/>
        <sz val="10"/>
        <rFont val="Arial Cyr"/>
        <charset val="204"/>
      </rPr>
      <t>Всього=Сумапроизведеній(Відпукна ціна;Квартал)</t>
    </r>
  </si>
  <si>
    <t>7. Обчислити МІН та МАК (квартал)</t>
  </si>
  <si>
    <t>8. Сума по курсу (Лист ТОВАР)</t>
  </si>
  <si>
    <t>9. Розрахунок обємної формули (рожеві комірки)</t>
  </si>
  <si>
    <t>Ціна</t>
  </si>
  <si>
    <t>Кількість</t>
  </si>
  <si>
    <t>Сума в $</t>
  </si>
  <si>
    <t>Витрати</t>
  </si>
  <si>
    <t>1. Виконайте обчислення використовуючи відносну адресацію.</t>
  </si>
  <si>
    <t>2. Створіть іменовані діапазони (Прибуток, Витрати, Благодійні внески, Чистий прибуток)</t>
  </si>
  <si>
    <t>3. Заменіть існуючі посилання іменованими діапазонами.</t>
  </si>
  <si>
    <t>Благодійний внесок=5% від чистого прибутку</t>
  </si>
  <si>
    <t>Чистий прибуток= Прибуток-Витрати-Благодійний внесок</t>
  </si>
  <si>
    <t>сума в злотих</t>
  </si>
  <si>
    <t>Злотий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</si>
</sst>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&quot;грн.&quot;_-;\-* #,##0.00\ &quot;грн.&quot;_-;_-* &quot;-&quot;??\ &quot;грн.&quot;_-;_-@_-"/>
    <numFmt numFmtId="165" formatCode="#,##0.00\ &quot;грн.&quot;"/>
    <numFmt numFmtId="166" formatCode="General&quot; шт&quot;"/>
    <numFmt numFmtId="167" formatCode="\$#.##"/>
    <numFmt numFmtId="168" formatCode="General&quot; шт.&quot;"/>
    <numFmt numFmtId="170" formatCode="[$-F400]h:mm:ss\ AM/PM"/>
    <numFmt numFmtId="172" formatCode="[$$-C09]#,##0.00"/>
    <numFmt numFmtId="173" formatCode="_-[$$-C09]* #,##0.00_-;\-[$$-C09]* #,##0.00_-;_-[$$-C09]* &quot;-&quot;??_-;_-@_-"/>
    <numFmt numFmtId="174" formatCode="_-[$$-409]* #,##0.00_ ;_-[$$-409]* \-#,##0.00\ ;_-[$$-409]* &quot;-&quot;??_ ;_-@_ "/>
  </numFmts>
  <fonts count="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color indexed="12"/>
      <name val="Arial Cyr"/>
      <charset val="204"/>
    </font>
    <font>
      <b/>
      <i/>
      <sz val="10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6" fontId="0" fillId="0" borderId="6" xfId="0" applyNumberFormat="1" applyFill="1" applyBorder="1"/>
    <xf numFmtId="164" fontId="0" fillId="0" borderId="6" xfId="0" applyNumberFormat="1" applyFill="1" applyBorder="1"/>
    <xf numFmtId="167" fontId="1" fillId="0" borderId="7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0" xfId="0" applyFont="1" applyFill="1"/>
    <xf numFmtId="20" fontId="3" fillId="0" borderId="9" xfId="0" applyNumberFormat="1" applyFont="1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textRotation="90"/>
    </xf>
    <xf numFmtId="0" fontId="0" fillId="0" borderId="12" xfId="0" applyFill="1" applyBorder="1" applyAlignment="1">
      <alignment horizontal="center" vertical="center" textRotation="90"/>
    </xf>
    <xf numFmtId="0" fontId="0" fillId="0" borderId="13" xfId="0" applyFill="1" applyBorder="1" applyAlignment="1">
      <alignment horizontal="center" vertical="center" textRotation="90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14" fontId="3" fillId="0" borderId="9" xfId="0" applyNumberFormat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9" fontId="3" fillId="0" borderId="0" xfId="0" applyNumberFormat="1" applyFont="1" applyFill="1" applyAlignment="1">
      <alignment horizontal="left"/>
    </xf>
    <xf numFmtId="2" fontId="3" fillId="2" borderId="17" xfId="0" applyNumberFormat="1" applyFont="1" applyFill="1" applyBorder="1" applyAlignment="1">
      <alignment horizontal="center"/>
    </xf>
    <xf numFmtId="0" fontId="0" fillId="0" borderId="17" xfId="0" applyFill="1" applyBorder="1" applyAlignment="1">
      <alignment horizontal="center" vertical="center" textRotation="90" wrapText="1"/>
    </xf>
    <xf numFmtId="0" fontId="6" fillId="0" borderId="0" xfId="0" applyFont="1" applyFill="1"/>
    <xf numFmtId="0" fontId="7" fillId="0" borderId="0" xfId="0" applyFont="1" applyFill="1"/>
    <xf numFmtId="164" fontId="0" fillId="3" borderId="1" xfId="1" applyFont="1" applyFill="1" applyBorder="1"/>
    <xf numFmtId="168" fontId="0" fillId="3" borderId="1" xfId="0" applyNumberFormat="1" applyFill="1" applyBorder="1"/>
    <xf numFmtId="0" fontId="3" fillId="0" borderId="1" xfId="0" applyFont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2" borderId="21" xfId="0" applyFont="1" applyFill="1" applyBorder="1" applyAlignment="1">
      <alignment horizontal="right"/>
    </xf>
    <xf numFmtId="0" fontId="3" fillId="2" borderId="19" xfId="0" applyFont="1" applyFill="1" applyBorder="1" applyAlignment="1">
      <alignment horizontal="right"/>
    </xf>
    <xf numFmtId="0" fontId="3" fillId="2" borderId="2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right" vertical="center" wrapText="1"/>
    </xf>
    <xf numFmtId="0" fontId="5" fillId="0" borderId="19" xfId="0" applyFont="1" applyFill="1" applyBorder="1" applyAlignment="1">
      <alignment horizontal="right" vertical="center" wrapText="1"/>
    </xf>
    <xf numFmtId="0" fontId="5" fillId="0" borderId="20" xfId="0" applyFont="1" applyFill="1" applyBorder="1" applyAlignment="1">
      <alignment horizontal="right" vertical="center" wrapText="1"/>
    </xf>
    <xf numFmtId="0" fontId="0" fillId="0" borderId="22" xfId="0" applyFill="1" applyBorder="1" applyAlignment="1">
      <alignment horizontal="center" vertical="center" textRotation="90"/>
    </xf>
    <xf numFmtId="0" fontId="0" fillId="0" borderId="23" xfId="0" applyFill="1" applyBorder="1" applyAlignment="1">
      <alignment horizontal="center" vertical="center" textRotation="90"/>
    </xf>
    <xf numFmtId="0" fontId="0" fillId="0" borderId="18" xfId="0" applyFill="1" applyBorder="1" applyAlignment="1">
      <alignment horizontal="center" vertical="center" textRotation="90"/>
    </xf>
    <xf numFmtId="0" fontId="3" fillId="0" borderId="24" xfId="0" applyFont="1" applyFill="1" applyBorder="1" applyAlignment="1">
      <alignment horizontal="center" vertical="top" textRotation="90"/>
    </xf>
    <xf numFmtId="0" fontId="3" fillId="0" borderId="25" xfId="0" applyFont="1" applyFill="1" applyBorder="1" applyAlignment="1">
      <alignment horizontal="center" vertical="top" textRotation="90"/>
    </xf>
    <xf numFmtId="0" fontId="3" fillId="0" borderId="2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center" vertical="center"/>
    </xf>
    <xf numFmtId="170" fontId="3" fillId="0" borderId="9" xfId="0" applyNumberFormat="1" applyFont="1" applyFill="1" applyBorder="1"/>
    <xf numFmtId="172" fontId="5" fillId="0" borderId="18" xfId="0" applyNumberFormat="1" applyFont="1" applyFill="1" applyBorder="1" applyAlignment="1">
      <alignment horizontal="center"/>
    </xf>
    <xf numFmtId="173" fontId="5" fillId="0" borderId="18" xfId="0" applyNumberFormat="1" applyFont="1" applyFill="1" applyBorder="1" applyAlignment="1">
      <alignment horizontal="center"/>
    </xf>
    <xf numFmtId="174" fontId="5" fillId="0" borderId="18" xfId="0" applyNumberFormat="1" applyFont="1" applyFill="1" applyBorder="1" applyAlignment="1">
      <alignment horizontal="center"/>
    </xf>
    <xf numFmtId="174" fontId="0" fillId="0" borderId="1" xfId="0" applyNumberForma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7</xdr:row>
      <xdr:rowOff>129540</xdr:rowOff>
    </xdr:from>
    <xdr:to>
      <xdr:col>9</xdr:col>
      <xdr:colOff>91440</xdr:colOff>
      <xdr:row>11</xdr:row>
      <xdr:rowOff>22860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A7BDBB3-5724-4D1C-AD1D-05AE102B9C72}"/>
            </a:ext>
          </a:extLst>
        </xdr:cNvPr>
        <xdr:cNvSpPr>
          <a:spLocks noChangeArrowheads="1"/>
        </xdr:cNvSpPr>
      </xdr:nvSpPr>
      <xdr:spPr bwMode="auto">
        <a:xfrm>
          <a:off x="5280660" y="1257300"/>
          <a:ext cx="1417320" cy="563880"/>
        </a:xfrm>
        <a:prstGeom prst="wedgeRoundRectCallout">
          <a:avLst>
            <a:gd name="adj1" fmla="val -95139"/>
            <a:gd name="adj2" fmla="val -123685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uk-UA" sz="800" b="1" i="0" u="none" strike="noStrike" baseline="0">
              <a:solidFill>
                <a:srgbClr val="0000FF"/>
              </a:solidFill>
              <a:latin typeface="Arial Cyr"/>
              <a:cs typeface="Arial Cyr"/>
            </a:rPr>
            <a:t>обчислити використовуючі змішану адресацію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3</xdr:row>
      <xdr:rowOff>38100</xdr:rowOff>
    </xdr:from>
    <xdr:to>
      <xdr:col>8</xdr:col>
      <xdr:colOff>266700</xdr:colOff>
      <xdr:row>5</xdr:row>
      <xdr:rowOff>15240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34B5F441-2804-4FA5-ACB3-EC2CB9C924FD}"/>
            </a:ext>
          </a:extLst>
        </xdr:cNvPr>
        <xdr:cNvSpPr>
          <a:spLocks noChangeArrowheads="1"/>
        </xdr:cNvSpPr>
      </xdr:nvSpPr>
      <xdr:spPr bwMode="auto">
        <a:xfrm>
          <a:off x="4244340" y="876300"/>
          <a:ext cx="701040" cy="388620"/>
        </a:xfrm>
        <a:prstGeom prst="wedgeRoundRectCallout">
          <a:avLst>
            <a:gd name="adj1" fmla="val -172972"/>
            <a:gd name="adj2" fmla="val 3571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FF"/>
              </a:solidFill>
              <a:latin typeface="Arial Cyr"/>
              <a:cs typeface="Arial Cyr"/>
            </a:rPr>
            <a:t>змішана адресація</a:t>
          </a:r>
        </a:p>
      </xdr:txBody>
    </xdr:sp>
    <xdr:clientData/>
  </xdr:twoCellAnchor>
  <xdr:twoCellAnchor>
    <xdr:from>
      <xdr:col>7</xdr:col>
      <xdr:colOff>83820</xdr:colOff>
      <xdr:row>10</xdr:row>
      <xdr:rowOff>38100</xdr:rowOff>
    </xdr:from>
    <xdr:to>
      <xdr:col>8</xdr:col>
      <xdr:colOff>182880</xdr:colOff>
      <xdr:row>12</xdr:row>
      <xdr:rowOff>121920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9C13C159-8EC4-49F8-BF26-4A04796AFDAD}"/>
            </a:ext>
          </a:extLst>
        </xdr:cNvPr>
        <xdr:cNvSpPr>
          <a:spLocks noChangeArrowheads="1"/>
        </xdr:cNvSpPr>
      </xdr:nvSpPr>
      <xdr:spPr bwMode="auto">
        <a:xfrm>
          <a:off x="4152900" y="2164080"/>
          <a:ext cx="708660" cy="419100"/>
        </a:xfrm>
        <a:prstGeom prst="wedgeRoundRectCallout">
          <a:avLst>
            <a:gd name="adj1" fmla="val -172972"/>
            <a:gd name="adj2" fmla="val 3571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FF"/>
              </a:solidFill>
              <a:latin typeface="Arial Cyr"/>
              <a:cs typeface="Arial Cyr"/>
            </a:rPr>
            <a:t>іменовані діапазони</a:t>
          </a:r>
        </a:p>
      </xdr:txBody>
    </xdr:sp>
    <xdr:clientData/>
  </xdr:twoCellAnchor>
  <xdr:twoCellAnchor>
    <xdr:from>
      <xdr:col>7</xdr:col>
      <xdr:colOff>160020</xdr:colOff>
      <xdr:row>17</xdr:row>
      <xdr:rowOff>76200</xdr:rowOff>
    </xdr:from>
    <xdr:to>
      <xdr:col>8</xdr:col>
      <xdr:colOff>259080</xdr:colOff>
      <xdr:row>19</xdr:row>
      <xdr:rowOff>160020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2AE5C994-48BE-4EAC-9D8A-2C35E30A27CE}"/>
            </a:ext>
          </a:extLst>
        </xdr:cNvPr>
        <xdr:cNvSpPr>
          <a:spLocks noChangeArrowheads="1"/>
        </xdr:cNvSpPr>
      </xdr:nvSpPr>
      <xdr:spPr bwMode="auto">
        <a:xfrm>
          <a:off x="4229100" y="3543300"/>
          <a:ext cx="708660" cy="419100"/>
        </a:xfrm>
        <a:prstGeom prst="wedgeRoundRectCallout">
          <a:avLst>
            <a:gd name="adj1" fmla="val -172972"/>
            <a:gd name="adj2" fmla="val 3571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FF"/>
              </a:solidFill>
              <a:latin typeface="Arial Cyr"/>
              <a:cs typeface="Arial Cyr"/>
            </a:rPr>
            <a:t>іменована формула</a:t>
          </a:r>
        </a:p>
      </xdr:txBody>
    </xdr:sp>
    <xdr:clientData/>
  </xdr:twoCellAnchor>
  <xdr:twoCellAnchor>
    <xdr:from>
      <xdr:col>7</xdr:col>
      <xdr:colOff>129540</xdr:colOff>
      <xdr:row>25</xdr:row>
      <xdr:rowOff>0</xdr:rowOff>
    </xdr:from>
    <xdr:to>
      <xdr:col>8</xdr:col>
      <xdr:colOff>228600</xdr:colOff>
      <xdr:row>27</xdr:row>
      <xdr:rowOff>83820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836CB4BD-33E8-49A2-989F-41609B19D685}"/>
            </a:ext>
          </a:extLst>
        </xdr:cNvPr>
        <xdr:cNvSpPr>
          <a:spLocks noChangeArrowheads="1"/>
        </xdr:cNvSpPr>
      </xdr:nvSpPr>
      <xdr:spPr bwMode="auto">
        <a:xfrm>
          <a:off x="4198620" y="4305300"/>
          <a:ext cx="708660" cy="419100"/>
        </a:xfrm>
        <a:prstGeom prst="wedgeRoundRectCallout">
          <a:avLst>
            <a:gd name="adj1" fmla="val -172972"/>
            <a:gd name="adj2" fmla="val 3571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uk-UA" sz="1000" b="0" i="0" u="none" strike="noStrike" baseline="0">
              <a:solidFill>
                <a:srgbClr val="0000FF"/>
              </a:solidFill>
              <a:latin typeface="Arial Cyr"/>
              <a:cs typeface="Arial Cyr"/>
            </a:rPr>
            <a:t>формула масива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Normal="100" workbookViewId="0">
      <selection activeCell="G4" sqref="G4"/>
    </sheetView>
  </sheetViews>
  <sheetFormatPr defaultColWidth="9.08984375" defaultRowHeight="12.5" x14ac:dyDescent="0.25"/>
  <cols>
    <col min="1" max="1" width="4.54296875" style="2" customWidth="1"/>
    <col min="2" max="2" width="16.36328125" style="2" customWidth="1"/>
    <col min="3" max="3" width="12" style="2" customWidth="1"/>
    <col min="4" max="4" width="13" style="2" customWidth="1"/>
    <col min="5" max="5" width="12.453125" style="2" customWidth="1"/>
    <col min="6" max="6" width="11.453125" style="2" customWidth="1"/>
    <col min="7" max="7" width="15.36328125" style="2" customWidth="1"/>
    <col min="8" max="8" width="12.54296875" style="2" bestFit="1" customWidth="1"/>
    <col min="9" max="9" width="14" style="2" customWidth="1"/>
    <col min="10" max="10" width="6.54296875" style="2" customWidth="1"/>
    <col min="11" max="11" width="10.6328125" style="2" bestFit="1" customWidth="1"/>
    <col min="12" max="12" width="10.54296875" style="2" bestFit="1" customWidth="1"/>
    <col min="13" max="13" width="14.1796875" style="2" customWidth="1"/>
    <col min="14" max="16384" width="9.08984375" style="2"/>
  </cols>
  <sheetData>
    <row r="1" spans="2:15" ht="13" thickBot="1" x14ac:dyDescent="0.3">
      <c r="E1" s="38"/>
      <c r="F1" s="38"/>
      <c r="G1" s="38"/>
      <c r="H1" s="38"/>
    </row>
    <row r="2" spans="2:15" ht="13.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73</v>
      </c>
      <c r="H2" s="5" t="s">
        <v>34</v>
      </c>
    </row>
    <row r="3" spans="2:15" x14ac:dyDescent="0.25">
      <c r="B3" s="6" t="s">
        <v>5</v>
      </c>
      <c r="C3" s="7">
        <v>2.36</v>
      </c>
      <c r="D3" s="8">
        <v>5</v>
      </c>
      <c r="E3" s="9">
        <f>D3*C3</f>
        <v>11.799999999999999</v>
      </c>
      <c r="F3" s="10">
        <f>$E3/K$9</f>
        <v>0.33839977057642673</v>
      </c>
      <c r="G3" s="10">
        <f>$E3/L$9</f>
        <v>1.3184357541899441</v>
      </c>
      <c r="H3" s="10">
        <f>$E3/M$9</f>
        <v>0.27869626830420402</v>
      </c>
    </row>
    <row r="4" spans="2:15" ht="13.5" thickBot="1" x14ac:dyDescent="0.35">
      <c r="B4" s="11" t="s">
        <v>6</v>
      </c>
      <c r="C4" s="7">
        <v>4.5599999999999996</v>
      </c>
      <c r="D4" s="8">
        <v>7</v>
      </c>
      <c r="E4" s="9">
        <f t="shared" ref="E4:E6" si="0">D4*C4</f>
        <v>31.919999999999998</v>
      </c>
      <c r="F4" s="10">
        <f t="shared" ref="F4:F6" si="1">$E4/K$9</f>
        <v>0.91540005735589336</v>
      </c>
      <c r="G4" s="10">
        <f t="shared" ref="G4:G6" si="2">$E4/L$9</f>
        <v>3.5664804469273745</v>
      </c>
      <c r="H4" s="10">
        <f t="shared" ref="H4:H6" si="3">$E4/M$9</f>
        <v>0.75389702409069426</v>
      </c>
      <c r="I4" s="12" t="s">
        <v>29</v>
      </c>
      <c r="J4" s="24" t="s">
        <v>30</v>
      </c>
      <c r="K4" s="21">
        <f ca="1">NOW()</f>
        <v>45225.548368402779</v>
      </c>
      <c r="L4" s="13" t="s">
        <v>31</v>
      </c>
      <c r="M4" s="61">
        <f ca="1">NOW()</f>
        <v>45225.548368402779</v>
      </c>
    </row>
    <row r="5" spans="2:15" x14ac:dyDescent="0.25">
      <c r="B5" s="11" t="s">
        <v>7</v>
      </c>
      <c r="C5" s="7">
        <v>6.52</v>
      </c>
      <c r="D5" s="8">
        <v>26</v>
      </c>
      <c r="E5" s="9">
        <f t="shared" si="0"/>
        <v>169.51999999999998</v>
      </c>
      <c r="F5" s="10">
        <f t="shared" si="1"/>
        <v>4.8614855176369369</v>
      </c>
      <c r="G5" s="10">
        <f t="shared" si="2"/>
        <v>18.940782122905027</v>
      </c>
      <c r="H5" s="10">
        <f t="shared" si="3"/>
        <v>4.0037789324515813</v>
      </c>
    </row>
    <row r="6" spans="2:15" ht="13" thickBot="1" x14ac:dyDescent="0.3">
      <c r="B6" s="14" t="s">
        <v>8</v>
      </c>
      <c r="C6" s="7">
        <v>3.55</v>
      </c>
      <c r="D6" s="8">
        <v>3</v>
      </c>
      <c r="E6" s="9">
        <f t="shared" si="0"/>
        <v>10.649999999999999</v>
      </c>
      <c r="F6" s="10">
        <f t="shared" si="1"/>
        <v>0.3054201319185546</v>
      </c>
      <c r="G6" s="10">
        <f t="shared" si="2"/>
        <v>1.1899441340782122</v>
      </c>
      <c r="H6" s="10">
        <f t="shared" si="3"/>
        <v>0.25153519130845531</v>
      </c>
    </row>
    <row r="7" spans="2:15" ht="7.5" customHeight="1" x14ac:dyDescent="0.25"/>
    <row r="8" spans="2:15" customFormat="1" ht="13" x14ac:dyDescent="0.3">
      <c r="I8" s="2"/>
      <c r="K8" s="23" t="s">
        <v>32</v>
      </c>
      <c r="L8" s="23" t="s">
        <v>74</v>
      </c>
      <c r="M8" s="23" t="s">
        <v>33</v>
      </c>
    </row>
    <row r="9" spans="2:15" customFormat="1" x14ac:dyDescent="0.25">
      <c r="K9" s="22">
        <v>34.869999999999997</v>
      </c>
      <c r="L9" s="22">
        <v>8.9499999999999993</v>
      </c>
      <c r="M9" s="22">
        <v>42.34</v>
      </c>
      <c r="O9" s="2"/>
    </row>
    <row r="10" spans="2:15" customFormat="1" x14ac:dyDescent="0.25">
      <c r="O10" s="2"/>
    </row>
    <row r="11" spans="2:15" customFormat="1" x14ac:dyDescent="0.25"/>
    <row r="12" spans="2:15" customFormat="1" x14ac:dyDescent="0.25"/>
    <row r="13" spans="2:15" customFormat="1" x14ac:dyDescent="0.25"/>
    <row r="14" spans="2:15" customFormat="1" ht="8.25" customHeight="1" x14ac:dyDescent="0.25"/>
    <row r="15" spans="2:15" customFormat="1" x14ac:dyDescent="0.25"/>
    <row r="16" spans="2:15" customFormat="1" x14ac:dyDescent="0.25"/>
    <row r="17" spans="1:1" customFormat="1" x14ac:dyDescent="0.25"/>
    <row r="18" spans="1:1" customFormat="1" ht="13" customHeight="1" x14ac:dyDescent="0.25"/>
    <row r="20" spans="1:1" x14ac:dyDescent="0.25">
      <c r="A20"/>
    </row>
  </sheetData>
  <mergeCells count="1">
    <mergeCell ref="E1:H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2" workbookViewId="0">
      <selection activeCell="G12" sqref="G12"/>
    </sheetView>
  </sheetViews>
  <sheetFormatPr defaultColWidth="9.08984375" defaultRowHeight="12.5" x14ac:dyDescent="0.25"/>
  <cols>
    <col min="1" max="1" width="4.54296875" style="2" customWidth="1"/>
    <col min="2" max="2" width="16.36328125" style="2" customWidth="1"/>
    <col min="3" max="3" width="12" style="2" customWidth="1"/>
    <col min="4" max="4" width="13" style="2" customWidth="1"/>
    <col min="5" max="5" width="12.453125" style="2" customWidth="1"/>
    <col min="6" max="6" width="11.453125" style="2" customWidth="1"/>
    <col min="7" max="7" width="11.36328125" style="2" customWidth="1"/>
    <col min="8" max="8" width="14" style="2" customWidth="1"/>
    <col min="9" max="10" width="9.08984375" style="2"/>
    <col min="11" max="11" width="11.08984375" style="2" customWidth="1"/>
    <col min="12" max="12" width="9.08984375" style="2"/>
    <col min="13" max="13" width="9.90625" style="2" bestFit="1" customWidth="1"/>
    <col min="14" max="16384" width="9.08984375" style="2"/>
  </cols>
  <sheetData>
    <row r="1" spans="1:8" ht="36" customHeight="1" thickBot="1" x14ac:dyDescent="0.3">
      <c r="A1" s="28" t="s">
        <v>35</v>
      </c>
    </row>
    <row r="2" spans="1:8" ht="22.5" customHeight="1" thickBot="1" x14ac:dyDescent="0.3">
      <c r="A2" s="50" t="s">
        <v>9</v>
      </c>
      <c r="B2" s="52" t="s">
        <v>10</v>
      </c>
      <c r="C2" s="54" t="s">
        <v>1</v>
      </c>
      <c r="D2" s="54" t="s">
        <v>11</v>
      </c>
      <c r="E2" s="39" t="s">
        <v>12</v>
      </c>
      <c r="F2" s="39"/>
      <c r="G2" s="39"/>
      <c r="H2" s="40"/>
    </row>
    <row r="3" spans="1:8" ht="48.75" customHeight="1" thickBot="1" x14ac:dyDescent="0.3">
      <c r="A3" s="51"/>
      <c r="B3" s="53"/>
      <c r="C3" s="55"/>
      <c r="D3" s="55"/>
      <c r="E3" s="15" t="s">
        <v>13</v>
      </c>
      <c r="F3" s="16" t="s">
        <v>14</v>
      </c>
      <c r="G3" s="17" t="s">
        <v>15</v>
      </c>
      <c r="H3" s="32" t="s">
        <v>40</v>
      </c>
    </row>
    <row r="4" spans="1:8" ht="13" thickBot="1" x14ac:dyDescent="0.3">
      <c r="A4" s="47" t="s">
        <v>23</v>
      </c>
      <c r="B4" s="18" t="s">
        <v>17</v>
      </c>
      <c r="C4" s="25">
        <v>2.56</v>
      </c>
      <c r="D4" s="25">
        <f>C4*$C$16+C4</f>
        <v>2.8672</v>
      </c>
      <c r="E4" s="25">
        <v>35</v>
      </c>
      <c r="F4" s="25">
        <v>25</v>
      </c>
      <c r="G4" s="25">
        <v>23</v>
      </c>
      <c r="H4" s="25">
        <f>SUM(E4:G4)*D4</f>
        <v>237.9776</v>
      </c>
    </row>
    <row r="5" spans="1:8" ht="13" thickBot="1" x14ac:dyDescent="0.3">
      <c r="A5" s="48"/>
      <c r="B5" s="19" t="s">
        <v>18</v>
      </c>
      <c r="C5" s="26">
        <v>1.8</v>
      </c>
      <c r="D5" s="25">
        <f t="shared" ref="D5:D7" si="0">C5*$C$16+C5</f>
        <v>2.016</v>
      </c>
      <c r="E5" s="26">
        <v>53</v>
      </c>
      <c r="F5" s="26">
        <v>35</v>
      </c>
      <c r="G5" s="26">
        <v>32</v>
      </c>
      <c r="H5" s="25">
        <f t="shared" ref="H5:H7" si="1">SUM(E5:G5)*D5</f>
        <v>241.92000000000002</v>
      </c>
    </row>
    <row r="6" spans="1:8" ht="13" thickBot="1" x14ac:dyDescent="0.3">
      <c r="A6" s="48"/>
      <c r="B6" s="19" t="s">
        <v>19</v>
      </c>
      <c r="C6" s="26">
        <v>50.5</v>
      </c>
      <c r="D6" s="25">
        <f t="shared" si="0"/>
        <v>56.56</v>
      </c>
      <c r="E6" s="26">
        <v>33</v>
      </c>
      <c r="F6" s="26">
        <v>45</v>
      </c>
      <c r="G6" s="26">
        <v>16</v>
      </c>
      <c r="H6" s="25">
        <f t="shared" si="1"/>
        <v>5316.64</v>
      </c>
    </row>
    <row r="7" spans="1:8" x14ac:dyDescent="0.25">
      <c r="A7" s="48"/>
      <c r="B7" s="19" t="s">
        <v>20</v>
      </c>
      <c r="C7" s="26">
        <v>7.9</v>
      </c>
      <c r="D7" s="25">
        <f t="shared" si="0"/>
        <v>8.8480000000000008</v>
      </c>
      <c r="E7" s="26">
        <v>25</v>
      </c>
      <c r="F7" s="26">
        <v>47</v>
      </c>
      <c r="G7" s="26">
        <v>71</v>
      </c>
      <c r="H7" s="25">
        <f t="shared" si="1"/>
        <v>1265.2640000000001</v>
      </c>
    </row>
    <row r="8" spans="1:8" ht="8.25" customHeight="1" thickBot="1" x14ac:dyDescent="0.3">
      <c r="A8" s="48"/>
      <c r="B8" s="20"/>
      <c r="C8" s="27"/>
      <c r="D8" s="27"/>
      <c r="E8" s="27"/>
      <c r="F8" s="27"/>
      <c r="G8" s="27"/>
      <c r="H8" s="27"/>
    </row>
    <row r="9" spans="1:8" ht="13.5" thickBot="1" x14ac:dyDescent="0.35">
      <c r="A9" s="48"/>
      <c r="B9" s="41" t="s">
        <v>16</v>
      </c>
      <c r="C9" s="42"/>
      <c r="D9" s="43"/>
      <c r="E9" s="31">
        <f>SUMPRODUCT($D$4:$D$7,E4:E7)</f>
        <v>2294.8799999999997</v>
      </c>
      <c r="F9" s="31">
        <f t="shared" ref="F9:H9" si="2">SUMPRODUCT($D$4:$D$7,F4:F7)</f>
        <v>3103.2960000000007</v>
      </c>
      <c r="G9" s="31">
        <f t="shared" si="2"/>
        <v>1663.6256000000001</v>
      </c>
      <c r="H9" s="31">
        <f>SUM(H4:H7)</f>
        <v>7061.8016000000007</v>
      </c>
    </row>
    <row r="10" spans="1:8" ht="13.5" thickBot="1" x14ac:dyDescent="0.35">
      <c r="A10" s="48"/>
      <c r="B10" s="41" t="s">
        <v>21</v>
      </c>
      <c r="C10" s="42"/>
      <c r="D10" s="43"/>
      <c r="E10" s="31">
        <f>MIN(E4:E7)</f>
        <v>25</v>
      </c>
      <c r="F10" s="31">
        <f t="shared" ref="F10:H10" si="3">MIN(F4:F7)</f>
        <v>25</v>
      </c>
      <c r="G10" s="31">
        <f t="shared" si="3"/>
        <v>16</v>
      </c>
      <c r="H10" s="31">
        <f t="shared" si="3"/>
        <v>237.9776</v>
      </c>
    </row>
    <row r="11" spans="1:8" ht="13.5" thickBot="1" x14ac:dyDescent="0.35">
      <c r="A11" s="49"/>
      <c r="B11" s="41" t="s">
        <v>22</v>
      </c>
      <c r="C11" s="42"/>
      <c r="D11" s="43"/>
      <c r="E11" s="31">
        <f>MAX(E4:E7)</f>
        <v>53</v>
      </c>
      <c r="F11" s="31">
        <f t="shared" ref="F11:H11" si="4">MAX(F4:F7)</f>
        <v>47</v>
      </c>
      <c r="G11" s="31">
        <f t="shared" si="4"/>
        <v>71</v>
      </c>
      <c r="H11" s="31">
        <f t="shared" si="4"/>
        <v>5316.64</v>
      </c>
    </row>
    <row r="12" spans="1:8" ht="30.75" customHeight="1" thickBot="1" x14ac:dyDescent="0.35">
      <c r="A12" s="44" t="s">
        <v>24</v>
      </c>
      <c r="B12" s="45"/>
      <c r="C12" s="45"/>
      <c r="D12" s="46"/>
      <c r="E12" s="62">
        <f>E9/Долар</f>
        <v>65.812446228850007</v>
      </c>
      <c r="F12" s="62">
        <f>F9/Долар</f>
        <v>88.996157155147714</v>
      </c>
      <c r="G12" s="62">
        <f>G9/Долар</f>
        <v>47.709366217378843</v>
      </c>
      <c r="H12" s="62">
        <f>H9/Долар</f>
        <v>202.51796960137656</v>
      </c>
    </row>
    <row r="16" spans="1:8" ht="13" x14ac:dyDescent="0.3">
      <c r="B16" s="29" t="s">
        <v>36</v>
      </c>
      <c r="C16" s="30">
        <v>0.12</v>
      </c>
    </row>
    <row r="18" spans="2:2" x14ac:dyDescent="0.25">
      <c r="B18" s="2" t="s">
        <v>37</v>
      </c>
    </row>
    <row r="19" spans="2:2" ht="13" x14ac:dyDescent="0.3">
      <c r="B19" s="2" t="s">
        <v>38</v>
      </c>
    </row>
    <row r="20" spans="2:2" ht="13" x14ac:dyDescent="0.3">
      <c r="B20" s="2" t="s">
        <v>39</v>
      </c>
    </row>
    <row r="21" spans="2:2" ht="13" x14ac:dyDescent="0.3">
      <c r="B21" s="2" t="s">
        <v>41</v>
      </c>
    </row>
    <row r="22" spans="2:2" x14ac:dyDescent="0.25">
      <c r="B22" s="2" t="s">
        <v>42</v>
      </c>
    </row>
    <row r="23" spans="2:2" x14ac:dyDescent="0.25">
      <c r="B23" s="2" t="s">
        <v>43</v>
      </c>
    </row>
  </sheetData>
  <mergeCells count="10">
    <mergeCell ref="E2:H2"/>
    <mergeCell ref="B9:D9"/>
    <mergeCell ref="B10:D10"/>
    <mergeCell ref="B11:D11"/>
    <mergeCell ref="A12:D12"/>
    <mergeCell ref="A4:A11"/>
    <mergeCell ref="A2:A3"/>
    <mergeCell ref="B2:B3"/>
    <mergeCell ref="C2:C3"/>
    <mergeCell ref="D2:D3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H12" sqref="H12"/>
    </sheetView>
  </sheetViews>
  <sheetFormatPr defaultColWidth="9.08984375" defaultRowHeight="12.5" x14ac:dyDescent="0.25"/>
  <cols>
    <col min="1" max="1" width="4.54296875" style="2" customWidth="1"/>
    <col min="2" max="2" width="16.36328125" style="2" customWidth="1"/>
    <col min="3" max="3" width="12" style="2" customWidth="1"/>
    <col min="4" max="4" width="13" style="2" customWidth="1"/>
    <col min="5" max="5" width="13.26953125" style="2" customWidth="1"/>
    <col min="6" max="6" width="11.453125" style="2" customWidth="1"/>
    <col min="7" max="7" width="11.36328125" style="2" customWidth="1"/>
    <col min="8" max="8" width="20.81640625" style="2" customWidth="1"/>
    <col min="9" max="10" width="9.08984375" style="2"/>
    <col min="11" max="11" width="11.08984375" style="2" customWidth="1"/>
    <col min="12" max="12" width="9.08984375" style="2"/>
    <col min="13" max="13" width="9.90625" style="2" bestFit="1" customWidth="1"/>
    <col min="14" max="16384" width="9.08984375" style="2"/>
  </cols>
  <sheetData>
    <row r="1" spans="1:8" ht="36" customHeight="1" thickBot="1" x14ac:dyDescent="0.3">
      <c r="A1" s="28" t="s">
        <v>44</v>
      </c>
    </row>
    <row r="2" spans="1:8" ht="22.5" customHeight="1" thickBot="1" x14ac:dyDescent="0.3">
      <c r="A2" s="50" t="s">
        <v>9</v>
      </c>
      <c r="B2" s="52" t="s">
        <v>10</v>
      </c>
      <c r="C2" s="54" t="s">
        <v>1</v>
      </c>
      <c r="D2" s="54" t="s">
        <v>11</v>
      </c>
      <c r="E2" s="39" t="s">
        <v>28</v>
      </c>
      <c r="F2" s="39"/>
      <c r="G2" s="39"/>
      <c r="H2" s="40"/>
    </row>
    <row r="3" spans="1:8" ht="48.75" customHeight="1" thickBot="1" x14ac:dyDescent="0.3">
      <c r="A3" s="51"/>
      <c r="B3" s="53"/>
      <c r="C3" s="55"/>
      <c r="D3" s="55"/>
      <c r="E3" s="15" t="s">
        <v>46</v>
      </c>
      <c r="F3" s="16" t="s">
        <v>47</v>
      </c>
      <c r="G3" s="17" t="s">
        <v>48</v>
      </c>
      <c r="H3" s="32" t="s">
        <v>40</v>
      </c>
    </row>
    <row r="4" spans="1:8" ht="13" thickBot="1" x14ac:dyDescent="0.3">
      <c r="A4" s="47" t="s">
        <v>23</v>
      </c>
      <c r="B4" s="18" t="s">
        <v>17</v>
      </c>
      <c r="C4" s="25">
        <v>2.56</v>
      </c>
      <c r="D4" s="25" cm="1">
        <f t="array" ref="D4:D7">ццц*Процент+ццц</f>
        <v>2.8672</v>
      </c>
      <c r="E4" s="25">
        <v>15</v>
      </c>
      <c r="F4" s="25">
        <v>28</v>
      </c>
      <c r="G4" s="25">
        <v>37</v>
      </c>
      <c r="H4" s="25" cm="1">
        <f t="array" ref="H4:H7">(Квітень+Травень+Червень)*Відпускна_ціна</f>
        <v>229.376</v>
      </c>
    </row>
    <row r="5" spans="1:8" ht="13" thickBot="1" x14ac:dyDescent="0.3">
      <c r="A5" s="48"/>
      <c r="B5" s="19" t="s">
        <v>18</v>
      </c>
      <c r="C5" s="26">
        <v>1.8</v>
      </c>
      <c r="D5" s="25">
        <v>2.016</v>
      </c>
      <c r="E5" s="26">
        <v>22</v>
      </c>
      <c r="F5" s="26">
        <v>35</v>
      </c>
      <c r="G5" s="26">
        <v>47</v>
      </c>
      <c r="H5" s="25">
        <v>209.66399999999999</v>
      </c>
    </row>
    <row r="6" spans="1:8" ht="13" thickBot="1" x14ac:dyDescent="0.3">
      <c r="A6" s="48"/>
      <c r="B6" s="19" t="s">
        <v>19</v>
      </c>
      <c r="C6" s="26">
        <v>50.5</v>
      </c>
      <c r="D6" s="25">
        <v>56.56</v>
      </c>
      <c r="E6" s="26">
        <v>95</v>
      </c>
      <c r="F6" s="26">
        <v>18</v>
      </c>
      <c r="G6" s="26">
        <v>16</v>
      </c>
      <c r="H6" s="25">
        <v>7296.2400000000007</v>
      </c>
    </row>
    <row r="7" spans="1:8" x14ac:dyDescent="0.25">
      <c r="A7" s="48"/>
      <c r="B7" s="19" t="s">
        <v>20</v>
      </c>
      <c r="C7" s="26">
        <v>7.9</v>
      </c>
      <c r="D7" s="25">
        <v>8.8480000000000008</v>
      </c>
      <c r="E7" s="26">
        <v>25</v>
      </c>
      <c r="F7" s="26">
        <v>47</v>
      </c>
      <c r="G7" s="26">
        <v>68</v>
      </c>
      <c r="H7" s="25">
        <v>1238.72</v>
      </c>
    </row>
    <row r="8" spans="1:8" ht="8.25" customHeight="1" thickBot="1" x14ac:dyDescent="0.3">
      <c r="A8" s="48"/>
      <c r="B8" s="20"/>
      <c r="C8" s="27"/>
      <c r="D8" s="27"/>
      <c r="E8" s="27"/>
      <c r="F8" s="27"/>
      <c r="G8" s="27"/>
      <c r="H8" s="27"/>
    </row>
    <row r="9" spans="1:8" ht="13.5" thickBot="1" x14ac:dyDescent="0.35">
      <c r="A9" s="48"/>
      <c r="B9" s="41" t="s">
        <v>16</v>
      </c>
      <c r="C9" s="42"/>
      <c r="D9" s="43"/>
      <c r="E9" s="31">
        <f>SUMPRODUCT(Квітень,Відпускна_ціна)</f>
        <v>5681.7599999999993</v>
      </c>
      <c r="F9" s="31">
        <f>SUMPRODUCT(Травень,Відпускна_ціна)</f>
        <v>1584.7776000000001</v>
      </c>
      <c r="G9" s="31">
        <f>SUMPRODUCT(Червень,Відпускна_ціна)</f>
        <v>1707.4624000000003</v>
      </c>
      <c r="H9" s="31">
        <f>SUM(Всього_за_квартал)</f>
        <v>8974</v>
      </c>
    </row>
    <row r="10" spans="1:8" ht="13.5" thickBot="1" x14ac:dyDescent="0.35">
      <c r="A10" s="48"/>
      <c r="B10" s="41" t="s">
        <v>21</v>
      </c>
      <c r="C10" s="42"/>
      <c r="D10" s="43"/>
      <c r="E10" s="31">
        <f>MIN(Квітень)</f>
        <v>15</v>
      </c>
      <c r="F10" s="31">
        <f>MIN(Травень)</f>
        <v>18</v>
      </c>
      <c r="G10" s="31">
        <f>MIN(Червень)</f>
        <v>16</v>
      </c>
      <c r="H10" s="31">
        <f>MIN(Всього_за_квартал)</f>
        <v>209.66399999999999</v>
      </c>
    </row>
    <row r="11" spans="1:8" ht="13.5" thickBot="1" x14ac:dyDescent="0.35">
      <c r="A11" s="49"/>
      <c r="B11" s="41" t="s">
        <v>22</v>
      </c>
      <c r="C11" s="42"/>
      <c r="D11" s="43"/>
      <c r="E11" s="31">
        <f>MAX(Квітень)</f>
        <v>95</v>
      </c>
      <c r="F11" s="31">
        <f>MAX(Травень)</f>
        <v>47</v>
      </c>
      <c r="G11" s="31">
        <f>MAX(Червень)</f>
        <v>68</v>
      </c>
      <c r="H11" s="31">
        <f>MAX(Всього_за_квартал)</f>
        <v>7296.2400000000007</v>
      </c>
    </row>
    <row r="12" spans="1:8" ht="30.75" customHeight="1" thickBot="1" x14ac:dyDescent="0.35">
      <c r="A12" s="44" t="s">
        <v>24</v>
      </c>
      <c r="B12" s="45"/>
      <c r="C12" s="45"/>
      <c r="D12" s="46"/>
      <c r="E12" s="63">
        <f>Всього/Долар</f>
        <v>162.94121020934901</v>
      </c>
      <c r="F12" s="63">
        <f>Всього/Долар</f>
        <v>45.448167479208493</v>
      </c>
      <c r="G12" s="63">
        <f>Всього/Долар</f>
        <v>48.966515629480945</v>
      </c>
      <c r="H12" s="63">
        <f>Всього/Долар</f>
        <v>257.35589331803845</v>
      </c>
    </row>
    <row r="16" spans="1:8" ht="13" x14ac:dyDescent="0.3">
      <c r="B16" s="29"/>
      <c r="C16" s="30"/>
    </row>
    <row r="18" spans="2:2" ht="13" x14ac:dyDescent="0.3">
      <c r="B18" s="34" t="s">
        <v>45</v>
      </c>
    </row>
    <row r="19" spans="2:2" x14ac:dyDescent="0.25">
      <c r="B19" s="2" t="s">
        <v>37</v>
      </c>
    </row>
    <row r="20" spans="2:2" ht="13" x14ac:dyDescent="0.3">
      <c r="B20" s="2" t="s">
        <v>38</v>
      </c>
    </row>
    <row r="21" spans="2:2" ht="13" x14ac:dyDescent="0.3">
      <c r="B21" s="2" t="s">
        <v>39</v>
      </c>
    </row>
    <row r="22" spans="2:2" ht="13" x14ac:dyDescent="0.3">
      <c r="B22" s="2" t="s">
        <v>41</v>
      </c>
    </row>
    <row r="23" spans="2:2" x14ac:dyDescent="0.25">
      <c r="B23" s="2" t="s">
        <v>42</v>
      </c>
    </row>
    <row r="24" spans="2:2" x14ac:dyDescent="0.25">
      <c r="B24" s="2" t="s">
        <v>43</v>
      </c>
    </row>
  </sheetData>
  <mergeCells count="10">
    <mergeCell ref="E2:H2"/>
    <mergeCell ref="B9:D9"/>
    <mergeCell ref="B10:D10"/>
    <mergeCell ref="B11:D11"/>
    <mergeCell ref="A12:D12"/>
    <mergeCell ref="A4:A11"/>
    <mergeCell ref="A2:A3"/>
    <mergeCell ref="B2:B3"/>
    <mergeCell ref="C2:C3"/>
    <mergeCell ref="D2:D3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tabSelected="1" workbookViewId="0">
      <selection activeCell="H12" sqref="H12"/>
    </sheetView>
  </sheetViews>
  <sheetFormatPr defaultColWidth="9.08984375" defaultRowHeight="12.5" x14ac:dyDescent="0.25"/>
  <cols>
    <col min="1" max="1" width="4.54296875" style="2" customWidth="1"/>
    <col min="2" max="2" width="16.36328125" style="2" customWidth="1"/>
    <col min="3" max="3" width="12" style="2" customWidth="1"/>
    <col min="4" max="4" width="13" style="2" customWidth="1"/>
    <col min="5" max="5" width="12.453125" style="2" customWidth="1"/>
    <col min="6" max="7" width="11.453125" style="2" customWidth="1"/>
    <col min="8" max="8" width="14" style="2" customWidth="1"/>
    <col min="9" max="10" width="9.08984375" style="2"/>
    <col min="11" max="11" width="11.08984375" style="2" customWidth="1"/>
    <col min="12" max="12" width="9.08984375" style="2"/>
    <col min="13" max="13" width="9.90625" style="2" bestFit="1" customWidth="1"/>
    <col min="14" max="16384" width="9.08984375" style="2"/>
  </cols>
  <sheetData>
    <row r="1" spans="1:10" ht="36" customHeight="1" thickBot="1" x14ac:dyDescent="0.3">
      <c r="A1" s="28" t="s">
        <v>50</v>
      </c>
    </row>
    <row r="2" spans="1:10" ht="22.5" customHeight="1" thickBot="1" x14ac:dyDescent="0.3">
      <c r="A2" s="50" t="s">
        <v>9</v>
      </c>
      <c r="B2" s="52" t="s">
        <v>10</v>
      </c>
      <c r="C2" s="54" t="s">
        <v>1</v>
      </c>
      <c r="D2" s="54" t="s">
        <v>11</v>
      </c>
      <c r="E2" s="56" t="s">
        <v>49</v>
      </c>
      <c r="F2" s="56"/>
      <c r="G2" s="56"/>
      <c r="H2" s="57"/>
    </row>
    <row r="3" spans="1:10" ht="54" customHeight="1" thickBot="1" x14ac:dyDescent="0.3">
      <c r="A3" s="51"/>
      <c r="B3" s="53"/>
      <c r="C3" s="55"/>
      <c r="D3" s="55"/>
      <c r="E3" s="15" t="s">
        <v>12</v>
      </c>
      <c r="F3" s="16" t="s">
        <v>28</v>
      </c>
      <c r="G3" s="32" t="s">
        <v>55</v>
      </c>
      <c r="H3" s="32" t="s">
        <v>56</v>
      </c>
    </row>
    <row r="4" spans="1:10" ht="13" thickBot="1" x14ac:dyDescent="0.3">
      <c r="A4" s="47" t="s">
        <v>23</v>
      </c>
      <c r="B4" s="18" t="s">
        <v>17</v>
      </c>
      <c r="C4" s="25">
        <v>2.56</v>
      </c>
      <c r="D4" s="25">
        <f>C4*'Квартал 1'!$C$16+C4</f>
        <v>2.8672</v>
      </c>
      <c r="E4" s="25">
        <f>SUM('Квартал 1'!E4:G4)</f>
        <v>83</v>
      </c>
      <c r="F4" s="25">
        <f>SUM('Квартал 2'!E4:G4)</f>
        <v>80</v>
      </c>
      <c r="G4" s="25">
        <f>D4*SUM(E4:F4)</f>
        <v>467.35359999999997</v>
      </c>
      <c r="H4" s="25" cm="1">
        <f t="array" ref="H4:H7">'Квартал 1'!H4:H7+Всього_за_квартал</f>
        <v>467.35360000000003</v>
      </c>
    </row>
    <row r="5" spans="1:10" ht="13" thickBot="1" x14ac:dyDescent="0.3">
      <c r="A5" s="48"/>
      <c r="B5" s="19" t="s">
        <v>18</v>
      </c>
      <c r="C5" s="26">
        <v>1.8</v>
      </c>
      <c r="D5" s="25">
        <f>C5*'Квартал 1'!$C$16+C5</f>
        <v>2.016</v>
      </c>
      <c r="E5" s="25">
        <f>SUM('Квартал 1'!E5:G5)</f>
        <v>120</v>
      </c>
      <c r="F5" s="25">
        <f>SUM('Квартал 2'!E5:G5)</f>
        <v>104</v>
      </c>
      <c r="G5" s="25">
        <f t="shared" ref="G5:G7" si="0">D5*SUM(E5:F5)</f>
        <v>451.584</v>
      </c>
      <c r="H5" s="25">
        <v>451.584</v>
      </c>
    </row>
    <row r="6" spans="1:10" ht="13" thickBot="1" x14ac:dyDescent="0.3">
      <c r="A6" s="48"/>
      <c r="B6" s="19" t="s">
        <v>19</v>
      </c>
      <c r="C6" s="26">
        <v>50.5</v>
      </c>
      <c r="D6" s="25">
        <f>C6*'Квартал 1'!$C$16+C6</f>
        <v>56.56</v>
      </c>
      <c r="E6" s="25">
        <f>SUM('Квартал 1'!E6:G6)</f>
        <v>94</v>
      </c>
      <c r="F6" s="25">
        <f>SUM('Квартал 2'!E6:G6)</f>
        <v>129</v>
      </c>
      <c r="G6" s="25">
        <f t="shared" si="0"/>
        <v>12612.880000000001</v>
      </c>
      <c r="H6" s="25">
        <v>12612.880000000001</v>
      </c>
    </row>
    <row r="7" spans="1:10" x14ac:dyDescent="0.25">
      <c r="A7" s="48"/>
      <c r="B7" s="19" t="s">
        <v>20</v>
      </c>
      <c r="C7" s="26">
        <v>7.9</v>
      </c>
      <c r="D7" s="25">
        <f>C7*'Квартал 1'!$C$16+C7</f>
        <v>8.8480000000000008</v>
      </c>
      <c r="E7" s="25">
        <f>SUM('Квартал 1'!E7:G7)</f>
        <v>143</v>
      </c>
      <c r="F7" s="25">
        <f>SUM('Квартал 2'!E7:G7)</f>
        <v>140</v>
      </c>
      <c r="G7" s="25">
        <f t="shared" si="0"/>
        <v>2503.9840000000004</v>
      </c>
      <c r="H7" s="25">
        <v>2503.9840000000004</v>
      </c>
    </row>
    <row r="8" spans="1:10" ht="8.25" customHeight="1" thickBot="1" x14ac:dyDescent="0.3">
      <c r="A8" s="48"/>
      <c r="B8" s="20"/>
      <c r="C8" s="27"/>
      <c r="D8" s="27"/>
      <c r="E8" s="27"/>
      <c r="F8" s="27"/>
      <c r="G8" s="27"/>
      <c r="H8" s="27"/>
    </row>
    <row r="9" spans="1:10" ht="13.5" thickBot="1" x14ac:dyDescent="0.35">
      <c r="A9" s="48"/>
      <c r="B9" s="41" t="s">
        <v>16</v>
      </c>
      <c r="C9" s="42"/>
      <c r="D9" s="43"/>
      <c r="E9" s="31">
        <f>SUMPRODUCT(E4:E7,$D$4:$D$7)</f>
        <v>7061.8016000000007</v>
      </c>
      <c r="F9" s="31">
        <f t="shared" ref="F9:H9" si="1">SUMPRODUCT(F4:F7,$D$4:$D$7)</f>
        <v>8974</v>
      </c>
      <c r="G9" s="31">
        <f t="shared" si="1"/>
        <v>737790.13281792018</v>
      </c>
      <c r="H9" s="31">
        <f>SUM(H4:H7,$D$4:$D$7)</f>
        <v>16106.0928</v>
      </c>
    </row>
    <row r="10" spans="1:10" ht="13.5" thickBot="1" x14ac:dyDescent="0.35">
      <c r="A10" s="48"/>
      <c r="B10" s="41" t="s">
        <v>21</v>
      </c>
      <c r="C10" s="42"/>
      <c r="D10" s="43"/>
      <c r="E10" s="31">
        <f>MIN(E4:E7)</f>
        <v>83</v>
      </c>
      <c r="F10" s="31">
        <f t="shared" ref="F10:H10" si="2">MIN(F4:F7)</f>
        <v>80</v>
      </c>
      <c r="G10" s="31">
        <f t="shared" si="2"/>
        <v>451.584</v>
      </c>
      <c r="H10" s="31">
        <f t="shared" si="2"/>
        <v>451.584</v>
      </c>
    </row>
    <row r="11" spans="1:10" ht="13.5" thickBot="1" x14ac:dyDescent="0.35">
      <c r="A11" s="49"/>
      <c r="B11" s="41" t="s">
        <v>22</v>
      </c>
      <c r="C11" s="42"/>
      <c r="D11" s="43"/>
      <c r="E11" s="31">
        <f>MAX(E4:E7)</f>
        <v>143</v>
      </c>
      <c r="F11" s="31">
        <f t="shared" ref="F11:G11" si="3">MAX(F4:F7)</f>
        <v>140</v>
      </c>
      <c r="G11" s="31">
        <f t="shared" si="3"/>
        <v>12612.880000000001</v>
      </c>
      <c r="H11" s="31">
        <f>MAX(H4:H7)</f>
        <v>12612.880000000001</v>
      </c>
    </row>
    <row r="12" spans="1:10" ht="30.75" customHeight="1" thickBot="1" x14ac:dyDescent="0.35">
      <c r="A12" s="44" t="s">
        <v>24</v>
      </c>
      <c r="B12" s="45"/>
      <c r="C12" s="45"/>
      <c r="D12" s="46"/>
      <c r="E12" s="64">
        <f>SUM(E4:E7)/Долар</f>
        <v>12.618296529968456</v>
      </c>
      <c r="F12" s="64">
        <f>SUM(F4:F7)/Долар</f>
        <v>12.991109836535705</v>
      </c>
      <c r="G12" s="64">
        <f>SUM(G4:G7)/Долар</f>
        <v>459.87386291941505</v>
      </c>
      <c r="H12" s="64">
        <f>SUM(обэм)/Долар</f>
        <v>13.1882381106801</v>
      </c>
      <c r="J12" s="33" t="s">
        <v>59</v>
      </c>
    </row>
    <row r="14" spans="1:10" x14ac:dyDescent="0.25">
      <c r="B14" s="2" t="s">
        <v>54</v>
      </c>
    </row>
    <row r="15" spans="1:10" x14ac:dyDescent="0.25">
      <c r="B15" s="2" t="s">
        <v>51</v>
      </c>
    </row>
    <row r="16" spans="1:10" ht="13" x14ac:dyDescent="0.3">
      <c r="B16" s="2" t="s">
        <v>53</v>
      </c>
      <c r="C16" s="30"/>
    </row>
    <row r="17" spans="2:2" x14ac:dyDescent="0.25">
      <c r="B17" s="2" t="s">
        <v>52</v>
      </c>
    </row>
    <row r="18" spans="2:2" x14ac:dyDescent="0.25">
      <c r="B18" s="2" t="s">
        <v>57</v>
      </c>
    </row>
    <row r="19" spans="2:2" x14ac:dyDescent="0.25">
      <c r="B19" s="2" t="s">
        <v>58</v>
      </c>
    </row>
    <row r="20" spans="2:2" ht="13" x14ac:dyDescent="0.3">
      <c r="B20" s="2" t="s">
        <v>60</v>
      </c>
    </row>
    <row r="21" spans="2:2" x14ac:dyDescent="0.25">
      <c r="B21" s="2" t="s">
        <v>61</v>
      </c>
    </row>
    <row r="22" spans="2:2" x14ac:dyDescent="0.25">
      <c r="B22" s="2" t="s">
        <v>62</v>
      </c>
    </row>
    <row r="23" spans="2:2" x14ac:dyDescent="0.25">
      <c r="B23" s="2" t="s">
        <v>63</v>
      </c>
    </row>
  </sheetData>
  <mergeCells count="10">
    <mergeCell ref="E2:H2"/>
    <mergeCell ref="B9:D9"/>
    <mergeCell ref="B10:D10"/>
    <mergeCell ref="B11:D11"/>
    <mergeCell ref="A12:D12"/>
    <mergeCell ref="A4:A11"/>
    <mergeCell ref="A2:A3"/>
    <mergeCell ref="B2:B3"/>
    <mergeCell ref="C2:C3"/>
    <mergeCell ref="D2:D3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9"/>
  <sheetViews>
    <sheetView workbookViewId="0">
      <selection activeCell="D28" sqref="D28"/>
    </sheetView>
  </sheetViews>
  <sheetFormatPr defaultRowHeight="12.5" x14ac:dyDescent="0.25"/>
  <cols>
    <col min="1" max="1" width="3.36328125" bestFit="1" customWidth="1"/>
    <col min="3" max="6" width="9.54296875" bestFit="1" customWidth="1"/>
  </cols>
  <sheetData>
    <row r="2" spans="1:6" ht="13" x14ac:dyDescent="0.3">
      <c r="A2" s="60" t="s">
        <v>66</v>
      </c>
      <c r="B2" s="60"/>
      <c r="C2" s="58" t="s">
        <v>64</v>
      </c>
      <c r="D2" s="58"/>
      <c r="E2" s="58"/>
      <c r="F2" s="58"/>
    </row>
    <row r="3" spans="1:6" x14ac:dyDescent="0.25">
      <c r="A3" s="60"/>
      <c r="B3" s="60"/>
      <c r="C3" s="35">
        <v>1.25</v>
      </c>
      <c r="D3" s="35">
        <v>1.26</v>
      </c>
      <c r="E3" s="35">
        <v>1.3</v>
      </c>
      <c r="F3" s="35">
        <v>1.35</v>
      </c>
    </row>
    <row r="4" spans="1:6" ht="16.5" customHeight="1" x14ac:dyDescent="0.25">
      <c r="A4" s="59" t="s">
        <v>65</v>
      </c>
      <c r="B4" s="36">
        <v>100</v>
      </c>
      <c r="C4" s="65">
        <f>C$3*$B4/Долар</f>
        <v>3.5847433323774021</v>
      </c>
      <c r="D4" s="65">
        <f>D$3*$B4/Долар</f>
        <v>3.6134212790364213</v>
      </c>
      <c r="E4" s="65">
        <f>E$3*$B4/Долар</f>
        <v>3.7281330656724982</v>
      </c>
      <c r="F4" s="65">
        <f>F$3*$B4/Долар</f>
        <v>3.871522798967594</v>
      </c>
    </row>
    <row r="5" spans="1:6" ht="16.5" customHeight="1" x14ac:dyDescent="0.25">
      <c r="A5" s="59"/>
      <c r="B5" s="36">
        <v>200</v>
      </c>
      <c r="C5" s="65">
        <f>C$3*$B5/Долар</f>
        <v>7.1694866647548041</v>
      </c>
      <c r="D5" s="65">
        <f>D$3*$B5/Долар</f>
        <v>7.2268425580728426</v>
      </c>
      <c r="E5" s="65">
        <f>E$3*$B5/Долар</f>
        <v>7.4562661313449965</v>
      </c>
      <c r="F5" s="65">
        <f>F$3*$B5/Долар</f>
        <v>7.743045597935188</v>
      </c>
    </row>
    <row r="6" spans="1:6" ht="16.5" customHeight="1" x14ac:dyDescent="0.25">
      <c r="A6" s="59"/>
      <c r="B6" s="36">
        <v>300</v>
      </c>
      <c r="C6" s="65">
        <f>C$3*$B6/Долар</f>
        <v>10.754229997132207</v>
      </c>
      <c r="D6" s="65">
        <f>D$3*$B6/Долар</f>
        <v>10.840263837109264</v>
      </c>
      <c r="E6" s="65">
        <f>E$3*$B6/Долар</f>
        <v>11.184399197017495</v>
      </c>
      <c r="F6" s="65">
        <f>F$3*$B6/Долар</f>
        <v>11.614568396902783</v>
      </c>
    </row>
    <row r="11" spans="1:6" ht="13" x14ac:dyDescent="0.3">
      <c r="A11" s="60" t="s">
        <v>66</v>
      </c>
      <c r="B11" s="60"/>
      <c r="C11" s="58" t="s">
        <v>64</v>
      </c>
      <c r="D11" s="58"/>
      <c r="E11" s="58"/>
      <c r="F11" s="58"/>
    </row>
    <row r="12" spans="1:6" x14ac:dyDescent="0.25">
      <c r="A12" s="60"/>
      <c r="B12" s="60"/>
      <c r="C12" s="35">
        <v>1.25</v>
      </c>
      <c r="D12" s="35">
        <v>1.26</v>
      </c>
      <c r="E12" s="35">
        <v>1.3</v>
      </c>
      <c r="F12" s="35">
        <v>1.35</v>
      </c>
    </row>
    <row r="13" spans="1:6" x14ac:dyDescent="0.25">
      <c r="A13" s="59" t="s">
        <v>65</v>
      </c>
      <c r="B13" s="36">
        <v>100</v>
      </c>
      <c r="C13" s="65" cm="1">
        <f t="array" ref="C13:F15">(kilkyst*cibna)/Долар</f>
        <v>3.5847433323774021</v>
      </c>
      <c r="D13" s="65">
        <v>3.6134212790364213</v>
      </c>
      <c r="E13" s="65">
        <v>3.7281330656724982</v>
      </c>
      <c r="F13" s="65">
        <v>3.871522798967594</v>
      </c>
    </row>
    <row r="14" spans="1:6" x14ac:dyDescent="0.25">
      <c r="A14" s="59"/>
      <c r="B14" s="36">
        <v>200</v>
      </c>
      <c r="C14" s="65">
        <v>7.1694866647548041</v>
      </c>
      <c r="D14" s="65">
        <v>7.2268425580728426</v>
      </c>
      <c r="E14" s="65">
        <v>7.4562661313449965</v>
      </c>
      <c r="F14" s="65">
        <v>7.743045597935188</v>
      </c>
    </row>
    <row r="15" spans="1:6" x14ac:dyDescent="0.25">
      <c r="A15" s="59"/>
      <c r="B15" s="36">
        <v>300</v>
      </c>
      <c r="C15" s="65">
        <v>10.754229997132207</v>
      </c>
      <c r="D15" s="65">
        <v>10.840263837109264</v>
      </c>
      <c r="E15" s="65">
        <v>11.184399197017495</v>
      </c>
      <c r="F15" s="65">
        <v>11.614568396902783</v>
      </c>
    </row>
    <row r="18" spans="1:6" ht="13" x14ac:dyDescent="0.3">
      <c r="A18" s="60" t="s">
        <v>66</v>
      </c>
      <c r="B18" s="60"/>
      <c r="C18" s="58" t="s">
        <v>64</v>
      </c>
      <c r="D18" s="58"/>
      <c r="E18" s="58"/>
      <c r="F18" s="58"/>
    </row>
    <row r="19" spans="1:6" x14ac:dyDescent="0.25">
      <c r="A19" s="60"/>
      <c r="B19" s="60"/>
      <c r="C19" s="35">
        <v>1.25</v>
      </c>
      <c r="D19" s="35">
        <v>1.26</v>
      </c>
      <c r="E19" s="35">
        <v>1.3</v>
      </c>
      <c r="F19" s="35">
        <v>1.35</v>
      </c>
    </row>
    <row r="20" spans="1:6" x14ac:dyDescent="0.25">
      <c r="A20" s="59" t="s">
        <v>65</v>
      </c>
      <c r="B20" s="36">
        <v>100</v>
      </c>
      <c r="C20" s="65" cm="1">
        <f t="array" ref="C20:F22">formula2/Долар</f>
        <v>3.5847433323774021</v>
      </c>
      <c r="D20" s="65">
        <v>3.6134212790364213</v>
      </c>
      <c r="E20" s="65">
        <v>3.7281330656724982</v>
      </c>
      <c r="F20" s="65">
        <v>3.871522798967594</v>
      </c>
    </row>
    <row r="21" spans="1:6" x14ac:dyDescent="0.25">
      <c r="A21" s="59"/>
      <c r="B21" s="36">
        <v>200</v>
      </c>
      <c r="C21" s="65">
        <v>7.1694866647548041</v>
      </c>
      <c r="D21" s="65">
        <v>7.2268425580728426</v>
      </c>
      <c r="E21" s="65">
        <v>7.4562661313449965</v>
      </c>
      <c r="F21" s="65">
        <v>7.743045597935188</v>
      </c>
    </row>
    <row r="22" spans="1:6" x14ac:dyDescent="0.25">
      <c r="A22" s="59"/>
      <c r="B22" s="36">
        <v>300</v>
      </c>
      <c r="C22" s="65">
        <v>10.754229997132207</v>
      </c>
      <c r="D22" s="65">
        <v>10.840263837109264</v>
      </c>
      <c r="E22" s="65">
        <v>11.184399197017495</v>
      </c>
      <c r="F22" s="65">
        <v>11.614568396902783</v>
      </c>
    </row>
    <row r="25" spans="1:6" ht="13" x14ac:dyDescent="0.3">
      <c r="A25" s="60" t="s">
        <v>66</v>
      </c>
      <c r="B25" s="60"/>
      <c r="C25" s="58" t="s">
        <v>64</v>
      </c>
      <c r="D25" s="58"/>
      <c r="E25" s="58"/>
      <c r="F25" s="58"/>
    </row>
    <row r="26" spans="1:6" x14ac:dyDescent="0.25">
      <c r="A26" s="60"/>
      <c r="B26" s="60"/>
      <c r="C26" s="35">
        <v>1.25</v>
      </c>
      <c r="D26" s="35">
        <v>1.26</v>
      </c>
      <c r="E26" s="35">
        <v>1.3</v>
      </c>
      <c r="F26" s="35">
        <v>1.35</v>
      </c>
    </row>
    <row r="27" spans="1:6" x14ac:dyDescent="0.25">
      <c r="A27" s="59" t="s">
        <v>65</v>
      </c>
      <c r="B27" s="36">
        <v>100</v>
      </c>
      <c r="C27" s="65">
        <f t="array" ref="C27:F29">C26:F26*B27:B29/Товар!K9</f>
        <v>3.5847433323774021</v>
      </c>
      <c r="D27" s="65">
        <v>3.6134212790364213</v>
      </c>
      <c r="E27" s="65">
        <v>3.7281330656724982</v>
      </c>
      <c r="F27" s="65">
        <v>3.871522798967594</v>
      </c>
    </row>
    <row r="28" spans="1:6" x14ac:dyDescent="0.25">
      <c r="A28" s="59"/>
      <c r="B28" s="36">
        <v>200</v>
      </c>
      <c r="C28" s="65">
        <v>7.1694866647548041</v>
      </c>
      <c r="D28" s="65">
        <v>7.2268425580728426</v>
      </c>
      <c r="E28" s="65">
        <v>7.4562661313449965</v>
      </c>
      <c r="F28" s="65">
        <v>7.743045597935188</v>
      </c>
    </row>
    <row r="29" spans="1:6" x14ac:dyDescent="0.25">
      <c r="A29" s="59"/>
      <c r="B29" s="36">
        <v>300</v>
      </c>
      <c r="C29" s="65">
        <v>10.754229997132207</v>
      </c>
      <c r="D29" s="65">
        <v>10.840263837109264</v>
      </c>
      <c r="E29" s="65">
        <v>11.184399197017495</v>
      </c>
      <c r="F29" s="65">
        <v>11.614568396902783</v>
      </c>
    </row>
  </sheetData>
  <mergeCells count="12">
    <mergeCell ref="A25:B26"/>
    <mergeCell ref="C25:F25"/>
    <mergeCell ref="A27:A29"/>
    <mergeCell ref="A13:A15"/>
    <mergeCell ref="A18:B19"/>
    <mergeCell ref="C18:F18"/>
    <mergeCell ref="A20:A22"/>
    <mergeCell ref="C2:F2"/>
    <mergeCell ref="A4:A6"/>
    <mergeCell ref="A2:B3"/>
    <mergeCell ref="A11:B12"/>
    <mergeCell ref="C11:F11"/>
  </mergeCells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16"/>
  <sheetViews>
    <sheetView workbookViewId="0">
      <selection activeCell="E7" sqref="E7"/>
    </sheetView>
  </sheetViews>
  <sheetFormatPr defaultRowHeight="12.5" x14ac:dyDescent="0.25"/>
  <cols>
    <col min="1" max="1" width="3.36328125" bestFit="1" customWidth="1"/>
    <col min="3" max="3" width="9.54296875" bestFit="1" customWidth="1"/>
    <col min="4" max="4" width="18.453125" bestFit="1" customWidth="1"/>
    <col min="5" max="6" width="9.54296875" bestFit="1" customWidth="1"/>
  </cols>
  <sheetData>
    <row r="3" spans="3:5" ht="16.5" customHeight="1" x14ac:dyDescent="0.25"/>
    <row r="4" spans="3:5" ht="16.5" customHeight="1" x14ac:dyDescent="0.3">
      <c r="D4" s="37" t="s">
        <v>25</v>
      </c>
      <c r="E4" s="23">
        <v>250000</v>
      </c>
    </row>
    <row r="5" spans="3:5" ht="16.5" customHeight="1" x14ac:dyDescent="0.3">
      <c r="D5" s="37" t="s">
        <v>67</v>
      </c>
      <c r="E5" s="23">
        <v>137500</v>
      </c>
    </row>
    <row r="6" spans="3:5" ht="13" x14ac:dyDescent="0.3">
      <c r="D6" s="37" t="s">
        <v>26</v>
      </c>
      <c r="E6" s="23">
        <f ca="1">0.05*Чистий_прибуток</f>
        <v>5357.1428571428578</v>
      </c>
    </row>
    <row r="7" spans="3:5" ht="13" x14ac:dyDescent="0.3">
      <c r="D7" s="37" t="s">
        <v>27</v>
      </c>
      <c r="E7" s="23">
        <f ca="1">Прибуток-Витрати-Благодійні_внески</f>
        <v>107142.85714285714</v>
      </c>
    </row>
    <row r="12" spans="3:5" x14ac:dyDescent="0.25">
      <c r="C12" t="s">
        <v>68</v>
      </c>
    </row>
    <row r="13" spans="3:5" ht="13" x14ac:dyDescent="0.3">
      <c r="D13" s="1" t="s">
        <v>71</v>
      </c>
    </row>
    <row r="14" spans="3:5" ht="13" x14ac:dyDescent="0.3">
      <c r="D14" s="1" t="s">
        <v>72</v>
      </c>
    </row>
    <row r="15" spans="3:5" x14ac:dyDescent="0.25">
      <c r="C15" t="s">
        <v>69</v>
      </c>
    </row>
    <row r="16" spans="3:5" x14ac:dyDescent="0.25">
      <c r="C16" t="s">
        <v>70</v>
      </c>
    </row>
  </sheetData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955A54DABDE3C479D19992335FCCDCE" ma:contentTypeVersion="4" ma:contentTypeDescription="Створення нового документа." ma:contentTypeScope="" ma:versionID="17f16b9049d248e34b52ec9a128713c4">
  <xsd:schema xmlns:xsd="http://www.w3.org/2001/XMLSchema" xmlns:xs="http://www.w3.org/2001/XMLSchema" xmlns:p="http://schemas.microsoft.com/office/2006/metadata/properties" xmlns:ns2="861d21cc-bac8-473a-9e11-bd4934e3cebb" targetNamespace="http://schemas.microsoft.com/office/2006/metadata/properties" ma:root="true" ma:fieldsID="6c6c2b16dc6d7c55727432f4101b6879" ns2:_="">
    <xsd:import namespace="861d21cc-bac8-473a-9e11-bd4934e3ceb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d21cc-bac8-473a-9e11-bd4934e3ce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36DC3E-D532-4FE3-9854-7777B8C397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d21cc-bac8-473a-9e11-bd4934e3c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89B17-2C93-4EAE-99E2-F8B0C60E7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19</vt:i4>
      </vt:variant>
    </vt:vector>
  </HeadingPairs>
  <TitlesOfParts>
    <vt:vector size="25" baseType="lpstr">
      <vt:lpstr>Товар</vt:lpstr>
      <vt:lpstr>Квартал 1</vt:lpstr>
      <vt:lpstr>Квартал 2</vt:lpstr>
      <vt:lpstr>Півріччя</vt:lpstr>
      <vt:lpstr>Обчислення</vt:lpstr>
      <vt:lpstr>циклічні посилання</vt:lpstr>
      <vt:lpstr>cibna</vt:lpstr>
      <vt:lpstr>cina</vt:lpstr>
      <vt:lpstr>cina1</vt:lpstr>
      <vt:lpstr>kilkyst</vt:lpstr>
      <vt:lpstr>Благодійні_внески</vt:lpstr>
      <vt:lpstr>Витрати</vt:lpstr>
      <vt:lpstr>Відпускна_ціна</vt:lpstr>
      <vt:lpstr>Всього</vt:lpstr>
      <vt:lpstr>Всього_за_квартал</vt:lpstr>
      <vt:lpstr>Долар</vt:lpstr>
      <vt:lpstr>Квітень</vt:lpstr>
      <vt:lpstr>Макс</vt:lpstr>
      <vt:lpstr>Мін</vt:lpstr>
      <vt:lpstr>Прибуток</vt:lpstr>
      <vt:lpstr>Травень</vt:lpstr>
      <vt:lpstr>ціна</vt:lpstr>
      <vt:lpstr>ццц</vt:lpstr>
      <vt:lpstr>Червень</vt:lpstr>
      <vt:lpstr>Чистий_прибуток</vt:lpstr>
    </vt:vector>
  </TitlesOfParts>
  <Company>HPK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KOLOMIIETS VADYM</cp:lastModifiedBy>
  <dcterms:created xsi:type="dcterms:W3CDTF">2014-01-28T09:51:35Z</dcterms:created>
  <dcterms:modified xsi:type="dcterms:W3CDTF">2023-10-26T10:09:39Z</dcterms:modified>
</cp:coreProperties>
</file>