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трики (Озон)" sheetId="1" r:id="rId4"/>
  </sheets>
  <definedNames>
    <definedName hidden="1" localSheetId="0" name="_xlnm._FilterDatabase">'Метрики (Озон)'!$A$2:$BX$659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3">
      <text>
        <t xml:space="preserve">Добавим ценовые акции/скидка</t>
      </text>
    </comment>
    <comment authorId="0" ref="D49">
      <text>
        <t xml:space="preserve">Что входит?</t>
      </text>
    </comment>
    <comment authorId="0" ref="D138">
      <text>
        <t xml:space="preserve">Среднее значение позиции карточки по ключам</t>
      </text>
    </comment>
    <comment authorId="0" ref="D139">
      <text>
        <t xml:space="preserve">Процент вероятности, что покупатель увидит карточку</t>
      </text>
    </comment>
  </commentList>
</comments>
</file>

<file path=xl/sharedStrings.xml><?xml version="1.0" encoding="utf-8"?>
<sst xmlns="http://schemas.openxmlformats.org/spreadsheetml/2006/main" count="1214" uniqueCount="440">
  <si>
    <t>26фев-3мар</t>
  </si>
  <si>
    <t>4-10 мар</t>
  </si>
  <si>
    <t>11-17 мар</t>
  </si>
  <si>
    <t>18-24 мар</t>
  </si>
  <si>
    <t>25-31 мар</t>
  </si>
  <si>
    <t>1-7 апр</t>
  </si>
  <si>
    <t>8-14 апр</t>
  </si>
  <si>
    <t>15-21 апр</t>
  </si>
  <si>
    <t>22-28 апр</t>
  </si>
  <si>
    <t>29.04-05.05</t>
  </si>
  <si>
    <t>06.05-12.05</t>
  </si>
  <si>
    <t>13.05-19.05</t>
  </si>
  <si>
    <t>20.05-26.05</t>
  </si>
  <si>
    <t>27.05-02.06</t>
  </si>
  <si>
    <t>03.06-09.06</t>
  </si>
  <si>
    <t>10.06-16.06</t>
  </si>
  <si>
    <t>17.06-23.06</t>
  </si>
  <si>
    <t>24.06-30.06</t>
  </si>
  <si>
    <t>01.07-07.07</t>
  </si>
  <si>
    <t>08.07-14.07</t>
  </si>
  <si>
    <t>15.07-21.07</t>
  </si>
  <si>
    <t>22.07-28.07</t>
  </si>
  <si>
    <t>29.07-04.08</t>
  </si>
  <si>
    <t>05.08-11.08</t>
  </si>
  <si>
    <t>12.08-18.08</t>
  </si>
  <si>
    <t>19.08-25.08</t>
  </si>
  <si>
    <t>26.08-01.09</t>
  </si>
  <si>
    <t>02.09-08.09</t>
  </si>
  <si>
    <t>09.09-15.09</t>
  </si>
  <si>
    <t>16.09-22.09</t>
  </si>
  <si>
    <t>23.09-29.09</t>
  </si>
  <si>
    <t>30.09-06.10</t>
  </si>
  <si>
    <t>07.10-13.10</t>
  </si>
  <si>
    <t>14.10-20.10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</si>
  <si>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</si>
  <si>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</si>
  <si>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</si>
  <si>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</si>
  <si>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</si>
  <si>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</si>
  <si>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</si>
  <si>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</si>
  <si>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</si>
  <si>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</si>
  <si>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</si>
  <si>
    <t>06.01-12.01</t>
  </si>
  <si>
    <t>13.01-19.01</t>
  </si>
  <si>
    <t>20.01-26.01</t>
  </si>
  <si>
    <t>27.01-02.02</t>
  </si>
  <si>
    <t>03.02-09.02</t>
  </si>
  <si>
    <t>10.02-16.02</t>
  </si>
  <si>
    <t>17.02-23.02</t>
  </si>
  <si>
    <t>24.02-02.03</t>
  </si>
  <si>
    <t>03.03-09.03</t>
  </si>
  <si>
    <t>10.03-16.03</t>
  </si>
  <si>
    <t>17.03-23.03</t>
  </si>
  <si>
    <t>24.03-30.03</t>
  </si>
  <si>
    <t>31.03-06.04</t>
  </si>
  <si>
    <t>07.04-13.04</t>
  </si>
  <si>
    <t>Клиент</t>
  </si>
  <si>
    <t>МП</t>
  </si>
  <si>
    <t>Метрика для ИИ</t>
  </si>
  <si>
    <t>Метрики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</si>
  <si>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</si>
  <si>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</si>
  <si>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</si>
  <si>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</si>
  <si>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</si>
  <si>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</si>
  <si>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</si>
  <si>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</si>
  <si>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</si>
  <si>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</si>
  <si>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</si>
  <si>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</si>
  <si>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</si>
  <si>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</si>
  <si>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</si>
  <si>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</si>
  <si>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</si>
  <si>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</si>
  <si>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</si>
  <si>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</si>
  <si>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</si>
  <si>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</si>
  <si>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</si>
  <si>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</si>
  <si>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</si>
  <si>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</si>
  <si>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</si>
  <si>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</si>
  <si>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</si>
  <si>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</si>
  <si>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</si>
  <si>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</si>
  <si>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</si>
  <si>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</si>
  <si>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</si>
  <si>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</si>
  <si>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</si>
  <si>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</si>
  <si>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</si>
  <si>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</si>
  <si>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</si>
  <si>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</si>
  <si>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</si>
  <si>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</si>
  <si>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</si>
  <si>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</si>
  <si>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</si>
  <si>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</si>
  <si>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</si>
  <si>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</si>
  <si>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</si>
  <si>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</si>
  <si>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</si>
  <si>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Источник данных</t>
  </si>
  <si>
    <t>Озон</t>
  </si>
  <si>
    <t>Выкупы, шт</t>
  </si>
  <si>
    <t>Отчет малицкой, либо Отчет Антона</t>
  </si>
  <si>
    <t>Выкупы, руб</t>
  </si>
  <si>
    <t>Выкупы накоп, руб</t>
  </si>
  <si>
    <t>формула тут, в начале месяца стартуем ее заново</t>
  </si>
  <si>
    <t>Динамика выкупов, %</t>
  </si>
  <si>
    <t>Формула тут</t>
  </si>
  <si>
    <t>Заказы, шт.</t>
  </si>
  <si>
    <r>
      <rPr>
        <rFont val="Inter"/>
        <sz val="9.0"/>
      </rPr>
      <t xml:space="preserve">Озон кабинет, аналитика-графики
</t>
    </r>
    <r>
      <rPr>
        <rFont val="Inter"/>
        <color rgb="FF1155CC"/>
        <sz val="9.0"/>
        <u/>
      </rPr>
      <t>https://seller.ozon.ru/app/analytics/graphs</t>
    </r>
  </si>
  <si>
    <t>Заказы,руб</t>
  </si>
  <si>
    <r>
      <rPr>
        <rFont val="Inter"/>
        <sz val="9.0"/>
      </rPr>
      <t xml:space="preserve">Озон кабинет, аналитика-графики
</t>
    </r>
    <r>
      <rPr>
        <rFont val="Inter"/>
        <color rgb="FF1155CC"/>
        <sz val="9.0"/>
        <u/>
      </rPr>
      <t>https://seller.ozon.ru/app/analytics/graphs</t>
    </r>
  </si>
  <si>
    <t>Заказы накоп, руб</t>
  </si>
  <si>
    <t>Динамика заказов,%</t>
  </si>
  <si>
    <t>Заказы накоп,руб</t>
  </si>
  <si>
    <t>Затраты Логистика, руб.</t>
  </si>
  <si>
    <t>Затраты Логистика, %</t>
  </si>
  <si>
    <t>Затраты Комиссия, руб.</t>
  </si>
  <si>
    <t>Затраты Комиссия, %</t>
  </si>
  <si>
    <t>Хранение</t>
  </si>
  <si>
    <t>Хранение, %</t>
  </si>
  <si>
    <t>% выкупа</t>
  </si>
  <si>
    <t>Реклама</t>
  </si>
  <si>
    <t>Реклама трейд-маркетинг</t>
  </si>
  <si>
    <t>Малицкая</t>
  </si>
  <si>
    <t>Реклама ЛК</t>
  </si>
  <si>
    <r>
      <rPr>
        <rFont val="Inter"/>
        <sz val="9.0"/>
      </rPr>
      <t xml:space="preserve">Сумма ПВП + трафаретов
</t>
    </r>
    <r>
      <rPr>
        <rFont val="Inter"/>
        <color rgb="FF1155CC"/>
        <sz val="9.0"/>
        <u/>
      </rPr>
      <t>https://seller.ozon.ru/app/advertisement/product/overview</t>
    </r>
  </si>
  <si>
    <t>% марк.бюджета</t>
  </si>
  <si>
    <t>Бонусы продавца</t>
  </si>
  <si>
    <t>Бонусы продавца, %</t>
  </si>
  <si>
    <t>Продвижение бренда</t>
  </si>
  <si>
    <t>Продвижение бренда, %</t>
  </si>
  <si>
    <t>Продвижение товаров (разовые)</t>
  </si>
  <si>
    <t>Продвижение товаров (разовые), %</t>
  </si>
  <si>
    <t>Расходы трафареты</t>
  </si>
  <si>
    <t>https://seller.ozon.ru/app/advertisement/product/overview</t>
  </si>
  <si>
    <t>Расходы ПВП</t>
  </si>
  <si>
    <r>
      <t>https://seller.ozon.ru/app/advertisement/product/overview</t>
    </r>
  </si>
  <si>
    <t>Продажи Трафареты</t>
  </si>
  <si>
    <r>
      <t>https://seller.ozon.ru/app/advertisement/product/overview</t>
    </r>
  </si>
  <si>
    <t>Продажи ПВП</t>
  </si>
  <si>
    <r>
      <t>https://seller.ozon.ru/app/advertisement/product/overview</t>
    </r>
  </si>
  <si>
    <t>ДРР Трафареты</t>
  </si>
  <si>
    <t>Трафареты озон кармупет</t>
  </si>
  <si>
    <t>ДРР ПВП</t>
  </si>
  <si>
    <t>% трейд маркетинг</t>
  </si>
  <si>
    <t>% трафареты</t>
  </si>
  <si>
    <t>% ПВП</t>
  </si>
  <si>
    <t>Расходы рассылка</t>
  </si>
  <si>
    <t>Продажи рассылка</t>
  </si>
  <si>
    <t>https://seller.ozon.ru/app/loyalty/sellerpoints?view=online</t>
  </si>
  <si>
    <t>ДРР рассылка</t>
  </si>
  <si>
    <t>% рассылка</t>
  </si>
  <si>
    <t>ДРР общий</t>
  </si>
  <si>
    <t>Кросс-докинг, руб</t>
  </si>
  <si>
    <t>Кросс-докинг, %</t>
  </si>
  <si>
    <t>Эквайринг, руб</t>
  </si>
  <si>
    <t>Эквайринг, %</t>
  </si>
  <si>
    <t>Прочие затраты, руб</t>
  </si>
  <si>
    <t>Прочие затраты, %</t>
  </si>
  <si>
    <t>Утилизация, руб</t>
  </si>
  <si>
    <t>Утилизация, %</t>
  </si>
  <si>
    <t>Подготовка товаров к возврату</t>
  </si>
  <si>
    <t>Подготовка товаров к возврату, %</t>
  </si>
  <si>
    <t>% затрат</t>
  </si>
  <si>
    <t>К перечислению</t>
  </si>
  <si>
    <t>Отчет малицкой</t>
  </si>
  <si>
    <t>К перечислению накоп.итог</t>
  </si>
  <si>
    <t>% к перечислению</t>
  </si>
  <si>
    <t>% разовых затрат</t>
  </si>
  <si>
    <t>Маржа, Руб.</t>
  </si>
  <si>
    <t>Маржинальность, %</t>
  </si>
  <si>
    <t>Маржинальность план, %</t>
  </si>
  <si>
    <t>Продажи относ доли</t>
  </si>
  <si>
    <t>nhtyl</t>
  </si>
  <si>
    <t>EBITDA</t>
  </si>
  <si>
    <t>EBITDA, % от продаж в ценах селлера</t>
  </si>
  <si>
    <t>Себестоимость, руб.</t>
  </si>
  <si>
    <t>5 140 050</t>
  </si>
  <si>
    <t>5 107 549</t>
  </si>
  <si>
    <t>Себестоимость, %</t>
  </si>
  <si>
    <t>% локализации</t>
  </si>
  <si>
    <t>https://seller.ozon.ru/app/analytics/sales-geography/local-packaging</t>
  </si>
  <si>
    <t>Медианная позиция</t>
  </si>
  <si>
    <t>Юнит экономика KarmyPet</t>
  </si>
  <si>
    <t>Оборачиваемость</t>
  </si>
  <si>
    <t>Остатки КармуПет</t>
  </si>
  <si>
    <t xml:space="preserve"> </t>
  </si>
  <si>
    <t>Затраты маркетинг на скидки</t>
  </si>
  <si>
    <t>Ванвин юнит экономика - добавляем лист РРЦ, вычитаем одно из другого и суммируем</t>
  </si>
  <si>
    <t>% скидки от продаж</t>
  </si>
  <si>
    <t>Продажи через Купонные акции, руб.</t>
  </si>
  <si>
    <t>Скидки через Купонные акции, руб.</t>
  </si>
  <si>
    <t>api реклама karmy вб</t>
  </si>
  <si>
    <t>Скидки через Купонные акции, %</t>
  </si>
  <si>
    <t>api реклама karmy вб old 2</t>
  </si>
  <si>
    <t>Продажи через глобальные акции, руб.</t>
  </si>
  <si>
    <t>Скидки через глобальные акции, руб.</t>
  </si>
  <si>
    <t>Скидки через глобальные акции, %</t>
  </si>
  <si>
    <t>Возврат соинвеста, руб.</t>
  </si>
  <si>
    <t>Возврат соинвеста, %</t>
  </si>
  <si>
    <t>Несостыковка скидок, руб</t>
  </si>
  <si>
    <t>План по неделе Карму</t>
  </si>
  <si>
    <t>4 План факт по месяцам Карми</t>
  </si>
  <si>
    <t>План по неделе Карму накопл</t>
  </si>
  <si>
    <t>План по неделе</t>
  </si>
  <si>
    <t>ПланФакт по неделе</t>
  </si>
  <si>
    <t>ПланФакт накоп</t>
  </si>
  <si>
    <t>Объем продаж через Трафареты</t>
  </si>
  <si>
    <t xml:space="preserve">2 037 168
</t>
  </si>
  <si>
    <t>Объем продаж через ПВП</t>
  </si>
  <si>
    <t xml:space="preserve">4 042 274
</t>
  </si>
  <si>
    <t>Доля продаж на площадке (корм и лакомства)</t>
  </si>
  <si>
    <t>селлерстат</t>
  </si>
  <si>
    <t>Доля в продажах Karmy</t>
  </si>
  <si>
    <t>https://seller.ozon.ru/app/analytics/what-to-sell/trends</t>
  </si>
  <si>
    <t>Дельта % рынка от продаж Karmy</t>
  </si>
  <si>
    <t>Продажи при сохранении доли прошлой недели</t>
  </si>
  <si>
    <t>копия данных выше</t>
  </si>
  <si>
    <t>Тренд месяца по неделе</t>
  </si>
  <si>
    <t xml:space="preserve">Тренд месяца </t>
  </si>
  <si>
    <t>План Карми на месяц</t>
  </si>
  <si>
    <t>План карми на мес</t>
  </si>
  <si>
    <t>% продаж акционных товаров</t>
  </si>
  <si>
    <t>Продажи акционных артикулов</t>
  </si>
  <si>
    <t>Органические продажи</t>
  </si>
  <si>
    <t>Продажи с рекламы</t>
  </si>
  <si>
    <t>Органические продажи, %</t>
  </si>
  <si>
    <t>Продажи с рекламы, %</t>
  </si>
  <si>
    <t>МФ</t>
  </si>
  <si>
    <t>МФ, %</t>
  </si>
  <si>
    <t>КФ</t>
  </si>
  <si>
    <t>https://docs.google.com/spreadsheets/d/1ItrCS4cc6svnIMo5Dym2sU-YG6_NR_6xYIiV64kuVko/edit?gid=1924414496#gid=1924414496</t>
  </si>
  <si>
    <t>КФ, %</t>
  </si>
  <si>
    <t>КФ ДСП</t>
  </si>
  <si>
    <t>КФ ДСП, %</t>
  </si>
  <si>
    <t>Паучи</t>
  </si>
  <si>
    <t>Паучи, %</t>
  </si>
  <si>
    <t>МФ Nutriall</t>
  </si>
  <si>
    <t>МФ Nutriall, %</t>
  </si>
  <si>
    <t>Freep</t>
  </si>
  <si>
    <t>КФ Freep</t>
  </si>
  <si>
    <t>Freep, %</t>
  </si>
  <si>
    <t>КФ Freep, %</t>
  </si>
  <si>
    <t>Консервы</t>
  </si>
  <si>
    <t>Консервы, %</t>
  </si>
  <si>
    <t>Тотал</t>
  </si>
  <si>
    <t>Кластеры Кармупет</t>
  </si>
  <si>
    <t>Показы с рекламы</t>
  </si>
  <si>
    <t>https://seller.ozon.ru/app/analytics/graphs?metricsPreset=150568</t>
  </si>
  <si>
    <t>CTR , %</t>
  </si>
  <si>
    <t>уник посетит / показы</t>
  </si>
  <si>
    <t>Позиция в поиске</t>
  </si>
  <si>
    <r>
      <rPr>
        <rFont val="Inter"/>
        <sz val="9.0"/>
      </rPr>
      <t xml:space="preserve">позитция в поиске вкладка
</t>
    </r>
    <r>
      <rPr>
        <rFont val="Inter"/>
        <color rgb="FF1155CC"/>
        <sz val="9.0"/>
        <u/>
      </rPr>
      <t>https://seller.ozon.ru/app/analytics/graphs?metricsPreset=150568</t>
    </r>
  </si>
  <si>
    <t>Видимость в поиске, %</t>
  </si>
  <si>
    <t>?</t>
  </si>
  <si>
    <t>Уникальные посетители</t>
  </si>
  <si>
    <t>уник посетители</t>
  </si>
  <si>
    <t>Добавили в корзину, шт</t>
  </si>
  <si>
    <t>Конверсия в корзину, %</t>
  </si>
  <si>
    <t>Заказы, шт</t>
  </si>
  <si>
    <t>Конверсия в заказ, %</t>
  </si>
  <si>
    <t>добав в корзину / заказано товаров</t>
  </si>
  <si>
    <t>Средний чек</t>
  </si>
  <si>
    <t>Уникальные посетители месяца (в разрезе 4-х недель)</t>
  </si>
  <si>
    <t>Общие затраты на рекламу</t>
  </si>
  <si>
    <t>Реклама по категориям, % к обороту</t>
  </si>
  <si>
    <t>Скидки по категориям, % к обороту</t>
  </si>
  <si>
    <t>Продажи пересчет по РРЦ</t>
  </si>
  <si>
    <t>Продажи пересчет по РРЦ + Соинвест</t>
  </si>
  <si>
    <t>Скидка</t>
  </si>
  <si>
    <t>Ср чек по категориям</t>
  </si>
  <si>
    <t>Всего</t>
  </si>
  <si>
    <t>FBS</t>
  </si>
  <si>
    <t>Продажи по FBS</t>
  </si>
  <si>
    <t>Продажи по FBS,  от FBO</t>
  </si>
  <si>
    <t>Продажи по FBS, %</t>
  </si>
  <si>
    <t>Продажи по FBO,  тех же артикулов</t>
  </si>
  <si>
    <t>Продажи по категориям</t>
  </si>
  <si>
    <t>Продажи, руб</t>
  </si>
  <si>
    <t>Продажи, %</t>
  </si>
  <si>
    <t>Динамика, %</t>
  </si>
  <si>
    <t>Продажи по AA | AB | BA, руб</t>
  </si>
  <si>
    <t>Юнит экономика КармуПет</t>
  </si>
  <si>
    <t>Продажи по AA | AB | BA, шт</t>
  </si>
  <si>
    <t>AA | AB | BA, %</t>
  </si>
  <si>
    <t>Запас, дней</t>
  </si>
  <si>
    <t>тут</t>
  </si>
  <si>
    <t>Индекс цен</t>
  </si>
  <si>
    <t>Выгодный</t>
  </si>
  <si>
    <t>Невыгодный</t>
  </si>
  <si>
    <t>Умеренный</t>
  </si>
  <si>
    <t>Выгодный, %</t>
  </si>
  <si>
    <t>Невыгодный, %</t>
  </si>
  <si>
    <t>Умеренный, %</t>
  </si>
  <si>
    <t>Остальное, %</t>
  </si>
  <si>
    <t>Кол-во артикулов</t>
  </si>
  <si>
    <t>Остальное</t>
  </si>
  <si>
    <t>Продажи</t>
  </si>
  <si>
    <t>Всего по ценам поставщика, руб.</t>
  </si>
  <si>
    <t>Всего по ценам поставщика, шт</t>
  </si>
  <si>
    <t>Всего по ценам покупателя, руб.</t>
  </si>
  <si>
    <t>Соинвест</t>
  </si>
  <si>
    <t>Динамика неделя к неделе, %</t>
  </si>
  <si>
    <t>Колво продаж в штуках</t>
  </si>
  <si>
    <t>Комиссия</t>
  </si>
  <si>
    <t>Комиссия,%</t>
  </si>
  <si>
    <t>Логистика</t>
  </si>
  <si>
    <t>Логистика, %</t>
  </si>
  <si>
    <t>Себестоимость</t>
  </si>
  <si>
    <t>Реклама, %</t>
  </si>
  <si>
    <t>Маржинальность</t>
  </si>
  <si>
    <t>Всего, руб.</t>
  </si>
  <si>
    <t>Всего, %</t>
  </si>
  <si>
    <t>Динамика неделя к неделе, п.п.</t>
  </si>
  <si>
    <t>Продажи по РРЦ</t>
  </si>
  <si>
    <t>Скидки от РРЦ</t>
  </si>
  <si>
    <t>Скидки от РРЦ, %</t>
  </si>
  <si>
    <t>Продажи по РРЦ + Соинвест</t>
  </si>
  <si>
    <t>Продажи по РРЦ + Соинвест, %</t>
  </si>
  <si>
    <t>Скидки от РРЦ + Соинвест</t>
  </si>
  <si>
    <t>Скидки от РРЦ + Соинвест, %</t>
  </si>
  <si>
    <t>Скидки ЗАКАЗОВ от РРЦ + Соинвест</t>
  </si>
  <si>
    <t>Скидки ЗАКАЗОВ от РРЦ + Соинвест, %</t>
  </si>
  <si>
    <t>% маржинальности по фасовкам на FBS</t>
  </si>
  <si>
    <t>% маржинальности по фасовкам на FBO</t>
  </si>
  <si>
    <t>% маржинальности по спец срезам FBO</t>
  </si>
  <si>
    <t>% маржинальности по спец срезам FBS</t>
  </si>
  <si>
    <t>Запас, шт</t>
  </si>
  <si>
    <t>Приход</t>
  </si>
  <si>
    <t>Приход из поставок</t>
  </si>
  <si>
    <t>Расход</t>
  </si>
  <si>
    <t>Расход отгруженный в доставку</t>
  </si>
  <si>
    <t>Остаток на конец периода</t>
  </si>
  <si>
    <t>Валидный сток на конец периода</t>
  </si>
  <si>
    <t>Невалидный сток на конец периода</t>
  </si>
  <si>
    <t>АА,АВ,ВА</t>
  </si>
  <si>
    <t>https://docs.google.com/spreadsheets/d/1CqZ_1oGKWjRfevvw79A0cfZdIGN-Yml2yE_B8OF75AE/edit?gid=1924414496#gid=1924414496</t>
  </si>
  <si>
    <t>% запаса от всего</t>
  </si>
  <si>
    <t>Заказы по ррц</t>
  </si>
  <si>
    <t>% Скидки от РРЦ</t>
  </si>
  <si>
    <t>% скидки от РРЦ + СПП</t>
  </si>
  <si>
    <t>Cкидки от РРЦ + СПП</t>
  </si>
  <si>
    <t>СПП</t>
  </si>
  <si>
    <t>Остатки</t>
  </si>
  <si>
    <t>Продажи за Неделю, шт</t>
  </si>
  <si>
    <t>Себес нетто</t>
  </si>
  <si>
    <t>Бренд / Кластер ручной / группы платного хранения / ?</t>
  </si>
  <si>
    <t>Продажи, шт.</t>
  </si>
  <si>
    <t>Маржа на капитал</t>
  </si>
  <si>
    <t>формула тут</t>
  </si>
  <si>
    <t>Маржа мес средняя</t>
  </si>
  <si>
    <t>Маржа мес накоп</t>
  </si>
  <si>
    <t>Оборачиваемость остатков, дн.</t>
  </si>
  <si>
    <t>ROI</t>
  </si>
  <si>
    <t>К перечислению средний размер в месяц</t>
  </si>
  <si>
    <t>малицкая</t>
  </si>
  <si>
    <t>К перечислению средний размер в неделю</t>
  </si>
  <si>
    <t>Разница</t>
  </si>
  <si>
    <t>Fresh заказы, руб</t>
  </si>
  <si>
    <t>Fresh заказы, %</t>
  </si>
  <si>
    <t>FBO заказы тех же артикулов</t>
  </si>
  <si>
    <t>Доля в продажах корм влажный</t>
  </si>
  <si>
    <t>Доля в продажах лакомства для других животных</t>
  </si>
  <si>
    <t>Доля в продажах лакомства</t>
  </si>
  <si>
    <t>Доля в продажах наполнитель</t>
  </si>
  <si>
    <t>Доля в продажах корма и лакомства для других животных</t>
  </si>
  <si>
    <t>Нормативы "от-до"</t>
  </si>
  <si>
    <t>% себестоимости от</t>
  </si>
  <si>
    <t>% себестоимости до</t>
  </si>
  <si>
    <t>% затрат от</t>
  </si>
  <si>
    <t>% затрат до</t>
  </si>
  <si>
    <t>% маржинальности от</t>
  </si>
  <si>
    <t>% маржинальности до</t>
  </si>
  <si>
    <t>% скидок от РРЦ от</t>
  </si>
  <si>
    <t>% скидок от РРЦ до</t>
  </si>
  <si>
    <t>% рекламного GMV от</t>
  </si>
  <si>
    <t>Средняя позиция от</t>
  </si>
  <si>
    <t>Средняя позиция до</t>
  </si>
  <si>
    <t>Запас от</t>
  </si>
  <si>
    <t>Запас до</t>
  </si>
  <si>
    <t>ROI от</t>
  </si>
  <si>
    <t>ROI до</t>
  </si>
  <si>
    <t>Клоны</t>
  </si>
  <si>
    <t>УТ-00008122</t>
  </si>
  <si>
    <t>KARMY Hypoallergenic Medium &amp; Maxi Ягненок (14 кг) + Подарок . Гипоаллергенный сухой корм для собак средних и крупных пород старше 1 года. (УТ-00008122)</t>
  </si>
  <si>
    <t>УТ-00008124</t>
  </si>
  <si>
    <t>KARMY Delicious Medium &amp; Maxi Телятина (14 кг) + Подарок. Сухой корм для привередливых собак средних и крупных пород старше 1 года. (УТ-00008124)</t>
  </si>
  <si>
    <t>УТ-00008123</t>
  </si>
  <si>
    <t>KARMY Maxi Adult Индейка (14 кг) + Подарок. Сухой корм для взрослых собак крупных пород старше 1 года (Мельк). (УТ-00008123)</t>
  </si>
  <si>
    <t>УТ-00008127</t>
  </si>
  <si>
    <t>KARMY Sterilized Взрослые кошки Индейка — 1,5кг + Промокод. Сухой корм для стерилизованных кошек и кастрированн (УТ-00008127)</t>
  </si>
  <si>
    <t>УТ-00008126</t>
  </si>
  <si>
    <t>KARMY Sterilized Взрослые кошки Курица — 1,5кг + Промокод. Сухой корм для стерилизованных кошек и кастрированн (УТ-00008126)</t>
  </si>
  <si>
    <t>УТ-00008125</t>
  </si>
  <si>
    <t>KARMY Medium Adult Телятина (14 кг) + Подарок. Сухой корм для взр. собак средних пород старше 1 года (Фаворит). (УТ-00008125)</t>
  </si>
  <si>
    <t>УТ-00008128</t>
  </si>
  <si>
    <t>KARMY Active Medium &amp; Maxi Индейка — 2кг + Промокод. Сухой корм для собак, подверженных повышенным физическим (УТ-00008128)</t>
  </si>
  <si>
    <t>УТ-00006935</t>
  </si>
  <si>
    <t>УТ-00007041</t>
  </si>
  <si>
    <t>УТ-00007034</t>
  </si>
  <si>
    <t>УТ-00007065</t>
  </si>
  <si>
    <t>УТ-00007619</t>
  </si>
  <si>
    <t>УТ-00007633</t>
  </si>
  <si>
    <t>УТ-00007630</t>
  </si>
  <si>
    <t>УТ-00007862</t>
  </si>
  <si>
    <t>УТ-00007784</t>
  </si>
  <si>
    <t>УТ-00007841</t>
  </si>
  <si>
    <t>УТ-00006573</t>
  </si>
  <si>
    <t>УТ-00006572</t>
  </si>
  <si>
    <t>УТ-00006574</t>
  </si>
  <si>
    <t>УТ-00006571</t>
  </si>
  <si>
    <t>УТ-00008009</t>
  </si>
  <si>
    <t>УТ-00008072</t>
  </si>
  <si>
    <t>УТ-00008070</t>
  </si>
  <si>
    <t>УТ-00008066</t>
  </si>
  <si>
    <t>УТ-00008073</t>
  </si>
  <si>
    <t>УТ-00008071</t>
  </si>
  <si>
    <t>УТ-00008068</t>
  </si>
  <si>
    <t>УТ-00008065</t>
  </si>
  <si>
    <t>УТ-00008067</t>
  </si>
  <si>
    <t>УТ-00008075</t>
  </si>
  <si>
    <t>УТ-00008074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</si>
</sst>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);(#,##0)"/>
    <numFmt numFmtId="165" formatCode="0.000%"/>
  </numFmts>
  <fonts count="25">
    <font>
      <sz val="10.0"/>
      <color rgb="FF000000"/>
      <name val="Arial"/>
      <scheme val="minor"/>
    </font>
    <font>
      <sz val="9.0"/>
      <color theme="1"/>
      <name val="Inter"/>
    </font>
    <font>
      <sz val="10.0"/>
      <color theme="1"/>
      <name val="Inter"/>
    </font>
    <font>
      <color theme="1"/>
      <name val="Arial"/>
      <scheme val="minor"/>
    </font>
    <font>
      <u/>
      <sz val="9.0"/>
      <color rgb="FF0000FF"/>
      <name val="Inter"/>
    </font>
    <font>
      <b/>
      <sz val="9.0"/>
      <color theme="1"/>
      <name val="Inter"/>
    </font>
    <font>
      <u/>
      <sz val="9.0"/>
      <color rgb="FF0000FF"/>
      <name val="Inter"/>
    </font>
    <font>
      <u/>
      <color rgb="FF0000FF"/>
    </font>
    <font>
      <u/>
      <color rgb="FF0000FF"/>
    </font>
    <font>
      <u/>
      <sz val="9.0"/>
      <color theme="1"/>
      <name val="Inter"/>
    </font>
    <font>
      <u/>
      <sz val="9.0"/>
      <color rgb="FF0000FF"/>
      <name val="Inter"/>
    </font>
    <font>
      <u/>
      <sz val="9.0"/>
      <color theme="1"/>
      <name val="Inter"/>
    </font>
    <font>
      <u/>
      <sz val="9.0"/>
      <color theme="1"/>
      <name val="Inter"/>
    </font>
    <font>
      <u/>
      <sz val="9.0"/>
      <color theme="1"/>
      <name val="Inter"/>
    </font>
    <font>
      <u/>
      <sz val="9.0"/>
      <color theme="1"/>
      <name val="Inter"/>
    </font>
    <font>
      <u/>
      <sz val="9.0"/>
      <color rgb="FF0000FF"/>
      <name val="Inter"/>
    </font>
    <font>
      <sz val="9.0"/>
      <color rgb="FF48556E"/>
      <name val="Inter"/>
    </font>
    <font>
      <sz val="9.0"/>
      <color rgb="FF000000"/>
      <name val="Inter"/>
    </font>
    <font>
      <b/>
      <color theme="1"/>
      <name val="Inter"/>
    </font>
    <font>
      <color theme="1"/>
      <name val="Inter"/>
    </font>
    <font>
      <b/>
      <sz val="11.0"/>
      <color theme="1"/>
      <name val="Inter"/>
    </font>
    <font>
      <b/>
      <sz val="10.0"/>
      <color theme="1"/>
      <name val="Inter"/>
    </font>
    <font>
      <color theme="1"/>
      <name val="Arial"/>
    </font>
    <font>
      <u/>
      <sz val="9.0"/>
      <color theme="1"/>
      <name val="Inter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1" numFmtId="0" xfId="0" applyAlignment="1" applyFill="1" applyFont="1">
      <alignment readingOrder="0"/>
    </xf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4" fontId="1" numFmtId="3" xfId="0" applyAlignment="1" applyFill="1" applyFont="1" applyNumberFormat="1">
      <alignment horizontal="right" readingOrder="0"/>
    </xf>
    <xf borderId="0" fillId="4" fontId="1" numFmtId="3" xfId="0" applyAlignment="1" applyFont="1" applyNumberFormat="1">
      <alignment horizontal="right"/>
    </xf>
    <xf borderId="0" fillId="4" fontId="1" numFmtId="3" xfId="0" applyFont="1" applyNumberFormat="1"/>
    <xf borderId="0" fillId="4" fontId="1" numFmtId="3" xfId="0" applyAlignment="1" applyFont="1" applyNumberFormat="1">
      <alignment horizontal="left" readingOrder="0"/>
    </xf>
    <xf borderId="0" fillId="4" fontId="1" numFmtId="0" xfId="0" applyAlignment="1" applyFont="1">
      <alignment horizontal="right" readingOrder="0"/>
    </xf>
    <xf borderId="0" fillId="4" fontId="1" numFmtId="10" xfId="0" applyAlignment="1" applyFont="1" applyNumberFormat="1">
      <alignment horizontal="right"/>
    </xf>
    <xf borderId="0" fillId="4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4" fontId="1" numFmtId="3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4" fontId="1" numFmtId="164" xfId="0" applyAlignment="1" applyFont="1" applyNumberFormat="1">
      <alignment horizontal="right"/>
    </xf>
    <xf borderId="0" fillId="4" fontId="1" numFmtId="164" xfId="0" applyFont="1" applyNumberFormat="1"/>
    <xf borderId="0" fillId="4" fontId="1" numFmtId="10" xfId="0" applyAlignment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0" fillId="0" fontId="1" numFmtId="10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left"/>
    </xf>
    <xf borderId="0" fillId="0" fontId="1" numFmtId="3" xfId="0" applyAlignment="1" applyFont="1" applyNumberFormat="1">
      <alignment readingOrder="0"/>
    </xf>
    <xf borderId="0" fillId="0" fontId="6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5" fontId="1" numFmtId="0" xfId="0" applyAlignment="1" applyFill="1" applyFont="1">
      <alignment horizontal="right" readingOrder="0"/>
    </xf>
    <xf borderId="0" fillId="2" fontId="1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5" fontId="1" numFmtId="0" xfId="0" applyAlignment="1" applyFont="1">
      <alignment horizontal="right"/>
    </xf>
    <xf borderId="0" fillId="5" fontId="1" numFmtId="0" xfId="0" applyFont="1"/>
    <xf borderId="0" fillId="5" fontId="1" numFmtId="10" xfId="0" applyAlignment="1" applyFont="1" applyNumberFormat="1">
      <alignment readingOrder="0"/>
    </xf>
    <xf borderId="0" fillId="4" fontId="9" numFmtId="0" xfId="0" applyAlignment="1" applyFont="1">
      <alignment horizontal="left" readingOrder="0"/>
    </xf>
    <xf borderId="0" fillId="5" fontId="1" numFmtId="10" xfId="0" applyAlignment="1" applyFont="1" applyNumberFormat="1">
      <alignment horizontal="right" readingOrder="0"/>
    </xf>
    <xf borderId="0" fillId="2" fontId="1" numFmtId="164" xfId="0" applyAlignment="1" applyFont="1" applyNumberFormat="1">
      <alignment horizontal="right"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5" fontId="1" numFmtId="3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0" fillId="6" fontId="1" numFmtId="3" xfId="0" applyFill="1" applyFont="1" applyNumberFormat="1"/>
    <xf borderId="0" fillId="6" fontId="1" numFmtId="3" xfId="0" applyAlignment="1" applyFont="1" applyNumberFormat="1">
      <alignment readingOrder="0"/>
    </xf>
    <xf borderId="0" fillId="6" fontId="1" numFmtId="3" xfId="0" applyAlignment="1" applyFont="1" applyNumberFormat="1">
      <alignment horizontal="right" readingOrder="0"/>
    </xf>
    <xf borderId="0" fillId="6" fontId="1" numFmtId="0" xfId="0" applyAlignment="1" applyFont="1">
      <alignment horizontal="right" readingOrder="0"/>
    </xf>
    <xf borderId="0" fillId="6" fontId="1" numFmtId="0" xfId="0" applyAlignment="1" applyFont="1">
      <alignment horizontal="left" readingOrder="0"/>
    </xf>
    <xf borderId="0" fillId="0" fontId="1" numFmtId="165" xfId="0" applyFont="1" applyNumberFormat="1"/>
    <xf borderId="0" fillId="0" fontId="1" numFmtId="9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1" numFmtId="0" xfId="0" applyAlignment="1" applyFont="1">
      <alignment horizontal="left" readingOrder="0"/>
    </xf>
    <xf borderId="0" fillId="0" fontId="1" numFmtId="1" xfId="0" applyFont="1" applyNumberFormat="1"/>
    <xf borderId="0" fillId="0" fontId="12" numFmtId="0" xfId="0" applyAlignment="1" applyFont="1">
      <alignment horizontal="left" readingOrder="0"/>
    </xf>
    <xf borderId="0" fillId="0" fontId="1" numFmtId="3" xfId="0" applyAlignment="1" applyFont="1" applyNumberFormat="1">
      <alignment horizontal="right"/>
    </xf>
    <xf borderId="0" fillId="0" fontId="1" numFmtId="3" xfId="0" applyAlignment="1" applyFont="1" applyNumberFormat="1">
      <alignment readingOrder="0"/>
    </xf>
    <xf borderId="0" fillId="0" fontId="1" numFmtId="3" xfId="0" applyAlignment="1" applyFont="1" applyNumberFormat="1">
      <alignment horizontal="left" readingOrder="0"/>
    </xf>
    <xf borderId="0" fillId="3" fontId="1" numFmtId="3" xfId="0" applyAlignment="1" applyFont="1" applyNumberFormat="1">
      <alignment readingOrder="0"/>
    </xf>
    <xf borderId="0" fillId="0" fontId="13" numFmtId="3" xfId="0" applyAlignment="1" applyFont="1" applyNumberFormat="1">
      <alignment horizontal="left" readingOrder="0"/>
    </xf>
    <xf borderId="0" fillId="0" fontId="1" numFmtId="10" xfId="0" applyAlignment="1" applyFont="1" applyNumberFormat="1">
      <alignment horizontal="right"/>
    </xf>
    <xf borderId="0" fillId="0" fontId="2" numFmtId="3" xfId="0" applyAlignment="1" applyFont="1" applyNumberFormat="1">
      <alignment readingOrder="0"/>
    </xf>
    <xf borderId="0" fillId="7" fontId="1" numFmtId="3" xfId="0" applyAlignment="1" applyFill="1" applyFont="1" applyNumberFormat="1">
      <alignment horizontal="right"/>
    </xf>
    <xf borderId="0" fillId="0" fontId="14" numFmtId="3" xfId="0" applyAlignment="1" applyFont="1" applyNumberFormat="1">
      <alignment horizontal="left" readingOrder="0"/>
    </xf>
    <xf borderId="0" fillId="8" fontId="1" numFmtId="3" xfId="0" applyAlignment="1" applyFill="1" applyFont="1" applyNumberFormat="1">
      <alignment horizontal="right" readingOrder="0"/>
    </xf>
    <xf borderId="0" fillId="8" fontId="1" numFmtId="0" xfId="0" applyAlignment="1" applyFont="1">
      <alignment horizontal="right" readingOrder="0"/>
    </xf>
    <xf borderId="0" fillId="9" fontId="1" numFmtId="0" xfId="0" applyAlignment="1" applyFill="1" applyFont="1">
      <alignment readingOrder="0"/>
    </xf>
    <xf borderId="0" fillId="9" fontId="1" numFmtId="10" xfId="0" applyAlignment="1" applyFont="1" applyNumberFormat="1">
      <alignment readingOrder="0"/>
    </xf>
    <xf borderId="0" fillId="9" fontId="1" numFmtId="0" xfId="0" applyAlignment="1" applyFont="1">
      <alignment horizontal="right" readingOrder="0"/>
    </xf>
    <xf borderId="0" fillId="9" fontId="1" numFmtId="0" xfId="0" applyAlignment="1" applyFont="1">
      <alignment horizontal="right"/>
    </xf>
    <xf borderId="0" fillId="9" fontId="1" numFmtId="0" xfId="0" applyFont="1"/>
    <xf borderId="0" fillId="9" fontId="1" numFmtId="3" xfId="0" applyAlignment="1" applyFont="1" applyNumberFormat="1">
      <alignment readingOrder="0"/>
    </xf>
    <xf borderId="0" fillId="9" fontId="1" numFmtId="3" xfId="0" applyAlignment="1" applyFont="1" applyNumberFormat="1">
      <alignment readingOrder="0"/>
    </xf>
    <xf borderId="0" fillId="9" fontId="1" numFmtId="0" xfId="0" applyAlignment="1" applyFont="1">
      <alignment horizontal="left" readingOrder="0"/>
    </xf>
    <xf borderId="0" fillId="4" fontId="15" numFmtId="0" xfId="0" applyAlignment="1" applyFont="1">
      <alignment horizontal="left" readingOrder="0"/>
    </xf>
    <xf borderId="0" fillId="10" fontId="1" numFmtId="0" xfId="0" applyAlignment="1" applyFill="1" applyFont="1">
      <alignment readingOrder="0"/>
    </xf>
    <xf borderId="0" fillId="10" fontId="1" numFmtId="10" xfId="0" applyAlignment="1" applyFont="1" applyNumberFormat="1">
      <alignment readingOrder="0"/>
    </xf>
    <xf borderId="0" fillId="10" fontId="1" numFmtId="0" xfId="0" applyFont="1"/>
    <xf borderId="0" fillId="10" fontId="1" numFmtId="3" xfId="0" applyFont="1" applyNumberFormat="1"/>
    <xf borderId="0" fillId="10" fontId="1" numFmtId="0" xfId="0" applyAlignment="1" applyFont="1">
      <alignment horizontal="right" readingOrder="0"/>
    </xf>
    <xf borderId="0" fillId="10" fontId="1" numFmtId="0" xfId="0" applyAlignment="1" applyFont="1">
      <alignment horizontal="left" readingOrder="0"/>
    </xf>
    <xf borderId="0" fillId="10" fontId="1" numFmtId="164" xfId="0" applyAlignment="1" applyFont="1" applyNumberFormat="1">
      <alignment horizontal="right" readingOrder="0"/>
    </xf>
    <xf borderId="0" fillId="1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Font="1" applyNumberFormat="1"/>
    <xf borderId="0" fillId="11" fontId="1" numFmtId="0" xfId="0" applyAlignment="1" applyFill="1" applyFont="1">
      <alignment readingOrder="0"/>
    </xf>
    <xf borderId="0" fillId="5" fontId="1" numFmtId="3" xfId="0" applyAlignment="1" applyFont="1" applyNumberFormat="1">
      <alignment readingOrder="0"/>
    </xf>
    <xf borderId="0" fillId="11" fontId="1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5" fontId="1" numFmtId="3" xfId="0" applyAlignment="1" applyFont="1" applyNumberFormat="1">
      <alignment vertical="bottom"/>
    </xf>
    <xf borderId="0" fillId="5" fontId="1" numFmtId="0" xfId="0" applyAlignment="1" applyFont="1">
      <alignment readingOrder="0" vertical="bottom"/>
    </xf>
    <xf borderId="0" fillId="5" fontId="1" numFmtId="9" xfId="0" applyAlignment="1" applyFont="1" applyNumberFormat="1">
      <alignment readingOrder="0"/>
    </xf>
    <xf borderId="0" fillId="5" fontId="1" numFmtId="0" xfId="0" applyAlignment="1" applyFont="1">
      <alignment vertical="bottom"/>
    </xf>
    <xf borderId="0" fillId="5" fontId="1" numFmtId="9" xfId="0" applyAlignment="1" applyFont="1" applyNumberFormat="1">
      <alignment vertical="bottom"/>
    </xf>
    <xf borderId="0" fillId="5" fontId="16" numFmtId="0" xfId="0" applyAlignment="1" applyFont="1">
      <alignment horizontal="left"/>
    </xf>
    <xf borderId="0" fillId="5" fontId="1" numFmtId="1" xfId="0" applyAlignment="1" applyFont="1" applyNumberFormat="1">
      <alignment vertical="bottom"/>
    </xf>
    <xf borderId="0" fillId="0" fontId="17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6" fontId="2" numFmtId="9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11" fontId="1" numFmtId="10" xfId="0" applyAlignment="1" applyFont="1" applyNumberFormat="1">
      <alignment horizontal="right" readingOrder="0"/>
    </xf>
    <xf borderId="0" fillId="0" fontId="18" numFmtId="0" xfId="0" applyAlignment="1" applyFont="1">
      <alignment vertical="bottom"/>
    </xf>
    <xf borderId="0" fillId="11" fontId="19" numFmtId="0" xfId="0" applyAlignment="1" applyFont="1">
      <alignment vertical="bottom"/>
    </xf>
    <xf borderId="0" fillId="0" fontId="1" numFmtId="164" xfId="0" applyAlignment="1" applyFont="1" applyNumberFormat="1">
      <alignment horizontal="right"/>
    </xf>
    <xf borderId="0" fillId="0" fontId="19" numFmtId="0" xfId="0" applyAlignment="1" applyFont="1">
      <alignment horizontal="right" readingOrder="0" vertical="bottom"/>
    </xf>
    <xf borderId="0" fillId="11" fontId="19" numFmtId="1" xfId="0" applyAlignment="1" applyFont="1" applyNumberFormat="1">
      <alignment vertical="bottom"/>
    </xf>
    <xf borderId="0" fillId="0" fontId="19" numFmtId="10" xfId="0" applyAlignment="1" applyFont="1" applyNumberFormat="1">
      <alignment horizontal="right" readingOrder="0" vertical="bottom"/>
    </xf>
    <xf borderId="0" fillId="11" fontId="19" numFmtId="0" xfId="0" applyAlignment="1" applyFont="1">
      <alignment readingOrder="0" vertical="bottom"/>
    </xf>
    <xf borderId="0" fillId="0" fontId="18" numFmtId="0" xfId="0" applyAlignment="1" applyFont="1">
      <alignment horizontal="right" readingOrder="0" vertical="bottom"/>
    </xf>
    <xf borderId="0" fillId="0" fontId="19" numFmtId="3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readingOrder="0"/>
    </xf>
    <xf borderId="0" fillId="0" fontId="1" numFmtId="3" xfId="0" applyFont="1" applyNumberFormat="1"/>
    <xf borderId="0" fillId="0" fontId="19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19" numFmtId="0" xfId="0" applyAlignment="1" applyFont="1">
      <alignment readingOrder="0" vertical="bottom"/>
    </xf>
    <xf borderId="0" fillId="0" fontId="19" numFmtId="1" xfId="0" applyAlignment="1" applyFont="1" applyNumberFormat="1">
      <alignment horizontal="right" readingOrder="0" vertical="bottom"/>
    </xf>
    <xf borderId="0" fillId="12" fontId="1" numFmtId="0" xfId="0" applyAlignment="1" applyFill="1" applyFont="1">
      <alignment readingOrder="0" vertical="bottom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 vertical="bottom"/>
    </xf>
    <xf borderId="0" fillId="0" fontId="1" numFmtId="10" xfId="0" applyAlignment="1" applyFont="1" applyNumberFormat="1">
      <alignment horizontal="right" vertical="bottom"/>
    </xf>
    <xf borderId="0" fillId="0" fontId="22" numFmtId="0" xfId="0" applyAlignment="1" applyFont="1">
      <alignment vertical="bottom"/>
    </xf>
    <xf borderId="0" fillId="12" fontId="19" numFmtId="0" xfId="0" applyAlignment="1" applyFont="1">
      <alignment vertical="bottom"/>
    </xf>
    <xf borderId="0" fillId="12" fontId="19" numFmtId="3" xfId="0" applyAlignment="1" applyFont="1" applyNumberFormat="1">
      <alignment horizontal="right" readingOrder="0" vertical="bottom"/>
    </xf>
    <xf borderId="0" fillId="12" fontId="22" numFmtId="3" xfId="0" applyAlignment="1" applyFont="1" applyNumberFormat="1">
      <alignment readingOrder="0" vertical="bottom"/>
    </xf>
    <xf borderId="0" fillId="0" fontId="22" numFmtId="3" xfId="0" applyAlignment="1" applyFont="1" applyNumberFormat="1">
      <alignment readingOrder="0" vertical="bottom"/>
    </xf>
    <xf borderId="0" fillId="12" fontId="19" numFmtId="3" xfId="0" applyAlignment="1" applyFont="1" applyNumberFormat="1">
      <alignment vertical="bottom"/>
    </xf>
    <xf borderId="0" fillId="0" fontId="19" numFmtId="3" xfId="0" applyAlignment="1" applyFont="1" applyNumberFormat="1">
      <alignment horizontal="right" readingOrder="0" vertical="bottom"/>
    </xf>
    <xf borderId="0" fillId="12" fontId="19" numFmtId="10" xfId="0" applyAlignment="1" applyFont="1" applyNumberFormat="1">
      <alignment vertical="bottom"/>
    </xf>
    <xf borderId="0" fillId="0" fontId="22" numFmtId="0" xfId="0" applyAlignment="1" applyFont="1">
      <alignment readingOrder="0" vertical="bottom"/>
    </xf>
    <xf borderId="0" fillId="12" fontId="19" numFmtId="0" xfId="0" applyAlignment="1" applyFont="1">
      <alignment readingOrder="0" vertical="bottom"/>
    </xf>
    <xf borderId="0" fillId="0" fontId="22" numFmtId="3" xfId="0" applyAlignment="1" applyFont="1" applyNumberFormat="1">
      <alignment vertical="bottom"/>
    </xf>
    <xf borderId="0" fillId="12" fontId="22" numFmtId="10" xfId="0" applyAlignment="1" applyFont="1" applyNumberFormat="1">
      <alignment vertical="bottom"/>
    </xf>
    <xf borderId="0" fillId="0" fontId="19" numFmtId="10" xfId="0" applyAlignment="1" applyFont="1" applyNumberFormat="1">
      <alignment vertical="bottom"/>
    </xf>
    <xf borderId="0" fillId="12" fontId="22" numFmtId="0" xfId="0" applyAlignment="1" applyFont="1">
      <alignment vertical="bottom"/>
    </xf>
    <xf borderId="0" fillId="12" fontId="18" numFmtId="0" xfId="0" applyAlignment="1" applyFont="1">
      <alignment vertical="bottom"/>
    </xf>
    <xf borderId="0" fillId="12" fontId="19" numFmtId="3" xfId="0" applyAlignment="1" applyFont="1" applyNumberFormat="1">
      <alignment readingOrder="0" vertical="bottom"/>
    </xf>
    <xf borderId="0" fillId="0" fontId="18" numFmtId="3" xfId="0" applyAlignment="1" applyFont="1" applyNumberFormat="1">
      <alignment vertical="bottom"/>
    </xf>
    <xf borderId="0" fillId="12" fontId="18" numFmtId="3" xfId="0" applyAlignment="1" applyFont="1" applyNumberFormat="1">
      <alignment vertical="bottom"/>
    </xf>
    <xf borderId="0" fillId="0" fontId="22" numFmtId="10" xfId="0" applyAlignment="1" applyFont="1" applyNumberFormat="1">
      <alignment vertical="bottom"/>
    </xf>
    <xf borderId="0" fillId="5" fontId="22" numFmtId="0" xfId="0" applyAlignment="1" applyFont="1">
      <alignment vertical="bottom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vertical="bottom"/>
    </xf>
    <xf borderId="0" fillId="11" fontId="1" numFmtId="10" xfId="0" applyAlignment="1" applyFont="1" applyNumberFormat="1">
      <alignment horizontal="right"/>
    </xf>
    <xf borderId="0" fillId="0" fontId="23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22" numFmtId="0" xfId="0" applyAlignment="1" applyFill="1" applyFont="1">
      <alignment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11" fontId="2" numFmtId="9" xfId="0" applyAlignment="1" applyFont="1" applyNumberFormat="1">
      <alignment readingOrder="0"/>
    </xf>
    <xf borderId="0" fillId="11" fontId="2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eller.ozon.ru/app/analytics/graphs?metricsPreset=150568" TargetMode="External"/><Relationship Id="rId42" Type="http://schemas.openxmlformats.org/officeDocument/2006/relationships/hyperlink" Target="https://seller.ozon.ru/app/analytics/graphs?metricsPreset=150568" TargetMode="External"/><Relationship Id="rId41" Type="http://schemas.openxmlformats.org/officeDocument/2006/relationships/hyperlink" Target="https://seller.ozon.ru/app/analytics/graphs?metricsPreset=150568" TargetMode="External"/><Relationship Id="rId44" Type="http://schemas.openxmlformats.org/officeDocument/2006/relationships/hyperlink" Target="https://docs.google.com/spreadsheets/d/1ItrCS4cc6svnIMo5Dym2sU-YG6_NR_6xYIiV64kuVko/edit?gid=1924414496" TargetMode="External"/><Relationship Id="rId43" Type="http://schemas.openxmlformats.org/officeDocument/2006/relationships/hyperlink" Target="https://docs.google.com/spreadsheets/d/1ItrCS4cc6svnIMo5Dym2sU-YG6_NR_6xYIiV64kuVko/edit?gid=1924414496" TargetMode="External"/><Relationship Id="rId46" Type="http://schemas.openxmlformats.org/officeDocument/2006/relationships/hyperlink" Target="https://docs.google.com/spreadsheets/d/1ItrCS4cc6svnIMo5Dym2sU-YG6_NR_6xYIiV64kuVko/edit?gid=1924414496" TargetMode="External"/><Relationship Id="rId45" Type="http://schemas.openxmlformats.org/officeDocument/2006/relationships/hyperlink" Target="https://docs.google.com/spreadsheets/d/1ItrCS4cc6svnIMo5Dym2sU-YG6_NR_6xYIiV64kuVko/edit?gid=1924414496" TargetMode="External"/><Relationship Id="rId104" Type="http://schemas.openxmlformats.org/officeDocument/2006/relationships/vmlDrawing" Target="../drawings/vmlDrawing1.vml"/><Relationship Id="rId48" Type="http://schemas.openxmlformats.org/officeDocument/2006/relationships/hyperlink" Target="https://docs.google.com/spreadsheets/d/1ItrCS4cc6svnIMo5Dym2sU-YG6_NR_6xYIiV64kuVko/edit?gid=1924414496" TargetMode="External"/><Relationship Id="rId47" Type="http://schemas.openxmlformats.org/officeDocument/2006/relationships/hyperlink" Target="https://docs.google.com/spreadsheets/d/1ItrCS4cc6svnIMo5Dym2sU-YG6_NR_6xYIiV64kuVko/edit?gid=1924414496" TargetMode="External"/><Relationship Id="rId49" Type="http://schemas.openxmlformats.org/officeDocument/2006/relationships/hyperlink" Target="https://docs.google.com/spreadsheets/d/1ItrCS4cc6svnIMo5Dym2sU-YG6_NR_6xYIiV64kuVko/edit?gid=1924414496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docs.google.com/spreadsheets/d/1CqZ_1oGKWjRfevvw79A0cfZdIGN-Yml2yE_B8OF75AE/edit?gid=1924414496" TargetMode="External"/><Relationship Id="rId101" Type="http://schemas.openxmlformats.org/officeDocument/2006/relationships/hyperlink" Target="https://docs.google.com/spreadsheets/d/1CqZ_1oGKWjRfevvw79A0cfZdIGN-Yml2yE_B8OF75AE/edit?gid=1924414496" TargetMode="External"/><Relationship Id="rId100" Type="http://schemas.openxmlformats.org/officeDocument/2006/relationships/hyperlink" Target="https://docs.google.com/spreadsheets/d/1CqZ_1oGKWjRfevvw79A0cfZdIGN-Yml2yE_B8OF75AE/edit?gid=1924414496" TargetMode="External"/><Relationship Id="rId31" Type="http://schemas.openxmlformats.org/officeDocument/2006/relationships/hyperlink" Target="https://docs.google.com/spreadsheets/d/1ItrCS4cc6svnIMo5Dym2sU-YG6_NR_6xYIiV64kuVko/edit?gid=1924414496" TargetMode="External"/><Relationship Id="rId30" Type="http://schemas.openxmlformats.org/officeDocument/2006/relationships/hyperlink" Target="https://docs.google.com/spreadsheets/d/1ItrCS4cc6svnIMo5Dym2sU-YG6_NR_6xYIiV64kuVko/edit?gid=1924414496" TargetMode="External"/><Relationship Id="rId33" Type="http://schemas.openxmlformats.org/officeDocument/2006/relationships/hyperlink" Target="https://docs.google.com/spreadsheets/d/1ItrCS4cc6svnIMo5Dym2sU-YG6_NR_6xYIiV64kuVko/edit?gid=1924414496" TargetMode="External"/><Relationship Id="rId32" Type="http://schemas.openxmlformats.org/officeDocument/2006/relationships/hyperlink" Target="https://docs.google.com/spreadsheets/d/1ItrCS4cc6svnIMo5Dym2sU-YG6_NR_6xYIiV64kuVko/edit?gid=1924414496" TargetMode="External"/><Relationship Id="rId35" Type="http://schemas.openxmlformats.org/officeDocument/2006/relationships/hyperlink" Target="https://docs.google.com/spreadsheets/d/1ItrCS4cc6svnIMo5Dym2sU-YG6_NR_6xYIiV64kuVko/edit?gid=1924414496" TargetMode="External"/><Relationship Id="rId34" Type="http://schemas.openxmlformats.org/officeDocument/2006/relationships/hyperlink" Target="https://docs.google.com/spreadsheets/d/1ItrCS4cc6svnIMo5Dym2sU-YG6_NR_6xYIiV64kuVko/edit?gid=1924414496" TargetMode="External"/><Relationship Id="rId37" Type="http://schemas.openxmlformats.org/officeDocument/2006/relationships/hyperlink" Target="https://seller.ozon.ru/app/analytics/graphs?metricsPreset=150568" TargetMode="External"/><Relationship Id="rId36" Type="http://schemas.openxmlformats.org/officeDocument/2006/relationships/hyperlink" Target="https://docs.google.com/spreadsheets/d/1rX3774___5A9SDBcETxPq5DMNFEFj5JszLQKigppz3I/edit?gid=1808287108" TargetMode="External"/><Relationship Id="rId39" Type="http://schemas.openxmlformats.org/officeDocument/2006/relationships/hyperlink" Target="https://seller.ozon.ru/app/analytics/graphs?metricsPreset=150568" TargetMode="External"/><Relationship Id="rId38" Type="http://schemas.openxmlformats.org/officeDocument/2006/relationships/hyperlink" Target="https://seller.ozon.ru/app/analytics/graphs?metricsPreset=150568" TargetMode="External"/><Relationship Id="rId20" Type="http://schemas.openxmlformats.org/officeDocument/2006/relationships/hyperlink" Target="https://seller.ozon.ru/app/advertisement/product/overview" TargetMode="External"/><Relationship Id="rId22" Type="http://schemas.openxmlformats.org/officeDocument/2006/relationships/hyperlink" Target="https://seller.ozon.ru/app/analytics/what-to-sell/trends" TargetMode="External"/><Relationship Id="rId21" Type="http://schemas.openxmlformats.org/officeDocument/2006/relationships/hyperlink" Target="https://seller.ozon.ru/app/advertisement/product/overview" TargetMode="External"/><Relationship Id="rId24" Type="http://schemas.openxmlformats.org/officeDocument/2006/relationships/hyperlink" Target="https://docs.google.com/spreadsheets/d/1ItrCS4cc6svnIMo5Dym2sU-YG6_NR_6xYIiV64kuVko/edit?gid=1924414496" TargetMode="External"/><Relationship Id="rId23" Type="http://schemas.openxmlformats.org/officeDocument/2006/relationships/hyperlink" Target="https://docs.google.com/spreadsheets/d/1ItrCS4cc6svnIMo5Dym2sU-YG6_NR_6xYIiV64kuVko/edit?gid=1924414496" TargetMode="External"/><Relationship Id="rId26" Type="http://schemas.openxmlformats.org/officeDocument/2006/relationships/hyperlink" Target="https://docs.google.com/spreadsheets/d/1ItrCS4cc6svnIMo5Dym2sU-YG6_NR_6xYIiV64kuVko/edit?gid=1924414496" TargetMode="External"/><Relationship Id="rId25" Type="http://schemas.openxmlformats.org/officeDocument/2006/relationships/hyperlink" Target="https://docs.google.com/spreadsheets/d/1ItrCS4cc6svnIMo5Dym2sU-YG6_NR_6xYIiV64kuVko/edit?gid=1924414496" TargetMode="External"/><Relationship Id="rId28" Type="http://schemas.openxmlformats.org/officeDocument/2006/relationships/hyperlink" Target="https://docs.google.com/spreadsheets/d/1ItrCS4cc6svnIMo5Dym2sU-YG6_NR_6xYIiV64kuVko/edit?gid=1924414496" TargetMode="External"/><Relationship Id="rId27" Type="http://schemas.openxmlformats.org/officeDocument/2006/relationships/hyperlink" Target="https://docs.google.com/spreadsheets/d/1ItrCS4cc6svnIMo5Dym2sU-YG6_NR_6xYIiV64kuVko/edit?gid=1924414496" TargetMode="External"/><Relationship Id="rId29" Type="http://schemas.openxmlformats.org/officeDocument/2006/relationships/hyperlink" Target="https://docs.google.com/spreadsheets/d/1ItrCS4cc6svnIMo5Dym2sU-YG6_NR_6xYIiV64kuVko/edit?gid=1924414496" TargetMode="External"/><Relationship Id="rId95" Type="http://schemas.openxmlformats.org/officeDocument/2006/relationships/hyperlink" Target="https://docs.google.com/spreadsheets/d/1CqZ_1oGKWjRfevvw79A0cfZdIGN-Yml2yE_B8OF75AE/edit?gid=1924414496" TargetMode="External"/><Relationship Id="rId94" Type="http://schemas.openxmlformats.org/officeDocument/2006/relationships/hyperlink" Target="https://docs.google.com/spreadsheets/d/1CqZ_1oGKWjRfevvw79A0cfZdIGN-Yml2yE_B8OF75AE/edit?gid=1924414496" TargetMode="External"/><Relationship Id="rId97" Type="http://schemas.openxmlformats.org/officeDocument/2006/relationships/hyperlink" Target="https://docs.google.com/spreadsheets/d/1CqZ_1oGKWjRfevvw79A0cfZdIGN-Yml2yE_B8OF75AE/edit?gid=1924414496" TargetMode="External"/><Relationship Id="rId96" Type="http://schemas.openxmlformats.org/officeDocument/2006/relationships/hyperlink" Target="https://docs.google.com/spreadsheets/d/1CqZ_1oGKWjRfevvw79A0cfZdIGN-Yml2yE_B8OF75AE/edit?gid=1924414496" TargetMode="External"/><Relationship Id="rId11" Type="http://schemas.openxmlformats.org/officeDocument/2006/relationships/hyperlink" Target="https://seller.ozon.ru/app/loyalty/sellerpoints?view=online" TargetMode="External"/><Relationship Id="rId99" Type="http://schemas.openxmlformats.org/officeDocument/2006/relationships/hyperlink" Target="https://docs.google.com/spreadsheets/d/1CqZ_1oGKWjRfevvw79A0cfZdIGN-Yml2yE_B8OF75AE/edit?gid=1924414496" TargetMode="External"/><Relationship Id="rId10" Type="http://schemas.openxmlformats.org/officeDocument/2006/relationships/hyperlink" Target="https://docs.google.com/spreadsheets/d/1KvQfXbhx_omesTQpt2AAEd20-HRFcA472pbZbM5NZLE/edit?gid=1397043084" TargetMode="External"/><Relationship Id="rId98" Type="http://schemas.openxmlformats.org/officeDocument/2006/relationships/hyperlink" Target="https://docs.google.com/spreadsheets/d/1CqZ_1oGKWjRfevvw79A0cfZdIGN-Yml2yE_B8OF75AE/edit?gid=1924414496" TargetMode="External"/><Relationship Id="rId13" Type="http://schemas.openxmlformats.org/officeDocument/2006/relationships/hyperlink" Target="https://docs.google.com/spreadsheets/d/1ItrCS4cc6svnIMo5Dym2sU-YG6_NR_6xYIiV64kuVko/edit?gid=1924414496" TargetMode="External"/><Relationship Id="rId12" Type="http://schemas.openxmlformats.org/officeDocument/2006/relationships/hyperlink" Target="https://seller.ozon.ru/app/analytics/sales-geography/local-packaging" TargetMode="External"/><Relationship Id="rId91" Type="http://schemas.openxmlformats.org/officeDocument/2006/relationships/hyperlink" Target="https://docs.google.com/spreadsheets/d/1CqZ_1oGKWjRfevvw79A0cfZdIGN-Yml2yE_B8OF75AE/edit?gid=1924414496" TargetMode="External"/><Relationship Id="rId90" Type="http://schemas.openxmlformats.org/officeDocument/2006/relationships/hyperlink" Target="https://docs.google.com/spreadsheets/d/1CqZ_1oGKWjRfevvw79A0cfZdIGN-Yml2yE_B8OF75AE/edit?gid=1924414496" TargetMode="External"/><Relationship Id="rId93" Type="http://schemas.openxmlformats.org/officeDocument/2006/relationships/hyperlink" Target="https://docs.google.com/spreadsheets/d/1CqZ_1oGKWjRfevvw79A0cfZdIGN-Yml2yE_B8OF75AE/edit?gid=1924414496" TargetMode="External"/><Relationship Id="rId92" Type="http://schemas.openxmlformats.org/officeDocument/2006/relationships/hyperlink" Target="https://docs.google.com/spreadsheets/d/1CqZ_1oGKWjRfevvw79A0cfZdIGN-Yml2yE_B8OF75AE/edit?gid=1924414496" TargetMode="External"/><Relationship Id="rId15" Type="http://schemas.openxmlformats.org/officeDocument/2006/relationships/hyperlink" Target="https://docs.google.com/spreadsheets/d/1QmjQ3F-sCuBGlM3uUlzgzmYSNdQFlrw1zMV-wh70BkE/edit?gid=1739009613" TargetMode="External"/><Relationship Id="rId14" Type="http://schemas.openxmlformats.org/officeDocument/2006/relationships/hyperlink" Target="https://docs.google.com/spreadsheets/d/1CqZ_1oGKWjRfevvw79A0cfZdIGN-Yml2yE_B8OF75AE/edit?gid=1924414496" TargetMode="External"/><Relationship Id="rId17" Type="http://schemas.openxmlformats.org/officeDocument/2006/relationships/hyperlink" Target="https://docs.google.com/spreadsheets/d/14_De3ch7jztZcdDx5PMj6CZ_S99fDWZei4f6E6yuN3w/edit?gid=1739009613" TargetMode="External"/><Relationship Id="rId16" Type="http://schemas.openxmlformats.org/officeDocument/2006/relationships/hyperlink" Target="https://docs.google.com/spreadsheets/d/14_De3ch7jztZcdDx5PMj6CZ_S99fDWZei4f6E6yuN3w/edit?gid=1739009613" TargetMode="External"/><Relationship Id="rId19" Type="http://schemas.openxmlformats.org/officeDocument/2006/relationships/hyperlink" Target="https://docs.google.com/spreadsheets/d/1L_tSJ41lWaO0_l4IpafYGeqMvuGxTyKxGoTN7hkIu94/edit?gid=1320693490" TargetMode="External"/><Relationship Id="rId18" Type="http://schemas.openxmlformats.org/officeDocument/2006/relationships/hyperlink" Target="https://docs.google.com/spreadsheets/d/14_De3ch7jztZcdDx5PMj6CZ_S99fDWZei4f6E6yuN3w/edit?gid=1739009613" TargetMode="External"/><Relationship Id="rId84" Type="http://schemas.openxmlformats.org/officeDocument/2006/relationships/hyperlink" Target="https://docs.google.com/spreadsheets/d/1CqZ_1oGKWjRfevvw79A0cfZdIGN-Yml2yE_B8OF75AE/edit?gid=1924414496" TargetMode="External"/><Relationship Id="rId83" Type="http://schemas.openxmlformats.org/officeDocument/2006/relationships/hyperlink" Target="https://docs.google.com/spreadsheets/d/1CqZ_1oGKWjRfevvw79A0cfZdIGN-Yml2yE_B8OF75AE/edit?gid=1924414496" TargetMode="External"/><Relationship Id="rId86" Type="http://schemas.openxmlformats.org/officeDocument/2006/relationships/hyperlink" Target="https://docs.google.com/spreadsheets/d/1CqZ_1oGKWjRfevvw79A0cfZdIGN-Yml2yE_B8OF75AE/edit?gid=1924414496" TargetMode="External"/><Relationship Id="rId85" Type="http://schemas.openxmlformats.org/officeDocument/2006/relationships/hyperlink" Target="https://docs.google.com/spreadsheets/d/1CqZ_1oGKWjRfevvw79A0cfZdIGN-Yml2yE_B8OF75AE/edit?gid=1924414496" TargetMode="External"/><Relationship Id="rId88" Type="http://schemas.openxmlformats.org/officeDocument/2006/relationships/hyperlink" Target="https://docs.google.com/spreadsheets/d/1CqZ_1oGKWjRfevvw79A0cfZdIGN-Yml2yE_B8OF75AE/edit?gid=1924414496" TargetMode="External"/><Relationship Id="rId87" Type="http://schemas.openxmlformats.org/officeDocument/2006/relationships/hyperlink" Target="https://docs.google.com/spreadsheets/d/1CqZ_1oGKWjRfevvw79A0cfZdIGN-Yml2yE_B8OF75AE/edit?gid=1924414496" TargetMode="External"/><Relationship Id="rId89" Type="http://schemas.openxmlformats.org/officeDocument/2006/relationships/hyperlink" Target="https://docs.google.com/spreadsheets/d/1CqZ_1oGKWjRfevvw79A0cfZdIGN-Yml2yE_B8OF75AE/edit?gid=1924414496" TargetMode="External"/><Relationship Id="rId80" Type="http://schemas.openxmlformats.org/officeDocument/2006/relationships/hyperlink" Target="https://docs.google.com/spreadsheets/d/1CqZ_1oGKWjRfevvw79A0cfZdIGN-Yml2yE_B8OF75AE/edit?gid=28393921" TargetMode="External"/><Relationship Id="rId82" Type="http://schemas.openxmlformats.org/officeDocument/2006/relationships/hyperlink" Target="https://docs.google.com/spreadsheets/d/1CqZ_1oGKWjRfevvw79A0cfZdIGN-Yml2yE_B8OF75AE/edit?gid=28393921" TargetMode="External"/><Relationship Id="rId81" Type="http://schemas.openxmlformats.org/officeDocument/2006/relationships/hyperlink" Target="https://docs.google.com/spreadsheets/d/1CqZ_1oGKWjRfevvw79A0cfZdIGN-Yml2yE_B8OF75AE/edit?gid=2839392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eller.ozon.ru/app/analytics/graphs" TargetMode="External"/><Relationship Id="rId3" Type="http://schemas.openxmlformats.org/officeDocument/2006/relationships/hyperlink" Target="https://seller.ozon.ru/app/analytics/graphs" TargetMode="External"/><Relationship Id="rId4" Type="http://schemas.openxmlformats.org/officeDocument/2006/relationships/hyperlink" Target="https://seller.ozon.ru/app/advertisement/product/overview" TargetMode="External"/><Relationship Id="rId9" Type="http://schemas.openxmlformats.org/officeDocument/2006/relationships/hyperlink" Target="https://docs.google.com/spreadsheets/d/1KvQfXbhx_omesTQpt2AAEd20-HRFcA472pbZbM5NZLE/edit?gid=1397043084" TargetMode="External"/><Relationship Id="rId5" Type="http://schemas.openxmlformats.org/officeDocument/2006/relationships/hyperlink" Target="https://seller.ozon.ru/app/advertisement/product/overview" TargetMode="External"/><Relationship Id="rId6" Type="http://schemas.openxmlformats.org/officeDocument/2006/relationships/hyperlink" Target="https://seller.ozon.ru/app/advertisement/product/overview" TargetMode="External"/><Relationship Id="rId7" Type="http://schemas.openxmlformats.org/officeDocument/2006/relationships/hyperlink" Target="https://seller.ozon.ru/app/advertisement/product/overview" TargetMode="External"/><Relationship Id="rId8" Type="http://schemas.openxmlformats.org/officeDocument/2006/relationships/hyperlink" Target="https://seller.ozon.ru/app/advertisement/product/overview" TargetMode="External"/><Relationship Id="rId73" Type="http://schemas.openxmlformats.org/officeDocument/2006/relationships/hyperlink" Target="https://docs.google.com/spreadsheets/d/1CqZ_1oGKWjRfevvw79A0cfZdIGN-Yml2yE_B8OF75AE/edit?gid=28393921" TargetMode="External"/><Relationship Id="rId72" Type="http://schemas.openxmlformats.org/officeDocument/2006/relationships/hyperlink" Target="https://docs.google.com/spreadsheets/d/1CqZ_1oGKWjRfevvw79A0cfZdIGN-Yml2yE_B8OF75AE/edit?gid=28393921" TargetMode="External"/><Relationship Id="rId75" Type="http://schemas.openxmlformats.org/officeDocument/2006/relationships/hyperlink" Target="https://docs.google.com/spreadsheets/d/1CqZ_1oGKWjRfevvw79A0cfZdIGN-Yml2yE_B8OF75AE/edit?gid=28393921" TargetMode="External"/><Relationship Id="rId74" Type="http://schemas.openxmlformats.org/officeDocument/2006/relationships/hyperlink" Target="https://docs.google.com/spreadsheets/d/1CqZ_1oGKWjRfevvw79A0cfZdIGN-Yml2yE_B8OF75AE/edit?gid=28393921" TargetMode="External"/><Relationship Id="rId77" Type="http://schemas.openxmlformats.org/officeDocument/2006/relationships/hyperlink" Target="https://docs.google.com/spreadsheets/d/1CqZ_1oGKWjRfevvw79A0cfZdIGN-Yml2yE_B8OF75AE/edit?gid=28393921" TargetMode="External"/><Relationship Id="rId76" Type="http://schemas.openxmlformats.org/officeDocument/2006/relationships/hyperlink" Target="https://docs.google.com/spreadsheets/d/1CqZ_1oGKWjRfevvw79A0cfZdIGN-Yml2yE_B8OF75AE/edit?gid=28393921" TargetMode="External"/><Relationship Id="rId79" Type="http://schemas.openxmlformats.org/officeDocument/2006/relationships/hyperlink" Target="https://docs.google.com/spreadsheets/d/1CqZ_1oGKWjRfevvw79A0cfZdIGN-Yml2yE_B8OF75AE/edit?gid=28393921" TargetMode="External"/><Relationship Id="rId78" Type="http://schemas.openxmlformats.org/officeDocument/2006/relationships/hyperlink" Target="https://docs.google.com/spreadsheets/d/1CqZ_1oGKWjRfevvw79A0cfZdIGN-Yml2yE_B8OF75AE/edit?gid=28393921" TargetMode="External"/><Relationship Id="rId71" Type="http://schemas.openxmlformats.org/officeDocument/2006/relationships/hyperlink" Target="https://docs.google.com/spreadsheets/d/1CqZ_1oGKWjRfevvw79A0cfZdIGN-Yml2yE_B8OF75AE/edit?gid=28393921" TargetMode="External"/><Relationship Id="rId70" Type="http://schemas.openxmlformats.org/officeDocument/2006/relationships/hyperlink" Target="https://docs.google.com/spreadsheets/d/1CqZ_1oGKWjRfevvw79A0cfZdIGN-Yml2yE_B8OF75AE/edit?gid=1924414496" TargetMode="External"/><Relationship Id="rId62" Type="http://schemas.openxmlformats.org/officeDocument/2006/relationships/hyperlink" Target="https://docs.google.com/spreadsheets/d/1CqZ_1oGKWjRfevvw79A0cfZdIGN-Yml2yE_B8OF75AE/edit?gid=28393921" TargetMode="External"/><Relationship Id="rId61" Type="http://schemas.openxmlformats.org/officeDocument/2006/relationships/hyperlink" Target="https://docs.google.com/spreadsheets/d/1ItrCS4cc6svnIMo5Dym2sU-YG6_NR_6xYIiV64kuVko/edit?gid=1592040927" TargetMode="External"/><Relationship Id="rId64" Type="http://schemas.openxmlformats.org/officeDocument/2006/relationships/hyperlink" Target="https://docs.google.com/spreadsheets/d/1CqZ_1oGKWjRfevvw79A0cfZdIGN-Yml2yE_B8OF75AE/edit?gid=28393921" TargetMode="External"/><Relationship Id="rId63" Type="http://schemas.openxmlformats.org/officeDocument/2006/relationships/hyperlink" Target="https://docs.google.com/spreadsheets/d/1CqZ_1oGKWjRfevvw79A0cfZdIGN-Yml2yE_B8OF75AE/edit?gid=28393921" TargetMode="External"/><Relationship Id="rId66" Type="http://schemas.openxmlformats.org/officeDocument/2006/relationships/hyperlink" Target="https://docs.google.com/spreadsheets/d/1CqZ_1oGKWjRfevvw79A0cfZdIGN-Yml2yE_B8OF75AE/edit?gid=28393921" TargetMode="External"/><Relationship Id="rId65" Type="http://schemas.openxmlformats.org/officeDocument/2006/relationships/hyperlink" Target="https://docs.google.com/spreadsheets/d/1CqZ_1oGKWjRfevvw79A0cfZdIGN-Yml2yE_B8OF75AE/edit?gid=28393921" TargetMode="External"/><Relationship Id="rId68" Type="http://schemas.openxmlformats.org/officeDocument/2006/relationships/hyperlink" Target="https://docs.google.com/spreadsheets/d/1CqZ_1oGKWjRfevvw79A0cfZdIGN-Yml2yE_B8OF75AE/edit?gid=28393921" TargetMode="External"/><Relationship Id="rId67" Type="http://schemas.openxmlformats.org/officeDocument/2006/relationships/hyperlink" Target="https://docs.google.com/spreadsheets/d/1CqZ_1oGKWjRfevvw79A0cfZdIGN-Yml2yE_B8OF75AE/edit?gid=28393921" TargetMode="External"/><Relationship Id="rId60" Type="http://schemas.openxmlformats.org/officeDocument/2006/relationships/hyperlink" Target="https://docs.google.com/spreadsheets/d/1ItrCS4cc6svnIMo5Dym2sU-YG6_NR_6xYIiV64kuVko/edit?gid=1592040927" TargetMode="External"/><Relationship Id="rId69" Type="http://schemas.openxmlformats.org/officeDocument/2006/relationships/hyperlink" Target="https://docs.google.com/spreadsheets/d/1CqZ_1oGKWjRfevvw79A0cfZdIGN-Yml2yE_B8OF75AE/edit?gid=28393921" TargetMode="External"/><Relationship Id="rId51" Type="http://schemas.openxmlformats.org/officeDocument/2006/relationships/hyperlink" Target="https://docs.google.com/spreadsheets/d/1ItrCS4cc6svnIMo5Dym2sU-YG6_NR_6xYIiV64kuVko/edit?gid=1924414496" TargetMode="External"/><Relationship Id="rId50" Type="http://schemas.openxmlformats.org/officeDocument/2006/relationships/hyperlink" Target="https://docs.google.com/spreadsheets/d/1ItrCS4cc6svnIMo5Dym2sU-YG6_NR_6xYIiV64kuVko/edit?gid=1924414496" TargetMode="External"/><Relationship Id="rId53" Type="http://schemas.openxmlformats.org/officeDocument/2006/relationships/hyperlink" Target="https://docs.google.com/spreadsheets/d/1ItrCS4cc6svnIMo5Dym2sU-YG6_NR_6xYIiV64kuVko/edit?gid=1924414496" TargetMode="External"/><Relationship Id="rId52" Type="http://schemas.openxmlformats.org/officeDocument/2006/relationships/hyperlink" Target="https://docs.google.com/spreadsheets/d/1ItrCS4cc6svnIMo5Dym2sU-YG6_NR_6xYIiV64kuVko/edit?gid=1924414496" TargetMode="External"/><Relationship Id="rId55" Type="http://schemas.openxmlformats.org/officeDocument/2006/relationships/hyperlink" Target="https://docs.google.com/spreadsheets/d/1ItrCS4cc6svnIMo5Dym2sU-YG6_NR_6xYIiV64kuVko/edit?gid=1924414496" TargetMode="External"/><Relationship Id="rId54" Type="http://schemas.openxmlformats.org/officeDocument/2006/relationships/hyperlink" Target="https://docs.google.com/spreadsheets/d/1ItrCS4cc6svnIMo5Dym2sU-YG6_NR_6xYIiV64kuVko/edit?gid=1924414496" TargetMode="External"/><Relationship Id="rId57" Type="http://schemas.openxmlformats.org/officeDocument/2006/relationships/hyperlink" Target="https://docs.google.com/spreadsheets/d/1ItrCS4cc6svnIMo5Dym2sU-YG6_NR_6xYIiV64kuVko/edit?gid=1924414496" TargetMode="External"/><Relationship Id="rId56" Type="http://schemas.openxmlformats.org/officeDocument/2006/relationships/hyperlink" Target="https://docs.google.com/spreadsheets/d/1ItrCS4cc6svnIMo5Dym2sU-YG6_NR_6xYIiV64kuVko/edit?gid=1924414496" TargetMode="External"/><Relationship Id="rId59" Type="http://schemas.openxmlformats.org/officeDocument/2006/relationships/hyperlink" Target="https://docs.google.com/spreadsheets/d/1ItrCS4cc6svnIMo5Dym2sU-YG6_NR_6xYIiV64kuVko/edit?gid=1924414496" TargetMode="External"/><Relationship Id="rId58" Type="http://schemas.openxmlformats.org/officeDocument/2006/relationships/hyperlink" Target="https://docs.google.com/spreadsheets/d/1ItrCS4cc6svnIMo5Dym2sU-YG6_NR_6xYIiV64kuVko/edit?gid=1924414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 outlineLevelCol="1"/>
  <cols>
    <col customWidth="1" min="1" max="1" width="1.25"/>
    <col customWidth="1" min="2" max="2" width="6.75"/>
    <col customWidth="1" min="3" max="3" width="13.25"/>
    <col customWidth="1" min="4" max="4" width="32.88"/>
    <col customWidth="1" min="5" max="5" width="9.75"/>
    <col customWidth="1" min="6" max="9" width="9.75" outlineLevel="1"/>
    <col customWidth="1" min="10" max="18" width="8.5" outlineLevel="1"/>
    <col customWidth="1" min="19" max="19" width="8.5"/>
    <col customWidth="1" min="20" max="20" width="9.75"/>
    <col customWidth="1" min="21" max="32" width="9.63"/>
    <col customWidth="1" min="33" max="33" width="12.63"/>
    <col customWidth="1" min="34" max="70" width="10.25"/>
    <col customWidth="1" min="71" max="71" width="14.5"/>
    <col customWidth="1" min="72" max="73" width="46.13"/>
    <col customWidth="1" min="74" max="78" width="9.75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4" t="s">
        <v>43</v>
      </c>
      <c r="AW1" s="5" t="s">
        <v>44</v>
      </c>
      <c r="AX1" s="3" t="s">
        <v>45</v>
      </c>
      <c r="AY1" s="3" t="s">
        <v>46</v>
      </c>
      <c r="AZ1" s="3" t="s">
        <v>47</v>
      </c>
      <c r="BA1" s="6" t="s">
        <v>48</v>
      </c>
      <c r="BB1" s="7" t="s">
        <v>49</v>
      </c>
      <c r="BC1" s="7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/>
      <c r="BM1" s="3"/>
      <c r="BN1" s="3"/>
      <c r="BO1" s="3"/>
      <c r="BP1" s="3"/>
      <c r="BQ1" s="3"/>
      <c r="BR1" s="3"/>
      <c r="BS1" s="1"/>
      <c r="BT1" s="8"/>
      <c r="BU1" s="8"/>
      <c r="BV1" s="1"/>
      <c r="BW1" s="1"/>
      <c r="BX1" s="1"/>
      <c r="BY1" s="1"/>
      <c r="BZ1" s="1"/>
    </row>
    <row r="2">
      <c r="A2" s="3" t="s">
        <v>59</v>
      </c>
      <c r="B2" s="3" t="s">
        <v>60</v>
      </c>
      <c r="C2" s="3" t="s">
        <v>61</v>
      </c>
      <c r="D2" s="3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J2" s="2" t="s">
        <v>68</v>
      </c>
      <c r="K2" s="2" t="s">
        <v>69</v>
      </c>
      <c r="L2" s="2" t="s">
        <v>70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82</v>
      </c>
      <c r="Y2" s="9" t="s">
        <v>83</v>
      </c>
      <c r="Z2" s="2" t="s">
        <v>84</v>
      </c>
      <c r="AA2" s="2" t="s">
        <v>85</v>
      </c>
      <c r="AB2" s="2" t="s">
        <v>86</v>
      </c>
      <c r="AC2" s="2" t="s">
        <v>87</v>
      </c>
      <c r="AD2" s="2" t="s">
        <v>88</v>
      </c>
      <c r="AE2" s="2" t="s">
        <v>89</v>
      </c>
      <c r="AF2" s="2" t="s">
        <v>90</v>
      </c>
      <c r="AG2" s="2" t="s">
        <v>91</v>
      </c>
      <c r="AH2" s="10" t="s">
        <v>92</v>
      </c>
      <c r="AI2" s="10" t="s">
        <v>93</v>
      </c>
      <c r="AJ2" s="10" t="s">
        <v>94</v>
      </c>
      <c r="AK2" s="10" t="s">
        <v>95</v>
      </c>
      <c r="AL2" s="10" t="s">
        <v>96</v>
      </c>
      <c r="AM2" s="10" t="s">
        <v>97</v>
      </c>
      <c r="AN2" s="10" t="s">
        <v>98</v>
      </c>
      <c r="AO2" s="10" t="s">
        <v>99</v>
      </c>
      <c r="AP2" s="10" t="s">
        <v>100</v>
      </c>
      <c r="AQ2" s="10" t="s">
        <v>101</v>
      </c>
      <c r="AR2" s="10" t="s">
        <v>102</v>
      </c>
      <c r="AS2" s="10" t="s">
        <v>103</v>
      </c>
      <c r="AT2" s="10" t="s">
        <v>104</v>
      </c>
      <c r="AU2" s="10" t="s">
        <v>105</v>
      </c>
      <c r="AV2" s="10" t="s">
        <v>106</v>
      </c>
      <c r="AW2" s="10" t="s">
        <v>107</v>
      </c>
      <c r="AX2" s="10" t="s">
        <v>108</v>
      </c>
      <c r="AY2" s="10" t="s">
        <v>109</v>
      </c>
      <c r="AZ2" s="10" t="s">
        <v>110</v>
      </c>
      <c r="BA2" s="11" t="s">
        <v>111</v>
      </c>
      <c r="BB2" s="11" t="s">
        <v>112</v>
      </c>
      <c r="BC2" s="11" t="s">
        <v>113</v>
      </c>
      <c r="BD2" s="10" t="s">
        <v>114</v>
      </c>
      <c r="BE2" s="10" t="s">
        <v>115</v>
      </c>
      <c r="BF2" s="10" t="s">
        <v>64</v>
      </c>
      <c r="BG2" s="10" t="s">
        <v>65</v>
      </c>
      <c r="BH2" s="10" t="s">
        <v>66</v>
      </c>
      <c r="BI2" s="10" t="s">
        <v>67</v>
      </c>
      <c r="BJ2" s="10" t="s">
        <v>68</v>
      </c>
      <c r="BK2" s="10" t="s">
        <v>69</v>
      </c>
      <c r="BL2" s="10"/>
      <c r="BM2" s="10"/>
      <c r="BN2" s="10"/>
      <c r="BO2" s="10"/>
      <c r="BP2" s="10"/>
      <c r="BQ2" s="10"/>
      <c r="BR2" s="10"/>
      <c r="BS2" s="9"/>
      <c r="BT2" s="9" t="s">
        <v>116</v>
      </c>
      <c r="BU2" s="9"/>
      <c r="BV2" s="2" t="s">
        <v>83</v>
      </c>
      <c r="BW2" s="2" t="s">
        <v>85</v>
      </c>
      <c r="BX2" s="2" t="s">
        <v>86</v>
      </c>
      <c r="BY2" s="2"/>
      <c r="BZ2" s="2"/>
    </row>
    <row r="3">
      <c r="A3" s="1"/>
      <c r="B3" s="3" t="s">
        <v>117</v>
      </c>
      <c r="C3" s="12"/>
      <c r="D3" s="12" t="s">
        <v>118</v>
      </c>
      <c r="E3" s="13">
        <v>8098.0</v>
      </c>
      <c r="F3" s="13">
        <v>8411.0</v>
      </c>
      <c r="G3" s="13">
        <v>8284.0</v>
      </c>
      <c r="H3" s="2">
        <v>8358.0</v>
      </c>
      <c r="I3" s="14">
        <f>-179+9096</f>
        <v>8917</v>
      </c>
      <c r="J3" s="2">
        <v>8736.0</v>
      </c>
      <c r="K3" s="2">
        <v>7923.0</v>
      </c>
      <c r="L3" s="3">
        <v>7268.0</v>
      </c>
      <c r="M3" s="3">
        <v>6405.0</v>
      </c>
      <c r="N3" s="3">
        <v>7150.0</v>
      </c>
      <c r="O3" s="3">
        <v>7824.0</v>
      </c>
      <c r="P3" s="3">
        <v>8785.0</v>
      </c>
      <c r="Q3" s="3">
        <v>9870.0</v>
      </c>
      <c r="R3" s="3">
        <v>8467.0</v>
      </c>
      <c r="S3" s="3">
        <v>7071.0</v>
      </c>
      <c r="T3" s="15">
        <v>8711.0</v>
      </c>
      <c r="U3" s="3">
        <v>10106.0</v>
      </c>
      <c r="V3" s="3">
        <v>10922.0</v>
      </c>
      <c r="W3" s="3">
        <v>8742.0</v>
      </c>
      <c r="X3" s="3">
        <v>8807.0</v>
      </c>
      <c r="Y3" s="3">
        <v>9438.0</v>
      </c>
      <c r="Z3" s="3">
        <v>9015.0</v>
      </c>
      <c r="AA3" s="3">
        <v>8688.0</v>
      </c>
      <c r="AB3" s="3">
        <v>7665.0</v>
      </c>
      <c r="AC3" s="3">
        <v>8379.0</v>
      </c>
      <c r="AD3" s="3">
        <v>9238.0</v>
      </c>
      <c r="AE3" s="16">
        <v>9653.0</v>
      </c>
      <c r="AF3" s="16">
        <v>8572.0</v>
      </c>
      <c r="AG3" s="16">
        <v>9298.0</v>
      </c>
      <c r="AH3" s="16">
        <v>10888.0</v>
      </c>
      <c r="AI3" s="16">
        <v>9450.0</v>
      </c>
      <c r="AJ3" s="16">
        <v>9269.0</v>
      </c>
      <c r="AK3" s="16">
        <v>11767.0</v>
      </c>
      <c r="AL3" s="16">
        <v>11194.0</v>
      </c>
      <c r="AM3" s="16">
        <v>10021.0</v>
      </c>
      <c r="AN3" s="16">
        <v>10275.0</v>
      </c>
      <c r="AO3" s="16">
        <v>12371.0</v>
      </c>
      <c r="AP3" s="16">
        <v>12698.0</v>
      </c>
      <c r="AQ3" s="16">
        <v>13001.0</v>
      </c>
      <c r="AR3" s="16">
        <v>14781.0</v>
      </c>
      <c r="AS3" s="16">
        <v>15786.0</v>
      </c>
      <c r="AT3" s="16">
        <v>13055.0</v>
      </c>
      <c r="AU3" s="16">
        <v>12962.0</v>
      </c>
      <c r="AV3" s="16">
        <v>12753.0</v>
      </c>
      <c r="AW3" s="16">
        <v>9703.0</v>
      </c>
      <c r="AX3" s="16">
        <v>11324.0</v>
      </c>
      <c r="AY3" s="16">
        <v>11544.0</v>
      </c>
      <c r="AZ3" s="16">
        <v>10790.0</v>
      </c>
      <c r="BA3" s="16">
        <v>11276.0</v>
      </c>
      <c r="BB3" s="16">
        <v>10660.0</v>
      </c>
      <c r="BC3" s="16">
        <v>10778.0</v>
      </c>
      <c r="BD3" s="16">
        <v>12145.0</v>
      </c>
      <c r="BE3" s="16">
        <v>10265.0</v>
      </c>
      <c r="BF3" s="16">
        <v>12505.0</v>
      </c>
      <c r="BG3" s="16">
        <v>11742.0</v>
      </c>
      <c r="BH3" s="16">
        <v>14024.0</v>
      </c>
      <c r="BI3" s="16">
        <v>11034.0</v>
      </c>
      <c r="BJ3" s="16">
        <v>10251.0</v>
      </c>
      <c r="BK3" s="16">
        <v>11176.0</v>
      </c>
      <c r="BL3" s="16"/>
      <c r="BM3" s="16"/>
      <c r="BN3" s="16"/>
      <c r="BO3" s="16"/>
      <c r="BP3" s="16"/>
      <c r="BQ3" s="16"/>
      <c r="BR3" s="16"/>
      <c r="BS3" s="3"/>
      <c r="BT3" s="9" t="s">
        <v>119</v>
      </c>
      <c r="BU3" s="9"/>
      <c r="BV3" s="1"/>
      <c r="BW3" s="1"/>
      <c r="BX3" s="1"/>
      <c r="BY3" s="1"/>
      <c r="BZ3" s="1"/>
    </row>
    <row r="4">
      <c r="A4" s="17"/>
      <c r="B4" s="18" t="s">
        <v>117</v>
      </c>
      <c r="C4" s="19"/>
      <c r="D4" s="19" t="s">
        <v>120</v>
      </c>
      <c r="E4" s="20">
        <v>1.05135729E7</v>
      </c>
      <c r="F4" s="20">
        <v>1.1174406E7</v>
      </c>
      <c r="G4" s="20">
        <v>1.1400753E7</v>
      </c>
      <c r="H4" s="20">
        <v>1.2538121E7</v>
      </c>
      <c r="I4" s="20">
        <v>1.2760823E7</v>
      </c>
      <c r="J4" s="20">
        <v>1.146263618E7</v>
      </c>
      <c r="K4" s="20">
        <v>1.185957373E7</v>
      </c>
      <c r="L4" s="18">
        <v>1.172324512E7</v>
      </c>
      <c r="M4" s="18">
        <v>1.0927202E7</v>
      </c>
      <c r="N4" s="18">
        <v>1.1965784E7</v>
      </c>
      <c r="O4" s="18">
        <v>1.3850753E7</v>
      </c>
      <c r="P4" s="18">
        <v>1.223479E7</v>
      </c>
      <c r="Q4" s="18">
        <v>1.174206E7</v>
      </c>
      <c r="R4" s="18">
        <v>1.193294448E7</v>
      </c>
      <c r="S4" s="18">
        <v>1.1653265E7</v>
      </c>
      <c r="T4" s="18">
        <v>1.270880306E7</v>
      </c>
      <c r="U4" s="18">
        <v>1.2837556E7</v>
      </c>
      <c r="V4" s="18">
        <v>1.3134977E7</v>
      </c>
      <c r="W4" s="18">
        <v>1.2200734E7</v>
      </c>
      <c r="X4" s="18">
        <v>1.3787915E7</v>
      </c>
      <c r="Y4" s="18">
        <v>1.4589816E7</v>
      </c>
      <c r="Z4" s="18">
        <v>1.3937742E7</v>
      </c>
      <c r="AA4" s="18">
        <v>1.3628412E7</v>
      </c>
      <c r="AB4" s="18">
        <v>1.1854829E7</v>
      </c>
      <c r="AC4" s="18">
        <v>1.2721883E7</v>
      </c>
      <c r="AD4" s="18">
        <v>1.3264238E7</v>
      </c>
      <c r="AE4" s="16">
        <v>1.3888367E7</v>
      </c>
      <c r="AF4" s="16">
        <v>1.3191905E7</v>
      </c>
      <c r="AG4" s="16">
        <v>1.4144143E7</v>
      </c>
      <c r="AH4" s="16">
        <v>1.6297781E7</v>
      </c>
      <c r="AI4" s="16">
        <v>1.4518204E7</v>
      </c>
      <c r="AJ4" s="16">
        <v>1.4799452E7</v>
      </c>
      <c r="AK4" s="16">
        <v>1.5926719E7</v>
      </c>
      <c r="AL4" s="16">
        <v>1.6210201E7</v>
      </c>
      <c r="AM4" s="16">
        <v>1.5084875E7</v>
      </c>
      <c r="AN4" s="16">
        <v>1.5511293E7</v>
      </c>
      <c r="AO4" s="16">
        <v>1.8675092E7</v>
      </c>
      <c r="AP4" s="16">
        <v>1.9029701E7</v>
      </c>
      <c r="AQ4" s="16">
        <v>1.9053261E7</v>
      </c>
      <c r="AR4" s="16">
        <v>2.0074382E7</v>
      </c>
      <c r="AS4" s="16">
        <v>2.059640284E7</v>
      </c>
      <c r="AT4" s="16">
        <v>1.901984071E7</v>
      </c>
      <c r="AU4" s="16">
        <v>1.9912147E7</v>
      </c>
      <c r="AV4" s="16">
        <v>1.9325234E7</v>
      </c>
      <c r="AW4" s="16">
        <v>1.4956571E7</v>
      </c>
      <c r="AX4" s="16">
        <v>1.6178093E7</v>
      </c>
      <c r="AY4" s="16">
        <v>1.7397818E7</v>
      </c>
      <c r="AZ4" s="16">
        <v>1.6660514E7</v>
      </c>
      <c r="BA4" s="16">
        <v>1.6599244E7</v>
      </c>
      <c r="BB4" s="16">
        <v>1.531572354E7</v>
      </c>
      <c r="BC4" s="16">
        <v>1.5764761E7</v>
      </c>
      <c r="BD4" s="16">
        <v>1.7661414E7</v>
      </c>
      <c r="BE4" s="16">
        <v>1.523426E7</v>
      </c>
      <c r="BF4" s="16">
        <v>1.3964155E7</v>
      </c>
      <c r="BG4" s="16">
        <v>1.624389225E7</v>
      </c>
      <c r="BH4" s="16">
        <v>1.801331E7</v>
      </c>
      <c r="BI4" s="16">
        <v>1.6422374E7</v>
      </c>
      <c r="BJ4" s="16">
        <v>1.5296132E7</v>
      </c>
      <c r="BK4" s="16">
        <v>1.6911513E7</v>
      </c>
      <c r="BL4" s="16"/>
      <c r="BM4" s="16"/>
      <c r="BN4" s="16"/>
      <c r="BO4" s="16"/>
      <c r="BP4" s="16"/>
      <c r="BQ4" s="16"/>
      <c r="BR4" s="16"/>
      <c r="BS4" s="3"/>
      <c r="BT4" s="9" t="s">
        <v>119</v>
      </c>
      <c r="BU4" s="9"/>
      <c r="BV4" s="17"/>
      <c r="BW4" s="17"/>
      <c r="BX4" s="17"/>
      <c r="BY4" s="17"/>
      <c r="BZ4" s="17"/>
    </row>
    <row r="5">
      <c r="A5" s="17"/>
      <c r="B5" s="18" t="s">
        <v>117</v>
      </c>
      <c r="C5" s="19"/>
      <c r="D5" s="19" t="s">
        <v>121</v>
      </c>
      <c r="E5" s="21">
        <f>E4</f>
        <v>10513572.9</v>
      </c>
      <c r="F5" s="22">
        <f t="shared" ref="F5:I5" si="1">F4+E5</f>
        <v>21687978.9</v>
      </c>
      <c r="G5" s="22">
        <f t="shared" si="1"/>
        <v>33088731.9</v>
      </c>
      <c r="H5" s="22">
        <f t="shared" si="1"/>
        <v>45626852.9</v>
      </c>
      <c r="I5" s="22">
        <f t="shared" si="1"/>
        <v>58387675.9</v>
      </c>
      <c r="J5" s="22">
        <f>J4</f>
        <v>11462636.18</v>
      </c>
      <c r="K5" s="22">
        <f t="shared" ref="K5:M5" si="2">K4+J5</f>
        <v>23322209.91</v>
      </c>
      <c r="L5" s="22">
        <f t="shared" si="2"/>
        <v>35045455.03</v>
      </c>
      <c r="M5" s="22">
        <f t="shared" si="2"/>
        <v>45972657.03</v>
      </c>
      <c r="N5" s="22">
        <f>N4</f>
        <v>11965784</v>
      </c>
      <c r="O5" s="22">
        <f t="shared" ref="O5:R5" si="3">O4+N5</f>
        <v>25816537</v>
      </c>
      <c r="P5" s="22">
        <f t="shared" si="3"/>
        <v>38051327</v>
      </c>
      <c r="Q5" s="22">
        <f t="shared" si="3"/>
        <v>49793387</v>
      </c>
      <c r="R5" s="22">
        <f t="shared" si="3"/>
        <v>61726331.48</v>
      </c>
      <c r="S5" s="23">
        <f>S4</f>
        <v>11653265</v>
      </c>
      <c r="T5" s="23">
        <f t="shared" ref="T5:V5" si="4">S5+T4</f>
        <v>24362068.06</v>
      </c>
      <c r="U5" s="23">
        <f t="shared" si="4"/>
        <v>37199624.06</v>
      </c>
      <c r="V5" s="23">
        <f t="shared" si="4"/>
        <v>50334601.06</v>
      </c>
      <c r="W5" s="23">
        <f>W4</f>
        <v>12200734</v>
      </c>
      <c r="X5" s="23">
        <f t="shared" ref="X5:Z5" si="5">X4+W5</f>
        <v>25988649</v>
      </c>
      <c r="Y5" s="23">
        <f t="shared" si="5"/>
        <v>40578465</v>
      </c>
      <c r="Z5" s="23">
        <f t="shared" si="5"/>
        <v>54516207</v>
      </c>
      <c r="AA5" s="23">
        <f>AA4</f>
        <v>13628412</v>
      </c>
      <c r="AB5" s="23">
        <f t="shared" ref="AB5:AE5" si="6">AB4+AA5</f>
        <v>25483241</v>
      </c>
      <c r="AC5" s="23">
        <f t="shared" si="6"/>
        <v>38205124</v>
      </c>
      <c r="AD5" s="23">
        <f t="shared" si="6"/>
        <v>51469362</v>
      </c>
      <c r="AE5" s="23">
        <f t="shared" si="6"/>
        <v>65357729</v>
      </c>
      <c r="AF5" s="23">
        <f>AF4</f>
        <v>13191905</v>
      </c>
      <c r="AG5" s="23">
        <f t="shared" ref="AG5:AI5" si="7">AG4+AF5</f>
        <v>27336048</v>
      </c>
      <c r="AH5" s="23">
        <f t="shared" si="7"/>
        <v>43633829</v>
      </c>
      <c r="AI5" s="23">
        <f t="shared" si="7"/>
        <v>58152033</v>
      </c>
      <c r="AJ5" s="23">
        <f>AJ4</f>
        <v>14799452</v>
      </c>
      <c r="AK5" s="23">
        <f t="shared" ref="AK5:AM5" si="8">AK4+AJ5</f>
        <v>30726171</v>
      </c>
      <c r="AL5" s="23">
        <f t="shared" si="8"/>
        <v>46936372</v>
      </c>
      <c r="AM5" s="23">
        <f t="shared" si="8"/>
        <v>62021247</v>
      </c>
      <c r="AN5" s="23">
        <f>AN4</f>
        <v>15511293</v>
      </c>
      <c r="AO5" s="23">
        <f t="shared" ref="AO5:AR5" si="9">AO4+AN5</f>
        <v>34186385</v>
      </c>
      <c r="AP5" s="23">
        <f t="shared" si="9"/>
        <v>53216086</v>
      </c>
      <c r="AQ5" s="23">
        <f t="shared" si="9"/>
        <v>72269347</v>
      </c>
      <c r="AR5" s="23">
        <f t="shared" si="9"/>
        <v>92343729</v>
      </c>
      <c r="AS5" s="23">
        <f>AS4</f>
        <v>20596402.84</v>
      </c>
      <c r="AT5" s="23">
        <f t="shared" ref="AT5:AV5" si="10">AT4+AS5</f>
        <v>39616243.55</v>
      </c>
      <c r="AU5" s="23">
        <f t="shared" si="10"/>
        <v>59528390.55</v>
      </c>
      <c r="AV5" s="23">
        <f t="shared" si="10"/>
        <v>78853624.55</v>
      </c>
      <c r="AW5" s="23">
        <f>AW4</f>
        <v>14956571</v>
      </c>
      <c r="AX5" s="23">
        <f t="shared" ref="AX5:BA5" si="11">AX4+AW5</f>
        <v>31134664</v>
      </c>
      <c r="AY5" s="23">
        <f t="shared" si="11"/>
        <v>48532482</v>
      </c>
      <c r="AZ5" s="23">
        <f t="shared" si="11"/>
        <v>65192996</v>
      </c>
      <c r="BA5" s="23">
        <f t="shared" si="11"/>
        <v>81792240</v>
      </c>
      <c r="BB5" s="23">
        <f>BB4</f>
        <v>15315723.54</v>
      </c>
      <c r="BC5" s="23">
        <f t="shared" ref="BC5:BE5" si="12">BC4+BB5</f>
        <v>31080484.54</v>
      </c>
      <c r="BD5" s="23">
        <f t="shared" si="12"/>
        <v>48741898.54</v>
      </c>
      <c r="BE5" s="23">
        <f t="shared" si="12"/>
        <v>63976158.54</v>
      </c>
      <c r="BF5" s="23">
        <f>BF4</f>
        <v>13964155</v>
      </c>
      <c r="BG5" s="23">
        <f t="shared" ref="BG5:BI5" si="13">BG4+BF5</f>
        <v>30208047.25</v>
      </c>
      <c r="BH5" s="23">
        <f t="shared" si="13"/>
        <v>48221357.25</v>
      </c>
      <c r="BI5" s="23">
        <f t="shared" si="13"/>
        <v>64643731.25</v>
      </c>
      <c r="BJ5" s="23">
        <f>BJ4</f>
        <v>15296132</v>
      </c>
      <c r="BK5" s="23">
        <f>BK4+BJ5</f>
        <v>32207645</v>
      </c>
      <c r="BL5" s="23"/>
      <c r="BM5" s="23"/>
      <c r="BN5" s="23"/>
      <c r="BO5" s="23"/>
      <c r="BP5" s="23"/>
      <c r="BQ5" s="23"/>
      <c r="BR5" s="23"/>
      <c r="BS5" s="23"/>
      <c r="BT5" s="24" t="s">
        <v>122</v>
      </c>
      <c r="BU5" s="24"/>
      <c r="BV5" s="23"/>
      <c r="BW5" s="23"/>
      <c r="BX5" s="23"/>
      <c r="BY5" s="23"/>
      <c r="BZ5" s="23"/>
    </row>
    <row r="6">
      <c r="A6" s="1"/>
      <c r="B6" s="3" t="s">
        <v>117</v>
      </c>
      <c r="C6" s="12"/>
      <c r="D6" s="12" t="s">
        <v>123</v>
      </c>
      <c r="E6" s="25"/>
      <c r="F6" s="26">
        <f t="shared" ref="F6:BK6" si="14">F4/E4</f>
        <v>1.062855235</v>
      </c>
      <c r="G6" s="26">
        <f t="shared" si="14"/>
        <v>1.020255842</v>
      </c>
      <c r="H6" s="26">
        <f t="shared" si="14"/>
        <v>1.099762533</v>
      </c>
      <c r="I6" s="26">
        <f t="shared" si="14"/>
        <v>1.017761992</v>
      </c>
      <c r="J6" s="26">
        <f t="shared" si="14"/>
        <v>0.8982677826</v>
      </c>
      <c r="K6" s="26">
        <f t="shared" si="14"/>
        <v>1.034628819</v>
      </c>
      <c r="L6" s="26">
        <f t="shared" si="14"/>
        <v>0.9885047631</v>
      </c>
      <c r="M6" s="26">
        <f t="shared" si="14"/>
        <v>0.9320970336</v>
      </c>
      <c r="N6" s="26">
        <f t="shared" si="14"/>
        <v>1.095045557</v>
      </c>
      <c r="O6" s="26">
        <f t="shared" si="14"/>
        <v>1.15752992</v>
      </c>
      <c r="P6" s="26">
        <f t="shared" si="14"/>
        <v>0.8833303142</v>
      </c>
      <c r="Q6" s="26">
        <f t="shared" si="14"/>
        <v>0.9597271388</v>
      </c>
      <c r="R6" s="26">
        <f t="shared" si="14"/>
        <v>1.016256473</v>
      </c>
      <c r="S6" s="26">
        <f t="shared" si="14"/>
        <v>0.9765624083</v>
      </c>
      <c r="T6" s="26">
        <f t="shared" si="14"/>
        <v>1.09057874</v>
      </c>
      <c r="U6" s="26">
        <f t="shared" si="14"/>
        <v>1.010131004</v>
      </c>
      <c r="V6" s="26">
        <f t="shared" si="14"/>
        <v>1.023168039</v>
      </c>
      <c r="W6" s="26">
        <f t="shared" si="14"/>
        <v>0.9288736478</v>
      </c>
      <c r="X6" s="26">
        <f t="shared" si="14"/>
        <v>1.130088977</v>
      </c>
      <c r="Y6" s="26">
        <f t="shared" si="14"/>
        <v>1.0581597</v>
      </c>
      <c r="Z6" s="26">
        <f t="shared" si="14"/>
        <v>0.9553062218</v>
      </c>
      <c r="AA6" s="26">
        <f t="shared" si="14"/>
        <v>0.9778063046</v>
      </c>
      <c r="AB6" s="26">
        <f t="shared" si="14"/>
        <v>0.8698613602</v>
      </c>
      <c r="AC6" s="26">
        <f t="shared" si="14"/>
        <v>1.073139309</v>
      </c>
      <c r="AD6" s="26">
        <f t="shared" si="14"/>
        <v>1.042631661</v>
      </c>
      <c r="AE6" s="26">
        <f t="shared" si="14"/>
        <v>1.047053513</v>
      </c>
      <c r="AF6" s="26">
        <f t="shared" si="14"/>
        <v>0.9498528517</v>
      </c>
      <c r="AG6" s="26">
        <f t="shared" si="14"/>
        <v>1.07218351</v>
      </c>
      <c r="AH6" s="26">
        <f t="shared" si="14"/>
        <v>1.152263591</v>
      </c>
      <c r="AI6" s="26">
        <f t="shared" si="14"/>
        <v>0.8908086322</v>
      </c>
      <c r="AJ6" s="26">
        <f t="shared" si="14"/>
        <v>1.019372093</v>
      </c>
      <c r="AK6" s="26">
        <f t="shared" si="14"/>
        <v>1.07616951</v>
      </c>
      <c r="AL6" s="26">
        <f t="shared" si="14"/>
        <v>1.017799146</v>
      </c>
      <c r="AM6" s="26">
        <f t="shared" si="14"/>
        <v>0.9305791458</v>
      </c>
      <c r="AN6" s="26">
        <f t="shared" si="14"/>
        <v>1.028267917</v>
      </c>
      <c r="AO6" s="26">
        <f t="shared" si="14"/>
        <v>1.203967458</v>
      </c>
      <c r="AP6" s="26">
        <f t="shared" si="14"/>
        <v>1.01898834</v>
      </c>
      <c r="AQ6" s="26">
        <f t="shared" si="14"/>
        <v>1.001238065</v>
      </c>
      <c r="AR6" s="26">
        <f t="shared" si="14"/>
        <v>1.053592978</v>
      </c>
      <c r="AS6" s="26">
        <f t="shared" si="14"/>
        <v>1.026004329</v>
      </c>
      <c r="AT6" s="26">
        <f t="shared" si="14"/>
        <v>0.9234544914</v>
      </c>
      <c r="AU6" s="26">
        <f t="shared" si="14"/>
        <v>1.046914499</v>
      </c>
      <c r="AV6" s="26">
        <f t="shared" si="14"/>
        <v>0.9705248761</v>
      </c>
      <c r="AW6" s="26">
        <f t="shared" si="14"/>
        <v>0.7739399689</v>
      </c>
      <c r="AX6" s="26">
        <f t="shared" si="14"/>
        <v>1.08167126</v>
      </c>
      <c r="AY6" s="26">
        <f t="shared" si="14"/>
        <v>1.07539362</v>
      </c>
      <c r="AZ6" s="26">
        <f t="shared" si="14"/>
        <v>0.9576208925</v>
      </c>
      <c r="BA6" s="26">
        <f t="shared" si="14"/>
        <v>0.9963224424</v>
      </c>
      <c r="BB6" s="26">
        <f t="shared" si="14"/>
        <v>0.9226759689</v>
      </c>
      <c r="BC6" s="26">
        <f t="shared" si="14"/>
        <v>1.029318723</v>
      </c>
      <c r="BD6" s="26">
        <f t="shared" si="14"/>
        <v>1.120309658</v>
      </c>
      <c r="BE6" s="26">
        <f t="shared" si="14"/>
        <v>0.8625730646</v>
      </c>
      <c r="BF6" s="26">
        <f t="shared" si="14"/>
        <v>0.9166283758</v>
      </c>
      <c r="BG6" s="26">
        <f t="shared" si="14"/>
        <v>1.16325637</v>
      </c>
      <c r="BH6" s="26">
        <f t="shared" si="14"/>
        <v>1.108928188</v>
      </c>
      <c r="BI6" s="26">
        <f t="shared" si="14"/>
        <v>0.9116799744</v>
      </c>
      <c r="BJ6" s="26">
        <f t="shared" si="14"/>
        <v>0.9314202685</v>
      </c>
      <c r="BK6" s="26">
        <f t="shared" si="14"/>
        <v>1.105607156</v>
      </c>
      <c r="BL6" s="26"/>
      <c r="BM6" s="26"/>
      <c r="BN6" s="26"/>
      <c r="BO6" s="26"/>
      <c r="BP6" s="26"/>
      <c r="BQ6" s="26"/>
      <c r="BR6" s="26"/>
      <c r="BS6" s="25"/>
      <c r="BT6" s="27" t="s">
        <v>124</v>
      </c>
      <c r="BU6" s="27"/>
      <c r="BV6" s="26">
        <f>BV4/X4</f>
        <v>0</v>
      </c>
      <c r="BW6" s="26">
        <f>BW4/Z4</f>
        <v>0</v>
      </c>
      <c r="BX6" s="26" t="str">
        <f>BX4/BW4</f>
        <v>#DIV/0!</v>
      </c>
      <c r="BY6" s="26"/>
      <c r="BZ6" s="26"/>
    </row>
    <row r="7">
      <c r="A7" s="1"/>
      <c r="B7" s="3" t="s">
        <v>117</v>
      </c>
      <c r="C7" s="12"/>
      <c r="D7" s="12" t="s">
        <v>125</v>
      </c>
      <c r="E7" s="2">
        <v>8613.0</v>
      </c>
      <c r="F7" s="2">
        <v>8708.0</v>
      </c>
      <c r="G7" s="2">
        <v>8087.0</v>
      </c>
      <c r="H7" s="2">
        <v>9277.0</v>
      </c>
      <c r="I7" s="2">
        <v>9141.0</v>
      </c>
      <c r="J7" s="2">
        <v>8454.0</v>
      </c>
      <c r="K7" s="2">
        <v>8356.0</v>
      </c>
      <c r="L7" s="3">
        <v>6602.0</v>
      </c>
      <c r="M7" s="3">
        <v>7192.0</v>
      </c>
      <c r="N7" s="3">
        <v>6837.0</v>
      </c>
      <c r="O7" s="3">
        <v>7577.0</v>
      </c>
      <c r="P7" s="3">
        <v>9185.0</v>
      </c>
      <c r="Q7" s="3">
        <v>7918.0</v>
      </c>
      <c r="R7" s="3">
        <v>7831.0</v>
      </c>
      <c r="S7" s="3">
        <v>6791.0</v>
      </c>
      <c r="T7" s="3">
        <v>11372.0</v>
      </c>
      <c r="U7" s="3">
        <v>10651.0</v>
      </c>
      <c r="V7" s="3">
        <v>10615.0</v>
      </c>
      <c r="W7" s="3">
        <v>8466.0</v>
      </c>
      <c r="X7" s="3">
        <v>9075.0</v>
      </c>
      <c r="Y7" s="28">
        <v>10267.0</v>
      </c>
      <c r="Z7" s="3">
        <v>9385.0</v>
      </c>
      <c r="AA7" s="3">
        <v>7640.0</v>
      </c>
      <c r="AB7" s="3">
        <v>7984.0</v>
      </c>
      <c r="AC7" s="3">
        <v>8812.0</v>
      </c>
      <c r="AD7" s="3">
        <v>10705.0</v>
      </c>
      <c r="AE7" s="16">
        <v>9385.0</v>
      </c>
      <c r="AF7" s="16">
        <v>8157.0</v>
      </c>
      <c r="AG7" s="16">
        <v>11542.0</v>
      </c>
      <c r="AH7" s="16">
        <v>10554.0</v>
      </c>
      <c r="AI7" s="16">
        <v>8511.0</v>
      </c>
      <c r="AJ7" s="16">
        <v>12556.0</v>
      </c>
      <c r="AK7" s="16">
        <v>13171.0</v>
      </c>
      <c r="AL7" s="16">
        <v>10316.0</v>
      </c>
      <c r="AM7" s="16">
        <v>11087.0</v>
      </c>
      <c r="AN7" s="16">
        <v>11032.0</v>
      </c>
      <c r="AO7" s="16">
        <v>12636.0</v>
      </c>
      <c r="AP7" s="16">
        <v>13848.0</v>
      </c>
      <c r="AQ7" s="16">
        <v>14800.0</v>
      </c>
      <c r="AR7" s="16">
        <v>16767.0</v>
      </c>
      <c r="AS7" s="16">
        <v>14200.0</v>
      </c>
      <c r="AT7" s="16">
        <v>13831.0</v>
      </c>
      <c r="AU7" s="16">
        <v>13355.0</v>
      </c>
      <c r="AV7" s="16">
        <v>12794.0</v>
      </c>
      <c r="AW7" s="16">
        <v>9834.0</v>
      </c>
      <c r="AX7" s="16">
        <v>11608.0</v>
      </c>
      <c r="AY7" s="16">
        <v>11732.0</v>
      </c>
      <c r="AZ7" s="16">
        <v>11223.0</v>
      </c>
      <c r="BA7" s="16">
        <v>11544.0</v>
      </c>
      <c r="BB7" s="16">
        <v>10338.0</v>
      </c>
      <c r="BC7" s="16">
        <v>12808.0</v>
      </c>
      <c r="BD7" s="16">
        <v>11156.0</v>
      </c>
      <c r="BE7" s="16">
        <v>10975.0</v>
      </c>
      <c r="BF7" s="16">
        <v>15158.0</v>
      </c>
      <c r="BG7" s="16">
        <v>11986.0</v>
      </c>
      <c r="BH7" s="16">
        <v>16599.0</v>
      </c>
      <c r="BI7" s="16">
        <v>10456.0</v>
      </c>
      <c r="BJ7" s="16">
        <v>10857.0</v>
      </c>
      <c r="BK7" s="16">
        <v>10757.0</v>
      </c>
      <c r="BL7" s="16"/>
      <c r="BM7" s="16"/>
      <c r="BN7" s="16"/>
      <c r="BO7" s="16"/>
      <c r="BP7" s="16"/>
      <c r="BQ7" s="16"/>
      <c r="BR7" s="16"/>
      <c r="BS7" s="28"/>
      <c r="BT7" s="29" t="s">
        <v>126</v>
      </c>
      <c r="BU7" s="30"/>
      <c r="BV7" s="1"/>
      <c r="BW7" s="1"/>
      <c r="BX7" s="1"/>
      <c r="BY7" s="1"/>
      <c r="BZ7" s="1"/>
    </row>
    <row r="8">
      <c r="A8" s="17"/>
      <c r="B8" s="18" t="s">
        <v>117</v>
      </c>
      <c r="C8" s="19"/>
      <c r="D8" s="19" t="s">
        <v>127</v>
      </c>
      <c r="E8" s="20">
        <v>1.153119006E7</v>
      </c>
      <c r="F8" s="20">
        <v>1.143959989E7</v>
      </c>
      <c r="G8" s="20">
        <v>1.2155341E7</v>
      </c>
      <c r="H8" s="20">
        <v>1.343551273E7</v>
      </c>
      <c r="I8" s="20">
        <v>1.260813215E7</v>
      </c>
      <c r="J8" s="20">
        <v>1.162772432E7</v>
      </c>
      <c r="K8" s="20">
        <v>1.287902578E7</v>
      </c>
      <c r="L8" s="18">
        <v>1.138799372E7</v>
      </c>
      <c r="M8" s="18">
        <v>1.197319537E7</v>
      </c>
      <c r="N8" s="18">
        <v>1.380485117E7</v>
      </c>
      <c r="O8" s="18">
        <v>1.335586228E7</v>
      </c>
      <c r="P8" s="18">
        <v>1.305698388E7</v>
      </c>
      <c r="Q8" s="18">
        <v>1.17857468E7</v>
      </c>
      <c r="R8" s="18">
        <v>1.283051255E7</v>
      </c>
      <c r="S8" s="18">
        <v>1.1722181E7</v>
      </c>
      <c r="T8" s="18">
        <v>1.476203185E7</v>
      </c>
      <c r="U8" s="18">
        <v>1.3241478E7</v>
      </c>
      <c r="V8" s="18">
        <v>1.3104513E7</v>
      </c>
      <c r="W8" s="18">
        <v>1.3467796E7</v>
      </c>
      <c r="X8" s="18">
        <v>1.4085227E7</v>
      </c>
      <c r="Y8" s="18">
        <v>1.5942228E7</v>
      </c>
      <c r="Z8" s="18">
        <v>1.502599529E7</v>
      </c>
      <c r="AA8" s="18">
        <v>1.2001477E7</v>
      </c>
      <c r="AB8" s="18">
        <v>1.2742133E7</v>
      </c>
      <c r="AC8" s="18">
        <v>1.273396E7</v>
      </c>
      <c r="AD8" s="18">
        <v>1.5313182E7</v>
      </c>
      <c r="AE8" s="16">
        <v>1.3875492E7</v>
      </c>
      <c r="AF8" s="16">
        <v>1.3283907E7</v>
      </c>
      <c r="AG8" s="16">
        <v>1.7398246E7</v>
      </c>
      <c r="AH8" s="16">
        <v>1.582870749E7</v>
      </c>
      <c r="AI8" s="16">
        <v>1.3837991E7</v>
      </c>
      <c r="AJ8" s="16">
        <v>1.7554364E7</v>
      </c>
      <c r="AK8" s="16">
        <v>1.6581942E7</v>
      </c>
      <c r="AL8" s="16">
        <v>1.5306973E7</v>
      </c>
      <c r="AM8" s="16">
        <v>1.6796219E7</v>
      </c>
      <c r="AN8" s="16">
        <v>1.7318927E7</v>
      </c>
      <c r="AO8" s="16">
        <v>1.9197094E7</v>
      </c>
      <c r="AP8" s="16">
        <v>2.0921224E7</v>
      </c>
      <c r="AQ8" s="16">
        <v>2.144207E7</v>
      </c>
      <c r="AR8" s="16">
        <v>2.1199987E7</v>
      </c>
      <c r="AS8" s="16">
        <v>1.9966618E7</v>
      </c>
      <c r="AT8" s="16">
        <v>2.0998016E7</v>
      </c>
      <c r="AU8" s="16">
        <v>2.0304404E7</v>
      </c>
      <c r="AV8" s="16">
        <v>2.029399E7</v>
      </c>
      <c r="AW8" s="16">
        <v>1.436688E7</v>
      </c>
      <c r="AX8" s="16">
        <v>1.6454578E7</v>
      </c>
      <c r="AY8" s="16">
        <v>1.8038588E7</v>
      </c>
      <c r="AZ8" s="16">
        <v>1.785212E7</v>
      </c>
      <c r="BA8" s="16">
        <v>1.6570389E7</v>
      </c>
      <c r="BB8" s="16">
        <v>1.463352E7</v>
      </c>
      <c r="BC8" s="16">
        <v>1.9186539E7</v>
      </c>
      <c r="BD8" s="16">
        <v>1.6957084E7</v>
      </c>
      <c r="BE8" s="16">
        <v>1.548745E7</v>
      </c>
      <c r="BF8" s="16">
        <v>1.5673257E7</v>
      </c>
      <c r="BG8" s="16">
        <v>1.7816991E7</v>
      </c>
      <c r="BH8" s="16">
        <v>2.1307107E7</v>
      </c>
      <c r="BI8" s="16">
        <v>1.545666E7</v>
      </c>
      <c r="BJ8" s="16">
        <v>1.7274816E7</v>
      </c>
      <c r="BK8" s="16">
        <v>1.6853776E7</v>
      </c>
      <c r="BL8" s="16"/>
      <c r="BM8" s="16"/>
      <c r="BN8" s="16"/>
      <c r="BO8" s="16"/>
      <c r="BP8" s="16"/>
      <c r="BQ8" s="16"/>
      <c r="BR8" s="16"/>
      <c r="BS8" s="28"/>
      <c r="BT8" s="29" t="s">
        <v>128</v>
      </c>
      <c r="BU8" s="30"/>
      <c r="BV8" s="17"/>
      <c r="BW8" s="17"/>
      <c r="BX8" s="17"/>
      <c r="BY8" s="17"/>
      <c r="BZ8" s="17"/>
    </row>
    <row r="9">
      <c r="A9" s="17"/>
      <c r="B9" s="18" t="s">
        <v>117</v>
      </c>
      <c r="C9" s="19"/>
      <c r="D9" s="19" t="s">
        <v>129</v>
      </c>
      <c r="E9" s="22">
        <f>E8</f>
        <v>11531190.06</v>
      </c>
      <c r="F9" s="22">
        <f t="shared" ref="F9:I9" si="15">F8+E9</f>
        <v>22970789.95</v>
      </c>
      <c r="G9" s="22">
        <f t="shared" si="15"/>
        <v>35126130.95</v>
      </c>
      <c r="H9" s="22">
        <f t="shared" si="15"/>
        <v>48561643.68</v>
      </c>
      <c r="I9" s="22">
        <f t="shared" si="15"/>
        <v>61169775.83</v>
      </c>
      <c r="J9" s="22">
        <f>J8</f>
        <v>11627724.32</v>
      </c>
      <c r="K9" s="22">
        <f t="shared" ref="K9:M9" si="16">K8+J9</f>
        <v>24506750.1</v>
      </c>
      <c r="L9" s="22">
        <f t="shared" si="16"/>
        <v>35894743.82</v>
      </c>
      <c r="M9" s="22">
        <f t="shared" si="16"/>
        <v>47867939.19</v>
      </c>
      <c r="N9" s="22">
        <f>N8</f>
        <v>13804851.17</v>
      </c>
      <c r="O9" s="22">
        <f t="shared" ref="O9:R9" si="17">O8+N9</f>
        <v>27160713.45</v>
      </c>
      <c r="P9" s="22">
        <f t="shared" si="17"/>
        <v>40217697.33</v>
      </c>
      <c r="Q9" s="22">
        <f t="shared" si="17"/>
        <v>52003444.13</v>
      </c>
      <c r="R9" s="22">
        <f t="shared" si="17"/>
        <v>64833956.68</v>
      </c>
      <c r="S9" s="23">
        <f>S8</f>
        <v>11722181</v>
      </c>
      <c r="T9" s="23">
        <f t="shared" ref="T9:V9" si="18">T8+S9</f>
        <v>26484212.85</v>
      </c>
      <c r="U9" s="23">
        <f t="shared" si="18"/>
        <v>39725690.85</v>
      </c>
      <c r="V9" s="23">
        <f t="shared" si="18"/>
        <v>52830203.85</v>
      </c>
      <c r="W9" s="23">
        <f>W8</f>
        <v>13467796</v>
      </c>
      <c r="X9" s="23">
        <f t="shared" ref="X9:Z9" si="19">X8+W9</f>
        <v>27553023</v>
      </c>
      <c r="Y9" s="23">
        <f t="shared" si="19"/>
        <v>43495251</v>
      </c>
      <c r="Z9" s="23">
        <f t="shared" si="19"/>
        <v>58521246.29</v>
      </c>
      <c r="AA9" s="23">
        <f>AA8</f>
        <v>12001477</v>
      </c>
      <c r="AB9" s="23">
        <f t="shared" ref="AB9:AE9" si="20">AB8+AA9</f>
        <v>24743610</v>
      </c>
      <c r="AC9" s="23">
        <f t="shared" si="20"/>
        <v>37477570</v>
      </c>
      <c r="AD9" s="23">
        <f t="shared" si="20"/>
        <v>52790752</v>
      </c>
      <c r="AE9" s="23">
        <f t="shared" si="20"/>
        <v>66666244</v>
      </c>
      <c r="AF9" s="23">
        <f>AF8</f>
        <v>13283907</v>
      </c>
      <c r="AG9" s="23">
        <f t="shared" ref="AG9:AI9" si="21">AG8+AF9</f>
        <v>30682153</v>
      </c>
      <c r="AH9" s="23">
        <f t="shared" si="21"/>
        <v>46510860.49</v>
      </c>
      <c r="AI9" s="23">
        <f t="shared" si="21"/>
        <v>60348851.49</v>
      </c>
      <c r="AJ9" s="23">
        <f>AJ8</f>
        <v>17554364</v>
      </c>
      <c r="AK9" s="23">
        <f t="shared" ref="AK9:AM9" si="22">AK8+AJ9</f>
        <v>34136306</v>
      </c>
      <c r="AL9" s="23">
        <f t="shared" si="22"/>
        <v>49443279</v>
      </c>
      <c r="AM9" s="23">
        <f t="shared" si="22"/>
        <v>66239498</v>
      </c>
      <c r="AN9" s="23">
        <f>AN8</f>
        <v>17318927</v>
      </c>
      <c r="AO9" s="23">
        <f t="shared" ref="AO9:AR9" si="23">AO8+AN9</f>
        <v>36516021</v>
      </c>
      <c r="AP9" s="23">
        <f t="shared" si="23"/>
        <v>57437245</v>
      </c>
      <c r="AQ9" s="23">
        <f t="shared" si="23"/>
        <v>78879315</v>
      </c>
      <c r="AR9" s="23">
        <f t="shared" si="23"/>
        <v>100079302</v>
      </c>
      <c r="AS9" s="23">
        <f>AS8</f>
        <v>19966618</v>
      </c>
      <c r="AT9" s="23">
        <f t="shared" ref="AT9:AV9" si="24">AT8+AS9</f>
        <v>40964634</v>
      </c>
      <c r="AU9" s="23">
        <f t="shared" si="24"/>
        <v>61269038</v>
      </c>
      <c r="AV9" s="23">
        <f t="shared" si="24"/>
        <v>81563028</v>
      </c>
      <c r="AW9" s="23">
        <f>AW8</f>
        <v>14366880</v>
      </c>
      <c r="AX9" s="23">
        <f t="shared" ref="AX9:BA9" si="25">AX8+AW9</f>
        <v>30821458</v>
      </c>
      <c r="AY9" s="23">
        <f t="shared" si="25"/>
        <v>48860046</v>
      </c>
      <c r="AZ9" s="23">
        <f t="shared" si="25"/>
        <v>66712166</v>
      </c>
      <c r="BA9" s="23">
        <f t="shared" si="25"/>
        <v>83282555</v>
      </c>
      <c r="BB9" s="23">
        <f>BB8</f>
        <v>14633520</v>
      </c>
      <c r="BC9" s="23">
        <f t="shared" ref="BC9:BE9" si="26">BC8+BB9</f>
        <v>33820059</v>
      </c>
      <c r="BD9" s="23">
        <f t="shared" si="26"/>
        <v>50777143</v>
      </c>
      <c r="BE9" s="23">
        <f t="shared" si="26"/>
        <v>66264593</v>
      </c>
      <c r="BF9" s="23">
        <f>BF8</f>
        <v>15673257</v>
      </c>
      <c r="BG9" s="23">
        <f t="shared" ref="BG9:BI9" si="27">BG8+BF9</f>
        <v>33490248</v>
      </c>
      <c r="BH9" s="23">
        <f t="shared" si="27"/>
        <v>54797355</v>
      </c>
      <c r="BI9" s="23">
        <f t="shared" si="27"/>
        <v>70254015</v>
      </c>
      <c r="BJ9" s="23">
        <f>BJ8</f>
        <v>17274816</v>
      </c>
      <c r="BK9" s="23">
        <f>BK8+BJ9</f>
        <v>34128592</v>
      </c>
      <c r="BL9" s="23"/>
      <c r="BM9" s="23"/>
      <c r="BN9" s="23"/>
      <c r="BO9" s="23"/>
      <c r="BP9" s="23"/>
      <c r="BQ9" s="23"/>
      <c r="BR9" s="23"/>
      <c r="BS9" s="31"/>
      <c r="BT9" s="24" t="s">
        <v>122</v>
      </c>
      <c r="BU9" s="24"/>
      <c r="BV9" s="23"/>
      <c r="BW9" s="23"/>
      <c r="BX9" s="23"/>
      <c r="BY9" s="23"/>
      <c r="BZ9" s="23"/>
    </row>
    <row r="10">
      <c r="A10" s="32"/>
      <c r="B10" s="33" t="s">
        <v>117</v>
      </c>
      <c r="C10" s="12"/>
      <c r="D10" s="12" t="s">
        <v>130</v>
      </c>
      <c r="E10" s="26"/>
      <c r="F10" s="26">
        <f t="shared" ref="F10:BK10" si="28">F8/E8</f>
        <v>0.9920571797</v>
      </c>
      <c r="G10" s="26">
        <f t="shared" si="28"/>
        <v>1.062566971</v>
      </c>
      <c r="H10" s="26">
        <f t="shared" si="28"/>
        <v>1.105317632</v>
      </c>
      <c r="I10" s="26">
        <f t="shared" si="28"/>
        <v>0.9384183844</v>
      </c>
      <c r="J10" s="26">
        <f t="shared" si="28"/>
        <v>0.9222400417</v>
      </c>
      <c r="K10" s="26">
        <f t="shared" si="28"/>
        <v>1.107613616</v>
      </c>
      <c r="L10" s="26">
        <f t="shared" si="28"/>
        <v>0.8842278845</v>
      </c>
      <c r="M10" s="26">
        <f t="shared" si="28"/>
        <v>1.051387599</v>
      </c>
      <c r="N10" s="26">
        <f t="shared" si="28"/>
        <v>1.152979697</v>
      </c>
      <c r="O10" s="26">
        <f t="shared" si="28"/>
        <v>0.9674760065</v>
      </c>
      <c r="P10" s="26">
        <f t="shared" si="28"/>
        <v>0.9776219316</v>
      </c>
      <c r="Q10" s="26">
        <f t="shared" si="28"/>
        <v>0.9026393008</v>
      </c>
      <c r="R10" s="26">
        <f t="shared" si="28"/>
        <v>1.088646546</v>
      </c>
      <c r="S10" s="26">
        <f t="shared" si="28"/>
        <v>0.9136175156</v>
      </c>
      <c r="T10" s="26">
        <f t="shared" si="28"/>
        <v>1.259324681</v>
      </c>
      <c r="U10" s="26">
        <f t="shared" si="28"/>
        <v>0.896995626</v>
      </c>
      <c r="V10" s="26">
        <f t="shared" si="28"/>
        <v>0.9896563662</v>
      </c>
      <c r="W10" s="26">
        <f t="shared" si="28"/>
        <v>1.027721976</v>
      </c>
      <c r="X10" s="26">
        <f t="shared" si="28"/>
        <v>1.045844992</v>
      </c>
      <c r="Y10" s="26">
        <f t="shared" si="28"/>
        <v>1.131840332</v>
      </c>
      <c r="Z10" s="26">
        <f t="shared" si="28"/>
        <v>0.9425279384</v>
      </c>
      <c r="AA10" s="26">
        <f t="shared" si="28"/>
        <v>0.7987142794</v>
      </c>
      <c r="AB10" s="26">
        <f t="shared" si="28"/>
        <v>1.061713737</v>
      </c>
      <c r="AC10" s="26">
        <f t="shared" si="28"/>
        <v>0.9993585846</v>
      </c>
      <c r="AD10" s="26">
        <f t="shared" si="28"/>
        <v>1.202546733</v>
      </c>
      <c r="AE10" s="26">
        <f t="shared" si="28"/>
        <v>0.9061142224</v>
      </c>
      <c r="AF10" s="26">
        <f t="shared" si="28"/>
        <v>0.9573647551</v>
      </c>
      <c r="AG10" s="26">
        <f t="shared" si="28"/>
        <v>1.309723563</v>
      </c>
      <c r="AH10" s="26">
        <f t="shared" si="28"/>
        <v>0.9097875435</v>
      </c>
      <c r="AI10" s="26">
        <f t="shared" si="28"/>
        <v>0.8742337938</v>
      </c>
      <c r="AJ10" s="26">
        <f t="shared" si="28"/>
        <v>1.268563045</v>
      </c>
      <c r="AK10" s="26">
        <f t="shared" si="28"/>
        <v>0.9446051136</v>
      </c>
      <c r="AL10" s="26">
        <f t="shared" si="28"/>
        <v>0.9231109963</v>
      </c>
      <c r="AM10" s="26">
        <f t="shared" si="28"/>
        <v>1.097291999</v>
      </c>
      <c r="AN10" s="26">
        <f t="shared" si="28"/>
        <v>1.031120575</v>
      </c>
      <c r="AO10" s="26">
        <f t="shared" si="28"/>
        <v>1.108445922</v>
      </c>
      <c r="AP10" s="26">
        <f t="shared" si="28"/>
        <v>1.089812031</v>
      </c>
      <c r="AQ10" s="26">
        <f t="shared" si="28"/>
        <v>1.02489558</v>
      </c>
      <c r="AR10" s="26">
        <f t="shared" si="28"/>
        <v>0.9887099053</v>
      </c>
      <c r="AS10" s="26">
        <f t="shared" si="28"/>
        <v>0.9418221813</v>
      </c>
      <c r="AT10" s="26">
        <f t="shared" si="28"/>
        <v>1.051656119</v>
      </c>
      <c r="AU10" s="26">
        <f t="shared" si="28"/>
        <v>0.9669677364</v>
      </c>
      <c r="AV10" s="26">
        <f t="shared" si="28"/>
        <v>0.9994871063</v>
      </c>
      <c r="AW10" s="26">
        <f t="shared" si="28"/>
        <v>0.7079376702</v>
      </c>
      <c r="AX10" s="26">
        <f t="shared" si="28"/>
        <v>1.145313248</v>
      </c>
      <c r="AY10" s="26">
        <f t="shared" si="28"/>
        <v>1.096265611</v>
      </c>
      <c r="AZ10" s="26">
        <f t="shared" si="28"/>
        <v>0.9896628273</v>
      </c>
      <c r="BA10" s="26">
        <f t="shared" si="28"/>
        <v>0.9282028689</v>
      </c>
      <c r="BB10" s="26">
        <f t="shared" si="28"/>
        <v>0.8831126415</v>
      </c>
      <c r="BC10" s="26">
        <f t="shared" si="28"/>
        <v>1.311136282</v>
      </c>
      <c r="BD10" s="26">
        <f t="shared" si="28"/>
        <v>0.8838010858</v>
      </c>
      <c r="BE10" s="26">
        <f t="shared" si="28"/>
        <v>0.9133321507</v>
      </c>
      <c r="BF10" s="26">
        <f t="shared" si="28"/>
        <v>1.011997262</v>
      </c>
      <c r="BG10" s="26">
        <f t="shared" si="28"/>
        <v>1.136776549</v>
      </c>
      <c r="BH10" s="26">
        <f t="shared" si="28"/>
        <v>1.195886949</v>
      </c>
      <c r="BI10" s="26">
        <f t="shared" si="28"/>
        <v>0.7254227427</v>
      </c>
      <c r="BJ10" s="26">
        <f t="shared" si="28"/>
        <v>1.117629294</v>
      </c>
      <c r="BK10" s="26">
        <f t="shared" si="28"/>
        <v>0.9756269473</v>
      </c>
      <c r="BL10" s="26"/>
      <c r="BM10" s="26"/>
      <c r="BN10" s="26"/>
      <c r="BO10" s="26"/>
      <c r="BP10" s="26"/>
      <c r="BQ10" s="26"/>
      <c r="BR10" s="26"/>
      <c r="BS10" s="25"/>
      <c r="BT10" s="27" t="s">
        <v>124</v>
      </c>
      <c r="BU10" s="27"/>
      <c r="BV10" s="26">
        <f>BV8/X8</f>
        <v>0</v>
      </c>
      <c r="BW10" s="26">
        <f>BW8/Z8</f>
        <v>0</v>
      </c>
      <c r="BX10" s="26" t="str">
        <f>BX8/BW8</f>
        <v>#DIV/0!</v>
      </c>
      <c r="BY10" s="26"/>
      <c r="BZ10" s="26"/>
    </row>
    <row r="11">
      <c r="A11" s="32"/>
      <c r="B11" s="34" t="s">
        <v>117</v>
      </c>
      <c r="C11" s="35"/>
      <c r="D11" s="35" t="s">
        <v>131</v>
      </c>
      <c r="E11" s="36">
        <f>E8</f>
        <v>11531190.06</v>
      </c>
      <c r="F11" s="36">
        <f t="shared" ref="F11:I11" si="29">F8+E11</f>
        <v>22970789.95</v>
      </c>
      <c r="G11" s="36">
        <f t="shared" si="29"/>
        <v>35126130.95</v>
      </c>
      <c r="H11" s="36">
        <f t="shared" si="29"/>
        <v>48561643.68</v>
      </c>
      <c r="I11" s="36">
        <f t="shared" si="29"/>
        <v>61169775.83</v>
      </c>
      <c r="J11" s="36">
        <f>J8</f>
        <v>11627724.32</v>
      </c>
      <c r="K11" s="36">
        <f t="shared" ref="K11:M11" si="30">K8+J11</f>
        <v>24506750.1</v>
      </c>
      <c r="L11" s="36">
        <f t="shared" si="30"/>
        <v>35894743.82</v>
      </c>
      <c r="M11" s="36">
        <f t="shared" si="30"/>
        <v>47867939.19</v>
      </c>
      <c r="N11" s="36">
        <f>N8</f>
        <v>13804851.17</v>
      </c>
      <c r="O11" s="36">
        <f t="shared" ref="O11:R11" si="31">O8+N11</f>
        <v>27160713.45</v>
      </c>
      <c r="P11" s="36">
        <f t="shared" si="31"/>
        <v>40217697.33</v>
      </c>
      <c r="Q11" s="36">
        <f t="shared" si="31"/>
        <v>52003444.13</v>
      </c>
      <c r="R11" s="36">
        <f t="shared" si="31"/>
        <v>64833956.68</v>
      </c>
      <c r="S11" s="36">
        <f>S8</f>
        <v>11722181</v>
      </c>
      <c r="T11" s="36">
        <f t="shared" ref="T11:V11" si="32">T8+S11</f>
        <v>26484212.85</v>
      </c>
      <c r="U11" s="36">
        <f t="shared" si="32"/>
        <v>39725690.85</v>
      </c>
      <c r="V11" s="36">
        <f t="shared" si="32"/>
        <v>52830203.85</v>
      </c>
      <c r="W11" s="37">
        <f>W8</f>
        <v>13467796</v>
      </c>
      <c r="X11" s="36">
        <f t="shared" ref="X11:Z11" si="33">X8+W11</f>
        <v>27553023</v>
      </c>
      <c r="Y11" s="36">
        <f t="shared" si="33"/>
        <v>43495251</v>
      </c>
      <c r="Z11" s="36">
        <f t="shared" si="33"/>
        <v>58521246.29</v>
      </c>
      <c r="AA11" s="36">
        <f>AA8</f>
        <v>12001477</v>
      </c>
      <c r="AB11" s="36">
        <f t="shared" ref="AB11:AD11" si="34">AB8+AA11</f>
        <v>24743610</v>
      </c>
      <c r="AC11" s="36">
        <f t="shared" si="34"/>
        <v>37477570</v>
      </c>
      <c r="AD11" s="36">
        <f t="shared" si="34"/>
        <v>52790752</v>
      </c>
      <c r="AE11" s="36">
        <f t="shared" ref="AE11:BK11" si="35">AE9</f>
        <v>66666244</v>
      </c>
      <c r="AF11" s="36">
        <f t="shared" si="35"/>
        <v>13283907</v>
      </c>
      <c r="AG11" s="36">
        <f t="shared" si="35"/>
        <v>30682153</v>
      </c>
      <c r="AH11" s="36">
        <f t="shared" si="35"/>
        <v>46510860.49</v>
      </c>
      <c r="AI11" s="36">
        <f t="shared" si="35"/>
        <v>60348851.49</v>
      </c>
      <c r="AJ11" s="36">
        <f t="shared" si="35"/>
        <v>17554364</v>
      </c>
      <c r="AK11" s="36">
        <f t="shared" si="35"/>
        <v>34136306</v>
      </c>
      <c r="AL11" s="36">
        <f t="shared" si="35"/>
        <v>49443279</v>
      </c>
      <c r="AM11" s="36">
        <f t="shared" si="35"/>
        <v>66239498</v>
      </c>
      <c r="AN11" s="36">
        <f t="shared" si="35"/>
        <v>17318927</v>
      </c>
      <c r="AO11" s="36">
        <f t="shared" si="35"/>
        <v>36516021</v>
      </c>
      <c r="AP11" s="36">
        <f t="shared" si="35"/>
        <v>57437245</v>
      </c>
      <c r="AQ11" s="36">
        <f t="shared" si="35"/>
        <v>78879315</v>
      </c>
      <c r="AR11" s="36">
        <f t="shared" si="35"/>
        <v>100079302</v>
      </c>
      <c r="AS11" s="36">
        <f t="shared" si="35"/>
        <v>19966618</v>
      </c>
      <c r="AT11" s="36">
        <f t="shared" si="35"/>
        <v>40964634</v>
      </c>
      <c r="AU11" s="36">
        <f t="shared" si="35"/>
        <v>61269038</v>
      </c>
      <c r="AV11" s="36">
        <f t="shared" si="35"/>
        <v>81563028</v>
      </c>
      <c r="AW11" s="36">
        <f t="shared" si="35"/>
        <v>14366880</v>
      </c>
      <c r="AX11" s="36">
        <f t="shared" si="35"/>
        <v>30821458</v>
      </c>
      <c r="AY11" s="36">
        <f t="shared" si="35"/>
        <v>48860046</v>
      </c>
      <c r="AZ11" s="36">
        <f t="shared" si="35"/>
        <v>66712166</v>
      </c>
      <c r="BA11" s="36">
        <f t="shared" si="35"/>
        <v>83282555</v>
      </c>
      <c r="BB11" s="36">
        <f t="shared" si="35"/>
        <v>14633520</v>
      </c>
      <c r="BC11" s="36">
        <f t="shared" si="35"/>
        <v>33820059</v>
      </c>
      <c r="BD11" s="36">
        <f t="shared" si="35"/>
        <v>50777143</v>
      </c>
      <c r="BE11" s="36">
        <f t="shared" si="35"/>
        <v>66264593</v>
      </c>
      <c r="BF11" s="36">
        <f t="shared" si="35"/>
        <v>15673257</v>
      </c>
      <c r="BG11" s="36">
        <f t="shared" si="35"/>
        <v>33490248</v>
      </c>
      <c r="BH11" s="36">
        <f t="shared" si="35"/>
        <v>54797355</v>
      </c>
      <c r="BI11" s="36">
        <f t="shared" si="35"/>
        <v>70254015</v>
      </c>
      <c r="BJ11" s="36">
        <f t="shared" si="35"/>
        <v>17274816</v>
      </c>
      <c r="BK11" s="36">
        <f t="shared" si="35"/>
        <v>34128592</v>
      </c>
      <c r="BL11" s="36"/>
      <c r="BM11" s="36"/>
      <c r="BN11" s="36"/>
      <c r="BO11" s="36"/>
      <c r="BP11" s="36"/>
      <c r="BQ11" s="36"/>
      <c r="BR11" s="36"/>
      <c r="BS11" s="31"/>
      <c r="BT11" s="24" t="s">
        <v>122</v>
      </c>
      <c r="BU11" s="24"/>
      <c r="BV11" s="37"/>
      <c r="BW11" s="37"/>
      <c r="BX11" s="37"/>
      <c r="BY11" s="37"/>
      <c r="BZ11" s="37"/>
    </row>
    <row r="12">
      <c r="A12" s="17"/>
      <c r="B12" s="18" t="s">
        <v>117</v>
      </c>
      <c r="C12" s="19"/>
      <c r="D12" s="19" t="s">
        <v>132</v>
      </c>
      <c r="E12" s="20">
        <v>1343788.9</v>
      </c>
      <c r="F12" s="20">
        <v>1357625.0</v>
      </c>
      <c r="G12" s="20">
        <v>1383043.0</v>
      </c>
      <c r="H12" s="20">
        <v>1448543.0</v>
      </c>
      <c r="I12" s="20">
        <v>1585811.0</v>
      </c>
      <c r="J12" s="20">
        <v>1307493.0</v>
      </c>
      <c r="K12" s="20">
        <v>1386888.0</v>
      </c>
      <c r="L12" s="18">
        <v>1270905.0</v>
      </c>
      <c r="M12" s="18">
        <v>1308517.0</v>
      </c>
      <c r="N12" s="18">
        <v>1337920.0</v>
      </c>
      <c r="O12" s="18">
        <v>1579764.0</v>
      </c>
      <c r="P12" s="18">
        <v>1384070.0</v>
      </c>
      <c r="Q12" s="18">
        <v>1392172.0</v>
      </c>
      <c r="R12" s="18">
        <v>1433007.27</v>
      </c>
      <c r="S12" s="18">
        <v>1250112.0</v>
      </c>
      <c r="T12" s="18">
        <v>1367444.0</v>
      </c>
      <c r="U12" s="18">
        <v>1439820.0</v>
      </c>
      <c r="V12" s="18">
        <v>1640468.0</v>
      </c>
      <c r="W12" s="18">
        <v>1807979.0</v>
      </c>
      <c r="X12" s="18">
        <v>2001638.0</v>
      </c>
      <c r="Y12" s="18">
        <v>2123393.0</v>
      </c>
      <c r="Z12" s="18">
        <v>2076770.0</v>
      </c>
      <c r="AA12" s="18">
        <f>1950157</f>
        <v>1950157</v>
      </c>
      <c r="AB12" s="18">
        <f>1619243</f>
        <v>1619243</v>
      </c>
      <c r="AC12" s="18">
        <f>1760547</f>
        <v>1760547</v>
      </c>
      <c r="AD12" s="18">
        <v>1966828.0</v>
      </c>
      <c r="AE12" s="16">
        <v>2012915.0</v>
      </c>
      <c r="AF12" s="16">
        <v>1832845.0</v>
      </c>
      <c r="AG12" s="16">
        <v>2053201.0</v>
      </c>
      <c r="AH12" s="16">
        <v>2460802.0</v>
      </c>
      <c r="AI12" s="16">
        <v>2124111.0</v>
      </c>
      <c r="AJ12" s="16">
        <v>1990568.0</v>
      </c>
      <c r="AK12" s="16">
        <v>2298706.0</v>
      </c>
      <c r="AL12" s="16">
        <v>2449898.0</v>
      </c>
      <c r="AM12" s="16">
        <v>2273205.0</v>
      </c>
      <c r="AN12" s="16">
        <v>2176595.0</v>
      </c>
      <c r="AO12" s="16">
        <v>2105168.0</v>
      </c>
      <c r="AP12" s="16">
        <v>2112942.0</v>
      </c>
      <c r="AQ12" s="16">
        <v>2143436.0</v>
      </c>
      <c r="AR12" s="16">
        <v>2382638.0</v>
      </c>
      <c r="AS12" s="16">
        <v>2418797.0</v>
      </c>
      <c r="AT12" s="16">
        <v>2111997.0</v>
      </c>
      <c r="AU12" s="16">
        <v>2338922.0</v>
      </c>
      <c r="AV12" s="16">
        <v>2662687.0</v>
      </c>
      <c r="AW12" s="16">
        <v>2081406.0</v>
      </c>
      <c r="AX12" s="16">
        <v>2366659.0</v>
      </c>
      <c r="AY12" s="16">
        <v>2398729.0</v>
      </c>
      <c r="AZ12" s="16">
        <v>2316071.0</v>
      </c>
      <c r="BA12" s="16">
        <v>2478854.0</v>
      </c>
      <c r="BB12" s="16">
        <v>2236993.52</v>
      </c>
      <c r="BC12" s="16">
        <v>2249328.0</v>
      </c>
      <c r="BD12" s="16">
        <v>2519495.0</v>
      </c>
      <c r="BE12" s="16">
        <v>2127706.0</v>
      </c>
      <c r="BF12" s="16">
        <v>2444932.0</v>
      </c>
      <c r="BG12" s="16">
        <v>2688109.0</v>
      </c>
      <c r="BH12" s="16">
        <v>3193106.0</v>
      </c>
      <c r="BI12" s="16">
        <v>2569038.0</v>
      </c>
      <c r="BJ12" s="16">
        <v>2344062.0</v>
      </c>
      <c r="BK12" s="16">
        <v>2900086.0</v>
      </c>
      <c r="BL12" s="16"/>
      <c r="BM12" s="16"/>
      <c r="BN12" s="16"/>
      <c r="BO12" s="16"/>
      <c r="BP12" s="16"/>
      <c r="BQ12" s="16"/>
      <c r="BR12" s="16"/>
      <c r="BS12" s="18"/>
      <c r="BT12" s="9" t="s">
        <v>119</v>
      </c>
      <c r="BU12" s="9"/>
      <c r="BV12" s="17"/>
      <c r="BW12" s="17"/>
      <c r="BX12" s="17"/>
      <c r="BY12" s="17"/>
      <c r="BZ12" s="17"/>
    </row>
    <row r="13">
      <c r="A13" s="32"/>
      <c r="B13" s="34" t="s">
        <v>117</v>
      </c>
      <c r="C13" s="35"/>
      <c r="D13" s="35" t="s">
        <v>133</v>
      </c>
      <c r="E13" s="38">
        <f t="shared" ref="E13:BK13" si="36">E12/E$4</f>
        <v>0.1278146747</v>
      </c>
      <c r="F13" s="38">
        <f t="shared" si="36"/>
        <v>0.1214941537</v>
      </c>
      <c r="G13" s="38">
        <f t="shared" si="36"/>
        <v>0.1213115485</v>
      </c>
      <c r="H13" s="38">
        <f t="shared" si="36"/>
        <v>0.1155311071</v>
      </c>
      <c r="I13" s="38">
        <f t="shared" si="36"/>
        <v>0.1242718436</v>
      </c>
      <c r="J13" s="38">
        <f t="shared" si="36"/>
        <v>0.1140656459</v>
      </c>
      <c r="K13" s="38">
        <f t="shared" si="36"/>
        <v>0.1169424831</v>
      </c>
      <c r="L13" s="38">
        <f t="shared" si="36"/>
        <v>0.1084089761</v>
      </c>
      <c r="M13" s="38">
        <f t="shared" si="36"/>
        <v>0.1197485871</v>
      </c>
      <c r="N13" s="38">
        <f t="shared" si="36"/>
        <v>0.111812147</v>
      </c>
      <c r="O13" s="38">
        <f t="shared" si="36"/>
        <v>0.1140561816</v>
      </c>
      <c r="P13" s="38">
        <f t="shared" si="36"/>
        <v>0.1131257668</v>
      </c>
      <c r="Q13" s="38">
        <f t="shared" si="36"/>
        <v>0.1185628416</v>
      </c>
      <c r="R13" s="38">
        <f t="shared" si="36"/>
        <v>0.1200883212</v>
      </c>
      <c r="S13" s="38">
        <f t="shared" si="36"/>
        <v>0.1072756863</v>
      </c>
      <c r="T13" s="38">
        <f t="shared" si="36"/>
        <v>0.1075981738</v>
      </c>
      <c r="U13" s="38">
        <f t="shared" si="36"/>
        <v>0.1121568623</v>
      </c>
      <c r="V13" s="38">
        <f t="shared" si="36"/>
        <v>0.1248931003</v>
      </c>
      <c r="W13" s="38">
        <f t="shared" si="36"/>
        <v>0.1481860845</v>
      </c>
      <c r="X13" s="38">
        <f t="shared" si="36"/>
        <v>0.1451733638</v>
      </c>
      <c r="Y13" s="38">
        <f t="shared" si="36"/>
        <v>0.1455393954</v>
      </c>
      <c r="Z13" s="38">
        <f t="shared" si="36"/>
        <v>0.1490033321</v>
      </c>
      <c r="AA13" s="38">
        <f t="shared" si="36"/>
        <v>0.1430949549</v>
      </c>
      <c r="AB13" s="38">
        <f t="shared" si="36"/>
        <v>0.1365893173</v>
      </c>
      <c r="AC13" s="38">
        <f t="shared" si="36"/>
        <v>0.1383872969</v>
      </c>
      <c r="AD13" s="38">
        <f t="shared" si="36"/>
        <v>0.1482805119</v>
      </c>
      <c r="AE13" s="38">
        <f t="shared" si="36"/>
        <v>0.1449353261</v>
      </c>
      <c r="AF13" s="38">
        <f t="shared" si="36"/>
        <v>0.1389370982</v>
      </c>
      <c r="AG13" s="38">
        <f t="shared" si="36"/>
        <v>0.1451626302</v>
      </c>
      <c r="AH13" s="38">
        <f t="shared" si="36"/>
        <v>0.1509900029</v>
      </c>
      <c r="AI13" s="38">
        <f t="shared" si="36"/>
        <v>0.1463067333</v>
      </c>
      <c r="AJ13" s="38">
        <f t="shared" si="36"/>
        <v>0.1345028181</v>
      </c>
      <c r="AK13" s="38">
        <f t="shared" si="36"/>
        <v>0.1443301662</v>
      </c>
      <c r="AL13" s="38">
        <f t="shared" si="36"/>
        <v>0.1511331044</v>
      </c>
      <c r="AM13" s="38">
        <f t="shared" si="36"/>
        <v>0.1506943213</v>
      </c>
      <c r="AN13" s="38">
        <f t="shared" si="36"/>
        <v>0.1403232471</v>
      </c>
      <c r="AO13" s="38">
        <f t="shared" si="36"/>
        <v>0.1127259775</v>
      </c>
      <c r="AP13" s="38">
        <f t="shared" si="36"/>
        <v>0.1110339043</v>
      </c>
      <c r="AQ13" s="38">
        <f t="shared" si="36"/>
        <v>0.1124970681</v>
      </c>
      <c r="AR13" s="38">
        <f t="shared" si="36"/>
        <v>0.1186904782</v>
      </c>
      <c r="AS13" s="38">
        <f t="shared" si="36"/>
        <v>0.117437837</v>
      </c>
      <c r="AT13" s="38">
        <f t="shared" si="36"/>
        <v>0.1110417817</v>
      </c>
      <c r="AU13" s="38">
        <f t="shared" si="36"/>
        <v>0.1174620698</v>
      </c>
      <c r="AV13" s="38">
        <f t="shared" si="36"/>
        <v>0.1377829112</v>
      </c>
      <c r="AW13" s="38">
        <f t="shared" si="36"/>
        <v>0.1391633149</v>
      </c>
      <c r="AX13" s="38">
        <f t="shared" si="36"/>
        <v>0.1462878845</v>
      </c>
      <c r="AY13" s="38">
        <f t="shared" si="36"/>
        <v>0.1378752784</v>
      </c>
      <c r="AZ13" s="38">
        <f t="shared" si="36"/>
        <v>0.139015579</v>
      </c>
      <c r="BA13" s="38">
        <f t="shared" si="36"/>
        <v>0.1493353553</v>
      </c>
      <c r="BB13" s="38">
        <f t="shared" si="36"/>
        <v>0.1460586249</v>
      </c>
      <c r="BC13" s="38">
        <f t="shared" si="36"/>
        <v>0.1426807549</v>
      </c>
      <c r="BD13" s="38">
        <f t="shared" si="36"/>
        <v>0.1426553389</v>
      </c>
      <c r="BE13" s="38">
        <f t="shared" si="36"/>
        <v>0.1396658584</v>
      </c>
      <c r="BF13" s="38">
        <f t="shared" si="36"/>
        <v>0.1750862834</v>
      </c>
      <c r="BG13" s="38">
        <f t="shared" si="36"/>
        <v>0.1654842915</v>
      </c>
      <c r="BH13" s="38">
        <f t="shared" si="36"/>
        <v>0.1772637011</v>
      </c>
      <c r="BI13" s="38">
        <f t="shared" si="36"/>
        <v>0.1564352389</v>
      </c>
      <c r="BJ13" s="38">
        <f t="shared" si="36"/>
        <v>0.1532454087</v>
      </c>
      <c r="BK13" s="38">
        <f t="shared" si="36"/>
        <v>0.1714858984</v>
      </c>
      <c r="BL13" s="38"/>
      <c r="BM13" s="38"/>
      <c r="BN13" s="38"/>
      <c r="BO13" s="38"/>
      <c r="BP13" s="38"/>
      <c r="BQ13" s="38"/>
      <c r="BR13" s="38"/>
      <c r="BS13" s="25"/>
      <c r="BT13" s="27" t="s">
        <v>124</v>
      </c>
      <c r="BU13" s="27"/>
      <c r="BV13" s="38" t="str">
        <f t="shared" ref="BV13:BX13" si="37">BV12/BV$4</f>
        <v>#DIV/0!</v>
      </c>
      <c r="BW13" s="38" t="str">
        <f t="shared" si="37"/>
        <v>#DIV/0!</v>
      </c>
      <c r="BX13" s="38" t="str">
        <f t="shared" si="37"/>
        <v>#DIV/0!</v>
      </c>
      <c r="BY13" s="38"/>
      <c r="BZ13" s="38"/>
    </row>
    <row r="14">
      <c r="A14" s="17"/>
      <c r="B14" s="18" t="s">
        <v>117</v>
      </c>
      <c r="C14" s="19"/>
      <c r="D14" s="19" t="s">
        <v>134</v>
      </c>
      <c r="E14" s="20">
        <v>935845.8</v>
      </c>
      <c r="F14" s="20">
        <v>927533.6</v>
      </c>
      <c r="G14" s="20">
        <v>888798.1</v>
      </c>
      <c r="H14" s="20">
        <v>980079.7</v>
      </c>
      <c r="I14" s="20">
        <v>1012068.0</v>
      </c>
      <c r="J14" s="20">
        <v>928672.7</v>
      </c>
      <c r="K14" s="20">
        <v>952513.96</v>
      </c>
      <c r="L14" s="18">
        <v>925826.57</v>
      </c>
      <c r="M14" s="18">
        <v>841424.6</v>
      </c>
      <c r="N14" s="18">
        <v>930094.0</v>
      </c>
      <c r="O14" s="18">
        <v>1090506.0</v>
      </c>
      <c r="P14" s="18">
        <v>943070.0</v>
      </c>
      <c r="Q14" s="18">
        <v>873179.0</v>
      </c>
      <c r="R14" s="18">
        <v>885060.83</v>
      </c>
      <c r="S14" s="18">
        <v>915273.0</v>
      </c>
      <c r="T14" s="18">
        <v>656237.0</v>
      </c>
      <c r="U14" s="18">
        <v>912702.0</v>
      </c>
      <c r="V14" s="18">
        <v>958858.0</v>
      </c>
      <c r="W14" s="18">
        <v>1081985.0</v>
      </c>
      <c r="X14" s="18">
        <v>1306670.0</v>
      </c>
      <c r="Y14" s="18">
        <v>1384543.0</v>
      </c>
      <c r="Z14" s="18">
        <v>1227410.0</v>
      </c>
      <c r="AA14" s="18">
        <v>1182949.0</v>
      </c>
      <c r="AB14" s="18">
        <v>1139766.0</v>
      </c>
      <c r="AC14" s="18">
        <v>1250994.0</v>
      </c>
      <c r="AD14" s="18">
        <v>1324022.0</v>
      </c>
      <c r="AE14" s="16">
        <v>1388552.0</v>
      </c>
      <c r="AF14" s="16">
        <v>1319318.0</v>
      </c>
      <c r="AG14" s="16">
        <v>1414548.0</v>
      </c>
      <c r="AH14" s="16">
        <v>1630127.0</v>
      </c>
      <c r="AI14" s="16">
        <v>1451994.0</v>
      </c>
      <c r="AJ14" s="16">
        <v>1480099.0</v>
      </c>
      <c r="AK14" s="16">
        <v>1592769.0</v>
      </c>
      <c r="AL14" s="16">
        <v>1621109.0</v>
      </c>
      <c r="AM14" s="16">
        <v>1508564.0</v>
      </c>
      <c r="AN14" s="16">
        <v>1551662.0</v>
      </c>
      <c r="AO14" s="16">
        <v>1868073.0</v>
      </c>
      <c r="AP14" s="16">
        <v>1903957.0</v>
      </c>
      <c r="AQ14" s="16">
        <v>1432825.0</v>
      </c>
      <c r="AR14" s="16">
        <v>1111426.0</v>
      </c>
      <c r="AS14" s="16">
        <v>1922243.0</v>
      </c>
      <c r="AT14" s="16">
        <v>2127635.0</v>
      </c>
      <c r="AU14" s="16">
        <v>2379622.0</v>
      </c>
      <c r="AV14" s="16">
        <v>2318058.0</v>
      </c>
      <c r="AW14" s="16">
        <v>1793904.0</v>
      </c>
      <c r="AX14" s="16">
        <v>1940956.0</v>
      </c>
      <c r="AY14" s="16">
        <v>2087738.0</v>
      </c>
      <c r="AZ14" s="16">
        <v>1998833.0</v>
      </c>
      <c r="BA14" s="16">
        <v>1991909.0</v>
      </c>
      <c r="BB14" s="16">
        <v>1837886.78</v>
      </c>
      <c r="BC14" s="16">
        <v>1891771.0</v>
      </c>
      <c r="BD14" s="16">
        <v>2119370.0</v>
      </c>
      <c r="BE14" s="16">
        <v>1828261.0</v>
      </c>
      <c r="BF14" s="16">
        <v>1675994.0</v>
      </c>
      <c r="BG14" s="16">
        <v>1382717.0</v>
      </c>
      <c r="BH14" s="16">
        <v>953443.0</v>
      </c>
      <c r="BI14" s="16">
        <v>832705.0</v>
      </c>
      <c r="BJ14" s="16">
        <v>790576.0</v>
      </c>
      <c r="BK14" s="16">
        <v>850409.0</v>
      </c>
      <c r="BL14" s="16"/>
      <c r="BM14" s="16"/>
      <c r="BN14" s="16"/>
      <c r="BO14" s="16"/>
      <c r="BP14" s="16"/>
      <c r="BQ14" s="16"/>
      <c r="BR14" s="16"/>
      <c r="BS14" s="18"/>
      <c r="BT14" s="9" t="s">
        <v>119</v>
      </c>
      <c r="BU14" s="9"/>
      <c r="BV14" s="17"/>
      <c r="BW14" s="17"/>
      <c r="BX14" s="17"/>
      <c r="BY14" s="17"/>
      <c r="BZ14" s="17"/>
    </row>
    <row r="15">
      <c r="A15" s="1"/>
      <c r="B15" s="34" t="s">
        <v>117</v>
      </c>
      <c r="C15" s="35"/>
      <c r="D15" s="35" t="s">
        <v>135</v>
      </c>
      <c r="E15" s="38">
        <f t="shared" ref="E15:BC15" si="38">E14/E$4</f>
        <v>0.089013108</v>
      </c>
      <c r="F15" s="38">
        <f t="shared" si="38"/>
        <v>0.08300518166</v>
      </c>
      <c r="G15" s="38">
        <f t="shared" si="38"/>
        <v>0.07795959618</v>
      </c>
      <c r="H15" s="38">
        <f t="shared" si="38"/>
        <v>0.07816798865</v>
      </c>
      <c r="I15" s="38">
        <f t="shared" si="38"/>
        <v>0.07931055857</v>
      </c>
      <c r="J15" s="38">
        <f t="shared" si="38"/>
        <v>0.08101737553</v>
      </c>
      <c r="K15" s="38">
        <f t="shared" si="38"/>
        <v>0.08031603679</v>
      </c>
      <c r="L15" s="38">
        <f t="shared" si="38"/>
        <v>0.07897357434</v>
      </c>
      <c r="M15" s="38">
        <f t="shared" si="38"/>
        <v>0.07700274965</v>
      </c>
      <c r="N15" s="38">
        <f t="shared" si="38"/>
        <v>0.07772946595</v>
      </c>
      <c r="O15" s="38">
        <f t="shared" si="38"/>
        <v>0.07873261475</v>
      </c>
      <c r="P15" s="38">
        <f t="shared" si="38"/>
        <v>0.07708101242</v>
      </c>
      <c r="Q15" s="38">
        <f t="shared" si="38"/>
        <v>0.07436335703</v>
      </c>
      <c r="R15" s="38">
        <f t="shared" si="38"/>
        <v>0.07416952551</v>
      </c>
      <c r="S15" s="38">
        <f t="shared" si="38"/>
        <v>0.07854219397</v>
      </c>
      <c r="T15" s="38">
        <f t="shared" si="38"/>
        <v>0.05163641272</v>
      </c>
      <c r="U15" s="38">
        <f t="shared" si="38"/>
        <v>0.07109624293</v>
      </c>
      <c r="V15" s="38">
        <f t="shared" si="38"/>
        <v>0.07300035622</v>
      </c>
      <c r="W15" s="38">
        <f t="shared" si="38"/>
        <v>0.08868195963</v>
      </c>
      <c r="X15" s="38">
        <f t="shared" si="38"/>
        <v>0.09476922363</v>
      </c>
      <c r="Y15" s="38">
        <f t="shared" si="38"/>
        <v>0.09489790687</v>
      </c>
      <c r="Z15" s="38">
        <f t="shared" si="38"/>
        <v>0.08806376241</v>
      </c>
      <c r="AA15" s="38">
        <f t="shared" si="38"/>
        <v>0.08680020827</v>
      </c>
      <c r="AB15" s="38">
        <f t="shared" si="38"/>
        <v>0.09614360528</v>
      </c>
      <c r="AC15" s="38">
        <f t="shared" si="38"/>
        <v>0.09833402807</v>
      </c>
      <c r="AD15" s="38">
        <f t="shared" si="38"/>
        <v>0.09981892665</v>
      </c>
      <c r="AE15" s="38">
        <f t="shared" si="38"/>
        <v>0.09997950083</v>
      </c>
      <c r="AF15" s="38">
        <f t="shared" si="38"/>
        <v>0.100009665</v>
      </c>
      <c r="AG15" s="38">
        <f t="shared" si="38"/>
        <v>0.1000094527</v>
      </c>
      <c r="AH15" s="38">
        <f t="shared" si="38"/>
        <v>0.1000214078</v>
      </c>
      <c r="AI15" s="38">
        <f t="shared" si="38"/>
        <v>0.1000119574</v>
      </c>
      <c r="AJ15" s="38">
        <f t="shared" si="38"/>
        <v>0.1000103923</v>
      </c>
      <c r="AK15" s="38">
        <f t="shared" si="38"/>
        <v>0.1000060967</v>
      </c>
      <c r="AL15" s="38">
        <f t="shared" si="38"/>
        <v>0.1000054842</v>
      </c>
      <c r="AM15" s="38">
        <f t="shared" si="38"/>
        <v>0.1000050713</v>
      </c>
      <c r="AN15" s="38">
        <f t="shared" si="38"/>
        <v>0.1000343427</v>
      </c>
      <c r="AO15" s="38">
        <f t="shared" si="38"/>
        <v>0.1000301899</v>
      </c>
      <c r="AP15" s="38">
        <f t="shared" si="38"/>
        <v>0.100051861</v>
      </c>
      <c r="AQ15" s="38">
        <f t="shared" si="38"/>
        <v>0.07520103776</v>
      </c>
      <c r="AR15" s="38">
        <f t="shared" si="38"/>
        <v>0.05536539058</v>
      </c>
      <c r="AS15" s="38">
        <f t="shared" si="38"/>
        <v>0.09332906406</v>
      </c>
      <c r="AT15" s="38">
        <f t="shared" si="38"/>
        <v>0.1118639758</v>
      </c>
      <c r="AU15" s="38">
        <f t="shared" si="38"/>
        <v>0.1195060482</v>
      </c>
      <c r="AV15" s="38">
        <f t="shared" si="38"/>
        <v>0.1199498024</v>
      </c>
      <c r="AW15" s="38">
        <f t="shared" si="38"/>
        <v>0.1199408608</v>
      </c>
      <c r="AX15" s="38">
        <f t="shared" si="38"/>
        <v>0.1199743381</v>
      </c>
      <c r="AY15" s="38">
        <f t="shared" si="38"/>
        <v>0.1199999908</v>
      </c>
      <c r="AZ15" s="38">
        <f t="shared" si="38"/>
        <v>0.1199742697</v>
      </c>
      <c r="BA15" s="38">
        <f t="shared" si="38"/>
        <v>0.1199999831</v>
      </c>
      <c r="BB15" s="38">
        <f t="shared" si="38"/>
        <v>0.1199999971</v>
      </c>
      <c r="BC15" s="38">
        <f t="shared" si="38"/>
        <v>0.1199999797</v>
      </c>
      <c r="BD15" s="38">
        <v>0.12</v>
      </c>
      <c r="BE15" s="38">
        <f t="shared" ref="BE15:BK15" si="39">BE14/BE4</f>
        <v>0.1200098331</v>
      </c>
      <c r="BF15" s="38">
        <f t="shared" si="39"/>
        <v>0.1200211542</v>
      </c>
      <c r="BG15" s="38">
        <f t="shared" si="39"/>
        <v>0.08512227111</v>
      </c>
      <c r="BH15" s="38">
        <f t="shared" si="39"/>
        <v>0.05292991682</v>
      </c>
      <c r="BI15" s="38">
        <f t="shared" si="39"/>
        <v>0.05070551919</v>
      </c>
      <c r="BJ15" s="38">
        <f t="shared" si="39"/>
        <v>0.05168470042</v>
      </c>
      <c r="BK15" s="38">
        <f t="shared" si="39"/>
        <v>0.05028580234</v>
      </c>
      <c r="BL15" s="38"/>
      <c r="BM15" s="38"/>
      <c r="BN15" s="38"/>
      <c r="BO15" s="38"/>
      <c r="BP15" s="38"/>
      <c r="BQ15" s="38"/>
      <c r="BR15" s="38"/>
      <c r="BS15" s="25"/>
      <c r="BT15" s="27" t="s">
        <v>124</v>
      </c>
      <c r="BU15" s="27"/>
      <c r="BV15" s="38" t="str">
        <f t="shared" ref="BV15:BX15" si="40">BV14/BV$4</f>
        <v>#DIV/0!</v>
      </c>
      <c r="BW15" s="38" t="str">
        <f t="shared" si="40"/>
        <v>#DIV/0!</v>
      </c>
      <c r="BX15" s="38" t="str">
        <f t="shared" si="40"/>
        <v>#DIV/0!</v>
      </c>
      <c r="BY15" s="38"/>
      <c r="BZ15" s="38"/>
    </row>
    <row r="16">
      <c r="A16" s="17"/>
      <c r="B16" s="18" t="s">
        <v>117</v>
      </c>
      <c r="C16" s="19"/>
      <c r="D16" s="19" t="s">
        <v>136</v>
      </c>
      <c r="E16" s="20">
        <v>389292.86</v>
      </c>
      <c r="F16" s="20">
        <v>575705.9</v>
      </c>
      <c r="G16" s="20">
        <v>547268.8</v>
      </c>
      <c r="H16" s="20">
        <v>577711.5</v>
      </c>
      <c r="I16" s="20">
        <v>595898.1</v>
      </c>
      <c r="J16" s="20">
        <v>563013.3</v>
      </c>
      <c r="K16" s="20">
        <v>494906.6</v>
      </c>
      <c r="L16" s="18">
        <v>450251.6</v>
      </c>
      <c r="M16" s="18">
        <v>422432.72</v>
      </c>
      <c r="N16" s="18">
        <v>457090.0</v>
      </c>
      <c r="O16" s="18">
        <v>468801.0</v>
      </c>
      <c r="P16" s="18">
        <v>455113.0</v>
      </c>
      <c r="Q16" s="18">
        <v>398256.0</v>
      </c>
      <c r="R16" s="18">
        <v>56756.96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3">
        <v>0.0</v>
      </c>
      <c r="Z16" s="18">
        <v>0.0</v>
      </c>
      <c r="AA16" s="18">
        <v>434656.0</v>
      </c>
      <c r="AB16" s="18">
        <v>481578.0</v>
      </c>
      <c r="AC16" s="18">
        <v>752500.0</v>
      </c>
      <c r="AD16" s="18">
        <v>472459.0</v>
      </c>
      <c r="AE16" s="18">
        <v>607979.0</v>
      </c>
      <c r="AF16" s="18">
        <v>555914.0</v>
      </c>
      <c r="AG16" s="18">
        <v>506392.0</v>
      </c>
      <c r="AH16" s="18">
        <v>238635.0</v>
      </c>
      <c r="AI16" s="18">
        <v>116900.0</v>
      </c>
      <c r="AJ16" s="18">
        <v>33429.0</v>
      </c>
      <c r="AK16" s="18">
        <v>29279.0</v>
      </c>
      <c r="AL16" s="18">
        <v>27884.0</v>
      </c>
      <c r="AM16" s="18">
        <v>50264.0</v>
      </c>
      <c r="AN16" s="18">
        <v>76838.0</v>
      </c>
      <c r="AO16" s="18">
        <v>34863.0</v>
      </c>
      <c r="AP16" s="18">
        <v>13107.0</v>
      </c>
      <c r="AQ16" s="18">
        <v>82964.0</v>
      </c>
      <c r="AR16" s="18">
        <v>238442.0</v>
      </c>
      <c r="AS16" s="18">
        <v>1020929.0</v>
      </c>
      <c r="AT16" s="18">
        <v>901458.0</v>
      </c>
      <c r="AU16" s="18">
        <v>566687.0</v>
      </c>
      <c r="AV16" s="18">
        <v>377468.0</v>
      </c>
      <c r="AW16" s="18">
        <v>277364.0</v>
      </c>
      <c r="AX16" s="18">
        <v>222537.0</v>
      </c>
      <c r="AY16" s="18">
        <v>132245.0</v>
      </c>
      <c r="AZ16" s="18">
        <v>94200.0</v>
      </c>
      <c r="BA16" s="18">
        <v>88208.0</v>
      </c>
      <c r="BB16" s="18">
        <v>74454.89</v>
      </c>
      <c r="BC16" s="18">
        <v>76247.0</v>
      </c>
      <c r="BD16" s="18">
        <v>143860.0</v>
      </c>
      <c r="BE16" s="18">
        <v>300848.0</v>
      </c>
      <c r="BF16" s="18">
        <v>257587.0</v>
      </c>
      <c r="BG16" s="18">
        <v>357819.0</v>
      </c>
      <c r="BH16" s="18">
        <v>356273.0</v>
      </c>
      <c r="BI16" s="18">
        <v>163040.0</v>
      </c>
      <c r="BJ16" s="18">
        <v>239919.0</v>
      </c>
      <c r="BK16" s="18">
        <v>771919.0</v>
      </c>
      <c r="BL16" s="18"/>
      <c r="BM16" s="18"/>
      <c r="BN16" s="18"/>
      <c r="BO16" s="18"/>
      <c r="BP16" s="18"/>
      <c r="BQ16" s="18"/>
      <c r="BR16" s="18"/>
      <c r="BS16" s="39"/>
      <c r="BT16" s="9" t="s">
        <v>119</v>
      </c>
      <c r="BU16" s="9"/>
      <c r="BV16" s="17"/>
      <c r="BW16" s="17"/>
      <c r="BX16" s="17"/>
      <c r="BY16" s="17"/>
      <c r="BZ16" s="17"/>
    </row>
    <row r="17">
      <c r="A17" s="1"/>
      <c r="B17" s="33" t="s">
        <v>117</v>
      </c>
      <c r="C17" s="12"/>
      <c r="D17" s="12" t="s">
        <v>137</v>
      </c>
      <c r="E17" s="38">
        <f t="shared" ref="E17:BK17" si="41">E16/E$4</f>
        <v>0.03702764642</v>
      </c>
      <c r="F17" s="38">
        <f t="shared" si="41"/>
        <v>0.051520045</v>
      </c>
      <c r="G17" s="38">
        <f t="shared" si="41"/>
        <v>0.04800286437</v>
      </c>
      <c r="H17" s="38">
        <f t="shared" si="41"/>
        <v>0.04607640172</v>
      </c>
      <c r="I17" s="38">
        <f t="shared" si="41"/>
        <v>0.04669746614</v>
      </c>
      <c r="J17" s="38">
        <f t="shared" si="41"/>
        <v>0.04911726161</v>
      </c>
      <c r="K17" s="38">
        <f t="shared" si="41"/>
        <v>0.04173055552</v>
      </c>
      <c r="L17" s="38">
        <f t="shared" si="41"/>
        <v>0.03840673767</v>
      </c>
      <c r="M17" s="38">
        <f t="shared" si="41"/>
        <v>0.03865881861</v>
      </c>
      <c r="N17" s="38">
        <f t="shared" si="41"/>
        <v>0.03819975356</v>
      </c>
      <c r="O17" s="38">
        <f t="shared" si="41"/>
        <v>0.03384660747</v>
      </c>
      <c r="P17" s="38">
        <f t="shared" si="41"/>
        <v>0.03719826822</v>
      </c>
      <c r="Q17" s="38">
        <f t="shared" si="41"/>
        <v>0.03391704692</v>
      </c>
      <c r="R17" s="38">
        <f t="shared" si="41"/>
        <v>0.00475632482</v>
      </c>
      <c r="S17" s="38">
        <f t="shared" si="41"/>
        <v>0</v>
      </c>
      <c r="T17" s="38">
        <f t="shared" si="41"/>
        <v>0</v>
      </c>
      <c r="U17" s="38">
        <f t="shared" si="41"/>
        <v>0</v>
      </c>
      <c r="V17" s="38">
        <f t="shared" si="41"/>
        <v>0</v>
      </c>
      <c r="W17" s="38">
        <f t="shared" si="41"/>
        <v>0</v>
      </c>
      <c r="X17" s="38">
        <f t="shared" si="41"/>
        <v>0</v>
      </c>
      <c r="Y17" s="38">
        <f t="shared" si="41"/>
        <v>0</v>
      </c>
      <c r="Z17" s="38">
        <f t="shared" si="41"/>
        <v>0</v>
      </c>
      <c r="AA17" s="38">
        <f t="shared" si="41"/>
        <v>0.031893371</v>
      </c>
      <c r="AB17" s="38">
        <f t="shared" si="41"/>
        <v>0.04062293939</v>
      </c>
      <c r="AC17" s="38">
        <f t="shared" si="41"/>
        <v>0.05915004878</v>
      </c>
      <c r="AD17" s="38">
        <f t="shared" si="41"/>
        <v>0.03561900804</v>
      </c>
      <c r="AE17" s="38">
        <f t="shared" si="41"/>
        <v>0.04377613293</v>
      </c>
      <c r="AF17" s="38">
        <f t="shared" si="41"/>
        <v>0.04214053998</v>
      </c>
      <c r="AG17" s="38">
        <f t="shared" si="41"/>
        <v>0.03580223984</v>
      </c>
      <c r="AH17" s="38">
        <f t="shared" si="41"/>
        <v>0.01464217736</v>
      </c>
      <c r="AI17" s="38">
        <f t="shared" si="41"/>
        <v>0.008051960146</v>
      </c>
      <c r="AJ17" s="38">
        <f t="shared" si="41"/>
        <v>0.002258799853</v>
      </c>
      <c r="AK17" s="38">
        <f t="shared" si="41"/>
        <v>0.001838357291</v>
      </c>
      <c r="AL17" s="38">
        <f t="shared" si="41"/>
        <v>0.001720151403</v>
      </c>
      <c r="AM17" s="38">
        <f t="shared" si="41"/>
        <v>0.003332079318</v>
      </c>
      <c r="AN17" s="38">
        <f t="shared" si="41"/>
        <v>0.004953681166</v>
      </c>
      <c r="AO17" s="38">
        <f t="shared" si="41"/>
        <v>0.001866818113</v>
      </c>
      <c r="AP17" s="38">
        <f t="shared" si="41"/>
        <v>0.0006887654199</v>
      </c>
      <c r="AQ17" s="38">
        <f t="shared" si="41"/>
        <v>0.004354320239</v>
      </c>
      <c r="AR17" s="38">
        <f t="shared" si="41"/>
        <v>0.01187792481</v>
      </c>
      <c r="AS17" s="38">
        <f t="shared" si="41"/>
        <v>0.04956831578</v>
      </c>
      <c r="AT17" s="38">
        <f t="shared" si="41"/>
        <v>0.04739566507</v>
      </c>
      <c r="AU17" s="38">
        <f t="shared" si="41"/>
        <v>0.02845936202</v>
      </c>
      <c r="AV17" s="38">
        <f t="shared" si="41"/>
        <v>0.01953238962</v>
      </c>
      <c r="AW17" s="38">
        <f t="shared" si="41"/>
        <v>0.01854462497</v>
      </c>
      <c r="AX17" s="38">
        <f t="shared" si="41"/>
        <v>0.01375545313</v>
      </c>
      <c r="AY17" s="38">
        <f t="shared" si="41"/>
        <v>0.007601240569</v>
      </c>
      <c r="AZ17" s="38">
        <f t="shared" si="41"/>
        <v>0.005654087263</v>
      </c>
      <c r="BA17" s="38">
        <f t="shared" si="41"/>
        <v>0.00531397695</v>
      </c>
      <c r="BB17" s="38">
        <f t="shared" si="41"/>
        <v>0.00486133677</v>
      </c>
      <c r="BC17" s="38">
        <f t="shared" si="41"/>
        <v>0.004836546523</v>
      </c>
      <c r="BD17" s="38">
        <f t="shared" si="41"/>
        <v>0.008145440676</v>
      </c>
      <c r="BE17" s="38">
        <f t="shared" si="41"/>
        <v>0.01974812036</v>
      </c>
      <c r="BF17" s="38">
        <f t="shared" si="41"/>
        <v>0.01844630055</v>
      </c>
      <c r="BG17" s="38">
        <f t="shared" si="41"/>
        <v>0.02202791021</v>
      </c>
      <c r="BH17" s="38">
        <f t="shared" si="41"/>
        <v>0.01977831948</v>
      </c>
      <c r="BI17" s="38">
        <f t="shared" si="41"/>
        <v>0.009927919069</v>
      </c>
      <c r="BJ17" s="38">
        <f t="shared" si="41"/>
        <v>0.01568494571</v>
      </c>
      <c r="BK17" s="38">
        <f t="shared" si="41"/>
        <v>0.04564458544</v>
      </c>
      <c r="BL17" s="38"/>
      <c r="BM17" s="38"/>
      <c r="BN17" s="38"/>
      <c r="BO17" s="38"/>
      <c r="BP17" s="38"/>
      <c r="BQ17" s="38"/>
      <c r="BR17" s="38"/>
      <c r="BS17" s="25"/>
      <c r="BT17" s="27" t="s">
        <v>124</v>
      </c>
      <c r="BU17" s="27"/>
      <c r="BV17" s="38" t="str">
        <f t="shared" ref="BV17:BX17" si="42">BV16/BV$4</f>
        <v>#DIV/0!</v>
      </c>
      <c r="BW17" s="38" t="str">
        <f t="shared" si="42"/>
        <v>#DIV/0!</v>
      </c>
      <c r="BX17" s="38" t="str">
        <f t="shared" si="42"/>
        <v>#DIV/0!</v>
      </c>
      <c r="BY17" s="38"/>
      <c r="BZ17" s="38"/>
    </row>
    <row r="18">
      <c r="A18" s="1"/>
      <c r="B18" s="33" t="s">
        <v>117</v>
      </c>
      <c r="C18" s="12"/>
      <c r="D18" s="12" t="s">
        <v>138</v>
      </c>
      <c r="E18" s="40">
        <f>1-120/E3</f>
        <v>0.9851815263</v>
      </c>
      <c r="F18" s="40">
        <f>1-85/F3</f>
        <v>0.9898941862</v>
      </c>
      <c r="G18" s="40">
        <f>1-95/G3</f>
        <v>0.9885321101</v>
      </c>
      <c r="H18" s="40">
        <v>0.985</v>
      </c>
      <c r="I18" s="40">
        <v>0.985</v>
      </c>
      <c r="J18" s="40">
        <v>0.985</v>
      </c>
      <c r="K18" s="40">
        <v>0.985</v>
      </c>
      <c r="L18" s="40">
        <v>0.985</v>
      </c>
      <c r="M18" s="40">
        <v>0.985</v>
      </c>
      <c r="N18" s="40">
        <v>0.991</v>
      </c>
      <c r="O18" s="40">
        <v>0.99</v>
      </c>
      <c r="P18" s="33">
        <v>0.988</v>
      </c>
      <c r="Q18" s="33">
        <v>0.988</v>
      </c>
      <c r="R18" s="33">
        <v>0.988</v>
      </c>
      <c r="S18" s="33">
        <v>0.993</v>
      </c>
      <c r="T18" s="33">
        <v>0.989</v>
      </c>
      <c r="U18" s="33">
        <v>0.9885</v>
      </c>
      <c r="V18" s="33">
        <v>0.988</v>
      </c>
      <c r="W18" s="33">
        <v>0.988</v>
      </c>
      <c r="X18" s="33">
        <v>0.989</v>
      </c>
      <c r="Y18" s="33">
        <v>0.987</v>
      </c>
      <c r="Z18" s="33">
        <v>0.985</v>
      </c>
      <c r="AA18" s="33">
        <v>0.987</v>
      </c>
      <c r="AB18" s="33">
        <v>0.987</v>
      </c>
      <c r="AC18" s="33">
        <v>0.989</v>
      </c>
      <c r="AD18" s="33">
        <v>0.987</v>
      </c>
      <c r="AE18" s="33">
        <v>0.991</v>
      </c>
      <c r="AF18" s="33">
        <v>0.988</v>
      </c>
      <c r="AG18" s="33">
        <v>0.986</v>
      </c>
      <c r="AH18" s="33">
        <v>0.987</v>
      </c>
      <c r="AI18" s="33">
        <v>0.987</v>
      </c>
      <c r="AJ18" s="33">
        <v>0.987</v>
      </c>
      <c r="AK18" s="33">
        <v>0.957</v>
      </c>
      <c r="AL18" s="33">
        <v>0.964</v>
      </c>
      <c r="AM18" s="33">
        <v>0.968</v>
      </c>
      <c r="AN18" s="33">
        <v>0.988</v>
      </c>
      <c r="AO18" s="33">
        <v>0.992</v>
      </c>
      <c r="AP18" s="33">
        <v>0.989</v>
      </c>
      <c r="AQ18" s="33">
        <v>0.987</v>
      </c>
      <c r="AR18" s="33">
        <v>0.987</v>
      </c>
      <c r="AS18" s="33">
        <v>0.9844</v>
      </c>
      <c r="AT18" s="33">
        <v>0.98</v>
      </c>
      <c r="AU18" s="33">
        <v>0.984</v>
      </c>
      <c r="AV18" s="33">
        <v>0.98</v>
      </c>
      <c r="AW18" s="33">
        <v>0.99</v>
      </c>
      <c r="AX18" s="33">
        <v>0.98</v>
      </c>
      <c r="AY18" s="33">
        <v>0.988</v>
      </c>
      <c r="AZ18" s="33">
        <v>0.99</v>
      </c>
      <c r="BA18" s="33">
        <v>0.987</v>
      </c>
      <c r="BB18" s="33">
        <v>0.9895</v>
      </c>
      <c r="BC18" s="33">
        <v>0.989</v>
      </c>
      <c r="BD18" s="33">
        <v>0.989</v>
      </c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"/>
      <c r="BT18" s="9"/>
      <c r="BU18" s="9"/>
      <c r="BV18" s="1"/>
      <c r="BW18" s="1"/>
      <c r="BX18" s="1"/>
      <c r="BY18" s="1"/>
      <c r="BZ18" s="1"/>
    </row>
    <row r="19">
      <c r="A19" s="17"/>
      <c r="B19" s="18"/>
      <c r="C19" s="18"/>
      <c r="D19" s="18"/>
      <c r="E19" s="20"/>
      <c r="F19" s="20"/>
      <c r="G19" s="20"/>
      <c r="H19" s="20"/>
      <c r="I19" s="20"/>
      <c r="J19" s="20"/>
      <c r="K19" s="2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17"/>
      <c r="BT19" s="41"/>
      <c r="BU19" s="41"/>
      <c r="BV19" s="17"/>
      <c r="BW19" s="17"/>
      <c r="BX19" s="17"/>
      <c r="BY19" s="17"/>
      <c r="BZ19" s="17"/>
    </row>
    <row r="20">
      <c r="A20" s="17"/>
      <c r="B20" s="18"/>
      <c r="C20" s="39"/>
      <c r="D20" s="39" t="s">
        <v>139</v>
      </c>
      <c r="E20" s="20"/>
      <c r="F20" s="20"/>
      <c r="G20" s="20"/>
      <c r="H20" s="20"/>
      <c r="I20" s="20"/>
      <c r="J20" s="20"/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17"/>
      <c r="BT20" s="41"/>
      <c r="BU20" s="41"/>
      <c r="BV20" s="17"/>
      <c r="BW20" s="17"/>
      <c r="BX20" s="17"/>
      <c r="BY20" s="17"/>
      <c r="BZ20" s="17"/>
    </row>
    <row r="21">
      <c r="A21" s="17"/>
      <c r="B21" s="18" t="s">
        <v>117</v>
      </c>
      <c r="C21" s="18"/>
      <c r="D21" s="18" t="s">
        <v>140</v>
      </c>
      <c r="E21" s="20">
        <v>58758.66</v>
      </c>
      <c r="F21" s="20">
        <v>49186.4</v>
      </c>
      <c r="G21" s="20">
        <v>62956.3</v>
      </c>
      <c r="H21" s="20">
        <v>56667.07</v>
      </c>
      <c r="I21" s="20">
        <v>70128.03</v>
      </c>
      <c r="J21" s="20">
        <v>50549.94</v>
      </c>
      <c r="K21" s="20">
        <v>52488.45</v>
      </c>
      <c r="L21" s="18">
        <v>64739.59</v>
      </c>
      <c r="M21" s="18">
        <v>49460.09</v>
      </c>
      <c r="N21" s="18">
        <v>53877.0</v>
      </c>
      <c r="O21" s="18">
        <v>63276.0</v>
      </c>
      <c r="P21" s="18">
        <v>55294.0</v>
      </c>
      <c r="Q21" s="18">
        <v>54003.0</v>
      </c>
      <c r="R21" s="18">
        <v>66026.11</v>
      </c>
      <c r="S21" s="18">
        <v>134989.0</v>
      </c>
      <c r="T21" s="18">
        <v>307509.0</v>
      </c>
      <c r="U21" s="18">
        <v>345233.0</v>
      </c>
      <c r="V21" s="18">
        <v>171100.0</v>
      </c>
      <c r="W21" s="18">
        <v>7992.0</v>
      </c>
      <c r="X21" s="18">
        <v>10140.0</v>
      </c>
      <c r="Y21" s="18">
        <v>108011.0</v>
      </c>
      <c r="Z21" s="18">
        <v>7687.0</v>
      </c>
      <c r="AA21" s="18">
        <v>44893.0</v>
      </c>
      <c r="AB21" s="18">
        <v>143933.0</v>
      </c>
      <c r="AC21" s="18">
        <v>63424.0</v>
      </c>
      <c r="AD21" s="18">
        <v>78261.0</v>
      </c>
      <c r="AE21" s="18">
        <v>99421.0</v>
      </c>
      <c r="AF21" s="18">
        <v>61840.0</v>
      </c>
      <c r="AG21" s="18">
        <v>12595.0</v>
      </c>
      <c r="AH21" s="18">
        <v>8874.0</v>
      </c>
      <c r="AI21" s="18">
        <v>28002.0</v>
      </c>
      <c r="AJ21" s="18">
        <v>78216.0</v>
      </c>
      <c r="AK21" s="18">
        <v>45941.0</v>
      </c>
      <c r="AL21" s="18">
        <v>49824.0</v>
      </c>
      <c r="AM21" s="18">
        <v>56346.0</v>
      </c>
      <c r="AN21" s="18">
        <v>69073.0</v>
      </c>
      <c r="AO21" s="18">
        <v>67362.0</v>
      </c>
      <c r="AP21" s="18">
        <v>73936.0</v>
      </c>
      <c r="AQ21" s="18">
        <v>71379.0</v>
      </c>
      <c r="AR21" s="18">
        <f>76604+24990</f>
        <v>101594</v>
      </c>
      <c r="AS21" s="18">
        <v>64842.0</v>
      </c>
      <c r="AT21" s="18">
        <v>70680.0</v>
      </c>
      <c r="AU21" s="18">
        <f>1152+66894</f>
        <v>68046</v>
      </c>
      <c r="AV21" s="18">
        <v>70632.0</v>
      </c>
      <c r="AW21" s="18">
        <f>46375+24990</f>
        <v>71365</v>
      </c>
      <c r="AX21" s="18">
        <v>55978.0</v>
      </c>
      <c r="AY21" s="18">
        <f>1512+46335</f>
        <v>47847</v>
      </c>
      <c r="AZ21" s="18">
        <f>288+54021+4500</f>
        <v>58809</v>
      </c>
      <c r="BA21" s="18">
        <v>82020.0</v>
      </c>
      <c r="BB21" s="18">
        <v>51033.8</v>
      </c>
      <c r="BC21" s="18">
        <v>59961.0</v>
      </c>
      <c r="BD21" s="18">
        <v>64730.0</v>
      </c>
      <c r="BE21" s="18">
        <v>40842.0</v>
      </c>
      <c r="BF21" s="18">
        <v>34371.0</v>
      </c>
      <c r="BG21" s="18">
        <v>42266.0</v>
      </c>
      <c r="BH21" s="18">
        <v>70043.0</v>
      </c>
      <c r="BI21" s="18">
        <v>56837.0</v>
      </c>
      <c r="BJ21" s="18">
        <f>51429+24990
</f>
        <v>76419</v>
      </c>
      <c r="BK21" s="18">
        <v>46731.0</v>
      </c>
      <c r="BL21" s="18"/>
      <c r="BM21" s="18"/>
      <c r="BN21" s="18"/>
      <c r="BO21" s="18"/>
      <c r="BP21" s="18"/>
      <c r="BQ21" s="18"/>
      <c r="BR21" s="18"/>
      <c r="BS21" s="17"/>
      <c r="BT21" s="27" t="s">
        <v>141</v>
      </c>
      <c r="BU21" s="27"/>
      <c r="BV21" s="17"/>
      <c r="BW21" s="17"/>
      <c r="BX21" s="17"/>
      <c r="BY21" s="17"/>
      <c r="BZ21" s="17"/>
    </row>
    <row r="22">
      <c r="A22" s="17"/>
      <c r="B22" s="18" t="s">
        <v>117</v>
      </c>
      <c r="C22" s="18"/>
      <c r="D22" s="18" t="s">
        <v>142</v>
      </c>
      <c r="E22" s="20">
        <v>1120942.0</v>
      </c>
      <c r="F22" s="20">
        <v>2056004.0</v>
      </c>
      <c r="G22" s="20">
        <v>895758.1</v>
      </c>
      <c r="H22" s="20">
        <v>939370.4</v>
      </c>
      <c r="I22" s="20">
        <v>775756.6</v>
      </c>
      <c r="J22" s="20">
        <v>922913.3</v>
      </c>
      <c r="K22" s="20">
        <v>997483.1</v>
      </c>
      <c r="L22" s="18">
        <v>825516.4</v>
      </c>
      <c r="M22" s="18">
        <v>926144.7</v>
      </c>
      <c r="N22" s="18">
        <v>659114.0</v>
      </c>
      <c r="O22" s="18">
        <v>630971.0</v>
      </c>
      <c r="P22" s="18">
        <v>1005451.0</v>
      </c>
      <c r="Q22" s="18">
        <v>852201.0</v>
      </c>
      <c r="R22" s="18">
        <v>1683196.0</v>
      </c>
      <c r="S22" s="18">
        <f>1421414+51346</f>
        <v>1472760</v>
      </c>
      <c r="T22" s="18">
        <v>2161308.0</v>
      </c>
      <c r="U22" s="18">
        <v>1611222.0</v>
      </c>
      <c r="V22" s="18">
        <v>1381141.0</v>
      </c>
      <c r="W22" s="18">
        <v>1451654.0</v>
      </c>
      <c r="X22" s="18">
        <v>1507873.0</v>
      </c>
      <c r="Y22" s="18">
        <v>1526882.0</v>
      </c>
      <c r="Z22" s="18">
        <v>1474427.0</v>
      </c>
      <c r="AA22" s="18">
        <v>1168717.0</v>
      </c>
      <c r="AB22" s="18">
        <v>1277381.0</v>
      </c>
      <c r="AC22" s="18">
        <v>1261067.0</v>
      </c>
      <c r="AD22" s="18">
        <v>1525702.0</v>
      </c>
      <c r="AE22" s="18">
        <v>1268372.0</v>
      </c>
      <c r="AF22" s="18">
        <v>837353.0</v>
      </c>
      <c r="AG22" s="18">
        <v>1170715.0</v>
      </c>
      <c r="AH22" s="18">
        <v>1055371.0</v>
      </c>
      <c r="AI22" s="18">
        <v>625905.0</v>
      </c>
      <c r="AJ22" s="18">
        <f t="shared" ref="AJ22:BE22" si="43">AJ30+AJ31</f>
        <v>899032</v>
      </c>
      <c r="AK22" s="18">
        <f t="shared" si="43"/>
        <v>1049499</v>
      </c>
      <c r="AL22" s="18">
        <f t="shared" si="43"/>
        <v>823588</v>
      </c>
      <c r="AM22" s="18">
        <f t="shared" si="43"/>
        <v>731661</v>
      </c>
      <c r="AN22" s="18">
        <f t="shared" si="43"/>
        <v>1012811</v>
      </c>
      <c r="AO22" s="18">
        <f t="shared" si="43"/>
        <v>1051558</v>
      </c>
      <c r="AP22" s="18">
        <f t="shared" si="43"/>
        <v>1374498</v>
      </c>
      <c r="AQ22" s="18">
        <f t="shared" si="43"/>
        <v>1312190</v>
      </c>
      <c r="AR22" s="18">
        <f t="shared" si="43"/>
        <v>2416858</v>
      </c>
      <c r="AS22" s="18">
        <f t="shared" si="43"/>
        <v>1576767</v>
      </c>
      <c r="AT22" s="18">
        <f t="shared" si="43"/>
        <v>1577925</v>
      </c>
      <c r="AU22" s="18">
        <f t="shared" si="43"/>
        <v>1489688</v>
      </c>
      <c r="AV22" s="18">
        <f t="shared" si="43"/>
        <v>982622</v>
      </c>
      <c r="AW22" s="18">
        <f t="shared" si="43"/>
        <v>824421</v>
      </c>
      <c r="AX22" s="18">
        <f t="shared" si="43"/>
        <v>1049968</v>
      </c>
      <c r="AY22" s="18">
        <f t="shared" si="43"/>
        <v>977534</v>
      </c>
      <c r="AZ22" s="18">
        <f t="shared" si="43"/>
        <v>891760</v>
      </c>
      <c r="BA22" s="18">
        <f t="shared" si="43"/>
        <v>1020068</v>
      </c>
      <c r="BB22" s="18">
        <f t="shared" si="43"/>
        <v>1104155.64</v>
      </c>
      <c r="BC22" s="18">
        <f t="shared" si="43"/>
        <v>1424442</v>
      </c>
      <c r="BD22" s="18">
        <f t="shared" si="43"/>
        <v>1347206</v>
      </c>
      <c r="BE22" s="18">
        <f t="shared" si="43"/>
        <v>2321867</v>
      </c>
      <c r="BF22" s="18">
        <v>1952692.0</v>
      </c>
      <c r="BG22" s="18">
        <v>1869152.0</v>
      </c>
      <c r="BH22" s="18">
        <v>2726764.0</v>
      </c>
      <c r="BI22" s="18">
        <v>1788566.0</v>
      </c>
      <c r="BJ22" s="18">
        <v>2405415.0</v>
      </c>
      <c r="BK22" s="18">
        <v>1542108.0</v>
      </c>
      <c r="BL22" s="18"/>
      <c r="BM22" s="18"/>
      <c r="BN22" s="18"/>
      <c r="BO22" s="18"/>
      <c r="BP22" s="18"/>
      <c r="BQ22" s="18"/>
      <c r="BR22" s="18"/>
      <c r="BS22" s="42"/>
      <c r="BT22" s="43" t="s">
        <v>143</v>
      </c>
      <c r="BU22" s="44"/>
      <c r="BV22" s="17"/>
      <c r="BW22" s="17"/>
      <c r="BX22" s="17"/>
      <c r="BY22" s="17"/>
      <c r="BZ22" s="17"/>
    </row>
    <row r="23">
      <c r="A23" s="3"/>
      <c r="B23" s="33" t="s">
        <v>117</v>
      </c>
      <c r="C23" s="3"/>
      <c r="D23" s="3" t="s">
        <v>144</v>
      </c>
      <c r="E23" s="26">
        <f t="shared" ref="E23:V23" si="44">(E21+E22)/E4</f>
        <v>0.1122073981</v>
      </c>
      <c r="F23" s="26">
        <f t="shared" si="44"/>
        <v>0.1883939424</v>
      </c>
      <c r="G23" s="26">
        <f t="shared" si="44"/>
        <v>0.08409219987</v>
      </c>
      <c r="H23" s="26">
        <f t="shared" si="44"/>
        <v>0.0794407288</v>
      </c>
      <c r="I23" s="26">
        <f t="shared" si="44"/>
        <v>0.06628762346</v>
      </c>
      <c r="J23" s="26">
        <f t="shared" si="44"/>
        <v>0.08492490076</v>
      </c>
      <c r="K23" s="26">
        <f t="shared" si="44"/>
        <v>0.08853366688</v>
      </c>
      <c r="L23" s="26">
        <f t="shared" si="44"/>
        <v>0.07593938205</v>
      </c>
      <c r="M23" s="26">
        <f t="shared" si="44"/>
        <v>0.08928221424</v>
      </c>
      <c r="N23" s="26">
        <f t="shared" si="44"/>
        <v>0.05958581569</v>
      </c>
      <c r="O23" s="26">
        <f t="shared" si="44"/>
        <v>0.05012341206</v>
      </c>
      <c r="P23" s="26">
        <f t="shared" si="44"/>
        <v>0.08669907698</v>
      </c>
      <c r="Q23" s="26">
        <f t="shared" si="44"/>
        <v>0.07717589588</v>
      </c>
      <c r="R23" s="26">
        <f t="shared" si="44"/>
        <v>0.146587635</v>
      </c>
      <c r="S23" s="26">
        <f t="shared" si="44"/>
        <v>0.1379655401</v>
      </c>
      <c r="T23" s="26">
        <f t="shared" si="44"/>
        <v>0.1942603869</v>
      </c>
      <c r="U23" s="26">
        <f t="shared" si="44"/>
        <v>0.1524008931</v>
      </c>
      <c r="V23" s="26">
        <f t="shared" si="44"/>
        <v>0.1181761491</v>
      </c>
      <c r="W23" s="26">
        <f t="shared" ref="W23:BK23" si="45">(W21+W22+W24+W26+W28+W39)/W4</f>
        <v>0.1379546509</v>
      </c>
      <c r="X23" s="26">
        <f t="shared" si="45"/>
        <v>0.1196900329</v>
      </c>
      <c r="Y23" s="26">
        <f t="shared" si="45"/>
        <v>0.1253161795</v>
      </c>
      <c r="Z23" s="26">
        <f t="shared" si="45"/>
        <v>0.123194991</v>
      </c>
      <c r="AA23" s="26">
        <f t="shared" si="45"/>
        <v>0.1375362735</v>
      </c>
      <c r="AB23" s="26">
        <f t="shared" si="45"/>
        <v>0.1305070702</v>
      </c>
      <c r="AC23" s="26">
        <f t="shared" si="45"/>
        <v>0.1180101248</v>
      </c>
      <c r="AD23" s="26">
        <f t="shared" si="45"/>
        <v>0.1364145456</v>
      </c>
      <c r="AE23" s="26">
        <f t="shared" si="45"/>
        <v>0.1444587402</v>
      </c>
      <c r="AF23" s="26">
        <f t="shared" si="45"/>
        <v>0.07876731981</v>
      </c>
      <c r="AG23" s="26">
        <f t="shared" si="45"/>
        <v>0.08801706827</v>
      </c>
      <c r="AH23" s="26">
        <f t="shared" si="45"/>
        <v>0.07322677854</v>
      </c>
      <c r="AI23" s="26">
        <f t="shared" si="45"/>
        <v>0.0451758358</v>
      </c>
      <c r="AJ23" s="26">
        <f t="shared" si="45"/>
        <v>0.1538234659</v>
      </c>
      <c r="AK23" s="26">
        <f t="shared" si="45"/>
        <v>0.06878026793</v>
      </c>
      <c r="AL23" s="26">
        <f t="shared" si="45"/>
        <v>0.05959204331</v>
      </c>
      <c r="AM23" s="26">
        <f t="shared" si="45"/>
        <v>0.0592198477</v>
      </c>
      <c r="AN23" s="26">
        <f t="shared" si="45"/>
        <v>0.07646622367</v>
      </c>
      <c r="AO23" s="26">
        <f t="shared" si="45"/>
        <v>0.07607239632</v>
      </c>
      <c r="AP23" s="26">
        <f t="shared" si="45"/>
        <v>0.07612358176</v>
      </c>
      <c r="AQ23" s="26">
        <f t="shared" si="45"/>
        <v>0.1166608173</v>
      </c>
      <c r="AR23" s="26">
        <f t="shared" si="45"/>
        <v>0.2244258379</v>
      </c>
      <c r="AS23" s="26">
        <f t="shared" si="45"/>
        <v>0.1114018801</v>
      </c>
      <c r="AT23" s="26">
        <f t="shared" si="45"/>
        <v>0.08938623756</v>
      </c>
      <c r="AU23" s="26">
        <f t="shared" si="45"/>
        <v>0.07882439799</v>
      </c>
      <c r="AV23" s="26">
        <f t="shared" si="45"/>
        <v>0.06027932184</v>
      </c>
      <c r="AW23" s="26">
        <f t="shared" si="45"/>
        <v>0.07403401488</v>
      </c>
      <c r="AX23" s="26">
        <f t="shared" si="45"/>
        <v>0.06993290247</v>
      </c>
      <c r="AY23" s="26">
        <f t="shared" si="45"/>
        <v>0.05955689386</v>
      </c>
      <c r="AZ23" s="26">
        <f t="shared" si="45"/>
        <v>0.06474230027</v>
      </c>
      <c r="BA23" s="26">
        <f t="shared" si="45"/>
        <v>0.07350551628</v>
      </c>
      <c r="BB23" s="26">
        <f t="shared" si="45"/>
        <v>0.08691325856</v>
      </c>
      <c r="BC23" s="26">
        <f t="shared" si="45"/>
        <v>0.1082971699</v>
      </c>
      <c r="BD23" s="26">
        <f t="shared" si="45"/>
        <v>0.1193459652</v>
      </c>
      <c r="BE23" s="26">
        <f t="shared" si="45"/>
        <v>0.2037331646</v>
      </c>
      <c r="BF23" s="26">
        <f t="shared" si="45"/>
        <v>0.1627042238</v>
      </c>
      <c r="BG23" s="26">
        <f t="shared" si="45"/>
        <v>0.1323133007</v>
      </c>
      <c r="BH23" s="26">
        <f t="shared" si="45"/>
        <v>0.2118819917</v>
      </c>
      <c r="BI23" s="26">
        <f t="shared" si="45"/>
        <v>0.124895889</v>
      </c>
      <c r="BJ23" s="26">
        <f t="shared" si="45"/>
        <v>0.1873890733</v>
      </c>
      <c r="BK23" s="26">
        <f t="shared" si="45"/>
        <v>0.162415746</v>
      </c>
      <c r="BL23" s="26"/>
      <c r="BM23" s="26"/>
      <c r="BN23" s="26"/>
      <c r="BO23" s="26"/>
      <c r="BP23" s="26"/>
      <c r="BQ23" s="26"/>
      <c r="BR23" s="26"/>
      <c r="BS23" s="25"/>
      <c r="BT23" s="27" t="s">
        <v>124</v>
      </c>
      <c r="BU23" s="27"/>
      <c r="BV23" s="26" t="str">
        <f t="shared" ref="BV23:BX23" si="46">(BV21+BV22)/BV4</f>
        <v>#DIV/0!</v>
      </c>
      <c r="BW23" s="26" t="str">
        <f t="shared" si="46"/>
        <v>#DIV/0!</v>
      </c>
      <c r="BX23" s="26" t="str">
        <f t="shared" si="46"/>
        <v>#DIV/0!</v>
      </c>
      <c r="BY23" s="26"/>
      <c r="BZ23" s="26"/>
    </row>
    <row r="24">
      <c r="A24" s="3"/>
      <c r="B24" s="33" t="s">
        <v>117</v>
      </c>
      <c r="C24" s="3"/>
      <c r="D24" s="3" t="s">
        <v>145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18">
        <v>16730.0</v>
      </c>
      <c r="X24" s="18">
        <v>2128.0</v>
      </c>
      <c r="Y24" s="18">
        <v>698.0</v>
      </c>
      <c r="Z24" s="18">
        <v>46.0</v>
      </c>
      <c r="AA24" s="18">
        <v>13.0</v>
      </c>
      <c r="AB24" s="18">
        <v>0.0</v>
      </c>
      <c r="AC24" s="18">
        <v>0.0</v>
      </c>
      <c r="AD24" s="18">
        <v>32.0</v>
      </c>
      <c r="AE24" s="18">
        <v>0.0</v>
      </c>
      <c r="AF24" s="18">
        <v>5.0</v>
      </c>
      <c r="AG24" s="18">
        <v>24.0</v>
      </c>
      <c r="AH24" s="18">
        <v>0.0</v>
      </c>
      <c r="AI24" s="18">
        <v>0.0</v>
      </c>
      <c r="AJ24" s="18">
        <v>0.0</v>
      </c>
      <c r="AK24" s="18">
        <v>0.0</v>
      </c>
      <c r="AL24" s="18">
        <v>0.0</v>
      </c>
      <c r="AM24" s="18">
        <v>0.0</v>
      </c>
      <c r="AN24" s="18">
        <v>0.0</v>
      </c>
      <c r="AO24" s="18">
        <v>0.0</v>
      </c>
      <c r="AP24" s="18">
        <v>0.0</v>
      </c>
      <c r="AQ24" s="18">
        <v>0.0</v>
      </c>
      <c r="AR24" s="18">
        <v>0.0</v>
      </c>
      <c r="AS24" s="18">
        <v>0.0</v>
      </c>
      <c r="AT24" s="18">
        <v>0.0</v>
      </c>
      <c r="AU24" s="18">
        <v>0.0</v>
      </c>
      <c r="AV24" s="18">
        <v>0.0</v>
      </c>
      <c r="AW24" s="18">
        <v>0.0</v>
      </c>
      <c r="AX24" s="18">
        <v>0.0</v>
      </c>
      <c r="AY24" s="18">
        <v>0.0</v>
      </c>
      <c r="AZ24" s="18">
        <v>0.0</v>
      </c>
      <c r="BA24" s="18">
        <v>0.0</v>
      </c>
      <c r="BB24" s="18">
        <v>0.0</v>
      </c>
      <c r="BC24" s="18">
        <v>0.0</v>
      </c>
      <c r="BD24" s="18">
        <v>156.0</v>
      </c>
      <c r="BE24" s="18">
        <v>27966.0</v>
      </c>
      <c r="BF24" s="18">
        <v>38355.0</v>
      </c>
      <c r="BG24" s="18">
        <v>43083.0</v>
      </c>
      <c r="BH24" s="18">
        <v>46287.0</v>
      </c>
      <c r="BI24" s="18">
        <v>48397.0</v>
      </c>
      <c r="BJ24" s="18">
        <v>42318.0</v>
      </c>
      <c r="BK24" s="18">
        <v>38084.0</v>
      </c>
      <c r="BL24" s="18"/>
      <c r="BM24" s="18"/>
      <c r="BN24" s="18"/>
      <c r="BO24" s="18"/>
      <c r="BP24" s="18"/>
      <c r="BQ24" s="18"/>
      <c r="BR24" s="18"/>
      <c r="BS24" s="45"/>
      <c r="BT24" s="27" t="s">
        <v>141</v>
      </c>
      <c r="BU24" s="27"/>
      <c r="BV24" s="26"/>
      <c r="BW24" s="26"/>
      <c r="BX24" s="26"/>
      <c r="BY24" s="26"/>
      <c r="BZ24" s="26"/>
    </row>
    <row r="25">
      <c r="A25" s="3"/>
      <c r="B25" s="33" t="s">
        <v>117</v>
      </c>
      <c r="C25" s="3"/>
      <c r="D25" s="3" t="s">
        <v>146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46">
        <f t="shared" ref="W25:BK25" si="47">W24/W$4</f>
        <v>0.001371228977</v>
      </c>
      <c r="X25" s="46">
        <f t="shared" si="47"/>
        <v>0.0001543380562</v>
      </c>
      <c r="Y25" s="46">
        <f t="shared" si="47"/>
        <v>0.00004784159033</v>
      </c>
      <c r="Z25" s="46">
        <f t="shared" si="47"/>
        <v>0.000003300391125</v>
      </c>
      <c r="AA25" s="46">
        <f t="shared" si="47"/>
        <v>0.0000009538895654</v>
      </c>
      <c r="AB25" s="46">
        <f t="shared" si="47"/>
        <v>0</v>
      </c>
      <c r="AC25" s="46">
        <f t="shared" si="47"/>
        <v>0</v>
      </c>
      <c r="AD25" s="46">
        <f t="shared" si="47"/>
        <v>0.000002412501947</v>
      </c>
      <c r="AE25" s="46">
        <f t="shared" si="47"/>
        <v>0</v>
      </c>
      <c r="AF25" s="46">
        <f t="shared" si="47"/>
        <v>0.0000003790203159</v>
      </c>
      <c r="AG25" s="46">
        <f t="shared" si="47"/>
        <v>0.000001696815424</v>
      </c>
      <c r="AH25" s="46">
        <f t="shared" si="47"/>
        <v>0</v>
      </c>
      <c r="AI25" s="46">
        <f t="shared" si="47"/>
        <v>0</v>
      </c>
      <c r="AJ25" s="46">
        <f t="shared" si="47"/>
        <v>0</v>
      </c>
      <c r="AK25" s="46">
        <f t="shared" si="47"/>
        <v>0</v>
      </c>
      <c r="AL25" s="46">
        <f t="shared" si="47"/>
        <v>0</v>
      </c>
      <c r="AM25" s="46">
        <f t="shared" si="47"/>
        <v>0</v>
      </c>
      <c r="AN25" s="46">
        <f t="shared" si="47"/>
        <v>0</v>
      </c>
      <c r="AO25" s="46">
        <f t="shared" si="47"/>
        <v>0</v>
      </c>
      <c r="AP25" s="46">
        <f t="shared" si="47"/>
        <v>0</v>
      </c>
      <c r="AQ25" s="46">
        <f t="shared" si="47"/>
        <v>0</v>
      </c>
      <c r="AR25" s="46">
        <f t="shared" si="47"/>
        <v>0</v>
      </c>
      <c r="AS25" s="46">
        <f t="shared" si="47"/>
        <v>0</v>
      </c>
      <c r="AT25" s="46">
        <f t="shared" si="47"/>
        <v>0</v>
      </c>
      <c r="AU25" s="46">
        <f t="shared" si="47"/>
        <v>0</v>
      </c>
      <c r="AV25" s="46">
        <f t="shared" si="47"/>
        <v>0</v>
      </c>
      <c r="AW25" s="46">
        <f t="shared" si="47"/>
        <v>0</v>
      </c>
      <c r="AX25" s="46">
        <f t="shared" si="47"/>
        <v>0</v>
      </c>
      <c r="AY25" s="46">
        <f t="shared" si="47"/>
        <v>0</v>
      </c>
      <c r="AZ25" s="46">
        <f t="shared" si="47"/>
        <v>0</v>
      </c>
      <c r="BA25" s="46">
        <f t="shared" si="47"/>
        <v>0</v>
      </c>
      <c r="BB25" s="46">
        <f t="shared" si="47"/>
        <v>0</v>
      </c>
      <c r="BC25" s="46">
        <f t="shared" si="47"/>
        <v>0</v>
      </c>
      <c r="BD25" s="46">
        <f t="shared" si="47"/>
        <v>0.000008832814858</v>
      </c>
      <c r="BE25" s="46">
        <f t="shared" si="47"/>
        <v>0.00183573078</v>
      </c>
      <c r="BF25" s="46">
        <f t="shared" si="47"/>
        <v>0.002746675327</v>
      </c>
      <c r="BG25" s="46">
        <f t="shared" si="47"/>
        <v>0.00265225842</v>
      </c>
      <c r="BH25" s="46">
        <f t="shared" si="47"/>
        <v>0.002569599924</v>
      </c>
      <c r="BI25" s="46">
        <f t="shared" si="47"/>
        <v>0.002947016065</v>
      </c>
      <c r="BJ25" s="46">
        <f t="shared" si="47"/>
        <v>0.002766581774</v>
      </c>
      <c r="BK25" s="46">
        <f t="shared" si="47"/>
        <v>0.002251956995</v>
      </c>
      <c r="BL25" s="46"/>
      <c r="BM25" s="46"/>
      <c r="BN25" s="46"/>
      <c r="BO25" s="46"/>
      <c r="BP25" s="46"/>
      <c r="BQ25" s="46"/>
      <c r="BR25" s="46"/>
      <c r="BS25" s="25"/>
      <c r="BT25" s="27" t="s">
        <v>124</v>
      </c>
      <c r="BU25" s="27"/>
      <c r="BV25" s="26"/>
      <c r="BW25" s="26"/>
      <c r="BX25" s="26"/>
      <c r="BY25" s="26"/>
      <c r="BZ25" s="26"/>
    </row>
    <row r="26">
      <c r="A26" s="3"/>
      <c r="B26" s="33" t="s">
        <v>117</v>
      </c>
      <c r="C26" s="3"/>
      <c r="D26" s="3" t="s">
        <v>147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18">
        <v>54391.0</v>
      </c>
      <c r="X26" s="18">
        <v>60946.0</v>
      </c>
      <c r="Y26" s="18">
        <v>65440.0</v>
      </c>
      <c r="Z26" s="18">
        <v>62682.0</v>
      </c>
      <c r="AA26" s="18">
        <v>60778.0</v>
      </c>
      <c r="AB26" s="18">
        <v>52706.0</v>
      </c>
      <c r="AC26" s="18">
        <v>55525.0</v>
      </c>
      <c r="AD26" s="18">
        <v>59030.0</v>
      </c>
      <c r="AE26" s="18">
        <v>62083.0</v>
      </c>
      <c r="AF26" s="18">
        <v>58893.0</v>
      </c>
      <c r="AG26" s="18">
        <v>61592.0</v>
      </c>
      <c r="AH26" s="18">
        <v>35242.0</v>
      </c>
      <c r="AI26" s="18">
        <v>1965.0</v>
      </c>
      <c r="AJ26" s="18">
        <v>155.0</v>
      </c>
      <c r="AK26" s="18">
        <v>4.0</v>
      </c>
      <c r="AL26" s="18">
        <v>0.0</v>
      </c>
      <c r="AM26" s="18">
        <v>0.0</v>
      </c>
      <c r="AN26" s="18">
        <v>4.0</v>
      </c>
      <c r="AO26" s="18">
        <v>0.0</v>
      </c>
      <c r="AP26" s="18">
        <v>0.0</v>
      </c>
      <c r="AQ26" s="18">
        <v>0.0</v>
      </c>
      <c r="AR26" s="18">
        <v>0.0</v>
      </c>
      <c r="AS26" s="18">
        <v>0.0</v>
      </c>
      <c r="AT26" s="18">
        <v>0.0</v>
      </c>
      <c r="AU26" s="18">
        <v>0.0</v>
      </c>
      <c r="AV26" s="18">
        <v>0.0</v>
      </c>
      <c r="AW26" s="18">
        <v>0.0</v>
      </c>
      <c r="AX26" s="18">
        <v>0.0</v>
      </c>
      <c r="AY26" s="18">
        <v>0.0</v>
      </c>
      <c r="AZ26" s="18">
        <v>0.0</v>
      </c>
      <c r="BA26" s="18">
        <v>0.0</v>
      </c>
      <c r="BB26" s="18">
        <v>0.0</v>
      </c>
      <c r="BC26" s="18">
        <v>0.0</v>
      </c>
      <c r="BD26" s="18">
        <v>0.0</v>
      </c>
      <c r="BE26" s="18">
        <v>0.0</v>
      </c>
      <c r="BF26" s="18">
        <v>0.0</v>
      </c>
      <c r="BG26" s="18">
        <v>0.0</v>
      </c>
      <c r="BH26" s="18">
        <v>0.0</v>
      </c>
      <c r="BI26" s="18">
        <v>0.0</v>
      </c>
      <c r="BJ26" s="18">
        <v>0.0</v>
      </c>
      <c r="BK26" s="18">
        <v>0.0</v>
      </c>
      <c r="BL26" s="18"/>
      <c r="BM26" s="18"/>
      <c r="BN26" s="18"/>
      <c r="BO26" s="18"/>
      <c r="BP26" s="18"/>
      <c r="BQ26" s="18"/>
      <c r="BR26" s="18"/>
      <c r="BS26" s="45"/>
      <c r="BT26" s="27" t="s">
        <v>141</v>
      </c>
      <c r="BU26" s="27"/>
      <c r="BV26" s="26"/>
      <c r="BW26" s="26"/>
      <c r="BX26" s="26"/>
      <c r="BY26" s="26"/>
      <c r="BZ26" s="26"/>
    </row>
    <row r="27">
      <c r="A27" s="3"/>
      <c r="B27" s="33" t="s">
        <v>117</v>
      </c>
      <c r="C27" s="3"/>
      <c r="D27" s="3" t="s">
        <v>148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46">
        <f t="shared" ref="W27:BK27" si="48">W26/W$4</f>
        <v>0.004458010477</v>
      </c>
      <c r="X27" s="46">
        <f t="shared" si="48"/>
        <v>0.004420247731</v>
      </c>
      <c r="Y27" s="46">
        <f t="shared" si="48"/>
        <v>0.004485320445</v>
      </c>
      <c r="Z27" s="46">
        <f t="shared" si="48"/>
        <v>0.004497285141</v>
      </c>
      <c r="AA27" s="46">
        <f t="shared" si="48"/>
        <v>0.004459653847</v>
      </c>
      <c r="AB27" s="46">
        <f t="shared" si="48"/>
        <v>0.004445951941</v>
      </c>
      <c r="AC27" s="46">
        <f t="shared" si="48"/>
        <v>0.004364526855</v>
      </c>
      <c r="AD27" s="46">
        <f t="shared" si="48"/>
        <v>0.004450312185</v>
      </c>
      <c r="AE27" s="46">
        <f t="shared" si="48"/>
        <v>0.00447014397</v>
      </c>
      <c r="AF27" s="46">
        <f t="shared" si="48"/>
        <v>0.004464328692</v>
      </c>
      <c r="AG27" s="46">
        <f t="shared" si="48"/>
        <v>0.004354593983</v>
      </c>
      <c r="AH27" s="46">
        <f t="shared" si="48"/>
        <v>0.002162380265</v>
      </c>
      <c r="AI27" s="46">
        <f t="shared" si="48"/>
        <v>0.0001353473198</v>
      </c>
      <c r="AJ27" s="46">
        <f t="shared" si="48"/>
        <v>0.00001047336077</v>
      </c>
      <c r="AK27" s="46">
        <f t="shared" si="48"/>
        <v>0.000000251150284</v>
      </c>
      <c r="AL27" s="46">
        <f t="shared" si="48"/>
        <v>0</v>
      </c>
      <c r="AM27" s="46">
        <f t="shared" si="48"/>
        <v>0</v>
      </c>
      <c r="AN27" s="46">
        <f t="shared" si="48"/>
        <v>0.0000002578766322</v>
      </c>
      <c r="AO27" s="46">
        <f t="shared" si="48"/>
        <v>0</v>
      </c>
      <c r="AP27" s="46">
        <f t="shared" si="48"/>
        <v>0</v>
      </c>
      <c r="AQ27" s="46">
        <f t="shared" si="48"/>
        <v>0</v>
      </c>
      <c r="AR27" s="46">
        <f t="shared" si="48"/>
        <v>0</v>
      </c>
      <c r="AS27" s="46">
        <f t="shared" si="48"/>
        <v>0</v>
      </c>
      <c r="AT27" s="46">
        <f t="shared" si="48"/>
        <v>0</v>
      </c>
      <c r="AU27" s="46">
        <f t="shared" si="48"/>
        <v>0</v>
      </c>
      <c r="AV27" s="46">
        <f t="shared" si="48"/>
        <v>0</v>
      </c>
      <c r="AW27" s="46">
        <f t="shared" si="48"/>
        <v>0</v>
      </c>
      <c r="AX27" s="46">
        <f t="shared" si="48"/>
        <v>0</v>
      </c>
      <c r="AY27" s="46">
        <f t="shared" si="48"/>
        <v>0</v>
      </c>
      <c r="AZ27" s="46">
        <f t="shared" si="48"/>
        <v>0</v>
      </c>
      <c r="BA27" s="46">
        <f t="shared" si="48"/>
        <v>0</v>
      </c>
      <c r="BB27" s="46">
        <f t="shared" si="48"/>
        <v>0</v>
      </c>
      <c r="BC27" s="46">
        <f t="shared" si="48"/>
        <v>0</v>
      </c>
      <c r="BD27" s="46">
        <f t="shared" si="48"/>
        <v>0</v>
      </c>
      <c r="BE27" s="46">
        <f t="shared" si="48"/>
        <v>0</v>
      </c>
      <c r="BF27" s="46">
        <f t="shared" si="48"/>
        <v>0</v>
      </c>
      <c r="BG27" s="46">
        <f t="shared" si="48"/>
        <v>0</v>
      </c>
      <c r="BH27" s="46">
        <f t="shared" si="48"/>
        <v>0</v>
      </c>
      <c r="BI27" s="46">
        <f t="shared" si="48"/>
        <v>0</v>
      </c>
      <c r="BJ27" s="46">
        <f t="shared" si="48"/>
        <v>0</v>
      </c>
      <c r="BK27" s="46">
        <f t="shared" si="48"/>
        <v>0</v>
      </c>
      <c r="BL27" s="46"/>
      <c r="BM27" s="46"/>
      <c r="BN27" s="46"/>
      <c r="BO27" s="46"/>
      <c r="BP27" s="46"/>
      <c r="BQ27" s="46"/>
      <c r="BR27" s="46"/>
      <c r="BS27" s="25"/>
      <c r="BT27" s="27" t="s">
        <v>124</v>
      </c>
      <c r="BU27" s="27"/>
      <c r="BV27" s="26"/>
      <c r="BW27" s="26"/>
      <c r="BX27" s="26"/>
      <c r="BY27" s="26"/>
      <c r="BZ27" s="26"/>
    </row>
    <row r="28">
      <c r="A28" s="3"/>
      <c r="B28" s="33" t="s">
        <v>117</v>
      </c>
      <c r="C28" s="3"/>
      <c r="D28" s="3" t="s">
        <v>149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18">
        <v>0.0</v>
      </c>
      <c r="X28" s="18">
        <v>0.0</v>
      </c>
      <c r="Y28" s="18">
        <v>0.0</v>
      </c>
      <c r="Z28" s="18">
        <v>0.0</v>
      </c>
      <c r="AA28" s="18">
        <v>600000.0</v>
      </c>
      <c r="AB28" s="18">
        <v>0.0</v>
      </c>
      <c r="AC28" s="18">
        <v>0.0</v>
      </c>
      <c r="AD28" s="18">
        <v>85255.0</v>
      </c>
      <c r="AE28" s="18">
        <v>576420.0</v>
      </c>
      <c r="AF28" s="18">
        <v>0.0</v>
      </c>
      <c r="AG28" s="18">
        <v>0.0</v>
      </c>
      <c r="AH28" s="18">
        <v>93947.0</v>
      </c>
      <c r="AI28" s="18">
        <v>0.0</v>
      </c>
      <c r="AJ28" s="18">
        <v>1218100.0</v>
      </c>
      <c r="AK28" s="18">
        <v>0.0</v>
      </c>
      <c r="AL28" s="18">
        <v>11587.0</v>
      </c>
      <c r="AM28" s="18">
        <v>323.0</v>
      </c>
      <c r="AN28" s="18">
        <v>0.0</v>
      </c>
      <c r="AO28" s="18">
        <v>3092.0</v>
      </c>
      <c r="AP28" s="18">
        <v>175.0</v>
      </c>
      <c r="AQ28" s="18">
        <v>580000.0</v>
      </c>
      <c r="AR28" s="18">
        <v>1778264.0</v>
      </c>
      <c r="AS28" s="18">
        <f>1033654-580000</f>
        <v>453654</v>
      </c>
      <c r="AT28" s="18">
        <v>51507.0</v>
      </c>
      <c r="AU28" s="18">
        <v>11829.0</v>
      </c>
      <c r="AV28" s="18">
        <v>111658.0</v>
      </c>
      <c r="AW28" s="18">
        <v>15615.0</v>
      </c>
      <c r="AX28" s="18">
        <v>25435.0</v>
      </c>
      <c r="AY28" s="18">
        <v>10779.0</v>
      </c>
      <c r="AZ28" s="18">
        <v>7066.0</v>
      </c>
      <c r="BA28" s="18">
        <v>1048.0</v>
      </c>
      <c r="BB28" s="18">
        <v>0.0</v>
      </c>
      <c r="BC28" s="18">
        <v>0.0</v>
      </c>
      <c r="BD28" s="18">
        <v>477521.5</v>
      </c>
      <c r="BE28" s="18">
        <f>2094+477522</f>
        <v>479616</v>
      </c>
      <c r="BF28" s="18">
        <v>0.0</v>
      </c>
      <c r="BG28" s="18">
        <v>1039.0</v>
      </c>
      <c r="BH28" s="18">
        <f>425000+426058
</f>
        <v>851058</v>
      </c>
      <c r="BI28" s="18">
        <v>39000.0</v>
      </c>
      <c r="BJ28" s="18">
        <v>187484.0</v>
      </c>
      <c r="BK28" s="18">
        <v>27051.0</v>
      </c>
      <c r="BL28" s="18"/>
      <c r="BM28" s="18"/>
      <c r="BN28" s="18"/>
      <c r="BO28" s="18"/>
      <c r="BP28" s="18"/>
      <c r="BQ28" s="18"/>
      <c r="BR28" s="18"/>
      <c r="BS28" s="39"/>
      <c r="BT28" s="27" t="s">
        <v>141</v>
      </c>
      <c r="BU28" s="27"/>
      <c r="BV28" s="26"/>
      <c r="BW28" s="26"/>
      <c r="BX28" s="26"/>
      <c r="BY28" s="26"/>
      <c r="BZ28" s="26"/>
    </row>
    <row r="29">
      <c r="A29" s="3"/>
      <c r="B29" s="33" t="s">
        <v>117</v>
      </c>
      <c r="C29" s="3"/>
      <c r="D29" s="3" t="s">
        <v>150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46">
        <f t="shared" ref="W29:BK29" si="49">W28/W$4</f>
        <v>0</v>
      </c>
      <c r="X29" s="46">
        <f t="shared" si="49"/>
        <v>0</v>
      </c>
      <c r="Y29" s="46">
        <f t="shared" si="49"/>
        <v>0</v>
      </c>
      <c r="Z29" s="46">
        <f t="shared" si="49"/>
        <v>0</v>
      </c>
      <c r="AA29" s="46">
        <f t="shared" si="49"/>
        <v>0.04402567225</v>
      </c>
      <c r="AB29" s="46">
        <f t="shared" si="49"/>
        <v>0</v>
      </c>
      <c r="AC29" s="46">
        <f t="shared" si="49"/>
        <v>0</v>
      </c>
      <c r="AD29" s="46">
        <f t="shared" si="49"/>
        <v>0.006427432922</v>
      </c>
      <c r="AE29" s="46">
        <f t="shared" si="49"/>
        <v>0.04150379955</v>
      </c>
      <c r="AF29" s="46">
        <f t="shared" si="49"/>
        <v>0</v>
      </c>
      <c r="AG29" s="46">
        <f t="shared" si="49"/>
        <v>0</v>
      </c>
      <c r="AH29" s="46">
        <f t="shared" si="49"/>
        <v>0.005764404369</v>
      </c>
      <c r="AI29" s="46">
        <f t="shared" si="49"/>
        <v>0</v>
      </c>
      <c r="AJ29" s="46">
        <f t="shared" si="49"/>
        <v>0.08230710164</v>
      </c>
      <c r="AK29" s="46">
        <f t="shared" si="49"/>
        <v>0</v>
      </c>
      <c r="AL29" s="46">
        <f t="shared" si="49"/>
        <v>0.0007147968122</v>
      </c>
      <c r="AM29" s="46">
        <f t="shared" si="49"/>
        <v>0.0000214121761</v>
      </c>
      <c r="AN29" s="46">
        <f t="shared" si="49"/>
        <v>0</v>
      </c>
      <c r="AO29" s="46">
        <f t="shared" si="49"/>
        <v>0.0001655681268</v>
      </c>
      <c r="AP29" s="46">
        <f t="shared" si="49"/>
        <v>0.000009196150796</v>
      </c>
      <c r="AQ29" s="46">
        <f t="shared" si="49"/>
        <v>0.0304409833</v>
      </c>
      <c r="AR29" s="46">
        <f t="shared" si="49"/>
        <v>0.08858374818</v>
      </c>
      <c r="AS29" s="46">
        <f t="shared" si="49"/>
        <v>0.02202588498</v>
      </c>
      <c r="AT29" s="46">
        <f t="shared" si="49"/>
        <v>0.002708066844</v>
      </c>
      <c r="AU29" s="46">
        <f t="shared" si="49"/>
        <v>0.0005940594954</v>
      </c>
      <c r="AV29" s="46">
        <f t="shared" si="49"/>
        <v>0.005777834307</v>
      </c>
      <c r="AW29" s="46">
        <f t="shared" si="49"/>
        <v>0.001044022724</v>
      </c>
      <c r="AX29" s="46">
        <f t="shared" si="49"/>
        <v>0.001572187773</v>
      </c>
      <c r="AY29" s="46">
        <f t="shared" si="49"/>
        <v>0.0006195604529</v>
      </c>
      <c r="AZ29" s="46">
        <f t="shared" si="49"/>
        <v>0.0004241165669</v>
      </c>
      <c r="BA29" s="46">
        <f t="shared" si="49"/>
        <v>0.00006313540544</v>
      </c>
      <c r="BB29" s="46">
        <f t="shared" si="49"/>
        <v>0</v>
      </c>
      <c r="BC29" s="46">
        <f t="shared" si="49"/>
        <v>0</v>
      </c>
      <c r="BD29" s="46">
        <f t="shared" si="49"/>
        <v>0.02703755769</v>
      </c>
      <c r="BE29" s="46">
        <f t="shared" si="49"/>
        <v>0.03148272381</v>
      </c>
      <c r="BF29" s="46">
        <f t="shared" si="49"/>
        <v>0</v>
      </c>
      <c r="BG29" s="46">
        <f t="shared" si="49"/>
        <v>0.00006396250258</v>
      </c>
      <c r="BH29" s="46">
        <f t="shared" si="49"/>
        <v>0.04724606416</v>
      </c>
      <c r="BI29" s="46">
        <f t="shared" si="49"/>
        <v>0.002374808904</v>
      </c>
      <c r="BJ29" s="46">
        <f t="shared" si="49"/>
        <v>0.0122569549</v>
      </c>
      <c r="BK29" s="46">
        <f t="shared" si="49"/>
        <v>0.001599561198</v>
      </c>
      <c r="BL29" s="46"/>
      <c r="BM29" s="46"/>
      <c r="BN29" s="46"/>
      <c r="BO29" s="46"/>
      <c r="BP29" s="46"/>
      <c r="BQ29" s="46"/>
      <c r="BR29" s="46"/>
      <c r="BS29" s="25"/>
      <c r="BT29" s="27" t="s">
        <v>124</v>
      </c>
      <c r="BU29" s="27"/>
      <c r="BV29" s="26"/>
      <c r="BW29" s="26"/>
      <c r="BX29" s="26"/>
      <c r="BY29" s="26"/>
      <c r="BZ29" s="26"/>
    </row>
    <row r="30">
      <c r="A30" s="3"/>
      <c r="B30" s="33" t="s">
        <v>117</v>
      </c>
      <c r="C30" s="3"/>
      <c r="D30" s="3" t="s">
        <v>151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18">
        <v>543841.0</v>
      </c>
      <c r="X30" s="18">
        <v>706594.0</v>
      </c>
      <c r="Y30" s="18">
        <v>614000.0</v>
      </c>
      <c r="Z30" s="18">
        <v>616538.0</v>
      </c>
      <c r="AA30" s="18">
        <v>570313.0</v>
      </c>
      <c r="AB30" s="18">
        <v>729828.0</v>
      </c>
      <c r="AC30" s="18">
        <v>693225.0</v>
      </c>
      <c r="AD30" s="18">
        <v>528093.0</v>
      </c>
      <c r="AE30" s="18">
        <v>643483.0</v>
      </c>
      <c r="AF30" s="18">
        <v>486977.0</v>
      </c>
      <c r="AG30" s="18">
        <v>847635.0</v>
      </c>
      <c r="AH30" s="18">
        <v>889450.0</v>
      </c>
      <c r="AI30" s="18">
        <v>475453.0</v>
      </c>
      <c r="AJ30" s="18">
        <v>634853.0</v>
      </c>
      <c r="AK30" s="18">
        <v>677268.0</v>
      </c>
      <c r="AL30" s="18">
        <v>532313.0</v>
      </c>
      <c r="AM30" s="18">
        <v>538670.0</v>
      </c>
      <c r="AN30" s="18">
        <v>566969.0</v>
      </c>
      <c r="AO30" s="18">
        <v>483156.0</v>
      </c>
      <c r="AP30" s="18">
        <v>558761.0</v>
      </c>
      <c r="AQ30" s="18">
        <v>589794.0</v>
      </c>
      <c r="AR30" s="18">
        <v>1872780.0</v>
      </c>
      <c r="AS30" s="18">
        <v>970965.0</v>
      </c>
      <c r="AT30" s="18">
        <v>1242772.0</v>
      </c>
      <c r="AU30" s="18">
        <f>389210+965639</f>
        <v>1354849</v>
      </c>
      <c r="AV30" s="18">
        <v>883309.0</v>
      </c>
      <c r="AW30" s="18">
        <v>794945.0</v>
      </c>
      <c r="AX30" s="18">
        <v>1015242.0</v>
      </c>
      <c r="AY30" s="18">
        <v>966755.0</v>
      </c>
      <c r="AZ30" s="18">
        <v>873335.0</v>
      </c>
      <c r="BA30" s="18">
        <f>792857+98497</f>
        <v>891354</v>
      </c>
      <c r="BB30" s="18">
        <f>505107+165991</f>
        <v>671098</v>
      </c>
      <c r="BC30" s="18">
        <v>1003536.0</v>
      </c>
      <c r="BD30" s="18">
        <f>289677+697207</f>
        <v>986884</v>
      </c>
      <c r="BE30" s="18">
        <v>2135615.0</v>
      </c>
      <c r="BF30" s="18">
        <v>1387813.0</v>
      </c>
      <c r="BG30" s="18">
        <v>1399684.0</v>
      </c>
      <c r="BH30" s="18">
        <v>2539778.0</v>
      </c>
      <c r="BI30" s="18">
        <f>557206+1035726
</f>
        <v>1592932</v>
      </c>
      <c r="BJ30" s="18">
        <f>1067241
+1121746</f>
        <v>2188987</v>
      </c>
      <c r="BK30" s="18">
        <v>1476963.0</v>
      </c>
      <c r="BL30" s="18"/>
      <c r="BM30" s="18"/>
      <c r="BN30" s="18"/>
      <c r="BO30" s="18"/>
      <c r="BP30" s="18"/>
      <c r="BQ30" s="18"/>
      <c r="BR30" s="18"/>
      <c r="BS30" s="45"/>
      <c r="BT30" s="47" t="s">
        <v>152</v>
      </c>
      <c r="BU30" s="48"/>
      <c r="BV30" s="26"/>
      <c r="BW30" s="26"/>
      <c r="BX30" s="26"/>
      <c r="BY30" s="26"/>
      <c r="BZ30" s="26"/>
    </row>
    <row r="31">
      <c r="A31" s="3"/>
      <c r="B31" s="33" t="s">
        <v>117</v>
      </c>
      <c r="C31" s="18"/>
      <c r="D31" s="18" t="s">
        <v>153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18">
        <v>797034.0</v>
      </c>
      <c r="X31" s="18">
        <v>801279.0</v>
      </c>
      <c r="Y31" s="18">
        <v>912882.0</v>
      </c>
      <c r="Z31" s="18">
        <v>857889.0</v>
      </c>
      <c r="AA31" s="18">
        <v>598404.0</v>
      </c>
      <c r="AB31" s="18">
        <v>547533.0</v>
      </c>
      <c r="AC31" s="18">
        <v>567842.0</v>
      </c>
      <c r="AD31" s="18">
        <v>997609.0</v>
      </c>
      <c r="AE31" s="18">
        <v>624889.0</v>
      </c>
      <c r="AF31" s="18">
        <v>350375.0</v>
      </c>
      <c r="AG31" s="18">
        <v>323080.0</v>
      </c>
      <c r="AH31" s="18">
        <v>165921.0</v>
      </c>
      <c r="AI31" s="18">
        <v>150452.0</v>
      </c>
      <c r="AJ31" s="18">
        <v>264179.0</v>
      </c>
      <c r="AK31" s="18">
        <v>372231.0</v>
      </c>
      <c r="AL31" s="18">
        <v>291275.0</v>
      </c>
      <c r="AM31" s="18">
        <v>192991.0</v>
      </c>
      <c r="AN31" s="18">
        <v>445842.0</v>
      </c>
      <c r="AO31" s="18">
        <v>568402.0</v>
      </c>
      <c r="AP31" s="18">
        <v>815737.0</v>
      </c>
      <c r="AQ31" s="18">
        <v>722396.0</v>
      </c>
      <c r="AR31" s="18">
        <v>544078.0</v>
      </c>
      <c r="AS31" s="18">
        <v>605802.0</v>
      </c>
      <c r="AT31" s="18">
        <v>335153.0</v>
      </c>
      <c r="AU31" s="18">
        <v>134839.0</v>
      </c>
      <c r="AV31" s="18">
        <v>99313.0</v>
      </c>
      <c r="AW31" s="18">
        <v>29476.0</v>
      </c>
      <c r="AX31" s="18">
        <v>34726.0</v>
      </c>
      <c r="AY31" s="18">
        <v>10779.0</v>
      </c>
      <c r="AZ31" s="18">
        <v>18425.0</v>
      </c>
      <c r="BA31" s="18">
        <v>128714.0</v>
      </c>
      <c r="BB31" s="18">
        <v>433057.64</v>
      </c>
      <c r="BC31" s="18">
        <v>420906.0</v>
      </c>
      <c r="BD31" s="18">
        <v>360322.0</v>
      </c>
      <c r="BE31" s="18">
        <v>186252.0</v>
      </c>
      <c r="BF31" s="18">
        <v>564880.0</v>
      </c>
      <c r="BG31" s="18">
        <v>469468.0</v>
      </c>
      <c r="BH31" s="18">
        <v>186986.0</v>
      </c>
      <c r="BI31" s="18">
        <v>195634.0</v>
      </c>
      <c r="BJ31" s="18">
        <v>216429.0</v>
      </c>
      <c r="BK31" s="18">
        <v>65144.0</v>
      </c>
      <c r="BL31" s="18"/>
      <c r="BM31" s="18"/>
      <c r="BN31" s="18"/>
      <c r="BO31" s="18"/>
      <c r="BP31" s="18"/>
      <c r="BQ31" s="18"/>
      <c r="BR31" s="18"/>
      <c r="BS31" s="45"/>
      <c r="BT31" s="49" t="s">
        <v>154</v>
      </c>
      <c r="BU31" s="7"/>
      <c r="BV31" s="26"/>
      <c r="BW31" s="26"/>
      <c r="BX31" s="26"/>
      <c r="BY31" s="26"/>
      <c r="BZ31" s="26"/>
    </row>
    <row r="32">
      <c r="A32" s="3"/>
      <c r="B32" s="33" t="s">
        <v>117</v>
      </c>
      <c r="C32" s="3"/>
      <c r="D32" s="3" t="s">
        <v>155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18">
        <v>2476300.0</v>
      </c>
      <c r="X32" s="18">
        <v>3563834.0</v>
      </c>
      <c r="Y32" s="18">
        <v>4028821.0</v>
      </c>
      <c r="Z32" s="18">
        <v>3676696.0</v>
      </c>
      <c r="AA32" s="18">
        <v>3032178.0</v>
      </c>
      <c r="AB32" s="18">
        <v>3643261.0</v>
      </c>
      <c r="AC32" s="18">
        <v>3274684.0</v>
      </c>
      <c r="AD32" s="18">
        <v>3918914.0</v>
      </c>
      <c r="AE32" s="18">
        <v>4030876.0</v>
      </c>
      <c r="AF32" s="18">
        <v>4264375.0</v>
      </c>
      <c r="AG32" s="18">
        <v>5924753.0</v>
      </c>
      <c r="AH32" s="18">
        <v>5959771.0</v>
      </c>
      <c r="AI32" s="18">
        <v>4873911.0</v>
      </c>
      <c r="AJ32" s="18">
        <v>6538914.0</v>
      </c>
      <c r="AK32" s="18">
        <v>5932909.0</v>
      </c>
      <c r="AL32" s="18">
        <v>5673113.0</v>
      </c>
      <c r="AM32" s="18">
        <v>6271943.0</v>
      </c>
      <c r="AN32" s="18">
        <v>6637788.0</v>
      </c>
      <c r="AO32" s="18">
        <v>6617881.0</v>
      </c>
      <c r="AP32" s="18">
        <v>7138451.0</v>
      </c>
      <c r="AQ32" s="18">
        <v>7201736.0</v>
      </c>
      <c r="AR32" s="18">
        <v>8130174.0</v>
      </c>
      <c r="AS32" s="18">
        <v>7610324.0</v>
      </c>
      <c r="AT32" s="18">
        <v>8835319.0</v>
      </c>
      <c r="AU32" s="18">
        <f>2029679+7572264</f>
        <v>9601943</v>
      </c>
      <c r="AV32" s="18">
        <f>1778654+6790234</f>
        <v>8568888</v>
      </c>
      <c r="AW32" s="18">
        <f>1331690+5302477</f>
        <v>6634167</v>
      </c>
      <c r="AX32" s="18">
        <f>1530887+5632826</f>
        <v>7163713</v>
      </c>
      <c r="AY32" s="18">
        <v>8267555.0</v>
      </c>
      <c r="AZ32" s="18">
        <v>8328793.0</v>
      </c>
      <c r="BA32" s="18">
        <f>1561701+5216410</f>
        <v>6778111</v>
      </c>
      <c r="BB32" s="18">
        <f>4919779+615587</f>
        <v>5535366</v>
      </c>
      <c r="BC32" s="18">
        <f>1233369+6149712</f>
        <v>7383081</v>
      </c>
      <c r="BD32" s="18">
        <f>1314282+5151945</f>
        <v>6466227</v>
      </c>
      <c r="BE32" s="18">
        <f>1472528+5210748</f>
        <v>6683276</v>
      </c>
      <c r="BF32" s="18">
        <f>1044056+3918235</f>
        <v>4962291</v>
      </c>
      <c r="BG32" s="18">
        <f>1386082+5015524</f>
        <v>6401606</v>
      </c>
      <c r="BH32" s="18">
        <v>9201997.0</v>
      </c>
      <c r="BI32" s="18">
        <f>1393756+5089438</f>
        <v>6483194</v>
      </c>
      <c r="BJ32" s="18">
        <f>1951307+5799186</f>
        <v>7750493</v>
      </c>
      <c r="BK32" s="18">
        <f>1674429+5528909</f>
        <v>7203338</v>
      </c>
      <c r="BL32" s="18"/>
      <c r="BM32" s="18"/>
      <c r="BN32" s="18"/>
      <c r="BO32" s="18"/>
      <c r="BP32" s="18"/>
      <c r="BQ32" s="18"/>
      <c r="BR32" s="18"/>
      <c r="BS32" s="45"/>
      <c r="BT32" s="49" t="s">
        <v>156</v>
      </c>
      <c r="BU32" s="7"/>
      <c r="BV32" s="26"/>
      <c r="BW32" s="26"/>
      <c r="BX32" s="26"/>
      <c r="BY32" s="26"/>
      <c r="BZ32" s="26"/>
    </row>
    <row r="33">
      <c r="A33" s="3"/>
      <c r="B33" s="33" t="s">
        <v>117</v>
      </c>
      <c r="C33" s="50"/>
      <c r="D33" s="50" t="s">
        <v>157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18">
        <v>4379260.0</v>
      </c>
      <c r="X33" s="18">
        <v>4353128.0</v>
      </c>
      <c r="Y33" s="18">
        <v>4909352.0</v>
      </c>
      <c r="Z33" s="18">
        <v>4614052.0</v>
      </c>
      <c r="AA33" s="18">
        <v>3207263.0</v>
      </c>
      <c r="AB33" s="18">
        <v>2920751.0</v>
      </c>
      <c r="AC33" s="18">
        <v>2963701.0</v>
      </c>
      <c r="AD33" s="18">
        <v>4477758.0</v>
      </c>
      <c r="AE33" s="18">
        <v>2821684.0</v>
      </c>
      <c r="AF33" s="18">
        <v>1664897.0</v>
      </c>
      <c r="AG33" s="18">
        <v>1579208.0</v>
      </c>
      <c r="AH33" s="18">
        <v>902471.0</v>
      </c>
      <c r="AI33" s="18">
        <v>863636.0</v>
      </c>
      <c r="AJ33" s="18">
        <v>1395083.0</v>
      </c>
      <c r="AK33" s="18">
        <v>1914867.0</v>
      </c>
      <c r="AL33" s="18">
        <v>1498761.0</v>
      </c>
      <c r="AM33" s="18">
        <v>989974.0</v>
      </c>
      <c r="AN33" s="18">
        <v>2276577.0</v>
      </c>
      <c r="AO33" s="18">
        <v>2907506.0</v>
      </c>
      <c r="AP33" s="18">
        <v>4179527.0</v>
      </c>
      <c r="AQ33" s="18">
        <v>3703535.0</v>
      </c>
      <c r="AR33" s="18">
        <v>2783525.0</v>
      </c>
      <c r="AS33" s="18">
        <v>3100533.0</v>
      </c>
      <c r="AT33" s="18">
        <v>1713200.0</v>
      </c>
      <c r="AU33" s="18">
        <v>688932.0</v>
      </c>
      <c r="AV33" s="18">
        <v>507998.0</v>
      </c>
      <c r="AW33" s="18">
        <v>150773.0</v>
      </c>
      <c r="AX33" s="18">
        <v>175309.0</v>
      </c>
      <c r="AY33" s="18">
        <v>54390.0</v>
      </c>
      <c r="AZ33" s="18">
        <v>93168.0</v>
      </c>
      <c r="BA33" s="18">
        <f>655418</f>
        <v>655418</v>
      </c>
      <c r="BB33" s="18">
        <v>2394622.0</v>
      </c>
      <c r="BC33" s="18">
        <v>2152650.0</v>
      </c>
      <c r="BD33" s="18">
        <v>1840765.0</v>
      </c>
      <c r="BE33" s="18">
        <v>953921.0</v>
      </c>
      <c r="BF33" s="18">
        <v>2895843.0</v>
      </c>
      <c r="BG33" s="18">
        <v>2407191.0</v>
      </c>
      <c r="BH33" s="18">
        <v>958772.0</v>
      </c>
      <c r="BI33" s="18">
        <v>1003216.0</v>
      </c>
      <c r="BJ33" s="18">
        <v>1109870.0</v>
      </c>
      <c r="BK33" s="18">
        <v>334027.0</v>
      </c>
      <c r="BL33" s="18"/>
      <c r="BM33" s="18"/>
      <c r="BN33" s="18"/>
      <c r="BO33" s="18"/>
      <c r="BP33" s="18"/>
      <c r="BQ33" s="18"/>
      <c r="BR33" s="18"/>
      <c r="BS33" s="45"/>
      <c r="BT33" s="49" t="s">
        <v>158</v>
      </c>
      <c r="BU33" s="7"/>
      <c r="BV33" s="26"/>
      <c r="BW33" s="26"/>
      <c r="BX33" s="26"/>
      <c r="BY33" s="26"/>
      <c r="BZ33" s="26"/>
    </row>
    <row r="34" ht="14.25" customHeight="1">
      <c r="A34" s="1"/>
      <c r="B34" s="34" t="s">
        <v>117</v>
      </c>
      <c r="C34" s="50"/>
      <c r="D34" s="50" t="s">
        <v>159</v>
      </c>
      <c r="E34" s="51"/>
      <c r="F34" s="51"/>
      <c r="G34" s="51"/>
      <c r="H34" s="51"/>
      <c r="I34" s="51"/>
      <c r="J34" s="51"/>
      <c r="K34" s="51"/>
      <c r="L34" s="52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>
        <f t="shared" ref="W34:AF34" si="50">W30/W32</f>
        <v>0.2196183823</v>
      </c>
      <c r="X34" s="53">
        <f t="shared" si="50"/>
        <v>0.1982679328</v>
      </c>
      <c r="Y34" s="53">
        <f t="shared" si="50"/>
        <v>0.1524019062</v>
      </c>
      <c r="Z34" s="53">
        <f t="shared" si="50"/>
        <v>0.1676880547</v>
      </c>
      <c r="AA34" s="53">
        <f t="shared" si="50"/>
        <v>0.1880869131</v>
      </c>
      <c r="AB34" s="53">
        <f t="shared" si="50"/>
        <v>0.2003227328</v>
      </c>
      <c r="AC34" s="53">
        <f t="shared" si="50"/>
        <v>0.2116921816</v>
      </c>
      <c r="AD34" s="53">
        <f t="shared" si="50"/>
        <v>0.1347549347</v>
      </c>
      <c r="AE34" s="53">
        <f t="shared" si="50"/>
        <v>0.1596385004</v>
      </c>
      <c r="AF34" s="53">
        <f t="shared" si="50"/>
        <v>0.1141965704</v>
      </c>
      <c r="AG34" s="53">
        <v>0.1431</v>
      </c>
      <c r="AH34" s="53">
        <v>0.1492</v>
      </c>
      <c r="AI34" s="53">
        <v>0.0976</v>
      </c>
      <c r="AJ34" s="53">
        <f t="shared" ref="AJ34:BK34" si="51">AJ30/AJ32</f>
        <v>0.09708844619</v>
      </c>
      <c r="AK34" s="53">
        <f t="shared" si="51"/>
        <v>0.1141544561</v>
      </c>
      <c r="AL34" s="53">
        <f t="shared" si="51"/>
        <v>0.09383084737</v>
      </c>
      <c r="AM34" s="53">
        <f t="shared" si="51"/>
        <v>0.08588566573</v>
      </c>
      <c r="AN34" s="53">
        <f t="shared" si="51"/>
        <v>0.08541535222</v>
      </c>
      <c r="AO34" s="53">
        <f t="shared" si="51"/>
        <v>0.0730076591</v>
      </c>
      <c r="AP34" s="53">
        <f t="shared" si="51"/>
        <v>0.07827482461</v>
      </c>
      <c r="AQ34" s="53">
        <f t="shared" si="51"/>
        <v>0.08189608728</v>
      </c>
      <c r="AR34" s="53">
        <f t="shared" si="51"/>
        <v>0.2303493136</v>
      </c>
      <c r="AS34" s="53">
        <f t="shared" si="51"/>
        <v>0.1275852382</v>
      </c>
      <c r="AT34" s="53">
        <f t="shared" si="51"/>
        <v>0.1406595506</v>
      </c>
      <c r="AU34" s="53">
        <f t="shared" si="51"/>
        <v>0.1411015458</v>
      </c>
      <c r="AV34" s="53">
        <f t="shared" si="51"/>
        <v>0.1030832705</v>
      </c>
      <c r="AW34" s="53">
        <f t="shared" si="51"/>
        <v>0.1198258952</v>
      </c>
      <c r="AX34" s="53">
        <f t="shared" si="51"/>
        <v>0.1417200829</v>
      </c>
      <c r="AY34" s="53">
        <f t="shared" si="51"/>
        <v>0.1169336037</v>
      </c>
      <c r="AZ34" s="53">
        <f t="shared" si="51"/>
        <v>0.1048573305</v>
      </c>
      <c r="BA34" s="53">
        <f t="shared" si="51"/>
        <v>0.1315047806</v>
      </c>
      <c r="BB34" s="53">
        <f t="shared" si="51"/>
        <v>0.1212382343</v>
      </c>
      <c r="BC34" s="53">
        <f t="shared" si="51"/>
        <v>0.1359237424</v>
      </c>
      <c r="BD34" s="53">
        <f t="shared" si="51"/>
        <v>0.1526213045</v>
      </c>
      <c r="BE34" s="53">
        <f t="shared" si="51"/>
        <v>0.3195461328</v>
      </c>
      <c r="BF34" s="53">
        <f t="shared" si="51"/>
        <v>0.279671829</v>
      </c>
      <c r="BG34" s="53">
        <f t="shared" si="51"/>
        <v>0.2186457586</v>
      </c>
      <c r="BH34" s="53">
        <f t="shared" si="51"/>
        <v>0.2760029155</v>
      </c>
      <c r="BI34" s="53">
        <f t="shared" si="51"/>
        <v>0.2457017328</v>
      </c>
      <c r="BJ34" s="53">
        <f t="shared" si="51"/>
        <v>0.2824319692</v>
      </c>
      <c r="BK34" s="53">
        <f t="shared" si="51"/>
        <v>0.2050386918</v>
      </c>
      <c r="BL34" s="53"/>
      <c r="BM34" s="53"/>
      <c r="BN34" s="53"/>
      <c r="BO34" s="53"/>
      <c r="BP34" s="53"/>
      <c r="BQ34" s="53"/>
      <c r="BR34" s="53"/>
      <c r="BS34" s="3"/>
      <c r="BT34" s="54" t="s">
        <v>160</v>
      </c>
      <c r="BU34" s="27"/>
      <c r="BV34" s="1"/>
      <c r="BW34" s="1"/>
      <c r="BX34" s="1"/>
      <c r="BY34" s="1"/>
      <c r="BZ34" s="1"/>
    </row>
    <row r="35">
      <c r="A35" s="1"/>
      <c r="B35" s="34" t="s">
        <v>117</v>
      </c>
      <c r="C35" s="50"/>
      <c r="D35" s="50" t="s">
        <v>161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3"/>
      <c r="P35" s="53"/>
      <c r="Q35" s="53"/>
      <c r="R35" s="53"/>
      <c r="S35" s="53"/>
      <c r="T35" s="53"/>
      <c r="U35" s="53"/>
      <c r="V35" s="53"/>
      <c r="W35" s="53">
        <f t="shared" ref="W35:AF35" si="52">W31/W33</f>
        <v>0.1820019821</v>
      </c>
      <c r="X35" s="53">
        <f t="shared" si="52"/>
        <v>0.184069708</v>
      </c>
      <c r="Y35" s="53">
        <f t="shared" si="52"/>
        <v>0.1859475548</v>
      </c>
      <c r="Z35" s="53">
        <f t="shared" si="52"/>
        <v>0.1859296341</v>
      </c>
      <c r="AA35" s="53">
        <f t="shared" si="52"/>
        <v>0.1865777768</v>
      </c>
      <c r="AB35" s="53">
        <f t="shared" si="52"/>
        <v>0.1874630874</v>
      </c>
      <c r="AC35" s="53">
        <f t="shared" si="52"/>
        <v>0.1915989501</v>
      </c>
      <c r="AD35" s="53">
        <f t="shared" si="52"/>
        <v>0.2227920759</v>
      </c>
      <c r="AE35" s="53">
        <f t="shared" si="52"/>
        <v>0.2214595965</v>
      </c>
      <c r="AF35" s="53">
        <f t="shared" si="52"/>
        <v>0.2104484542</v>
      </c>
      <c r="AG35" s="53">
        <v>0.2046</v>
      </c>
      <c r="AH35" s="53">
        <v>0.1839</v>
      </c>
      <c r="AI35" s="53">
        <v>0.1742</v>
      </c>
      <c r="AJ35" s="53">
        <f t="shared" ref="AJ35:BK35" si="53">AJ31/AJ33</f>
        <v>0.1893643604</v>
      </c>
      <c r="AK35" s="53">
        <f t="shared" si="53"/>
        <v>0.194390002</v>
      </c>
      <c r="AL35" s="53">
        <f t="shared" si="53"/>
        <v>0.1943438614</v>
      </c>
      <c r="AM35" s="53">
        <f t="shared" si="53"/>
        <v>0.1949455238</v>
      </c>
      <c r="AN35" s="53">
        <f t="shared" si="53"/>
        <v>0.1958387527</v>
      </c>
      <c r="AO35" s="53">
        <f t="shared" si="53"/>
        <v>0.1954946955</v>
      </c>
      <c r="AP35" s="53">
        <f t="shared" si="53"/>
        <v>0.1951744779</v>
      </c>
      <c r="AQ35" s="53">
        <f t="shared" si="53"/>
        <v>0.1950558048</v>
      </c>
      <c r="AR35" s="53">
        <f t="shared" si="53"/>
        <v>0.1954636657</v>
      </c>
      <c r="AS35" s="53">
        <f t="shared" si="53"/>
        <v>0.1953864061</v>
      </c>
      <c r="AT35" s="53">
        <f t="shared" si="53"/>
        <v>0.1956298155</v>
      </c>
      <c r="AU35" s="53">
        <f t="shared" si="53"/>
        <v>0.1957217839</v>
      </c>
      <c r="AV35" s="53">
        <f t="shared" si="53"/>
        <v>0.1954988012</v>
      </c>
      <c r="AW35" s="53">
        <f t="shared" si="53"/>
        <v>0.1954991942</v>
      </c>
      <c r="AX35" s="53">
        <f t="shared" si="53"/>
        <v>0.198084525</v>
      </c>
      <c r="AY35" s="53">
        <f t="shared" si="53"/>
        <v>0.1981798125</v>
      </c>
      <c r="AZ35" s="53">
        <f t="shared" si="53"/>
        <v>0.1977610338</v>
      </c>
      <c r="BA35" s="53">
        <f t="shared" si="53"/>
        <v>0.1963845973</v>
      </c>
      <c r="BB35" s="53">
        <f t="shared" si="53"/>
        <v>0.1808459289</v>
      </c>
      <c r="BC35" s="53">
        <f t="shared" si="53"/>
        <v>0.1955292314</v>
      </c>
      <c r="BD35" s="53">
        <f t="shared" si="53"/>
        <v>0.1957457905</v>
      </c>
      <c r="BE35" s="53">
        <f t="shared" si="53"/>
        <v>0.1952488728</v>
      </c>
      <c r="BF35" s="53">
        <f t="shared" si="53"/>
        <v>0.1950658237</v>
      </c>
      <c r="BG35" s="53">
        <f t="shared" si="53"/>
        <v>0.1950273161</v>
      </c>
      <c r="BH35" s="53">
        <f t="shared" si="53"/>
        <v>0.1950265548</v>
      </c>
      <c r="BI35" s="53">
        <f t="shared" si="53"/>
        <v>0.1950068579</v>
      </c>
      <c r="BJ35" s="53">
        <f t="shared" si="53"/>
        <v>0.1950039194</v>
      </c>
      <c r="BK35" s="53">
        <f t="shared" si="53"/>
        <v>0.1950261506</v>
      </c>
      <c r="BL35" s="53"/>
      <c r="BM35" s="53"/>
      <c r="BN35" s="53"/>
      <c r="BO35" s="53"/>
      <c r="BP35" s="53"/>
      <c r="BQ35" s="53"/>
      <c r="BR35" s="53"/>
      <c r="BS35" s="3"/>
      <c r="BT35" s="54" t="s">
        <v>160</v>
      </c>
      <c r="BU35" s="27"/>
      <c r="BV35" s="1"/>
      <c r="BW35" s="1"/>
      <c r="BX35" s="1"/>
      <c r="BY35" s="1"/>
      <c r="BZ35" s="1"/>
    </row>
    <row r="36">
      <c r="A36" s="3"/>
      <c r="B36" s="33" t="s">
        <v>117</v>
      </c>
      <c r="C36" s="50"/>
      <c r="D36" s="50" t="s">
        <v>162</v>
      </c>
      <c r="E36" s="56"/>
      <c r="F36" s="56"/>
      <c r="G36" s="56"/>
      <c r="H36" s="56"/>
      <c r="I36" s="56"/>
      <c r="J36" s="56"/>
      <c r="K36" s="56"/>
      <c r="L36" s="57"/>
      <c r="M36" s="58"/>
      <c r="N36" s="58"/>
      <c r="O36" s="58"/>
      <c r="P36" s="58"/>
      <c r="Q36" s="58"/>
      <c r="R36" s="58"/>
      <c r="S36" s="58"/>
      <c r="T36" s="58"/>
      <c r="U36" s="19"/>
      <c r="V36" s="19"/>
      <c r="W36" s="46">
        <f t="shared" ref="W36:BK36" si="54">(W28+W26+W24+W21+W39)/W4</f>
        <v>0.0189737765</v>
      </c>
      <c r="X36" s="46">
        <f t="shared" si="54"/>
        <v>0.01032810254</v>
      </c>
      <c r="Y36" s="46">
        <f t="shared" si="54"/>
        <v>0.02066222083</v>
      </c>
      <c r="Z36" s="46">
        <f t="shared" si="54"/>
        <v>0.01740834347</v>
      </c>
      <c r="AA36" s="46">
        <f t="shared" si="54"/>
        <v>0.05178035416</v>
      </c>
      <c r="AB36" s="46">
        <f t="shared" si="54"/>
        <v>0.02275511524</v>
      </c>
      <c r="AC36" s="46">
        <f t="shared" si="54"/>
        <v>0.01888431139</v>
      </c>
      <c r="AD36" s="46">
        <f t="shared" si="54"/>
        <v>0.02139082547</v>
      </c>
      <c r="AE36" s="46">
        <f t="shared" si="54"/>
        <v>0.05313252451</v>
      </c>
      <c r="AF36" s="46">
        <f t="shared" si="54"/>
        <v>0.0152925601</v>
      </c>
      <c r="AG36" s="46">
        <f t="shared" si="54"/>
        <v>0.005246765393</v>
      </c>
      <c r="AH36" s="46">
        <f t="shared" si="54"/>
        <v>0.008471275936</v>
      </c>
      <c r="AI36" s="46">
        <f t="shared" si="54"/>
        <v>0.002064098287</v>
      </c>
      <c r="AJ36" s="46">
        <f t="shared" si="54"/>
        <v>0.09307581119</v>
      </c>
      <c r="AK36" s="46">
        <f t="shared" si="54"/>
        <v>0.00288477495</v>
      </c>
      <c r="AL36" s="46">
        <f t="shared" si="54"/>
        <v>0.00878527046</v>
      </c>
      <c r="AM36" s="46">
        <f t="shared" si="54"/>
        <v>0.01071689358</v>
      </c>
      <c r="AN36" s="46">
        <f t="shared" si="54"/>
        <v>0.01117115124</v>
      </c>
      <c r="AO36" s="46">
        <f t="shared" si="54"/>
        <v>0.01976434708</v>
      </c>
      <c r="AP36" s="46">
        <f t="shared" si="54"/>
        <v>0.003894491038</v>
      </c>
      <c r="AQ36" s="46">
        <f t="shared" si="54"/>
        <v>0.04779124161</v>
      </c>
      <c r="AR36" s="46">
        <f t="shared" si="54"/>
        <v>0.1040306994</v>
      </c>
      <c r="AS36" s="46">
        <f t="shared" si="54"/>
        <v>0.03484642467</v>
      </c>
      <c r="AT36" s="46">
        <f t="shared" si="54"/>
        <v>0.006424186294</v>
      </c>
      <c r="AU36" s="46">
        <f t="shared" si="54"/>
        <v>0.004011370547</v>
      </c>
      <c r="AV36" s="46">
        <f t="shared" si="54"/>
        <v>0.009432744773</v>
      </c>
      <c r="AW36" s="46">
        <f t="shared" si="54"/>
        <v>0.01891302492</v>
      </c>
      <c r="AX36" s="46">
        <f t="shared" si="54"/>
        <v>0.005032298924</v>
      </c>
      <c r="AY36" s="46">
        <f t="shared" si="54"/>
        <v>0.003369732917</v>
      </c>
      <c r="AZ36" s="46">
        <f t="shared" si="54"/>
        <v>0.01121694085</v>
      </c>
      <c r="BA36" s="46">
        <f t="shared" si="54"/>
        <v>0.01205283807</v>
      </c>
      <c r="BB36" s="46">
        <f t="shared" si="54"/>
        <v>0.01482031191</v>
      </c>
      <c r="BC36" s="46">
        <f t="shared" si="54"/>
        <v>0.01794109026</v>
      </c>
      <c r="BD36" s="46">
        <f t="shared" si="54"/>
        <v>0.04306634225</v>
      </c>
      <c r="BE36" s="46">
        <f t="shared" si="54"/>
        <v>0.0513222828</v>
      </c>
      <c r="BF36" s="46">
        <f t="shared" si="54"/>
        <v>0.0228681936</v>
      </c>
      <c r="BG36" s="46">
        <f t="shared" si="54"/>
        <v>0.01724531262</v>
      </c>
      <c r="BH36" s="46">
        <f t="shared" si="54"/>
        <v>0.06050703619</v>
      </c>
      <c r="BI36" s="46">
        <f t="shared" si="54"/>
        <v>0.01598556944</v>
      </c>
      <c r="BJ36" s="46">
        <f t="shared" si="54"/>
        <v>0.03013265053</v>
      </c>
      <c r="BK36" s="46">
        <f t="shared" si="54"/>
        <v>0.07122887231</v>
      </c>
      <c r="BL36" s="46"/>
      <c r="BM36" s="46"/>
      <c r="BN36" s="46"/>
      <c r="BO36" s="46"/>
      <c r="BP36" s="46"/>
      <c r="BQ36" s="46"/>
      <c r="BR36" s="46"/>
      <c r="BS36" s="1"/>
      <c r="BT36" s="27" t="s">
        <v>124</v>
      </c>
      <c r="BU36" s="27"/>
      <c r="BV36" s="1"/>
      <c r="BW36" s="1"/>
      <c r="BX36" s="1"/>
      <c r="BY36" s="1"/>
      <c r="BZ36" s="1"/>
    </row>
    <row r="37">
      <c r="A37" s="3"/>
      <c r="B37" s="33" t="s">
        <v>117</v>
      </c>
      <c r="C37" s="50"/>
      <c r="D37" s="50" t="s">
        <v>163</v>
      </c>
      <c r="E37" s="56"/>
      <c r="F37" s="56"/>
      <c r="G37" s="56"/>
      <c r="H37" s="56"/>
      <c r="I37" s="56"/>
      <c r="J37" s="56"/>
      <c r="K37" s="56"/>
      <c r="L37" s="57"/>
      <c r="M37" s="58"/>
      <c r="N37" s="58"/>
      <c r="O37" s="58"/>
      <c r="P37" s="58"/>
      <c r="Q37" s="58"/>
      <c r="R37" s="58"/>
      <c r="S37" s="58"/>
      <c r="T37" s="58"/>
      <c r="U37" s="19"/>
      <c r="V37" s="19"/>
      <c r="W37" s="46">
        <f t="shared" ref="W37:BK37" si="55">W30/W4</f>
        <v>0.04457444937</v>
      </c>
      <c r="X37" s="46">
        <f t="shared" si="55"/>
        <v>0.05124734233</v>
      </c>
      <c r="Y37" s="46">
        <f t="shared" si="55"/>
        <v>0.04208414966</v>
      </c>
      <c r="Z37" s="46">
        <f t="shared" si="55"/>
        <v>0.04423514225</v>
      </c>
      <c r="AA37" s="46">
        <f t="shared" si="55"/>
        <v>0.04184735536</v>
      </c>
      <c r="AB37" s="46">
        <f t="shared" si="55"/>
        <v>0.06156377287</v>
      </c>
      <c r="AC37" s="46">
        <f t="shared" si="55"/>
        <v>0.05449075424</v>
      </c>
      <c r="AD37" s="46">
        <f t="shared" si="55"/>
        <v>0.03981329346</v>
      </c>
      <c r="AE37" s="46">
        <f t="shared" si="55"/>
        <v>0.04633251699</v>
      </c>
      <c r="AF37" s="46">
        <f t="shared" si="55"/>
        <v>0.03691483527</v>
      </c>
      <c r="AG37" s="46">
        <f t="shared" si="55"/>
        <v>0.05992833924</v>
      </c>
      <c r="AH37" s="46">
        <f t="shared" si="55"/>
        <v>0.05457491422</v>
      </c>
      <c r="AI37" s="46">
        <f t="shared" si="55"/>
        <v>0.03274874771</v>
      </c>
      <c r="AJ37" s="46">
        <f t="shared" si="55"/>
        <v>0.04289706132</v>
      </c>
      <c r="AK37" s="46">
        <f t="shared" si="55"/>
        <v>0.04252401264</v>
      </c>
      <c r="AL37" s="46">
        <f t="shared" si="55"/>
        <v>0.03283814926</v>
      </c>
      <c r="AM37" s="46">
        <f t="shared" si="55"/>
        <v>0.03570927833</v>
      </c>
      <c r="AN37" s="46">
        <f t="shared" si="55"/>
        <v>0.03655201407</v>
      </c>
      <c r="AO37" s="46">
        <f t="shared" si="55"/>
        <v>0.02587167978</v>
      </c>
      <c r="AP37" s="46">
        <f t="shared" si="55"/>
        <v>0.0293625738</v>
      </c>
      <c r="AQ37" s="46">
        <f t="shared" si="55"/>
        <v>0.03095501605</v>
      </c>
      <c r="AR37" s="46">
        <f t="shared" si="55"/>
        <v>0.09329203758</v>
      </c>
      <c r="AS37" s="46">
        <f t="shared" si="55"/>
        <v>0.04714245529</v>
      </c>
      <c r="AT37" s="46">
        <f t="shared" si="55"/>
        <v>0.06534082062</v>
      </c>
      <c r="AU37" s="46">
        <f t="shared" si="55"/>
        <v>0.06804133176</v>
      </c>
      <c r="AV37" s="46">
        <f t="shared" si="55"/>
        <v>0.04570754486</v>
      </c>
      <c r="AW37" s="46">
        <f t="shared" si="55"/>
        <v>0.05315021739</v>
      </c>
      <c r="AX37" s="46">
        <f t="shared" si="55"/>
        <v>0.06275412065</v>
      </c>
      <c r="AY37" s="46">
        <f t="shared" si="55"/>
        <v>0.05556760049</v>
      </c>
      <c r="AZ37" s="46">
        <f t="shared" si="55"/>
        <v>0.05241945116</v>
      </c>
      <c r="BA37" s="46">
        <f t="shared" si="55"/>
        <v>0.05369846964</v>
      </c>
      <c r="BB37" s="46">
        <f t="shared" si="55"/>
        <v>0.04381758382</v>
      </c>
      <c r="BC37" s="46">
        <f t="shared" si="55"/>
        <v>0.06365691177</v>
      </c>
      <c r="BD37" s="46">
        <f t="shared" si="55"/>
        <v>0.05587797217</v>
      </c>
      <c r="BE37" s="46">
        <f t="shared" si="55"/>
        <v>0.1401850172</v>
      </c>
      <c r="BF37" s="46">
        <f t="shared" si="55"/>
        <v>0.09938395843</v>
      </c>
      <c r="BG37" s="46">
        <f t="shared" si="55"/>
        <v>0.08616678678</v>
      </c>
      <c r="BH37" s="46">
        <f t="shared" si="55"/>
        <v>0.1409945202</v>
      </c>
      <c r="BI37" s="46">
        <f t="shared" si="55"/>
        <v>0.09699766916</v>
      </c>
      <c r="BJ37" s="46">
        <f t="shared" si="55"/>
        <v>0.1431072248</v>
      </c>
      <c r="BK37" s="46">
        <f t="shared" si="55"/>
        <v>0.08733476419</v>
      </c>
      <c r="BL37" s="46"/>
      <c r="BM37" s="46"/>
      <c r="BN37" s="46"/>
      <c r="BO37" s="46"/>
      <c r="BP37" s="46"/>
      <c r="BQ37" s="46"/>
      <c r="BR37" s="46"/>
      <c r="BS37" s="1"/>
      <c r="BT37" s="27" t="s">
        <v>124</v>
      </c>
      <c r="BU37" s="27"/>
      <c r="BV37" s="1"/>
      <c r="BW37" s="1"/>
      <c r="BX37" s="1"/>
      <c r="BY37" s="1"/>
      <c r="BZ37" s="1"/>
    </row>
    <row r="38">
      <c r="A38" s="3"/>
      <c r="B38" s="33" t="s">
        <v>117</v>
      </c>
      <c r="C38" s="50"/>
      <c r="D38" s="50" t="s">
        <v>164</v>
      </c>
      <c r="E38" s="56"/>
      <c r="F38" s="56"/>
      <c r="G38" s="56"/>
      <c r="H38" s="56"/>
      <c r="I38" s="56"/>
      <c r="J38" s="56"/>
      <c r="K38" s="56"/>
      <c r="L38" s="57"/>
      <c r="M38" s="58"/>
      <c r="N38" s="58"/>
      <c r="O38" s="58"/>
      <c r="P38" s="58"/>
      <c r="Q38" s="58"/>
      <c r="R38" s="58"/>
      <c r="S38" s="58"/>
      <c r="T38" s="58"/>
      <c r="U38" s="19"/>
      <c r="V38" s="19"/>
      <c r="W38" s="46">
        <f t="shared" ref="W38:BK38" si="56">W31/W4</f>
        <v>0.06532672542</v>
      </c>
      <c r="X38" s="46">
        <f t="shared" si="56"/>
        <v>0.05811458803</v>
      </c>
      <c r="Y38" s="46">
        <f t="shared" si="56"/>
        <v>0.06256980897</v>
      </c>
      <c r="Z38" s="46">
        <f t="shared" si="56"/>
        <v>0.06155150526</v>
      </c>
      <c r="AA38" s="46">
        <f t="shared" si="56"/>
        <v>0.04390856396</v>
      </c>
      <c r="AB38" s="46">
        <f t="shared" si="56"/>
        <v>0.04618649497</v>
      </c>
      <c r="AC38" s="46">
        <f t="shared" si="56"/>
        <v>0.04463505913</v>
      </c>
      <c r="AD38" s="46">
        <f t="shared" si="56"/>
        <v>0.07521042671</v>
      </c>
      <c r="AE38" s="46">
        <f t="shared" si="56"/>
        <v>0.04499369868</v>
      </c>
      <c r="AF38" s="46">
        <f t="shared" si="56"/>
        <v>0.02655984863</v>
      </c>
      <c r="AG38" s="46">
        <f t="shared" si="56"/>
        <v>0.02284196363</v>
      </c>
      <c r="AH38" s="46">
        <f t="shared" si="56"/>
        <v>0.01018058839</v>
      </c>
      <c r="AI38" s="46">
        <f t="shared" si="56"/>
        <v>0.0103629898</v>
      </c>
      <c r="AJ38" s="46">
        <f t="shared" si="56"/>
        <v>0.01785059339</v>
      </c>
      <c r="AK38" s="46">
        <f t="shared" si="56"/>
        <v>0.02337148034</v>
      </c>
      <c r="AL38" s="46">
        <f t="shared" si="56"/>
        <v>0.01796862358</v>
      </c>
      <c r="AM38" s="46">
        <f t="shared" si="56"/>
        <v>0.01279367578</v>
      </c>
      <c r="AN38" s="46">
        <f t="shared" si="56"/>
        <v>0.02874305836</v>
      </c>
      <c r="AO38" s="46">
        <f t="shared" si="56"/>
        <v>0.03043636947</v>
      </c>
      <c r="AP38" s="46">
        <f t="shared" si="56"/>
        <v>0.04286651693</v>
      </c>
      <c r="AQ38" s="46">
        <f t="shared" si="56"/>
        <v>0.03791455961</v>
      </c>
      <c r="AR38" s="46">
        <f t="shared" si="56"/>
        <v>0.02710310086</v>
      </c>
      <c r="AS38" s="46">
        <f t="shared" si="56"/>
        <v>0.02941300016</v>
      </c>
      <c r="AT38" s="46">
        <f t="shared" si="56"/>
        <v>0.01762123065</v>
      </c>
      <c r="AU38" s="46">
        <f t="shared" si="56"/>
        <v>0.006771695689</v>
      </c>
      <c r="AV38" s="46">
        <f t="shared" si="56"/>
        <v>0.00513903221</v>
      </c>
      <c r="AW38" s="46">
        <f t="shared" si="56"/>
        <v>0.001970772579</v>
      </c>
      <c r="AX38" s="46">
        <f t="shared" si="56"/>
        <v>0.002146482901</v>
      </c>
      <c r="AY38" s="46">
        <f t="shared" si="56"/>
        <v>0.0006195604529</v>
      </c>
      <c r="AZ38" s="46">
        <f t="shared" si="56"/>
        <v>0.001105908257</v>
      </c>
      <c r="BA38" s="46">
        <f t="shared" si="56"/>
        <v>0.007754208565</v>
      </c>
      <c r="BB38" s="46">
        <f t="shared" si="56"/>
        <v>0.02827536282</v>
      </c>
      <c r="BC38" s="46">
        <f t="shared" si="56"/>
        <v>0.02669916785</v>
      </c>
      <c r="BD38" s="46">
        <f t="shared" si="56"/>
        <v>0.02040165074</v>
      </c>
      <c r="BE38" s="46">
        <f t="shared" si="56"/>
        <v>0.0122258646</v>
      </c>
      <c r="BF38" s="46">
        <f t="shared" si="56"/>
        <v>0.04045214336</v>
      </c>
      <c r="BG38" s="46">
        <f t="shared" si="56"/>
        <v>0.02890120131</v>
      </c>
      <c r="BH38" s="46">
        <f t="shared" si="56"/>
        <v>0.01038043536</v>
      </c>
      <c r="BI38" s="46">
        <f t="shared" si="56"/>
        <v>0.01191265039</v>
      </c>
      <c r="BJ38" s="46">
        <f t="shared" si="56"/>
        <v>0.01414926336</v>
      </c>
      <c r="BK38" s="46">
        <f t="shared" si="56"/>
        <v>0.003852050375</v>
      </c>
      <c r="BL38" s="46"/>
      <c r="BM38" s="46"/>
      <c r="BN38" s="46"/>
      <c r="BO38" s="46"/>
      <c r="BP38" s="46"/>
      <c r="BQ38" s="46"/>
      <c r="BR38" s="46"/>
      <c r="BS38" s="1"/>
      <c r="BT38" s="27" t="s">
        <v>124</v>
      </c>
      <c r="BU38" s="27"/>
      <c r="BV38" s="1"/>
      <c r="BW38" s="1"/>
      <c r="BX38" s="1"/>
      <c r="BY38" s="1"/>
      <c r="BZ38" s="1"/>
    </row>
    <row r="39">
      <c r="A39" s="1"/>
      <c r="B39" s="33" t="s">
        <v>117</v>
      </c>
      <c r="C39" s="50"/>
      <c r="D39" s="50" t="s">
        <v>165</v>
      </c>
      <c r="E39" s="14"/>
      <c r="F39" s="14"/>
      <c r="G39" s="14"/>
      <c r="H39" s="14"/>
      <c r="I39" s="14"/>
      <c r="J39" s="14"/>
      <c r="K39" s="14"/>
      <c r="L39" s="1"/>
      <c r="M39" s="33"/>
      <c r="N39" s="33"/>
      <c r="O39" s="33"/>
      <c r="P39" s="33"/>
      <c r="Q39" s="33"/>
      <c r="R39" s="33"/>
      <c r="S39" s="33"/>
      <c r="T39" s="59"/>
      <c r="U39" s="59"/>
      <c r="V39" s="59"/>
      <c r="W39" s="18">
        <v>152381.0</v>
      </c>
      <c r="X39" s="18">
        <v>69189.0</v>
      </c>
      <c r="Y39" s="18">
        <v>127309.0</v>
      </c>
      <c r="Z39" s="18">
        <v>172218.0</v>
      </c>
      <c r="AA39" s="18">
        <v>0.0</v>
      </c>
      <c r="AB39" s="18">
        <v>73119.0</v>
      </c>
      <c r="AC39" s="18">
        <v>121295.0</v>
      </c>
      <c r="AD39" s="18">
        <v>61155.0</v>
      </c>
      <c r="AE39" s="18">
        <v>0.0</v>
      </c>
      <c r="AF39" s="18">
        <v>81000.0</v>
      </c>
      <c r="AG39" s="18">
        <v>0.0</v>
      </c>
      <c r="AH39" s="59">
        <v>0.0</v>
      </c>
      <c r="AI39" s="59">
        <v>0.0</v>
      </c>
      <c r="AJ39" s="59">
        <v>81000.0</v>
      </c>
      <c r="AK39" s="59">
        <v>0.0</v>
      </c>
      <c r="AL39" s="59">
        <v>81000.0</v>
      </c>
      <c r="AM39" s="59">
        <v>104994.0</v>
      </c>
      <c r="AN39" s="59">
        <v>104202.0</v>
      </c>
      <c r="AO39" s="59">
        <v>298647.0</v>
      </c>
      <c r="AP39" s="59">
        <v>0.0</v>
      </c>
      <c r="AQ39" s="59">
        <v>259200.0</v>
      </c>
      <c r="AR39" s="59">
        <v>208494.0</v>
      </c>
      <c r="AS39" s="59">
        <v>199215.0</v>
      </c>
      <c r="AT39" s="59">
        <v>0.0</v>
      </c>
      <c r="AU39" s="59">
        <v>0.0</v>
      </c>
      <c r="AV39" s="59">
        <v>0.0</v>
      </c>
      <c r="AW39" s="59">
        <v>195894.0</v>
      </c>
      <c r="AX39" s="59">
        <v>0.0</v>
      </c>
      <c r="AY39" s="59">
        <v>0.0</v>
      </c>
      <c r="AZ39" s="59">
        <v>121005.0</v>
      </c>
      <c r="BA39" s="59">
        <v>117000.0</v>
      </c>
      <c r="BB39" s="59">
        <v>175950.0</v>
      </c>
      <c r="BC39" s="59">
        <v>222876.0</v>
      </c>
      <c r="BD39" s="59">
        <v>218205.0</v>
      </c>
      <c r="BE39" s="59">
        <v>233433.0</v>
      </c>
      <c r="BF39" s="59">
        <v>246609.0</v>
      </c>
      <c r="BG39" s="59">
        <v>193743.0</v>
      </c>
      <c r="BH39" s="59">
        <v>122544.0</v>
      </c>
      <c r="BI39" s="59">
        <v>118287.0</v>
      </c>
      <c r="BJ39" s="59">
        <v>154692.0</v>
      </c>
      <c r="BK39" s="59">
        <v>1092722.0</v>
      </c>
      <c r="BL39" s="59"/>
      <c r="BM39" s="59"/>
      <c r="BN39" s="59"/>
      <c r="BO39" s="59"/>
      <c r="BP39" s="59"/>
      <c r="BQ39" s="59"/>
      <c r="BR39" s="59"/>
      <c r="BS39" s="3"/>
      <c r="BT39" s="9" t="s">
        <v>141</v>
      </c>
      <c r="BU39" s="9"/>
      <c r="BV39" s="1"/>
      <c r="BW39" s="1"/>
      <c r="BX39" s="1"/>
      <c r="BY39" s="1"/>
      <c r="BZ39" s="1"/>
    </row>
    <row r="40">
      <c r="A40" s="1"/>
      <c r="B40" s="33" t="s">
        <v>117</v>
      </c>
      <c r="C40" s="50"/>
      <c r="D40" s="50" t="s">
        <v>166</v>
      </c>
      <c r="E40" s="14"/>
      <c r="F40" s="14"/>
      <c r="G40" s="14"/>
      <c r="H40" s="14"/>
      <c r="I40" s="14"/>
      <c r="J40" s="14"/>
      <c r="K40" s="14"/>
      <c r="L40" s="1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18">
        <f>198340+4978965</f>
        <v>5177305</v>
      </c>
      <c r="X40" s="18">
        <f>2210350+5132572</f>
        <v>7342922</v>
      </c>
      <c r="Y40" s="18">
        <f>4663167+3887392+294856</f>
        <v>8845415</v>
      </c>
      <c r="Z40" s="18">
        <f>287827+3942736+147535</f>
        <v>4378098</v>
      </c>
      <c r="AA40" s="18">
        <v>0.0</v>
      </c>
      <c r="AB40" s="18">
        <v>4086680.0</v>
      </c>
      <c r="AC40" s="18">
        <f>78584+5336671</f>
        <v>5415255</v>
      </c>
      <c r="AD40" s="18">
        <v>3662590.0</v>
      </c>
      <c r="AE40" s="18">
        <v>0.0</v>
      </c>
      <c r="AF40" s="18">
        <v>848643.0</v>
      </c>
      <c r="AG40" s="18">
        <v>0.0</v>
      </c>
      <c r="AH40" s="18">
        <v>0.0</v>
      </c>
      <c r="AI40" s="18">
        <v>0.0</v>
      </c>
      <c r="AJ40" s="18">
        <v>4990734.0</v>
      </c>
      <c r="AK40" s="18">
        <v>0.0</v>
      </c>
      <c r="AL40" s="3">
        <v>5617761.33</v>
      </c>
      <c r="AM40" s="33"/>
      <c r="AN40" s="33"/>
      <c r="AO40" s="33">
        <f>350895.99+70777+7810634.46+367170.47</f>
        <v>8599477.92</v>
      </c>
      <c r="AP40" s="33"/>
      <c r="AQ40" s="33">
        <f>3289555.56+122931.18+102105.16</f>
        <v>3514591.9</v>
      </c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4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"/>
      <c r="BT40" s="60" t="s">
        <v>167</v>
      </c>
      <c r="BU40" s="9"/>
      <c r="BV40" s="1"/>
      <c r="BW40" s="1"/>
      <c r="BX40" s="1"/>
      <c r="BY40" s="1"/>
      <c r="BZ40" s="1"/>
    </row>
    <row r="41">
      <c r="A41" s="1"/>
      <c r="B41" s="33" t="s">
        <v>117</v>
      </c>
      <c r="C41" s="50"/>
      <c r="D41" s="50" t="s">
        <v>168</v>
      </c>
      <c r="E41" s="14"/>
      <c r="F41" s="14"/>
      <c r="G41" s="14"/>
      <c r="H41" s="14"/>
      <c r="I41" s="14"/>
      <c r="J41" s="14"/>
      <c r="K41" s="14"/>
      <c r="L41" s="1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46">
        <f t="shared" ref="W41:Z41" si="57">W39/W40</f>
        <v>0.02943249432</v>
      </c>
      <c r="X41" s="46">
        <f t="shared" si="57"/>
        <v>0.009422543233</v>
      </c>
      <c r="Y41" s="46">
        <f t="shared" si="57"/>
        <v>0.01439265427</v>
      </c>
      <c r="Z41" s="46">
        <f t="shared" si="57"/>
        <v>0.03933625972</v>
      </c>
      <c r="AA41" s="46">
        <v>0.0</v>
      </c>
      <c r="AB41" s="46">
        <f t="shared" ref="AB41:AD41" si="58">AB39/AB40</f>
        <v>0.01789202972</v>
      </c>
      <c r="AC41" s="46">
        <f t="shared" si="58"/>
        <v>0.02239876054</v>
      </c>
      <c r="AD41" s="46">
        <f t="shared" si="58"/>
        <v>0.01669720061</v>
      </c>
      <c r="AE41" s="46">
        <v>0.0</v>
      </c>
      <c r="AF41" s="46">
        <f>AF39/AF40</f>
        <v>0.09544649517</v>
      </c>
      <c r="AG41" s="46">
        <v>0.0</v>
      </c>
      <c r="AH41" s="46">
        <v>0.0</v>
      </c>
      <c r="AI41" s="46" t="str">
        <f t="shared" ref="AI41:BB41" si="59">AI39/AI40</f>
        <v>#DIV/0!</v>
      </c>
      <c r="AJ41" s="46">
        <f t="shared" si="59"/>
        <v>0.01623007758</v>
      </c>
      <c r="AK41" s="46" t="str">
        <f t="shared" si="59"/>
        <v>#DIV/0!</v>
      </c>
      <c r="AL41" s="46">
        <f t="shared" si="59"/>
        <v>0.01441855487</v>
      </c>
      <c r="AM41" s="46" t="str">
        <f t="shared" si="59"/>
        <v>#DIV/0!</v>
      </c>
      <c r="AN41" s="46" t="str">
        <f t="shared" si="59"/>
        <v>#DIV/0!</v>
      </c>
      <c r="AO41" s="46">
        <f t="shared" si="59"/>
        <v>0.03472850361</v>
      </c>
      <c r="AP41" s="46" t="str">
        <f t="shared" si="59"/>
        <v>#DIV/0!</v>
      </c>
      <c r="AQ41" s="46">
        <f t="shared" si="59"/>
        <v>0.07374967205</v>
      </c>
      <c r="AR41" s="46" t="str">
        <f t="shared" si="59"/>
        <v>#DIV/0!</v>
      </c>
      <c r="AS41" s="46" t="str">
        <f t="shared" si="59"/>
        <v>#DIV/0!</v>
      </c>
      <c r="AT41" s="46" t="str">
        <f t="shared" si="59"/>
        <v>#DIV/0!</v>
      </c>
      <c r="AU41" s="46" t="str">
        <f t="shared" si="59"/>
        <v>#DIV/0!</v>
      </c>
      <c r="AV41" s="46" t="str">
        <f t="shared" si="59"/>
        <v>#DIV/0!</v>
      </c>
      <c r="AW41" s="46" t="str">
        <f t="shared" si="59"/>
        <v>#DIV/0!</v>
      </c>
      <c r="AX41" s="46" t="str">
        <f t="shared" si="59"/>
        <v>#DIV/0!</v>
      </c>
      <c r="AY41" s="46" t="str">
        <f t="shared" si="59"/>
        <v>#DIV/0!</v>
      </c>
      <c r="AZ41" s="46" t="str">
        <f t="shared" si="59"/>
        <v>#DIV/0!</v>
      </c>
      <c r="BA41" s="46" t="str">
        <f t="shared" si="59"/>
        <v>#DIV/0!</v>
      </c>
      <c r="BB41" s="46" t="str">
        <f t="shared" si="59"/>
        <v>#DIV/0!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3"/>
      <c r="BT41" s="27" t="s">
        <v>124</v>
      </c>
      <c r="BU41" s="27"/>
      <c r="BV41" s="1"/>
      <c r="BW41" s="1"/>
      <c r="BX41" s="1"/>
      <c r="BY41" s="1"/>
      <c r="BZ41" s="1"/>
    </row>
    <row r="42">
      <c r="A42" s="1"/>
      <c r="B42" s="33" t="s">
        <v>117</v>
      </c>
      <c r="C42" s="50"/>
      <c r="D42" s="50" t="s">
        <v>169</v>
      </c>
      <c r="E42" s="14"/>
      <c r="F42" s="14"/>
      <c r="G42" s="14"/>
      <c r="H42" s="14"/>
      <c r="I42" s="14"/>
      <c r="J42" s="14"/>
      <c r="K42" s="14"/>
      <c r="L42" s="1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46">
        <f t="shared" ref="W42:AD42" si="60">W39/W4</f>
        <v>0.01248949448</v>
      </c>
      <c r="X42" s="46">
        <f t="shared" si="60"/>
        <v>0.005018090117</v>
      </c>
      <c r="Y42" s="46">
        <f t="shared" si="60"/>
        <v>0.008725881121</v>
      </c>
      <c r="Z42" s="46">
        <f t="shared" si="60"/>
        <v>0.01235623389</v>
      </c>
      <c r="AA42" s="46">
        <f t="shared" si="60"/>
        <v>0</v>
      </c>
      <c r="AB42" s="46">
        <f t="shared" si="60"/>
        <v>0.006167866276</v>
      </c>
      <c r="AC42" s="46">
        <f t="shared" si="60"/>
        <v>0.009534359025</v>
      </c>
      <c r="AD42" s="46">
        <f t="shared" si="60"/>
        <v>0.004610517393</v>
      </c>
      <c r="AE42" s="46">
        <v>0.0</v>
      </c>
      <c r="AF42" s="46">
        <f t="shared" ref="AF42:BK42" si="61">AF39/AF4</f>
        <v>0.006140129117</v>
      </c>
      <c r="AG42" s="46">
        <f t="shared" si="61"/>
        <v>0</v>
      </c>
      <c r="AH42" s="46">
        <f t="shared" si="61"/>
        <v>0</v>
      </c>
      <c r="AI42" s="46">
        <f t="shared" si="61"/>
        <v>0</v>
      </c>
      <c r="AJ42" s="46">
        <f t="shared" si="61"/>
        <v>0.005473175628</v>
      </c>
      <c r="AK42" s="46">
        <f t="shared" si="61"/>
        <v>0</v>
      </c>
      <c r="AL42" s="46">
        <f t="shared" si="61"/>
        <v>0.004996853525</v>
      </c>
      <c r="AM42" s="46">
        <f t="shared" si="61"/>
        <v>0.006960216773</v>
      </c>
      <c r="AN42" s="46">
        <f t="shared" si="61"/>
        <v>0.006717815207</v>
      </c>
      <c r="AO42" s="46">
        <f t="shared" si="61"/>
        <v>0.01599172845</v>
      </c>
      <c r="AP42" s="46">
        <f t="shared" si="61"/>
        <v>0</v>
      </c>
      <c r="AQ42" s="46">
        <f t="shared" si="61"/>
        <v>0.01360397047</v>
      </c>
      <c r="AR42" s="46">
        <f t="shared" si="61"/>
        <v>0.01038607316</v>
      </c>
      <c r="AS42" s="46">
        <f t="shared" si="61"/>
        <v>0.009672320043</v>
      </c>
      <c r="AT42" s="46">
        <f t="shared" si="61"/>
        <v>0</v>
      </c>
      <c r="AU42" s="46">
        <f t="shared" si="61"/>
        <v>0</v>
      </c>
      <c r="AV42" s="46">
        <f t="shared" si="61"/>
        <v>0</v>
      </c>
      <c r="AW42" s="46">
        <f t="shared" si="61"/>
        <v>0.01309752082</v>
      </c>
      <c r="AX42" s="46">
        <f t="shared" si="61"/>
        <v>0</v>
      </c>
      <c r="AY42" s="46">
        <f t="shared" si="61"/>
        <v>0</v>
      </c>
      <c r="AZ42" s="46">
        <f t="shared" si="61"/>
        <v>0.007262981202</v>
      </c>
      <c r="BA42" s="46">
        <f t="shared" si="61"/>
        <v>0.007048513776</v>
      </c>
      <c r="BB42" s="46">
        <f t="shared" si="61"/>
        <v>0.01148819379</v>
      </c>
      <c r="BC42" s="46">
        <f t="shared" si="61"/>
        <v>0.01413760729</v>
      </c>
      <c r="BD42" s="46">
        <f t="shared" si="61"/>
        <v>0.01235489978</v>
      </c>
      <c r="BE42" s="46">
        <f t="shared" si="61"/>
        <v>0.01532289721</v>
      </c>
      <c r="BF42" s="46">
        <f t="shared" si="61"/>
        <v>0.01766014485</v>
      </c>
      <c r="BG42" s="46">
        <f t="shared" si="61"/>
        <v>0.0119271291</v>
      </c>
      <c r="BH42" s="46">
        <f t="shared" si="61"/>
        <v>0.006802969582</v>
      </c>
      <c r="BI42" s="46">
        <f t="shared" si="61"/>
        <v>0.007202795406</v>
      </c>
      <c r="BJ42" s="46">
        <f t="shared" si="61"/>
        <v>0.01011314494</v>
      </c>
      <c r="BK42" s="46">
        <f t="shared" si="61"/>
        <v>0.06461408864</v>
      </c>
      <c r="BL42" s="46"/>
      <c r="BM42" s="46"/>
      <c r="BN42" s="46"/>
      <c r="BO42" s="46"/>
      <c r="BP42" s="46"/>
      <c r="BQ42" s="46"/>
      <c r="BR42" s="46"/>
      <c r="BS42" s="3"/>
      <c r="BT42" s="27" t="s">
        <v>124</v>
      </c>
      <c r="BU42" s="27"/>
      <c r="BV42" s="1"/>
      <c r="BW42" s="1"/>
      <c r="BX42" s="1"/>
      <c r="BY42" s="1"/>
      <c r="BZ42" s="1"/>
    </row>
    <row r="43">
      <c r="A43" s="3"/>
      <c r="B43" s="33" t="s">
        <v>117</v>
      </c>
      <c r="C43" s="50"/>
      <c r="D43" s="50" t="s">
        <v>170</v>
      </c>
      <c r="E43" s="56"/>
      <c r="F43" s="56"/>
      <c r="G43" s="56"/>
      <c r="H43" s="56"/>
      <c r="I43" s="56"/>
      <c r="J43" s="56"/>
      <c r="K43" s="56"/>
      <c r="L43" s="57"/>
      <c r="M43" s="58"/>
      <c r="N43" s="58"/>
      <c r="O43" s="58"/>
      <c r="P43" s="58"/>
      <c r="Q43" s="58"/>
      <c r="R43" s="58"/>
      <c r="S43" s="58"/>
      <c r="T43" s="58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46">
        <f t="shared" ref="AW43:BK43" si="62">(AW30+AW31)/(AW32+AW33)</f>
        <v>0.1215074857</v>
      </c>
      <c r="AX43" s="46">
        <f t="shared" si="62"/>
        <v>0.143066474</v>
      </c>
      <c r="AY43" s="46">
        <f t="shared" si="62"/>
        <v>0.1174646071</v>
      </c>
      <c r="AZ43" s="46">
        <f t="shared" si="62"/>
        <v>0.1058850783</v>
      </c>
      <c r="BA43" s="46">
        <f t="shared" si="62"/>
        <v>0.1372252668</v>
      </c>
      <c r="BB43" s="46">
        <f t="shared" si="62"/>
        <v>0.1392379963</v>
      </c>
      <c r="BC43" s="46">
        <f t="shared" si="62"/>
        <v>0.1493794236</v>
      </c>
      <c r="BD43" s="46">
        <f t="shared" si="62"/>
        <v>0.1621773561</v>
      </c>
      <c r="BE43" s="46">
        <f t="shared" si="62"/>
        <v>0.3040208338</v>
      </c>
      <c r="BF43" s="46">
        <f t="shared" si="62"/>
        <v>0.2484932173</v>
      </c>
      <c r="BG43" s="46">
        <f t="shared" si="62"/>
        <v>0.2121915172</v>
      </c>
      <c r="BH43" s="46">
        <f t="shared" si="62"/>
        <v>0.2683619714</v>
      </c>
      <c r="BI43" s="46">
        <f t="shared" si="62"/>
        <v>0.2389083686</v>
      </c>
      <c r="BJ43" s="46">
        <f t="shared" si="62"/>
        <v>0.2714805251</v>
      </c>
      <c r="BK43" s="46">
        <f t="shared" si="62"/>
        <v>0.2045949745</v>
      </c>
      <c r="BL43" s="19"/>
      <c r="BM43" s="19"/>
      <c r="BN43" s="19"/>
      <c r="BO43" s="19"/>
      <c r="BP43" s="19"/>
      <c r="BQ43" s="19"/>
      <c r="BR43" s="19"/>
      <c r="BS43" s="1"/>
      <c r="BT43" s="8"/>
      <c r="BU43" s="8"/>
      <c r="BV43" s="1"/>
      <c r="BW43" s="1"/>
      <c r="BX43" s="1"/>
      <c r="BY43" s="1"/>
      <c r="BZ43" s="1"/>
    </row>
    <row r="44">
      <c r="A44" s="3"/>
      <c r="B44" s="33" t="s">
        <v>117</v>
      </c>
      <c r="C44" s="50"/>
      <c r="D44" s="50"/>
      <c r="E44" s="56"/>
      <c r="F44" s="56"/>
      <c r="G44" s="56"/>
      <c r="H44" s="56"/>
      <c r="I44" s="56"/>
      <c r="J44" s="56"/>
      <c r="K44" s="56"/>
      <c r="L44" s="57"/>
      <c r="M44" s="58"/>
      <c r="N44" s="58"/>
      <c r="O44" s="58"/>
      <c r="P44" s="58"/>
      <c r="Q44" s="58"/>
      <c r="R44" s="58"/>
      <c r="S44" s="58"/>
      <c r="T44" s="58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"/>
      <c r="BT44" s="8"/>
      <c r="BU44" s="8"/>
      <c r="BV44" s="1"/>
      <c r="BW44" s="1"/>
      <c r="BX44" s="1"/>
      <c r="BY44" s="1"/>
      <c r="BZ44" s="1"/>
    </row>
    <row r="45">
      <c r="A45" s="3"/>
      <c r="B45" s="33" t="s">
        <v>117</v>
      </c>
      <c r="C45" s="35"/>
      <c r="D45" s="35" t="s">
        <v>171</v>
      </c>
      <c r="E45" s="56"/>
      <c r="F45" s="56"/>
      <c r="G45" s="56"/>
      <c r="H45" s="56"/>
      <c r="I45" s="56"/>
      <c r="J45" s="56"/>
      <c r="K45" s="56"/>
      <c r="L45" s="57"/>
      <c r="M45" s="58"/>
      <c r="N45" s="58"/>
      <c r="O45" s="58"/>
      <c r="P45" s="58"/>
      <c r="Q45" s="58"/>
      <c r="R45" s="58"/>
      <c r="S45" s="58"/>
      <c r="T45" s="58"/>
      <c r="U45" s="19"/>
      <c r="V45" s="19"/>
      <c r="W45" s="18">
        <v>0.0</v>
      </c>
      <c r="X45" s="18">
        <v>0.0</v>
      </c>
      <c r="Y45" s="18">
        <v>0.0</v>
      </c>
      <c r="Z45" s="18">
        <v>0.0</v>
      </c>
      <c r="AA45" s="18">
        <v>595300.0</v>
      </c>
      <c r="AB45" s="18">
        <v>11400.0</v>
      </c>
      <c r="AC45" s="18">
        <v>22800.0</v>
      </c>
      <c r="AD45" s="18">
        <v>0.0</v>
      </c>
      <c r="AE45" s="18">
        <v>15600.0</v>
      </c>
      <c r="AF45" s="18">
        <v>50100.0</v>
      </c>
      <c r="AG45" s="18">
        <v>7800.0</v>
      </c>
      <c r="AH45" s="18">
        <v>115200.0</v>
      </c>
      <c r="AI45" s="18">
        <v>19200.0</v>
      </c>
      <c r="AJ45" s="18">
        <v>0.0</v>
      </c>
      <c r="AK45" s="18">
        <v>8100.0</v>
      </c>
      <c r="AL45" s="18">
        <v>103700.0</v>
      </c>
      <c r="AM45" s="18">
        <v>167400.0</v>
      </c>
      <c r="AN45" s="18">
        <v>71500.0</v>
      </c>
      <c r="AO45" s="18">
        <v>136800.0</v>
      </c>
      <c r="AP45" s="18">
        <v>218600.0</v>
      </c>
      <c r="AQ45" s="18">
        <v>7800.0</v>
      </c>
      <c r="AR45" s="18">
        <v>133600.0</v>
      </c>
      <c r="AS45" s="18">
        <v>63600.0</v>
      </c>
      <c r="AT45" s="18">
        <v>8550.0</v>
      </c>
      <c r="AU45" s="18">
        <v>192000.0</v>
      </c>
      <c r="AV45" s="18">
        <v>42000.0</v>
      </c>
      <c r="AW45" s="18">
        <v>3900.0</v>
      </c>
      <c r="AX45" s="18">
        <v>0.0</v>
      </c>
      <c r="AY45" s="18">
        <v>0.0</v>
      </c>
      <c r="AZ45" s="18">
        <v>11400.0</v>
      </c>
      <c r="BA45" s="18">
        <v>76200.0</v>
      </c>
      <c r="BB45" s="18">
        <v>22800.0</v>
      </c>
      <c r="BC45" s="18">
        <v>132300.0</v>
      </c>
      <c r="BD45" s="18">
        <v>0.0</v>
      </c>
      <c r="BE45" s="18">
        <v>300.0</v>
      </c>
      <c r="BF45" s="18">
        <v>69600.0</v>
      </c>
      <c r="BG45" s="18">
        <v>34200.0</v>
      </c>
      <c r="BH45" s="18">
        <v>0.0</v>
      </c>
      <c r="BI45" s="18">
        <v>23400.0</v>
      </c>
      <c r="BJ45" s="18">
        <v>0.0</v>
      </c>
      <c r="BK45" s="18">
        <v>0.0</v>
      </c>
      <c r="BL45" s="18"/>
      <c r="BM45" s="18"/>
      <c r="BN45" s="18"/>
      <c r="BO45" s="18"/>
      <c r="BP45" s="18"/>
      <c r="BQ45" s="18"/>
      <c r="BR45" s="18"/>
      <c r="BS45" s="1"/>
      <c r="BT45" s="27" t="s">
        <v>141</v>
      </c>
      <c r="BU45" s="27"/>
      <c r="BV45" s="1"/>
      <c r="BW45" s="1"/>
      <c r="BX45" s="1"/>
      <c r="BY45" s="1"/>
      <c r="BZ45" s="1"/>
    </row>
    <row r="46">
      <c r="A46" s="3"/>
      <c r="B46" s="33" t="s">
        <v>117</v>
      </c>
      <c r="C46" s="35"/>
      <c r="D46" s="35" t="s">
        <v>172</v>
      </c>
      <c r="E46" s="56"/>
      <c r="F46" s="56"/>
      <c r="G46" s="56"/>
      <c r="H46" s="56"/>
      <c r="I46" s="56"/>
      <c r="J46" s="56"/>
      <c r="K46" s="56"/>
      <c r="L46" s="57"/>
      <c r="M46" s="58"/>
      <c r="N46" s="58"/>
      <c r="O46" s="58"/>
      <c r="P46" s="58"/>
      <c r="Q46" s="58"/>
      <c r="R46" s="58"/>
      <c r="S46" s="58"/>
      <c r="T46" s="58"/>
      <c r="U46" s="19"/>
      <c r="V46" s="19"/>
      <c r="W46" s="46">
        <f t="shared" ref="W46:AV46" si="63">W45/W$4</f>
        <v>0</v>
      </c>
      <c r="X46" s="46">
        <f t="shared" si="63"/>
        <v>0</v>
      </c>
      <c r="Y46" s="46">
        <f t="shared" si="63"/>
        <v>0</v>
      </c>
      <c r="Z46" s="46">
        <f t="shared" si="63"/>
        <v>0</v>
      </c>
      <c r="AA46" s="46">
        <f t="shared" si="63"/>
        <v>0.04368080448</v>
      </c>
      <c r="AB46" s="46">
        <f t="shared" si="63"/>
        <v>0.0009616334407</v>
      </c>
      <c r="AC46" s="46">
        <f t="shared" si="63"/>
        <v>0.001792187524</v>
      </c>
      <c r="AD46" s="46">
        <f t="shared" si="63"/>
        <v>0</v>
      </c>
      <c r="AE46" s="46">
        <f t="shared" si="63"/>
        <v>0.001123242207</v>
      </c>
      <c r="AF46" s="46">
        <f t="shared" si="63"/>
        <v>0.003797783565</v>
      </c>
      <c r="AG46" s="46">
        <f t="shared" si="63"/>
        <v>0.0005514650128</v>
      </c>
      <c r="AH46" s="46">
        <f t="shared" si="63"/>
        <v>0.007068446925</v>
      </c>
      <c r="AI46" s="46">
        <f t="shared" si="63"/>
        <v>0.001322477629</v>
      </c>
      <c r="AJ46" s="46">
        <f t="shared" si="63"/>
        <v>0</v>
      </c>
      <c r="AK46" s="46">
        <f t="shared" si="63"/>
        <v>0.0005085793251</v>
      </c>
      <c r="AL46" s="46">
        <f t="shared" si="63"/>
        <v>0.006397206302</v>
      </c>
      <c r="AM46" s="46">
        <f t="shared" si="63"/>
        <v>0.0110972083</v>
      </c>
      <c r="AN46" s="46">
        <f t="shared" si="63"/>
        <v>0.004609544801</v>
      </c>
      <c r="AO46" s="46">
        <f t="shared" si="63"/>
        <v>0.007325265118</v>
      </c>
      <c r="AP46" s="46">
        <f t="shared" si="63"/>
        <v>0.01148730608</v>
      </c>
      <c r="AQ46" s="46">
        <f t="shared" si="63"/>
        <v>0.000409378741</v>
      </c>
      <c r="AR46" s="46">
        <f t="shared" si="63"/>
        <v>0.006655248465</v>
      </c>
      <c r="AS46" s="46">
        <f t="shared" si="63"/>
        <v>0.003087917851</v>
      </c>
      <c r="AT46" s="46">
        <f t="shared" si="63"/>
        <v>0.0004495305786</v>
      </c>
      <c r="AU46" s="46">
        <f t="shared" si="63"/>
        <v>0.009642355493</v>
      </c>
      <c r="AV46" s="46">
        <f t="shared" si="63"/>
        <v>0.002173324266</v>
      </c>
      <c r="AW46" s="46">
        <f t="shared" ref="AW46:BK46" si="64">AW45/AW4</f>
        <v>0.0002607549551</v>
      </c>
      <c r="AX46" s="46">
        <f t="shared" si="64"/>
        <v>0</v>
      </c>
      <c r="AY46" s="46">
        <f t="shared" si="64"/>
        <v>0</v>
      </c>
      <c r="AZ46" s="46">
        <f t="shared" si="64"/>
        <v>0.0006842525987</v>
      </c>
      <c r="BA46" s="46">
        <f t="shared" si="64"/>
        <v>0.00459057051</v>
      </c>
      <c r="BB46" s="46">
        <f t="shared" si="64"/>
        <v>0.001488666202</v>
      </c>
      <c r="BC46" s="46">
        <f t="shared" si="64"/>
        <v>0.008392134838</v>
      </c>
      <c r="BD46" s="46">
        <f t="shared" si="64"/>
        <v>0</v>
      </c>
      <c r="BE46" s="46">
        <f t="shared" si="64"/>
        <v>0.00001969245635</v>
      </c>
      <c r="BF46" s="46">
        <f t="shared" si="64"/>
        <v>0.004984189878</v>
      </c>
      <c r="BG46" s="46">
        <f t="shared" si="64"/>
        <v>0.002105406726</v>
      </c>
      <c r="BH46" s="46">
        <f t="shared" si="64"/>
        <v>0</v>
      </c>
      <c r="BI46" s="46">
        <f t="shared" si="64"/>
        <v>0.001424885342</v>
      </c>
      <c r="BJ46" s="46">
        <f t="shared" si="64"/>
        <v>0</v>
      </c>
      <c r="BK46" s="46">
        <f t="shared" si="64"/>
        <v>0</v>
      </c>
      <c r="BL46" s="46"/>
      <c r="BM46" s="46"/>
      <c r="BN46" s="46"/>
      <c r="BO46" s="46"/>
      <c r="BP46" s="46"/>
      <c r="BQ46" s="46"/>
      <c r="BR46" s="46"/>
      <c r="BS46" s="1"/>
      <c r="BT46" s="27" t="s">
        <v>124</v>
      </c>
      <c r="BU46" s="27"/>
      <c r="BV46" s="1"/>
      <c r="BW46" s="1"/>
      <c r="BX46" s="1"/>
      <c r="BY46" s="1"/>
      <c r="BZ46" s="1"/>
    </row>
    <row r="47">
      <c r="A47" s="3"/>
      <c r="B47" s="33" t="s">
        <v>117</v>
      </c>
      <c r="C47" s="35"/>
      <c r="D47" s="35" t="s">
        <v>173</v>
      </c>
      <c r="E47" s="56"/>
      <c r="F47" s="56"/>
      <c r="G47" s="56"/>
      <c r="H47" s="56"/>
      <c r="I47" s="56"/>
      <c r="J47" s="56"/>
      <c r="K47" s="56"/>
      <c r="L47" s="57"/>
      <c r="M47" s="58"/>
      <c r="N47" s="58"/>
      <c r="O47" s="58"/>
      <c r="P47" s="58"/>
      <c r="Q47" s="58"/>
      <c r="R47" s="58"/>
      <c r="S47" s="58"/>
      <c r="T47" s="58"/>
      <c r="U47" s="19"/>
      <c r="V47" s="19"/>
      <c r="W47" s="18">
        <v>127245.0</v>
      </c>
      <c r="X47" s="18">
        <v>133579.0</v>
      </c>
      <c r="Y47" s="18">
        <v>151394.0</v>
      </c>
      <c r="Z47" s="18">
        <v>143801.0</v>
      </c>
      <c r="AA47" s="18">
        <v>114462.0</v>
      </c>
      <c r="AB47" s="18">
        <v>121865.0</v>
      </c>
      <c r="AC47" s="18">
        <v>122175.0</v>
      </c>
      <c r="AD47" s="18">
        <v>146176.0</v>
      </c>
      <c r="AE47" s="18">
        <v>133998.0</v>
      </c>
      <c r="AF47" s="18">
        <v>127362.0</v>
      </c>
      <c r="AG47" s="18">
        <v>168487.0</v>
      </c>
      <c r="AH47" s="18">
        <v>156130.0</v>
      </c>
      <c r="AI47" s="18">
        <v>134352.0</v>
      </c>
      <c r="AJ47" s="18">
        <v>172120.0</v>
      </c>
      <c r="AK47" s="18">
        <v>161575.0</v>
      </c>
      <c r="AL47" s="18">
        <v>151414.0</v>
      </c>
      <c r="AM47" s="18">
        <v>164752.0</v>
      </c>
      <c r="AN47" s="18">
        <v>168795.0</v>
      </c>
      <c r="AO47" s="18">
        <v>187864.0</v>
      </c>
      <c r="AP47" s="18">
        <v>207661.0</v>
      </c>
      <c r="AQ47" s="18">
        <v>211418.0</v>
      </c>
      <c r="AR47" s="18">
        <v>210751.0</v>
      </c>
      <c r="AS47" s="18">
        <v>206847.0</v>
      </c>
      <c r="AT47" s="18">
        <v>213902.0</v>
      </c>
      <c r="AU47" s="18">
        <v>202784.0</v>
      </c>
      <c r="AV47" s="18">
        <v>204664.0</v>
      </c>
      <c r="AW47" s="18">
        <v>145505.0</v>
      </c>
      <c r="AX47" s="18">
        <v>164961.0</v>
      </c>
      <c r="AY47" s="18">
        <v>184842.0</v>
      </c>
      <c r="AZ47" s="18">
        <v>181550.0</v>
      </c>
      <c r="BA47" s="18">
        <v>177237.0</v>
      </c>
      <c r="BB47" s="18">
        <v>160236.17</v>
      </c>
      <c r="BC47" s="18">
        <v>204080.0</v>
      </c>
      <c r="BD47" s="18">
        <v>169924.0</v>
      </c>
      <c r="BE47" s="18">
        <v>154669.0</v>
      </c>
      <c r="BF47" s="18">
        <v>150446.0</v>
      </c>
      <c r="BG47" s="18">
        <v>174533.0</v>
      </c>
      <c r="BH47" s="18">
        <v>201544.0</v>
      </c>
      <c r="BI47" s="18">
        <v>151131.0</v>
      </c>
      <c r="BJ47" s="18">
        <v>168780.0</v>
      </c>
      <c r="BK47" s="18">
        <v>164560.0</v>
      </c>
      <c r="BL47" s="18"/>
      <c r="BM47" s="18"/>
      <c r="BN47" s="18"/>
      <c r="BO47" s="18"/>
      <c r="BP47" s="18"/>
      <c r="BQ47" s="18"/>
      <c r="BR47" s="18"/>
      <c r="BS47" s="1"/>
      <c r="BT47" s="27" t="s">
        <v>141</v>
      </c>
      <c r="BU47" s="27"/>
      <c r="BV47" s="1"/>
      <c r="BW47" s="1"/>
      <c r="BX47" s="1"/>
      <c r="BY47" s="1"/>
      <c r="BZ47" s="1"/>
    </row>
    <row r="48">
      <c r="A48" s="3"/>
      <c r="B48" s="33" t="s">
        <v>117</v>
      </c>
      <c r="C48" s="35"/>
      <c r="D48" s="35" t="s">
        <v>174</v>
      </c>
      <c r="E48" s="56"/>
      <c r="F48" s="56"/>
      <c r="G48" s="56"/>
      <c r="H48" s="56"/>
      <c r="I48" s="56"/>
      <c r="J48" s="56"/>
      <c r="K48" s="56"/>
      <c r="L48" s="57"/>
      <c r="M48" s="58"/>
      <c r="N48" s="58"/>
      <c r="O48" s="58"/>
      <c r="P48" s="58"/>
      <c r="Q48" s="58"/>
      <c r="R48" s="58"/>
      <c r="S48" s="58"/>
      <c r="T48" s="58"/>
      <c r="U48" s="19"/>
      <c r="V48" s="19"/>
      <c r="W48" s="46">
        <f t="shared" ref="W48:AD48" si="65">W47/W4</f>
        <v>0.01042929057</v>
      </c>
      <c r="X48" s="46">
        <f t="shared" si="65"/>
        <v>0.009688121808</v>
      </c>
      <c r="Y48" s="46">
        <f t="shared" si="65"/>
        <v>0.01037669015</v>
      </c>
      <c r="Z48" s="46">
        <f t="shared" si="65"/>
        <v>0.0103173814</v>
      </c>
      <c r="AA48" s="46">
        <f t="shared" si="65"/>
        <v>0.008398777495</v>
      </c>
      <c r="AB48" s="46">
        <f t="shared" si="65"/>
        <v>0.01027977713</v>
      </c>
      <c r="AC48" s="46">
        <f t="shared" si="65"/>
        <v>0.009603531175</v>
      </c>
      <c r="AD48" s="46">
        <f t="shared" si="65"/>
        <v>0.01102030889</v>
      </c>
      <c r="AE48" s="46">
        <f t="shared" ref="AE48:BK48" si="66">AE47/AE$4</f>
        <v>0.009648218541</v>
      </c>
      <c r="AF48" s="46">
        <f t="shared" si="66"/>
        <v>0.009654557094</v>
      </c>
      <c r="AG48" s="46">
        <f t="shared" si="66"/>
        <v>0.01191213918</v>
      </c>
      <c r="AH48" s="46">
        <f t="shared" si="66"/>
        <v>0.009579831757</v>
      </c>
      <c r="AI48" s="46">
        <f t="shared" si="66"/>
        <v>0.009254037207</v>
      </c>
      <c r="AJ48" s="46">
        <f t="shared" si="66"/>
        <v>0.01163016036</v>
      </c>
      <c r="AK48" s="46">
        <f t="shared" si="66"/>
        <v>0.01014490178</v>
      </c>
      <c r="AL48" s="46">
        <f t="shared" si="66"/>
        <v>0.009340661476</v>
      </c>
      <c r="AM48" s="46">
        <f t="shared" si="66"/>
        <v>0.01092166823</v>
      </c>
      <c r="AN48" s="46">
        <f t="shared" si="66"/>
        <v>0.01088207153</v>
      </c>
      <c r="AO48" s="46">
        <f t="shared" si="66"/>
        <v>0.01005960238</v>
      </c>
      <c r="AP48" s="46">
        <f t="shared" si="66"/>
        <v>0.01091246783</v>
      </c>
      <c r="AQ48" s="46">
        <f t="shared" si="66"/>
        <v>0.01109615829</v>
      </c>
      <c r="AR48" s="46">
        <f t="shared" si="66"/>
        <v>0.01049850501</v>
      </c>
      <c r="AS48" s="46">
        <f t="shared" si="66"/>
        <v>0.01004287018</v>
      </c>
      <c r="AT48" s="46">
        <f t="shared" si="66"/>
        <v>0.01124625612</v>
      </c>
      <c r="AU48" s="46">
        <f t="shared" si="66"/>
        <v>0.01018393446</v>
      </c>
      <c r="AV48" s="46">
        <f t="shared" si="66"/>
        <v>0.01059050566</v>
      </c>
      <c r="AW48" s="46">
        <f t="shared" si="66"/>
        <v>0.009728499935</v>
      </c>
      <c r="AX48" s="46">
        <f t="shared" si="66"/>
        <v>0.01019656643</v>
      </c>
      <c r="AY48" s="46">
        <f t="shared" si="66"/>
        <v>0.01062443578</v>
      </c>
      <c r="AZ48" s="46">
        <f t="shared" si="66"/>
        <v>0.01089702274</v>
      </c>
      <c r="BA48" s="46">
        <f t="shared" si="66"/>
        <v>0.01067741398</v>
      </c>
      <c r="BB48" s="46">
        <f t="shared" si="66"/>
        <v>0.01046220047</v>
      </c>
      <c r="BC48" s="46">
        <f t="shared" si="66"/>
        <v>0.01294532787</v>
      </c>
      <c r="BD48" s="46">
        <f t="shared" si="66"/>
        <v>0.009621200205</v>
      </c>
      <c r="BE48" s="46">
        <f t="shared" si="66"/>
        <v>0.01015270843</v>
      </c>
      <c r="BF48" s="46">
        <f t="shared" si="66"/>
        <v>0.01077372745</v>
      </c>
      <c r="BG48" s="46">
        <f t="shared" si="66"/>
        <v>0.01074453076</v>
      </c>
      <c r="BH48" s="46">
        <f t="shared" si="66"/>
        <v>0.01118861553</v>
      </c>
      <c r="BI48" s="46">
        <f t="shared" si="66"/>
        <v>0.009202749858</v>
      </c>
      <c r="BJ48" s="46">
        <f t="shared" si="66"/>
        <v>0.0110341621</v>
      </c>
      <c r="BK48" s="46">
        <f t="shared" si="66"/>
        <v>0.009730649174</v>
      </c>
      <c r="BL48" s="46"/>
      <c r="BM48" s="46"/>
      <c r="BN48" s="46"/>
      <c r="BO48" s="46"/>
      <c r="BP48" s="46"/>
      <c r="BQ48" s="46"/>
      <c r="BR48" s="46"/>
      <c r="BS48" s="1"/>
      <c r="BT48" s="27" t="s">
        <v>124</v>
      </c>
      <c r="BU48" s="27"/>
      <c r="BV48" s="1"/>
      <c r="BW48" s="1"/>
      <c r="BX48" s="1"/>
      <c r="BY48" s="1"/>
      <c r="BZ48" s="1"/>
    </row>
    <row r="49">
      <c r="A49" s="3"/>
      <c r="B49" s="33" t="s">
        <v>117</v>
      </c>
      <c r="C49" s="35"/>
      <c r="D49" s="35" t="s">
        <v>175</v>
      </c>
      <c r="E49" s="56"/>
      <c r="F49" s="56"/>
      <c r="G49" s="56"/>
      <c r="H49" s="56"/>
      <c r="I49" s="56"/>
      <c r="J49" s="56"/>
      <c r="K49" s="56"/>
      <c r="L49" s="57"/>
      <c r="M49" s="58"/>
      <c r="N49" s="58"/>
      <c r="O49" s="58"/>
      <c r="P49" s="58"/>
      <c r="Q49" s="58"/>
      <c r="R49" s="58"/>
      <c r="S49" s="58"/>
      <c r="T49" s="58"/>
      <c r="U49" s="19"/>
      <c r="V49" s="19"/>
      <c r="W49" s="18">
        <v>-24162.0</v>
      </c>
      <c r="X49" s="18">
        <v>360.0</v>
      </c>
      <c r="Y49" s="18">
        <v>228.0</v>
      </c>
      <c r="Z49" s="18">
        <v>60.0</v>
      </c>
      <c r="AA49" s="18">
        <v>-23397.0</v>
      </c>
      <c r="AB49" s="18">
        <v>-68374.0</v>
      </c>
      <c r="AC49" s="18">
        <v>193.0</v>
      </c>
      <c r="AD49" s="18">
        <v>1174.0</v>
      </c>
      <c r="AE49" s="18">
        <v>-1016.0</v>
      </c>
      <c r="AF49" s="18">
        <v>-40495.0</v>
      </c>
      <c r="AG49" s="18">
        <v>36.0</v>
      </c>
      <c r="AH49" s="18">
        <v>-176113.0</v>
      </c>
      <c r="AI49" s="18">
        <v>6.0</v>
      </c>
      <c r="AJ49" s="18">
        <v>-40773.0</v>
      </c>
      <c r="AK49" s="18">
        <v>12.0</v>
      </c>
      <c r="AL49" s="18">
        <v>12.0</v>
      </c>
      <c r="AM49" s="18">
        <v>210.0</v>
      </c>
      <c r="AN49" s="18">
        <v>106.0</v>
      </c>
      <c r="AO49" s="18">
        <v>-105416.0</v>
      </c>
      <c r="AP49" s="18">
        <v>961.0</v>
      </c>
      <c r="AQ49" s="18">
        <f>320+759</f>
        <v>1079</v>
      </c>
      <c r="AR49" s="18">
        <f>510+54</f>
        <v>564</v>
      </c>
      <c r="AS49" s="18">
        <v>-21866.0</v>
      </c>
      <c r="AT49" s="18">
        <v>931.0</v>
      </c>
      <c r="AU49" s="18">
        <v>79.0</v>
      </c>
      <c r="AV49" s="18">
        <f>-14011+363</f>
        <v>-13648</v>
      </c>
      <c r="AW49" s="18">
        <f>-47947+665033</f>
        <v>617086</v>
      </c>
      <c r="AX49" s="18">
        <v>32.0</v>
      </c>
      <c r="AY49" s="18">
        <f>1908+35750+113+16505+250+2479+750+1355+232+150</f>
        <v>59492</v>
      </c>
      <c r="AZ49" s="18">
        <f>1583+150+2290+305966+200+150+1583</f>
        <v>311922</v>
      </c>
      <c r="BA49" s="18">
        <v>1991.0</v>
      </c>
      <c r="BB49" s="18">
        <v>-58274.79</v>
      </c>
      <c r="BC49" s="18">
        <f>491-18652</f>
        <v>-18161</v>
      </c>
      <c r="BD49" s="18">
        <f>16687-14052</f>
        <v>2635</v>
      </c>
      <c r="BE49" s="18">
        <v>2715.0</v>
      </c>
      <c r="BF49" s="18">
        <v>-95053.0</v>
      </c>
      <c r="BG49" s="18">
        <v>1095.0</v>
      </c>
      <c r="BH49" s="18">
        <f>674+90
</f>
        <v>764</v>
      </c>
      <c r="BI49" s="18">
        <v>11153.0</v>
      </c>
      <c r="BJ49" s="18">
        <f>3000-25284</f>
        <v>-22284</v>
      </c>
      <c r="BK49" s="18">
        <v>3090.0</v>
      </c>
      <c r="BL49" s="18"/>
      <c r="BM49" s="18"/>
      <c r="BN49" s="18"/>
      <c r="BO49" s="18"/>
      <c r="BP49" s="18"/>
      <c r="BQ49" s="18"/>
      <c r="BR49" s="18"/>
      <c r="BS49" s="1"/>
      <c r="BT49" s="27" t="s">
        <v>141</v>
      </c>
      <c r="BU49" s="27"/>
      <c r="BV49" s="1"/>
      <c r="BW49" s="1"/>
      <c r="BX49" s="1"/>
      <c r="BY49" s="1"/>
      <c r="BZ49" s="1"/>
    </row>
    <row r="50">
      <c r="A50" s="1"/>
      <c r="B50" s="33" t="s">
        <v>117</v>
      </c>
      <c r="C50" s="35"/>
      <c r="D50" s="35" t="s">
        <v>176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>
        <f t="shared" ref="W50:AD50" si="67">W49/W4</f>
        <v>-0.001980372656</v>
      </c>
      <c r="X50" s="26">
        <f t="shared" si="67"/>
        <v>0.00002610982154</v>
      </c>
      <c r="Y50" s="26">
        <f t="shared" si="67"/>
        <v>0.00001562733896</v>
      </c>
      <c r="Z50" s="26">
        <f t="shared" si="67"/>
        <v>0.000004304857989</v>
      </c>
      <c r="AA50" s="26">
        <f t="shared" si="67"/>
        <v>-0.001716781089</v>
      </c>
      <c r="AB50" s="26">
        <f t="shared" si="67"/>
        <v>-0.005767607445</v>
      </c>
      <c r="AC50" s="26">
        <f t="shared" si="67"/>
        <v>0.00001517071018</v>
      </c>
      <c r="AD50" s="26">
        <f t="shared" si="67"/>
        <v>0.00008850866518</v>
      </c>
      <c r="AE50" s="46">
        <f t="shared" ref="AE50:BK50" si="68">AE49/AE$4</f>
        <v>-0.00007315474886</v>
      </c>
      <c r="AF50" s="46">
        <f t="shared" si="68"/>
        <v>-0.003069685538</v>
      </c>
      <c r="AG50" s="46">
        <f t="shared" si="68"/>
        <v>0.000002545223136</v>
      </c>
      <c r="AH50" s="46">
        <f t="shared" si="68"/>
        <v>-0.0108059496</v>
      </c>
      <c r="AI50" s="46">
        <f t="shared" si="68"/>
        <v>0.000000413274259</v>
      </c>
      <c r="AJ50" s="46">
        <f t="shared" si="68"/>
        <v>-0.002755034443</v>
      </c>
      <c r="AK50" s="46">
        <f t="shared" si="68"/>
        <v>0.000000753450852</v>
      </c>
      <c r="AL50" s="46">
        <f t="shared" si="68"/>
        <v>0.0000007402745962</v>
      </c>
      <c r="AM50" s="46">
        <f t="shared" si="68"/>
        <v>0.00001392122905</v>
      </c>
      <c r="AN50" s="46">
        <f t="shared" si="68"/>
        <v>0.000006833730753</v>
      </c>
      <c r="AO50" s="46">
        <f t="shared" si="68"/>
        <v>-0.005644737922</v>
      </c>
      <c r="AP50" s="46">
        <f t="shared" si="68"/>
        <v>0.00005050000523</v>
      </c>
      <c r="AQ50" s="46">
        <f t="shared" si="68"/>
        <v>0.00005663072584</v>
      </c>
      <c r="AR50" s="46">
        <f t="shared" si="68"/>
        <v>0.00002809550999</v>
      </c>
      <c r="AS50" s="46">
        <f t="shared" si="68"/>
        <v>-0.001061641694</v>
      </c>
      <c r="AT50" s="46">
        <f t="shared" si="68"/>
        <v>0.00004894888523</v>
      </c>
      <c r="AU50" s="46">
        <f t="shared" si="68"/>
        <v>0.00000396742752</v>
      </c>
      <c r="AV50" s="46">
        <f t="shared" si="68"/>
        <v>-0.0007062268948</v>
      </c>
      <c r="AW50" s="46">
        <f t="shared" si="68"/>
        <v>0.04125852109</v>
      </c>
      <c r="AX50" s="46">
        <f t="shared" si="68"/>
        <v>0.000001977983437</v>
      </c>
      <c r="AY50" s="46">
        <f t="shared" si="68"/>
        <v>0.003419509274</v>
      </c>
      <c r="AZ50" s="46">
        <f t="shared" si="68"/>
        <v>0.0187222315</v>
      </c>
      <c r="BA50" s="46">
        <f t="shared" si="68"/>
        <v>0.0001199452216</v>
      </c>
      <c r="BB50" s="46">
        <f t="shared" si="68"/>
        <v>-0.003804899576</v>
      </c>
      <c r="BC50" s="46">
        <f t="shared" si="68"/>
        <v>-0.001151999704</v>
      </c>
      <c r="BD50" s="46">
        <f t="shared" si="68"/>
        <v>0.0001491953023</v>
      </c>
      <c r="BE50" s="46">
        <f t="shared" si="68"/>
        <v>0.0001782167299</v>
      </c>
      <c r="BF50" s="46">
        <f t="shared" si="68"/>
        <v>-0.006806928167</v>
      </c>
      <c r="BG50" s="46">
        <f t="shared" si="68"/>
        <v>0.00006740995219</v>
      </c>
      <c r="BH50" s="46">
        <f t="shared" si="68"/>
        <v>0.00004241308233</v>
      </c>
      <c r="BI50" s="46">
        <f t="shared" si="68"/>
        <v>0.000679134454</v>
      </c>
      <c r="BJ50" s="46">
        <f t="shared" si="68"/>
        <v>-0.001456838892</v>
      </c>
      <c r="BK50" s="46">
        <f t="shared" si="68"/>
        <v>0.0001827157629</v>
      </c>
      <c r="BL50" s="46"/>
      <c r="BM50" s="46"/>
      <c r="BN50" s="46"/>
      <c r="BO50" s="46"/>
      <c r="BP50" s="46"/>
      <c r="BQ50" s="46"/>
      <c r="BR50" s="46"/>
      <c r="BS50" s="25"/>
      <c r="BT50" s="27" t="s">
        <v>124</v>
      </c>
      <c r="BU50" s="27"/>
      <c r="BV50" s="26"/>
      <c r="BW50" s="26"/>
      <c r="BX50" s="26"/>
      <c r="BY50" s="26"/>
      <c r="BZ50" s="26"/>
    </row>
    <row r="51">
      <c r="A51" s="1"/>
      <c r="B51" s="33" t="s">
        <v>117</v>
      </c>
      <c r="C51" s="35"/>
      <c r="D51" s="35" t="s">
        <v>177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18">
        <v>0.0</v>
      </c>
      <c r="X51" s="18">
        <v>37900.0</v>
      </c>
      <c r="Y51" s="18">
        <v>67629.0</v>
      </c>
      <c r="Z51" s="18">
        <v>74179.0</v>
      </c>
      <c r="AA51" s="18">
        <v>72882.0</v>
      </c>
      <c r="AB51" s="18">
        <v>825.0</v>
      </c>
      <c r="AC51" s="18">
        <v>0.0</v>
      </c>
      <c r="AD51" s="18">
        <v>77088.0</v>
      </c>
      <c r="AE51" s="18">
        <v>237470.0</v>
      </c>
      <c r="AF51" s="18">
        <v>0.0</v>
      </c>
      <c r="AG51" s="18">
        <v>61787.0</v>
      </c>
      <c r="AH51" s="18">
        <v>0.0</v>
      </c>
      <c r="AI51" s="18">
        <v>68282.0</v>
      </c>
      <c r="AJ51" s="18">
        <v>33212.0</v>
      </c>
      <c r="AK51" s="18">
        <v>38628.0</v>
      </c>
      <c r="AL51" s="18">
        <v>24058.0</v>
      </c>
      <c r="AM51" s="18">
        <v>23128.0</v>
      </c>
      <c r="AN51" s="18">
        <v>0.0</v>
      </c>
      <c r="AO51" s="18">
        <v>17379.0</v>
      </c>
      <c r="AP51" s="18">
        <v>22004.0</v>
      </c>
      <c r="AQ51" s="18">
        <v>29045.0</v>
      </c>
      <c r="AR51" s="18">
        <v>22480.0</v>
      </c>
      <c r="AS51" s="18">
        <v>31272.0</v>
      </c>
      <c r="AT51" s="18">
        <v>29539.0</v>
      </c>
      <c r="AU51" s="18">
        <v>28293.0</v>
      </c>
      <c r="AV51" s="18">
        <v>21296.0</v>
      </c>
      <c r="AW51" s="18">
        <v>11323.0</v>
      </c>
      <c r="AX51" s="18">
        <v>33803.0</v>
      </c>
      <c r="AY51" s="18">
        <v>0.0</v>
      </c>
      <c r="AZ51" s="18">
        <f>1001+12374+152+1241+4500+375</f>
        <v>19643</v>
      </c>
      <c r="BA51" s="18">
        <v>19822.0</v>
      </c>
      <c r="BB51" s="18">
        <f>450+24179</f>
        <v>24629</v>
      </c>
      <c r="BC51" s="18">
        <v>13550.0</v>
      </c>
      <c r="BD51" s="18">
        <v>14052.0</v>
      </c>
      <c r="BE51" s="18">
        <v>15356.0</v>
      </c>
      <c r="BF51" s="18">
        <v>9634.0</v>
      </c>
      <c r="BG51" s="18">
        <v>17002.0</v>
      </c>
      <c r="BH51" s="18">
        <v>12377.0</v>
      </c>
      <c r="BI51" s="18">
        <v>17476.0</v>
      </c>
      <c r="BJ51" s="18">
        <v>15977.0</v>
      </c>
      <c r="BK51" s="18">
        <v>22599.0</v>
      </c>
      <c r="BL51" s="18"/>
      <c r="BM51" s="18"/>
      <c r="BN51" s="18"/>
      <c r="BO51" s="18"/>
      <c r="BP51" s="18"/>
      <c r="BQ51" s="18"/>
      <c r="BR51" s="18"/>
      <c r="BS51" s="25"/>
      <c r="BT51" s="27" t="s">
        <v>141</v>
      </c>
      <c r="BU51" s="27"/>
      <c r="BV51" s="26"/>
      <c r="BW51" s="26"/>
      <c r="BX51" s="26"/>
      <c r="BY51" s="26"/>
      <c r="BZ51" s="26"/>
    </row>
    <row r="52">
      <c r="A52" s="1"/>
      <c r="B52" s="33" t="s">
        <v>117</v>
      </c>
      <c r="C52" s="35"/>
      <c r="D52" s="35" t="s">
        <v>178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46">
        <f t="shared" ref="W52:BK52" si="69">W51/W$4</f>
        <v>0</v>
      </c>
      <c r="X52" s="46">
        <f t="shared" si="69"/>
        <v>0.002748783989</v>
      </c>
      <c r="Y52" s="46">
        <f t="shared" si="69"/>
        <v>0.004635356608</v>
      </c>
      <c r="Z52" s="46">
        <f t="shared" si="69"/>
        <v>0.00532216768</v>
      </c>
      <c r="AA52" s="46">
        <f t="shared" si="69"/>
        <v>0.005347798408</v>
      </c>
      <c r="AB52" s="46">
        <f t="shared" si="69"/>
        <v>0.00006959189373</v>
      </c>
      <c r="AC52" s="46">
        <f t="shared" si="69"/>
        <v>0</v>
      </c>
      <c r="AD52" s="46">
        <f t="shared" si="69"/>
        <v>0.00581171719</v>
      </c>
      <c r="AE52" s="46">
        <f t="shared" si="69"/>
        <v>0.01709848249</v>
      </c>
      <c r="AF52" s="46">
        <f t="shared" si="69"/>
        <v>0</v>
      </c>
      <c r="AG52" s="46">
        <f t="shared" si="69"/>
        <v>0.004368380608</v>
      </c>
      <c r="AH52" s="46">
        <f t="shared" si="69"/>
        <v>0</v>
      </c>
      <c r="AI52" s="46">
        <f t="shared" si="69"/>
        <v>0.004703198825</v>
      </c>
      <c r="AJ52" s="46">
        <f t="shared" si="69"/>
        <v>0.002244137148</v>
      </c>
      <c r="AK52" s="46">
        <f t="shared" si="69"/>
        <v>0.002425358293</v>
      </c>
      <c r="AL52" s="46">
        <f t="shared" si="69"/>
        <v>0.001484127186</v>
      </c>
      <c r="AM52" s="46">
        <f t="shared" si="69"/>
        <v>0.001533191359</v>
      </c>
      <c r="AN52" s="46">
        <f t="shared" si="69"/>
        <v>0</v>
      </c>
      <c r="AO52" s="46">
        <f t="shared" si="69"/>
        <v>0.0009305978252</v>
      </c>
      <c r="AP52" s="46">
        <f t="shared" si="69"/>
        <v>0.001156297726</v>
      </c>
      <c r="AQ52" s="46">
        <f t="shared" si="69"/>
        <v>0.001524410966</v>
      </c>
      <c r="AR52" s="46">
        <f t="shared" si="69"/>
        <v>0.001119835221</v>
      </c>
      <c r="AS52" s="46">
        <f t="shared" si="69"/>
        <v>0.001518323381</v>
      </c>
      <c r="AT52" s="46">
        <f t="shared" si="69"/>
        <v>0.001553062428</v>
      </c>
      <c r="AU52" s="46">
        <f t="shared" si="69"/>
        <v>0.001420891479</v>
      </c>
      <c r="AV52" s="46">
        <f t="shared" si="69"/>
        <v>0.001101978895</v>
      </c>
      <c r="AW52" s="46">
        <f t="shared" si="69"/>
        <v>0.0007570585531</v>
      </c>
      <c r="AX52" s="46">
        <f t="shared" si="69"/>
        <v>0.002089430442</v>
      </c>
      <c r="AY52" s="46">
        <f t="shared" si="69"/>
        <v>0</v>
      </c>
      <c r="AZ52" s="46">
        <f t="shared" si="69"/>
        <v>0.001179015245</v>
      </c>
      <c r="BA52" s="46">
        <f t="shared" si="69"/>
        <v>0.00119415077</v>
      </c>
      <c r="BB52" s="46">
        <f t="shared" si="69"/>
        <v>0.001608085961</v>
      </c>
      <c r="BC52" s="46">
        <f t="shared" si="69"/>
        <v>0.0008595119203</v>
      </c>
      <c r="BD52" s="46">
        <f t="shared" si="69"/>
        <v>0.0007956327846</v>
      </c>
      <c r="BE52" s="46">
        <f t="shared" si="69"/>
        <v>0.001007991199</v>
      </c>
      <c r="BF52" s="46">
        <f t="shared" si="69"/>
        <v>0.0006899092713</v>
      </c>
      <c r="BG52" s="46">
        <f t="shared" si="69"/>
        <v>0.001046670326</v>
      </c>
      <c r="BH52" s="46">
        <f t="shared" si="69"/>
        <v>0.0006871030366</v>
      </c>
      <c r="BI52" s="46">
        <f t="shared" si="69"/>
        <v>0.001064157959</v>
      </c>
      <c r="BJ52" s="46">
        <f t="shared" si="69"/>
        <v>0.00104451243</v>
      </c>
      <c r="BK52" s="46">
        <f t="shared" si="69"/>
        <v>0.001336308585</v>
      </c>
      <c r="BL52" s="46"/>
      <c r="BM52" s="46"/>
      <c r="BN52" s="46"/>
      <c r="BO52" s="46"/>
      <c r="BP52" s="46"/>
      <c r="BQ52" s="46"/>
      <c r="BR52" s="46"/>
      <c r="BS52" s="25"/>
      <c r="BT52" s="27" t="s">
        <v>124</v>
      </c>
      <c r="BU52" s="27"/>
      <c r="BV52" s="26"/>
      <c r="BW52" s="26"/>
      <c r="BX52" s="26"/>
      <c r="BY52" s="26"/>
      <c r="BZ52" s="26"/>
    </row>
    <row r="53">
      <c r="A53" s="1"/>
      <c r="B53" s="33" t="s">
        <v>117</v>
      </c>
      <c r="C53" s="35"/>
      <c r="D53" s="35" t="s">
        <v>179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18">
        <v>500.0</v>
      </c>
      <c r="X53" s="18">
        <v>0.0</v>
      </c>
      <c r="Y53" s="18">
        <v>750.0</v>
      </c>
      <c r="Z53" s="18">
        <v>24000.0</v>
      </c>
      <c r="AA53" s="18">
        <v>12550.0</v>
      </c>
      <c r="AB53" s="18">
        <v>7350.0</v>
      </c>
      <c r="AC53" s="18">
        <v>0.0</v>
      </c>
      <c r="AD53" s="18">
        <v>13550.0</v>
      </c>
      <c r="AE53" s="18">
        <v>124950.0</v>
      </c>
      <c r="AF53" s="18">
        <v>76550.0</v>
      </c>
      <c r="AG53" s="18">
        <v>60550.0</v>
      </c>
      <c r="AH53" s="18">
        <v>14600.0</v>
      </c>
      <c r="AI53" s="18">
        <v>0.0</v>
      </c>
      <c r="AJ53" s="18">
        <v>2000.0</v>
      </c>
      <c r="AK53" s="18">
        <v>0.0</v>
      </c>
      <c r="AL53" s="18">
        <v>0.0</v>
      </c>
      <c r="AM53" s="18">
        <v>0.0</v>
      </c>
      <c r="AN53" s="18">
        <v>0.0</v>
      </c>
      <c r="AO53" s="18">
        <v>0.0</v>
      </c>
      <c r="AP53" s="18">
        <v>0.0</v>
      </c>
      <c r="AQ53" s="18">
        <v>0.0</v>
      </c>
      <c r="AR53" s="18">
        <v>150.0</v>
      </c>
      <c r="AS53" s="18">
        <v>0.0</v>
      </c>
      <c r="AT53" s="18">
        <v>0.0</v>
      </c>
      <c r="AU53" s="18">
        <v>200.0</v>
      </c>
      <c r="AV53" s="18">
        <v>150.0</v>
      </c>
      <c r="AW53" s="18">
        <v>150.0</v>
      </c>
      <c r="AX53" s="18">
        <v>150.0</v>
      </c>
      <c r="AY53" s="18">
        <v>0.0</v>
      </c>
      <c r="AZ53" s="18">
        <v>24100.0</v>
      </c>
      <c r="BA53" s="18">
        <v>6750.0</v>
      </c>
      <c r="BB53" s="18">
        <v>100.0</v>
      </c>
      <c r="BC53" s="18">
        <v>96.0</v>
      </c>
      <c r="BD53" s="18">
        <v>0.0</v>
      </c>
      <c r="BE53" s="18">
        <v>50.0</v>
      </c>
      <c r="BF53" s="18">
        <v>0.0</v>
      </c>
      <c r="BG53" s="18">
        <v>15150.0</v>
      </c>
      <c r="BH53" s="18">
        <v>0.0</v>
      </c>
      <c r="BI53" s="18">
        <v>32000.0</v>
      </c>
      <c r="BJ53" s="18">
        <v>43800.0</v>
      </c>
      <c r="BK53" s="18">
        <v>418441.0</v>
      </c>
      <c r="BL53" s="18"/>
      <c r="BM53" s="18"/>
      <c r="BN53" s="18"/>
      <c r="BO53" s="18"/>
      <c r="BP53" s="18"/>
      <c r="BQ53" s="18"/>
      <c r="BR53" s="18"/>
      <c r="BS53" s="25"/>
      <c r="BT53" s="27" t="s">
        <v>141</v>
      </c>
      <c r="BU53" s="27"/>
      <c r="BV53" s="26"/>
      <c r="BW53" s="26"/>
      <c r="BX53" s="26"/>
      <c r="BY53" s="26"/>
      <c r="BZ53" s="26"/>
    </row>
    <row r="54">
      <c r="A54" s="1"/>
      <c r="B54" s="33" t="s">
        <v>117</v>
      </c>
      <c r="C54" s="35"/>
      <c r="D54" s="35" t="s">
        <v>180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46">
        <f t="shared" ref="W54:AV54" si="70">W53/W$4</f>
        <v>0.00004098114097</v>
      </c>
      <c r="X54" s="46">
        <f t="shared" si="70"/>
        <v>0</v>
      </c>
      <c r="Y54" s="46">
        <f t="shared" si="70"/>
        <v>0.00005140572026</v>
      </c>
      <c r="Z54" s="46">
        <f t="shared" si="70"/>
        <v>0.001721943196</v>
      </c>
      <c r="AA54" s="46">
        <f t="shared" si="70"/>
        <v>0.0009208703112</v>
      </c>
      <c r="AB54" s="46">
        <f t="shared" si="70"/>
        <v>0.0006200005078</v>
      </c>
      <c r="AC54" s="46">
        <f t="shared" si="70"/>
        <v>0</v>
      </c>
      <c r="AD54" s="46">
        <f t="shared" si="70"/>
        <v>0.001021543793</v>
      </c>
      <c r="AE54" s="46">
        <f t="shared" si="70"/>
        <v>0.008996738061</v>
      </c>
      <c r="AF54" s="46">
        <f t="shared" si="70"/>
        <v>0.005802801036</v>
      </c>
      <c r="AG54" s="46">
        <f t="shared" si="70"/>
        <v>0.004280923913</v>
      </c>
      <c r="AH54" s="46">
        <f t="shared" si="70"/>
        <v>0.0008958274749</v>
      </c>
      <c r="AI54" s="46">
        <f t="shared" si="70"/>
        <v>0</v>
      </c>
      <c r="AJ54" s="46">
        <f t="shared" si="70"/>
        <v>0.000135140139</v>
      </c>
      <c r="AK54" s="46">
        <f t="shared" si="70"/>
        <v>0</v>
      </c>
      <c r="AL54" s="46">
        <f t="shared" si="70"/>
        <v>0</v>
      </c>
      <c r="AM54" s="46">
        <f t="shared" si="70"/>
        <v>0</v>
      </c>
      <c r="AN54" s="46">
        <f t="shared" si="70"/>
        <v>0</v>
      </c>
      <c r="AO54" s="46">
        <f t="shared" si="70"/>
        <v>0</v>
      </c>
      <c r="AP54" s="46">
        <f t="shared" si="70"/>
        <v>0</v>
      </c>
      <c r="AQ54" s="46">
        <f t="shared" si="70"/>
        <v>0</v>
      </c>
      <c r="AR54" s="46">
        <f t="shared" si="70"/>
        <v>0.000007472210103</v>
      </c>
      <c r="AS54" s="46">
        <f t="shared" si="70"/>
        <v>0</v>
      </c>
      <c r="AT54" s="46">
        <f t="shared" si="70"/>
        <v>0</v>
      </c>
      <c r="AU54" s="46">
        <f t="shared" si="70"/>
        <v>0.00001004412031</v>
      </c>
      <c r="AV54" s="46">
        <f t="shared" si="70"/>
        <v>0.000007761872379</v>
      </c>
      <c r="AW54" s="46">
        <f t="shared" ref="AW54:BK54" si="71">AW53/AW4</f>
        <v>0.00001002903674</v>
      </c>
      <c r="AX54" s="46">
        <f t="shared" si="71"/>
        <v>0.000009271797362</v>
      </c>
      <c r="AY54" s="46">
        <f t="shared" si="71"/>
        <v>0</v>
      </c>
      <c r="AZ54" s="46">
        <f t="shared" si="71"/>
        <v>0.001446534002</v>
      </c>
      <c r="BA54" s="46">
        <f t="shared" si="71"/>
        <v>0.0004066450255</v>
      </c>
      <c r="BB54" s="46">
        <f t="shared" si="71"/>
        <v>0.00000652923773</v>
      </c>
      <c r="BC54" s="46">
        <f t="shared" si="71"/>
        <v>0.000006089530948</v>
      </c>
      <c r="BD54" s="46">
        <f t="shared" si="71"/>
        <v>0</v>
      </c>
      <c r="BE54" s="46">
        <f t="shared" si="71"/>
        <v>0.000003282076058</v>
      </c>
      <c r="BF54" s="46">
        <f t="shared" si="71"/>
        <v>0</v>
      </c>
      <c r="BG54" s="46">
        <f t="shared" si="71"/>
        <v>0.0009326582427</v>
      </c>
      <c r="BH54" s="46">
        <f t="shared" si="71"/>
        <v>0</v>
      </c>
      <c r="BI54" s="46">
        <f t="shared" si="71"/>
        <v>0.001948561152</v>
      </c>
      <c r="BJ54" s="46">
        <f t="shared" si="71"/>
        <v>0.002863469013</v>
      </c>
      <c r="BK54" s="46">
        <f t="shared" si="71"/>
        <v>0.02474296652</v>
      </c>
      <c r="BL54" s="46"/>
      <c r="BM54" s="46"/>
      <c r="BN54" s="46"/>
      <c r="BO54" s="46"/>
      <c r="BP54" s="46"/>
      <c r="BQ54" s="46"/>
      <c r="BR54" s="46"/>
      <c r="BS54" s="25"/>
      <c r="BT54" s="27" t="s">
        <v>124</v>
      </c>
      <c r="BU54" s="27"/>
      <c r="BV54" s="26"/>
      <c r="BW54" s="26"/>
      <c r="BX54" s="26"/>
      <c r="BY54" s="26"/>
      <c r="BZ54" s="26"/>
    </row>
    <row r="55">
      <c r="A55" s="1"/>
      <c r="B55" s="33" t="s">
        <v>117</v>
      </c>
      <c r="C55" s="50"/>
      <c r="D55" s="50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5"/>
      <c r="BT55" s="27"/>
      <c r="BU55" s="27"/>
      <c r="BV55" s="26"/>
      <c r="BW55" s="26"/>
      <c r="BX55" s="26"/>
      <c r="BY55" s="26"/>
      <c r="BZ55" s="26"/>
    </row>
    <row r="56">
      <c r="A56" s="1"/>
      <c r="B56" s="33" t="s">
        <v>117</v>
      </c>
      <c r="C56" s="12"/>
      <c r="D56" s="12" t="s">
        <v>181</v>
      </c>
      <c r="E56" s="26">
        <f t="shared" ref="E56:N56" si="72">(E21+E22+E12+E14+E16)/E4</f>
        <v>0.3660628272</v>
      </c>
      <c r="F56" s="26">
        <f t="shared" si="72"/>
        <v>0.4444133227</v>
      </c>
      <c r="G56" s="26">
        <f t="shared" si="72"/>
        <v>0.3313662089</v>
      </c>
      <c r="H56" s="26">
        <f t="shared" si="72"/>
        <v>0.3192162263</v>
      </c>
      <c r="I56" s="26">
        <f t="shared" si="72"/>
        <v>0.3165674918</v>
      </c>
      <c r="J56" s="26">
        <f t="shared" si="72"/>
        <v>0.3291251838</v>
      </c>
      <c r="K56" s="26">
        <f t="shared" si="72"/>
        <v>0.3275227423</v>
      </c>
      <c r="L56" s="26">
        <f t="shared" si="72"/>
        <v>0.3017286702</v>
      </c>
      <c r="M56" s="26">
        <f t="shared" si="72"/>
        <v>0.3246923696</v>
      </c>
      <c r="N56" s="26">
        <f t="shared" si="72"/>
        <v>0.2873271822</v>
      </c>
      <c r="O56" s="26">
        <f t="shared" ref="O56:V56" si="73">(O21+O22+O12+O14)/O4</f>
        <v>0.2429122085</v>
      </c>
      <c r="P56" s="26">
        <f t="shared" si="73"/>
        <v>0.2769058562</v>
      </c>
      <c r="Q56" s="26">
        <f t="shared" si="73"/>
        <v>0.2701020945</v>
      </c>
      <c r="R56" s="26">
        <f t="shared" si="73"/>
        <v>0.3408454818</v>
      </c>
      <c r="S56" s="26">
        <f t="shared" si="73"/>
        <v>0.3237834204</v>
      </c>
      <c r="T56" s="26">
        <f t="shared" si="73"/>
        <v>0.3534949734</v>
      </c>
      <c r="U56" s="26">
        <f t="shared" si="73"/>
        <v>0.3356539983</v>
      </c>
      <c r="V56" s="26">
        <f t="shared" si="73"/>
        <v>0.3160696056</v>
      </c>
      <c r="W56" s="26">
        <f t="shared" ref="W56:BK56" si="74">(W21+W22+W12+W14+W49+W47+W45+W53+W51+W24+W26+W28+W39+W16)/W4</f>
        <v>0.3833125941</v>
      </c>
      <c r="X56" s="26">
        <f t="shared" si="74"/>
        <v>0.3720956359</v>
      </c>
      <c r="Y56" s="26">
        <f t="shared" si="74"/>
        <v>0.3808325616</v>
      </c>
      <c r="Z56" s="26">
        <f t="shared" si="74"/>
        <v>0.3776278826</v>
      </c>
      <c r="AA56" s="26">
        <f t="shared" si="74"/>
        <v>0.4559562772</v>
      </c>
      <c r="AB56" s="26">
        <f t="shared" si="74"/>
        <v>0.4100263277</v>
      </c>
      <c r="AC56" s="26">
        <f t="shared" si="74"/>
        <v>0.4252923879</v>
      </c>
      <c r="AD56" s="26">
        <f t="shared" si="74"/>
        <v>0.4380750707</v>
      </c>
      <c r="AE56" s="26">
        <f t="shared" si="74"/>
        <v>0.4699432266</v>
      </c>
      <c r="AF56" s="26">
        <f t="shared" si="74"/>
        <v>0.3760400791</v>
      </c>
      <c r="AG56" s="26">
        <f t="shared" si="74"/>
        <v>0.3901068449</v>
      </c>
      <c r="AH56" s="26">
        <f t="shared" si="74"/>
        <v>0.3456185232</v>
      </c>
      <c r="AI56" s="26">
        <f t="shared" si="74"/>
        <v>0.3148266135</v>
      </c>
      <c r="AJ56" s="26">
        <f t="shared" si="74"/>
        <v>0.4018498793</v>
      </c>
      <c r="AK56" s="26">
        <f t="shared" si="74"/>
        <v>0.3280344809</v>
      </c>
      <c r="AL56" s="26">
        <f t="shared" si="74"/>
        <v>0.3296735185</v>
      </c>
      <c r="AM56" s="26">
        <f t="shared" si="74"/>
        <v>0.3368173087</v>
      </c>
      <c r="AN56" s="26">
        <f t="shared" si="74"/>
        <v>0.3372759447</v>
      </c>
      <c r="AO56" s="26">
        <f t="shared" si="74"/>
        <v>0.3033661093</v>
      </c>
      <c r="AP56" s="26">
        <f t="shared" si="74"/>
        <v>0.3115046842</v>
      </c>
      <c r="AQ56" s="26">
        <f t="shared" si="74"/>
        <v>0.3217998221</v>
      </c>
      <c r="AR56" s="26">
        <f t="shared" si="74"/>
        <v>0.4286687879</v>
      </c>
      <c r="AS56" s="26">
        <f t="shared" si="74"/>
        <v>0.3853245667</v>
      </c>
      <c r="AT56" s="26">
        <f t="shared" si="74"/>
        <v>0.3729854581</v>
      </c>
      <c r="AU56" s="26">
        <f t="shared" si="74"/>
        <v>0.365513071</v>
      </c>
      <c r="AV56" s="26">
        <f t="shared" si="74"/>
        <v>0.3507117689</v>
      </c>
      <c r="AW56" s="26">
        <f t="shared" si="74"/>
        <v>0.4036976791</v>
      </c>
      <c r="AX56" s="26">
        <f t="shared" si="74"/>
        <v>0.3622478249</v>
      </c>
      <c r="AY56" s="26">
        <f t="shared" si="74"/>
        <v>0.3390773487</v>
      </c>
      <c r="AZ56" s="26">
        <f t="shared" si="74"/>
        <v>0.3623152923</v>
      </c>
      <c r="BA56" s="26">
        <f t="shared" si="74"/>
        <v>0.3651435571</v>
      </c>
      <c r="BB56" s="26">
        <f t="shared" si="74"/>
        <v>0.3675937996</v>
      </c>
      <c r="BC56" s="26">
        <f t="shared" si="74"/>
        <v>0.3968655154</v>
      </c>
      <c r="BD56" s="26">
        <f t="shared" si="74"/>
        <v>0.4007127912</v>
      </c>
      <c r="BE56" s="26">
        <f t="shared" si="74"/>
        <v>0.4945188673</v>
      </c>
      <c r="BF56" s="26">
        <f t="shared" si="74"/>
        <v>0.4858988603</v>
      </c>
      <c r="BG56" s="26">
        <f t="shared" si="74"/>
        <v>0.4198444495</v>
      </c>
      <c r="BH56" s="26">
        <f t="shared" si="74"/>
        <v>0.4737720608</v>
      </c>
      <c r="BI56" s="26">
        <f t="shared" si="74"/>
        <v>0.3562840549</v>
      </c>
      <c r="BJ56" s="26">
        <f t="shared" si="74"/>
        <v>0.4214894328</v>
      </c>
      <c r="BK56" s="26">
        <f t="shared" si="74"/>
        <v>0.4658246722</v>
      </c>
      <c r="BL56" s="26"/>
      <c r="BM56" s="26"/>
      <c r="BN56" s="26"/>
      <c r="BO56" s="26"/>
      <c r="BP56" s="26"/>
      <c r="BQ56" s="26"/>
      <c r="BR56" s="26"/>
      <c r="BS56" s="25"/>
      <c r="BT56" s="27" t="s">
        <v>124</v>
      </c>
      <c r="BU56" s="27"/>
      <c r="BV56" s="26" t="str">
        <f t="shared" ref="BV56:BX56" si="75">(BV21+BV22+BV12+BV14)/BV4</f>
        <v>#DIV/0!</v>
      </c>
      <c r="BW56" s="26" t="str">
        <f t="shared" si="75"/>
        <v>#DIV/0!</v>
      </c>
      <c r="BX56" s="26" t="str">
        <f t="shared" si="75"/>
        <v>#DIV/0!</v>
      </c>
      <c r="BY56" s="26"/>
      <c r="BZ56" s="26"/>
    </row>
    <row r="57">
      <c r="A57" s="61"/>
      <c r="B57" s="62" t="s">
        <v>117</v>
      </c>
      <c r="C57" s="19"/>
      <c r="D57" s="19" t="s">
        <v>182</v>
      </c>
      <c r="E57" s="63">
        <f t="shared" ref="E57:V57" si="76">E4-(E12+E14+E21+E22)</f>
        <v>7054237.54</v>
      </c>
      <c r="F57" s="63">
        <f t="shared" si="76"/>
        <v>6784057</v>
      </c>
      <c r="G57" s="63">
        <f t="shared" si="76"/>
        <v>8170197.5</v>
      </c>
      <c r="H57" s="63">
        <f t="shared" si="76"/>
        <v>9113460.83</v>
      </c>
      <c r="I57" s="63">
        <f t="shared" si="76"/>
        <v>9317059.37</v>
      </c>
      <c r="J57" s="63">
        <f t="shared" si="76"/>
        <v>8253007.24</v>
      </c>
      <c r="K57" s="63">
        <f t="shared" si="76"/>
        <v>8470200.22</v>
      </c>
      <c r="L57" s="63">
        <f t="shared" si="76"/>
        <v>8636257.56</v>
      </c>
      <c r="M57" s="63">
        <f t="shared" si="76"/>
        <v>7801655.61</v>
      </c>
      <c r="N57" s="63">
        <f t="shared" si="76"/>
        <v>8984779</v>
      </c>
      <c r="O57" s="63">
        <f t="shared" si="76"/>
        <v>10486236</v>
      </c>
      <c r="P57" s="63">
        <f t="shared" si="76"/>
        <v>8846905</v>
      </c>
      <c r="Q57" s="63">
        <f t="shared" si="76"/>
        <v>8570505</v>
      </c>
      <c r="R57" s="63">
        <f t="shared" si="76"/>
        <v>7865654.27</v>
      </c>
      <c r="S57" s="63">
        <f t="shared" si="76"/>
        <v>7880131</v>
      </c>
      <c r="T57" s="63">
        <f t="shared" si="76"/>
        <v>8216305.06</v>
      </c>
      <c r="U57" s="63">
        <f t="shared" si="76"/>
        <v>8528579</v>
      </c>
      <c r="V57" s="63">
        <f t="shared" si="76"/>
        <v>8983410</v>
      </c>
      <c r="W57" s="63">
        <f t="shared" ref="W57:BK57" si="77">W4-(W12+W14+W21+W22+W49+W16+W47+W39+W51+W53+W28+W26+W24+W45)</f>
        <v>7524039</v>
      </c>
      <c r="X57" s="63">
        <f t="shared" si="77"/>
        <v>8657492</v>
      </c>
      <c r="Y57" s="63">
        <f t="shared" si="77"/>
        <v>9033539</v>
      </c>
      <c r="Z57" s="63">
        <f t="shared" si="77"/>
        <v>8674462</v>
      </c>
      <c r="AA57" s="63">
        <f t="shared" si="77"/>
        <v>7414452</v>
      </c>
      <c r="AB57" s="63">
        <f t="shared" si="77"/>
        <v>6994037</v>
      </c>
      <c r="AC57" s="63">
        <f t="shared" si="77"/>
        <v>7311363</v>
      </c>
      <c r="AD57" s="63">
        <f t="shared" si="77"/>
        <v>7453506</v>
      </c>
      <c r="AE57" s="63">
        <f t="shared" si="77"/>
        <v>7361623</v>
      </c>
      <c r="AF57" s="63">
        <f t="shared" si="77"/>
        <v>8231220</v>
      </c>
      <c r="AG57" s="63">
        <f t="shared" si="77"/>
        <v>8626416</v>
      </c>
      <c r="AH57" s="63">
        <f t="shared" si="77"/>
        <v>10664966</v>
      </c>
      <c r="AI57" s="63">
        <f t="shared" si="77"/>
        <v>9947487</v>
      </c>
      <c r="AJ57" s="63">
        <f t="shared" si="77"/>
        <v>8852294</v>
      </c>
      <c r="AK57" s="63">
        <f t="shared" si="77"/>
        <v>10702206</v>
      </c>
      <c r="AL57" s="63">
        <f t="shared" si="77"/>
        <v>10866127</v>
      </c>
      <c r="AM57" s="63">
        <f t="shared" si="77"/>
        <v>10004028</v>
      </c>
      <c r="AN57" s="63">
        <f t="shared" si="77"/>
        <v>10279707</v>
      </c>
      <c r="AO57" s="63">
        <f t="shared" si="77"/>
        <v>13009702</v>
      </c>
      <c r="AP57" s="63">
        <f t="shared" si="77"/>
        <v>13101860</v>
      </c>
      <c r="AQ57" s="63">
        <f t="shared" si="77"/>
        <v>12921925</v>
      </c>
      <c r="AR57" s="63">
        <f t="shared" si="77"/>
        <v>11469121</v>
      </c>
      <c r="AS57" s="63">
        <f t="shared" si="77"/>
        <v>12660102.84</v>
      </c>
      <c r="AT57" s="63">
        <f t="shared" si="77"/>
        <v>11925716.71</v>
      </c>
      <c r="AU57" s="63">
        <f t="shared" si="77"/>
        <v>12633997</v>
      </c>
      <c r="AV57" s="63">
        <f t="shared" si="77"/>
        <v>12547647</v>
      </c>
      <c r="AW57" s="63">
        <f t="shared" si="77"/>
        <v>8918638</v>
      </c>
      <c r="AX57" s="63">
        <f t="shared" si="77"/>
        <v>10317614</v>
      </c>
      <c r="AY57" s="63">
        <f t="shared" si="77"/>
        <v>11498612</v>
      </c>
      <c r="AZ57" s="63">
        <f t="shared" si="77"/>
        <v>10624155</v>
      </c>
      <c r="BA57" s="63">
        <f t="shared" si="77"/>
        <v>10538137</v>
      </c>
      <c r="BB57" s="63">
        <f t="shared" si="77"/>
        <v>9685758.53</v>
      </c>
      <c r="BC57" s="63">
        <f t="shared" si="77"/>
        <v>9508271</v>
      </c>
      <c r="BD57" s="63">
        <f t="shared" si="77"/>
        <v>10584259.5</v>
      </c>
      <c r="BE57" s="63">
        <f t="shared" si="77"/>
        <v>7700631</v>
      </c>
      <c r="BF57" s="63">
        <f t="shared" si="77"/>
        <v>7178988</v>
      </c>
      <c r="BG57" s="63">
        <f t="shared" si="77"/>
        <v>9423984.25</v>
      </c>
      <c r="BH57" s="63">
        <f t="shared" si="77"/>
        <v>9479107</v>
      </c>
      <c r="BI57" s="63">
        <f t="shared" si="77"/>
        <v>10571344</v>
      </c>
      <c r="BJ57" s="63">
        <f t="shared" si="77"/>
        <v>8848974</v>
      </c>
      <c r="BK57" s="63">
        <f t="shared" si="77"/>
        <v>9033713</v>
      </c>
      <c r="BL57" s="63"/>
      <c r="BM57" s="63"/>
      <c r="BN57" s="63"/>
      <c r="BO57" s="63"/>
      <c r="BP57" s="63"/>
      <c r="BQ57" s="63"/>
      <c r="BR57" s="63"/>
      <c r="BS57" s="64"/>
      <c r="BT57" s="65" t="s">
        <v>183</v>
      </c>
      <c r="BU57" s="65"/>
      <c r="BV57" s="63">
        <f t="shared" ref="BV57:BX57" si="78">BV4-(BV12+BV14+BV21+BV22)</f>
        <v>0</v>
      </c>
      <c r="BW57" s="63">
        <f t="shared" si="78"/>
        <v>0</v>
      </c>
      <c r="BX57" s="63">
        <f t="shared" si="78"/>
        <v>0</v>
      </c>
      <c r="BY57" s="63"/>
      <c r="BZ57" s="63"/>
    </row>
    <row r="58">
      <c r="A58" s="17"/>
      <c r="B58" s="18" t="s">
        <v>117</v>
      </c>
      <c r="C58" s="19"/>
      <c r="D58" s="19" t="s">
        <v>184</v>
      </c>
      <c r="E58" s="21">
        <f>E57</f>
        <v>7054237.54</v>
      </c>
      <c r="F58" s="21">
        <f t="shared" ref="F58:I58" si="79">F57+E58</f>
        <v>13838294.54</v>
      </c>
      <c r="G58" s="21">
        <f t="shared" si="79"/>
        <v>22008492.04</v>
      </c>
      <c r="H58" s="21">
        <f t="shared" si="79"/>
        <v>31121952.87</v>
      </c>
      <c r="I58" s="21">
        <f t="shared" si="79"/>
        <v>40439012.24</v>
      </c>
      <c r="J58" s="21">
        <f>J57</f>
        <v>8253007.24</v>
      </c>
      <c r="K58" s="21">
        <f t="shared" ref="K58:M58" si="80">K57+J58</f>
        <v>16723207.46</v>
      </c>
      <c r="L58" s="21">
        <f t="shared" si="80"/>
        <v>25359465.02</v>
      </c>
      <c r="M58" s="21">
        <f t="shared" si="80"/>
        <v>33161120.63</v>
      </c>
      <c r="N58" s="21">
        <f>N57</f>
        <v>8984779</v>
      </c>
      <c r="O58" s="21">
        <f t="shared" ref="O58:R58" si="81">O57+N58</f>
        <v>19471015</v>
      </c>
      <c r="P58" s="21">
        <f t="shared" si="81"/>
        <v>28317920</v>
      </c>
      <c r="Q58" s="21">
        <f t="shared" si="81"/>
        <v>36888425</v>
      </c>
      <c r="R58" s="21">
        <f t="shared" si="81"/>
        <v>44754079.27</v>
      </c>
      <c r="S58" s="21">
        <f>S57</f>
        <v>7880131</v>
      </c>
      <c r="T58" s="23">
        <f t="shared" ref="T58:V58" si="82">S58+T57</f>
        <v>16096436.06</v>
      </c>
      <c r="U58" s="23">
        <f t="shared" si="82"/>
        <v>24625015.06</v>
      </c>
      <c r="V58" s="23">
        <f t="shared" si="82"/>
        <v>33608425.06</v>
      </c>
      <c r="W58" s="23">
        <f>W57</f>
        <v>7524039</v>
      </c>
      <c r="X58" s="23">
        <f t="shared" ref="X58:Z58" si="83">W58+X57</f>
        <v>16181531</v>
      </c>
      <c r="Y58" s="23">
        <f t="shared" si="83"/>
        <v>25215070</v>
      </c>
      <c r="Z58" s="23">
        <f t="shared" si="83"/>
        <v>33889532</v>
      </c>
      <c r="AA58" s="23">
        <f>AA57</f>
        <v>7414452</v>
      </c>
      <c r="AB58" s="23">
        <f t="shared" ref="AB58:AE58" si="84">AA58+AB57</f>
        <v>14408489</v>
      </c>
      <c r="AC58" s="23">
        <f t="shared" si="84"/>
        <v>21719852</v>
      </c>
      <c r="AD58" s="23">
        <f t="shared" si="84"/>
        <v>29173358</v>
      </c>
      <c r="AE58" s="23">
        <f t="shared" si="84"/>
        <v>36534981</v>
      </c>
      <c r="AF58" s="23">
        <f>AF57</f>
        <v>8231220</v>
      </c>
      <c r="AG58" s="23">
        <f t="shared" ref="AG58:AI58" si="85">AF58+AG57</f>
        <v>16857636</v>
      </c>
      <c r="AH58" s="23">
        <f t="shared" si="85"/>
        <v>27522602</v>
      </c>
      <c r="AI58" s="23">
        <f t="shared" si="85"/>
        <v>37470089</v>
      </c>
      <c r="AJ58" s="23">
        <f>AJ57</f>
        <v>8852294</v>
      </c>
      <c r="AK58" s="23">
        <f t="shared" ref="AK58:AM58" si="86">AJ58+AK57</f>
        <v>19554500</v>
      </c>
      <c r="AL58" s="23">
        <f t="shared" si="86"/>
        <v>30420627</v>
      </c>
      <c r="AM58" s="23">
        <f t="shared" si="86"/>
        <v>40424655</v>
      </c>
      <c r="AN58" s="23">
        <f>AN57</f>
        <v>10279707</v>
      </c>
      <c r="AO58" s="23">
        <f t="shared" ref="AO58:AR58" si="87">AN58+AO57</f>
        <v>23289409</v>
      </c>
      <c r="AP58" s="23">
        <f t="shared" si="87"/>
        <v>36391269</v>
      </c>
      <c r="AQ58" s="23">
        <f t="shared" si="87"/>
        <v>49313194</v>
      </c>
      <c r="AR58" s="23">
        <f t="shared" si="87"/>
        <v>60782315</v>
      </c>
      <c r="AS58" s="23">
        <f>AS57</f>
        <v>12660102.84</v>
      </c>
      <c r="AT58" s="23">
        <f t="shared" ref="AT58:BA58" si="88">AT57+AS58</f>
        <v>24585819.55</v>
      </c>
      <c r="AU58" s="23">
        <f t="shared" si="88"/>
        <v>37219816.55</v>
      </c>
      <c r="AV58" s="23">
        <f t="shared" si="88"/>
        <v>49767463.55</v>
      </c>
      <c r="AW58" s="23">
        <f t="shared" si="88"/>
        <v>58686101.55</v>
      </c>
      <c r="AX58" s="23">
        <f t="shared" si="88"/>
        <v>69003715.55</v>
      </c>
      <c r="AY58" s="23">
        <f t="shared" si="88"/>
        <v>80502327.55</v>
      </c>
      <c r="AZ58" s="23">
        <f t="shared" si="88"/>
        <v>91126482.55</v>
      </c>
      <c r="BA58" s="23">
        <f t="shared" si="88"/>
        <v>101664619.6</v>
      </c>
      <c r="BB58" s="23">
        <f>BB57</f>
        <v>9685758.53</v>
      </c>
      <c r="BC58" s="23">
        <f t="shared" ref="BC58:BE58" si="89">BC57+BB58</f>
        <v>19194029.53</v>
      </c>
      <c r="BD58" s="23">
        <f t="shared" si="89"/>
        <v>29778289.03</v>
      </c>
      <c r="BE58" s="23">
        <f t="shared" si="89"/>
        <v>37478920.03</v>
      </c>
      <c r="BF58" s="23">
        <f>BF57</f>
        <v>7178988</v>
      </c>
      <c r="BG58" s="23">
        <f t="shared" ref="BG58:BI58" si="90">BG57+BF58</f>
        <v>16602972.25</v>
      </c>
      <c r="BH58" s="23">
        <f t="shared" si="90"/>
        <v>26082079.25</v>
      </c>
      <c r="BI58" s="23">
        <f t="shared" si="90"/>
        <v>36653423.25</v>
      </c>
      <c r="BJ58" s="23">
        <f>BJ57</f>
        <v>8848974</v>
      </c>
      <c r="BK58" s="23">
        <f>BK57+BJ58</f>
        <v>17882687</v>
      </c>
      <c r="BL58" s="23"/>
      <c r="BM58" s="23"/>
      <c r="BN58" s="23"/>
      <c r="BO58" s="23"/>
      <c r="BP58" s="23"/>
      <c r="BQ58" s="23"/>
      <c r="BR58" s="23"/>
      <c r="BS58" s="25"/>
      <c r="BT58" s="27" t="s">
        <v>124</v>
      </c>
      <c r="BU58" s="27"/>
      <c r="BV58" s="23"/>
      <c r="BW58" s="23"/>
      <c r="BX58" s="23"/>
      <c r="BY58" s="23"/>
      <c r="BZ58" s="23"/>
    </row>
    <row r="59">
      <c r="A59" s="1"/>
      <c r="B59" s="33" t="s">
        <v>117</v>
      </c>
      <c r="C59" s="12"/>
      <c r="D59" s="12" t="s">
        <v>185</v>
      </c>
      <c r="E59" s="26">
        <f t="shared" ref="E59:BK59" si="91">E57/E4</f>
        <v>0.6709648192</v>
      </c>
      <c r="F59" s="26">
        <f t="shared" si="91"/>
        <v>0.6071067223</v>
      </c>
      <c r="G59" s="26">
        <f t="shared" si="91"/>
        <v>0.7166366555</v>
      </c>
      <c r="H59" s="26">
        <f t="shared" si="91"/>
        <v>0.7268601755</v>
      </c>
      <c r="I59" s="26">
        <f t="shared" si="91"/>
        <v>0.7301299744</v>
      </c>
      <c r="J59" s="26">
        <f t="shared" si="91"/>
        <v>0.7199920778</v>
      </c>
      <c r="K59" s="26">
        <f t="shared" si="91"/>
        <v>0.7142078133</v>
      </c>
      <c r="L59" s="26">
        <f t="shared" si="91"/>
        <v>0.7366780675</v>
      </c>
      <c r="M59" s="26">
        <f t="shared" si="91"/>
        <v>0.7139664491</v>
      </c>
      <c r="N59" s="26">
        <f t="shared" si="91"/>
        <v>0.7508725713</v>
      </c>
      <c r="O59" s="26">
        <f t="shared" si="91"/>
        <v>0.7570877915</v>
      </c>
      <c r="P59" s="26">
        <f t="shared" si="91"/>
        <v>0.7230941438</v>
      </c>
      <c r="Q59" s="26">
        <f t="shared" si="91"/>
        <v>0.7298979055</v>
      </c>
      <c r="R59" s="26">
        <f t="shared" si="91"/>
        <v>0.6591545182</v>
      </c>
      <c r="S59" s="26">
        <f t="shared" si="91"/>
        <v>0.6762165796</v>
      </c>
      <c r="T59" s="26">
        <f t="shared" si="91"/>
        <v>0.6465050266</v>
      </c>
      <c r="U59" s="26">
        <f t="shared" si="91"/>
        <v>0.6643460017</v>
      </c>
      <c r="V59" s="26">
        <f t="shared" si="91"/>
        <v>0.6839303944</v>
      </c>
      <c r="W59" s="26">
        <f t="shared" si="91"/>
        <v>0.6166874059</v>
      </c>
      <c r="X59" s="26">
        <f t="shared" si="91"/>
        <v>0.6279043641</v>
      </c>
      <c r="Y59" s="26">
        <f t="shared" si="91"/>
        <v>0.6191674384</v>
      </c>
      <c r="Z59" s="26">
        <f t="shared" si="91"/>
        <v>0.6223721174</v>
      </c>
      <c r="AA59" s="26">
        <f t="shared" si="91"/>
        <v>0.5440437228</v>
      </c>
      <c r="AB59" s="26">
        <f t="shared" si="91"/>
        <v>0.5899736723</v>
      </c>
      <c r="AC59" s="26">
        <f t="shared" si="91"/>
        <v>0.5747076121</v>
      </c>
      <c r="AD59" s="26">
        <f t="shared" si="91"/>
        <v>0.5619249293</v>
      </c>
      <c r="AE59" s="26">
        <f t="shared" si="91"/>
        <v>0.5300567734</v>
      </c>
      <c r="AF59" s="26">
        <f t="shared" si="91"/>
        <v>0.6239599209</v>
      </c>
      <c r="AG59" s="26">
        <f t="shared" si="91"/>
        <v>0.6098931551</v>
      </c>
      <c r="AH59" s="26">
        <f t="shared" si="91"/>
        <v>0.6543814768</v>
      </c>
      <c r="AI59" s="26">
        <f t="shared" si="91"/>
        <v>0.6851733865</v>
      </c>
      <c r="AJ59" s="26">
        <f t="shared" si="91"/>
        <v>0.5981501207</v>
      </c>
      <c r="AK59" s="26">
        <f t="shared" si="91"/>
        <v>0.6719655191</v>
      </c>
      <c r="AL59" s="26">
        <f t="shared" si="91"/>
        <v>0.6703264815</v>
      </c>
      <c r="AM59" s="26">
        <f t="shared" si="91"/>
        <v>0.6631826913</v>
      </c>
      <c r="AN59" s="26">
        <f t="shared" si="91"/>
        <v>0.6627240553</v>
      </c>
      <c r="AO59" s="26">
        <f t="shared" si="91"/>
        <v>0.6966338907</v>
      </c>
      <c r="AP59" s="26">
        <f t="shared" si="91"/>
        <v>0.6884953158</v>
      </c>
      <c r="AQ59" s="26">
        <f t="shared" si="91"/>
        <v>0.6782001779</v>
      </c>
      <c r="AR59" s="26">
        <f t="shared" si="91"/>
        <v>0.5713312121</v>
      </c>
      <c r="AS59" s="26">
        <f t="shared" si="91"/>
        <v>0.6146754333</v>
      </c>
      <c r="AT59" s="26">
        <f t="shared" si="91"/>
        <v>0.6270145419</v>
      </c>
      <c r="AU59" s="26">
        <f t="shared" si="91"/>
        <v>0.634486929</v>
      </c>
      <c r="AV59" s="26">
        <f t="shared" si="91"/>
        <v>0.6492882311</v>
      </c>
      <c r="AW59" s="26">
        <f t="shared" si="91"/>
        <v>0.5963023209</v>
      </c>
      <c r="AX59" s="26">
        <f t="shared" si="91"/>
        <v>0.6377521751</v>
      </c>
      <c r="AY59" s="26">
        <f t="shared" si="91"/>
        <v>0.6609226513</v>
      </c>
      <c r="AZ59" s="26">
        <f t="shared" si="91"/>
        <v>0.6376847077</v>
      </c>
      <c r="BA59" s="26">
        <f t="shared" si="91"/>
        <v>0.6348564429</v>
      </c>
      <c r="BB59" s="26">
        <f t="shared" si="91"/>
        <v>0.6324062004</v>
      </c>
      <c r="BC59" s="26">
        <f t="shared" si="91"/>
        <v>0.6031344846</v>
      </c>
      <c r="BD59" s="26">
        <f t="shared" si="91"/>
        <v>0.5992872088</v>
      </c>
      <c r="BE59" s="26">
        <f t="shared" si="91"/>
        <v>0.5054811327</v>
      </c>
      <c r="BF59" s="26">
        <f t="shared" si="91"/>
        <v>0.5141011397</v>
      </c>
      <c r="BG59" s="26">
        <f t="shared" si="91"/>
        <v>0.5801555505</v>
      </c>
      <c r="BH59" s="26">
        <f t="shared" si="91"/>
        <v>0.5262279392</v>
      </c>
      <c r="BI59" s="26">
        <f t="shared" si="91"/>
        <v>0.6437159451</v>
      </c>
      <c r="BJ59" s="26">
        <f t="shared" si="91"/>
        <v>0.5785105672</v>
      </c>
      <c r="BK59" s="26">
        <f t="shared" si="91"/>
        <v>0.5341753278</v>
      </c>
      <c r="BL59" s="26"/>
      <c r="BM59" s="26"/>
      <c r="BN59" s="26"/>
      <c r="BO59" s="26"/>
      <c r="BP59" s="26"/>
      <c r="BQ59" s="26"/>
      <c r="BR59" s="26"/>
      <c r="BS59" s="25"/>
      <c r="BT59" s="27" t="s">
        <v>124</v>
      </c>
      <c r="BU59" s="27"/>
      <c r="BV59" s="26" t="str">
        <f t="shared" ref="BV59:BX59" si="92">BV57/BV4</f>
        <v>#DIV/0!</v>
      </c>
      <c r="BW59" s="26" t="str">
        <f t="shared" si="92"/>
        <v>#DIV/0!</v>
      </c>
      <c r="BX59" s="26" t="str">
        <f t="shared" si="92"/>
        <v>#DIV/0!</v>
      </c>
      <c r="BY59" s="26"/>
      <c r="BZ59" s="26"/>
    </row>
    <row r="60">
      <c r="A60" s="3"/>
      <c r="B60" s="33" t="s">
        <v>117</v>
      </c>
      <c r="C60" s="12"/>
      <c r="D60" s="12" t="s">
        <v>186</v>
      </c>
      <c r="E60" s="2"/>
      <c r="F60" s="2"/>
      <c r="G60" s="2"/>
      <c r="H60" s="2"/>
      <c r="I60" s="2"/>
      <c r="J60" s="2"/>
      <c r="K60" s="18"/>
      <c r="L60" s="18"/>
      <c r="M60" s="18"/>
      <c r="N60" s="18"/>
      <c r="O60" s="18"/>
      <c r="P60" s="18"/>
      <c r="Q60" s="18"/>
      <c r="R60" s="3"/>
      <c r="S60" s="3"/>
      <c r="T60" s="3"/>
      <c r="U60" s="3"/>
      <c r="V60" s="3"/>
      <c r="W60" s="33">
        <f t="shared" ref="W60:AE60" si="93">(W45+W49+W53)/W4+W36</f>
        <v>0.01703438498</v>
      </c>
      <c r="X60" s="33">
        <f t="shared" si="93"/>
        <v>0.01035421237</v>
      </c>
      <c r="Y60" s="33">
        <f t="shared" si="93"/>
        <v>0.02072925389</v>
      </c>
      <c r="Z60" s="33">
        <f t="shared" si="93"/>
        <v>0.01913459153</v>
      </c>
      <c r="AA60" s="33">
        <f t="shared" si="93"/>
        <v>0.09466524787</v>
      </c>
      <c r="AB60" s="33">
        <f t="shared" si="93"/>
        <v>0.01856914174</v>
      </c>
      <c r="AC60" s="33">
        <f t="shared" si="93"/>
        <v>0.02069166962</v>
      </c>
      <c r="AD60" s="33">
        <f t="shared" si="93"/>
        <v>0.02250087792</v>
      </c>
      <c r="AE60" s="33">
        <f t="shared" si="93"/>
        <v>0.06317935003</v>
      </c>
      <c r="AF60" s="33">
        <f t="shared" ref="AF60:BK60" si="94">(AF49+AF51+AF53+AF39+AF21+AF24+AF26+AF28)/AF4</f>
        <v>0.01802567559</v>
      </c>
      <c r="AG60" s="33">
        <f t="shared" si="94"/>
        <v>0.01389861514</v>
      </c>
      <c r="AH60" s="33">
        <f t="shared" si="94"/>
        <v>-0.001438846184</v>
      </c>
      <c r="AI60" s="33">
        <f t="shared" si="94"/>
        <v>0.006767710386</v>
      </c>
      <c r="AJ60" s="33">
        <f t="shared" si="94"/>
        <v>0.09270005403</v>
      </c>
      <c r="AK60" s="33">
        <f t="shared" si="94"/>
        <v>0.005310886693</v>
      </c>
      <c r="AL60" s="33">
        <f t="shared" si="94"/>
        <v>0.01027013792</v>
      </c>
      <c r="AM60" s="33">
        <f t="shared" si="94"/>
        <v>0.01226400617</v>
      </c>
      <c r="AN60" s="33">
        <f t="shared" si="94"/>
        <v>0.01117798497</v>
      </c>
      <c r="AO60" s="33">
        <f t="shared" si="94"/>
        <v>0.01505020698</v>
      </c>
      <c r="AP60" s="33">
        <f t="shared" si="94"/>
        <v>0.00510128877</v>
      </c>
      <c r="AQ60" s="33">
        <f t="shared" si="94"/>
        <v>0.04937228331</v>
      </c>
      <c r="AR60" s="33">
        <f t="shared" si="94"/>
        <v>0.1051861024</v>
      </c>
      <c r="AS60" s="33">
        <f t="shared" si="94"/>
        <v>0.03530310636</v>
      </c>
      <c r="AT60" s="33">
        <f t="shared" si="94"/>
        <v>0.008026197607</v>
      </c>
      <c r="AU60" s="33">
        <f t="shared" si="94"/>
        <v>0.005446273574</v>
      </c>
      <c r="AV60" s="33">
        <f t="shared" si="94"/>
        <v>0.009836258645</v>
      </c>
      <c r="AW60" s="33">
        <f t="shared" si="94"/>
        <v>0.06093863359</v>
      </c>
      <c r="AX60" s="33">
        <f t="shared" si="94"/>
        <v>0.007132979147</v>
      </c>
      <c r="AY60" s="33">
        <f t="shared" si="94"/>
        <v>0.006789242191</v>
      </c>
      <c r="AZ60" s="33">
        <f t="shared" si="94"/>
        <v>0.03256472159</v>
      </c>
      <c r="BA60" s="33">
        <f t="shared" si="94"/>
        <v>0.01377357909</v>
      </c>
      <c r="BB60" s="33">
        <f t="shared" si="94"/>
        <v>0.01263002753</v>
      </c>
      <c r="BC60" s="33">
        <f t="shared" si="94"/>
        <v>0.01765469201</v>
      </c>
      <c r="BD60" s="33">
        <f t="shared" si="94"/>
        <v>0.04401117034</v>
      </c>
      <c r="BE60" s="33">
        <f t="shared" si="94"/>
        <v>0.05251177281</v>
      </c>
      <c r="BF60" s="33">
        <f t="shared" si="94"/>
        <v>0.0167511747</v>
      </c>
      <c r="BG60" s="33">
        <f t="shared" si="94"/>
        <v>0.01929205114</v>
      </c>
      <c r="BH60" s="33">
        <f t="shared" si="94"/>
        <v>0.0612365523</v>
      </c>
      <c r="BI60" s="33">
        <f t="shared" si="94"/>
        <v>0.01967742301</v>
      </c>
      <c r="BJ60" s="33">
        <f t="shared" si="94"/>
        <v>0.03258379308</v>
      </c>
      <c r="BK60" s="33">
        <f t="shared" si="94"/>
        <v>0.09749086318</v>
      </c>
      <c r="BL60" s="33"/>
      <c r="BM60" s="33"/>
      <c r="BN60" s="33"/>
      <c r="BO60" s="33"/>
      <c r="BP60" s="33"/>
      <c r="BQ60" s="33"/>
      <c r="BR60" s="33"/>
      <c r="BS60" s="3"/>
      <c r="BT60" s="27" t="s">
        <v>124</v>
      </c>
      <c r="BU60" s="27"/>
      <c r="BV60" s="1"/>
      <c r="BW60" s="1"/>
      <c r="BX60" s="1"/>
      <c r="BY60" s="1"/>
      <c r="BZ60" s="1"/>
    </row>
    <row r="61">
      <c r="A61" s="3"/>
      <c r="B61" s="33" t="s">
        <v>117</v>
      </c>
      <c r="C61" s="12"/>
      <c r="D61" s="12" t="s">
        <v>187</v>
      </c>
      <c r="E61" s="2"/>
      <c r="F61" s="2"/>
      <c r="G61" s="2"/>
      <c r="H61" s="2"/>
      <c r="I61" s="2"/>
      <c r="J61" s="2"/>
      <c r="K61" s="18"/>
      <c r="L61" s="18"/>
      <c r="M61" s="18"/>
      <c r="N61" s="18"/>
      <c r="O61" s="18"/>
      <c r="P61" s="18"/>
      <c r="Q61" s="18"/>
      <c r="R61" s="18">
        <f t="shared" ref="R61:BK61" si="95">R57-R67</f>
        <v>2758105.27</v>
      </c>
      <c r="S61" s="18">
        <f t="shared" si="95"/>
        <v>3616113</v>
      </c>
      <c r="T61" s="18">
        <f t="shared" si="95"/>
        <v>3309427.25</v>
      </c>
      <c r="U61" s="18">
        <f t="shared" si="95"/>
        <v>3385495</v>
      </c>
      <c r="V61" s="18">
        <f t="shared" si="95"/>
        <v>3577798</v>
      </c>
      <c r="W61" s="18">
        <f t="shared" si="95"/>
        <v>2372769</v>
      </c>
      <c r="X61" s="18">
        <f t="shared" si="95"/>
        <v>2760568</v>
      </c>
      <c r="Y61" s="18">
        <f t="shared" si="95"/>
        <v>2829802</v>
      </c>
      <c r="Z61" s="18">
        <f t="shared" si="95"/>
        <v>2607343</v>
      </c>
      <c r="AA61" s="18">
        <f t="shared" si="95"/>
        <v>1603961</v>
      </c>
      <c r="AB61" s="18">
        <f t="shared" si="95"/>
        <v>2253172</v>
      </c>
      <c r="AC61" s="18">
        <f t="shared" si="95"/>
        <v>2208580</v>
      </c>
      <c r="AD61" s="18">
        <f t="shared" si="95"/>
        <v>2014151</v>
      </c>
      <c r="AE61" s="18">
        <f t="shared" si="95"/>
        <v>1610618</v>
      </c>
      <c r="AF61" s="18">
        <f t="shared" si="95"/>
        <v>3004912</v>
      </c>
      <c r="AG61" s="18">
        <f t="shared" si="95"/>
        <v>2780099</v>
      </c>
      <c r="AH61" s="18">
        <f t="shared" si="95"/>
        <v>3488614</v>
      </c>
      <c r="AI61" s="18">
        <f t="shared" si="95"/>
        <v>3842630</v>
      </c>
      <c r="AJ61" s="18">
        <f t="shared" si="95"/>
        <v>2815730</v>
      </c>
      <c r="AK61" s="18">
        <f t="shared" si="95"/>
        <v>3894770</v>
      </c>
      <c r="AL61" s="18">
        <f t="shared" si="95"/>
        <v>4397786</v>
      </c>
      <c r="AM61" s="18">
        <f t="shared" si="95"/>
        <v>3854507</v>
      </c>
      <c r="AN61" s="18">
        <f t="shared" si="95"/>
        <v>4109315</v>
      </c>
      <c r="AO61" s="18">
        <f t="shared" si="95"/>
        <v>5286350</v>
      </c>
      <c r="AP61" s="18">
        <f t="shared" si="95"/>
        <v>4854714</v>
      </c>
      <c r="AQ61" s="18">
        <f t="shared" si="95"/>
        <v>4621928</v>
      </c>
      <c r="AR61" s="18">
        <f t="shared" si="95"/>
        <v>2285793</v>
      </c>
      <c r="AS61" s="18">
        <f t="shared" si="95"/>
        <v>3436223.84</v>
      </c>
      <c r="AT61" s="18">
        <f t="shared" si="95"/>
        <v>4022966.71</v>
      </c>
      <c r="AU61" s="18">
        <f t="shared" si="95"/>
        <v>4210500</v>
      </c>
      <c r="AV61" s="18">
        <f t="shared" si="95"/>
        <v>4831040</v>
      </c>
      <c r="AW61" s="18">
        <f t="shared" si="95"/>
        <v>2939201</v>
      </c>
      <c r="AX61" s="18">
        <f t="shared" si="95"/>
        <v>3929631</v>
      </c>
      <c r="AY61" s="18">
        <f t="shared" si="95"/>
        <v>5151725</v>
      </c>
      <c r="AZ61" s="18">
        <f t="shared" si="95"/>
        <v>4663994</v>
      </c>
      <c r="BA61" s="18">
        <f t="shared" si="95"/>
        <v>4517965</v>
      </c>
      <c r="BB61" s="18">
        <f t="shared" si="95"/>
        <v>4128862.53</v>
      </c>
      <c r="BC61" s="18">
        <f t="shared" si="95"/>
        <v>3887281</v>
      </c>
      <c r="BD61" s="18">
        <f t="shared" si="95"/>
        <v>4265011.5</v>
      </c>
      <c r="BE61" s="18">
        <f t="shared" si="95"/>
        <v>2465963</v>
      </c>
      <c r="BF61" s="18">
        <f t="shared" si="95"/>
        <v>661989</v>
      </c>
      <c r="BG61" s="18">
        <f t="shared" si="95"/>
        <v>2817868.25</v>
      </c>
      <c r="BH61" s="18">
        <f t="shared" si="95"/>
        <v>1385472</v>
      </c>
      <c r="BI61" s="18">
        <f t="shared" si="95"/>
        <v>4139694</v>
      </c>
      <c r="BJ61" s="18">
        <f t="shared" si="95"/>
        <v>3028954</v>
      </c>
      <c r="BK61" s="18">
        <f t="shared" si="95"/>
        <v>2658196</v>
      </c>
      <c r="BL61" s="18"/>
      <c r="BM61" s="18"/>
      <c r="BN61" s="18"/>
      <c r="BO61" s="18"/>
      <c r="BP61" s="18"/>
      <c r="BQ61" s="18"/>
      <c r="BR61" s="18"/>
      <c r="BS61" s="3"/>
      <c r="BT61" s="27" t="s">
        <v>124</v>
      </c>
      <c r="BU61" s="27"/>
      <c r="BV61" s="1"/>
      <c r="BW61" s="1"/>
      <c r="BX61" s="1"/>
      <c r="BY61" s="1"/>
      <c r="BZ61" s="1"/>
    </row>
    <row r="62">
      <c r="A62" s="33"/>
      <c r="B62" s="33" t="s">
        <v>117</v>
      </c>
      <c r="C62" s="12"/>
      <c r="D62" s="12" t="s">
        <v>188</v>
      </c>
      <c r="E62" s="40"/>
      <c r="F62" s="40"/>
      <c r="G62" s="40"/>
      <c r="H62" s="40"/>
      <c r="I62" s="40"/>
      <c r="J62" s="40"/>
      <c r="K62" s="40"/>
      <c r="L62" s="32"/>
      <c r="M62" s="32"/>
      <c r="N62" s="32"/>
      <c r="O62" s="32"/>
      <c r="P62" s="32"/>
      <c r="Q62" s="32"/>
      <c r="R62" s="32">
        <f t="shared" ref="R62:BK62" si="96">R61/R4</f>
        <v>0.2311336715</v>
      </c>
      <c r="S62" s="32">
        <f t="shared" si="96"/>
        <v>0.3103089992</v>
      </c>
      <c r="T62" s="32">
        <f t="shared" si="96"/>
        <v>0.2604043225</v>
      </c>
      <c r="U62" s="32">
        <f t="shared" si="96"/>
        <v>0.2637180317</v>
      </c>
      <c r="V62" s="32">
        <f t="shared" si="96"/>
        <v>0.2723870776</v>
      </c>
      <c r="W62" s="32">
        <f t="shared" si="96"/>
        <v>0.1944775618</v>
      </c>
      <c r="X62" s="32">
        <f t="shared" si="96"/>
        <v>0.2002164939</v>
      </c>
      <c r="Y62" s="32">
        <f t="shared" si="96"/>
        <v>0.1939573467</v>
      </c>
      <c r="Z62" s="32">
        <f t="shared" si="96"/>
        <v>0.1870706891</v>
      </c>
      <c r="AA62" s="32">
        <f t="shared" si="96"/>
        <v>0.1176924355</v>
      </c>
      <c r="AB62" s="32">
        <f t="shared" si="96"/>
        <v>0.1900636441</v>
      </c>
      <c r="AC62" s="32">
        <f t="shared" si="96"/>
        <v>0.1736048036</v>
      </c>
      <c r="AD62" s="32">
        <f t="shared" si="96"/>
        <v>0.1518482253</v>
      </c>
      <c r="AE62" s="32">
        <f t="shared" si="96"/>
        <v>0.1159688536</v>
      </c>
      <c r="AF62" s="32">
        <f t="shared" si="96"/>
        <v>0.2277845391</v>
      </c>
      <c r="AG62" s="32">
        <f t="shared" si="96"/>
        <v>0.196554786</v>
      </c>
      <c r="AH62" s="32">
        <f t="shared" si="96"/>
        <v>0.2140545391</v>
      </c>
      <c r="AI62" s="32">
        <f t="shared" si="96"/>
        <v>0.2646766776</v>
      </c>
      <c r="AJ62" s="32">
        <f t="shared" si="96"/>
        <v>0.1902590718</v>
      </c>
      <c r="AK62" s="32">
        <f t="shared" si="96"/>
        <v>0.2445431479</v>
      </c>
      <c r="AL62" s="32">
        <f t="shared" si="96"/>
        <v>0.271297438</v>
      </c>
      <c r="AM62" s="32">
        <f t="shared" si="96"/>
        <v>0.2555213086</v>
      </c>
      <c r="AN62" s="32">
        <f t="shared" si="96"/>
        <v>0.2649240782</v>
      </c>
      <c r="AO62" s="32">
        <f t="shared" si="96"/>
        <v>0.283069556</v>
      </c>
      <c r="AP62" s="32">
        <f t="shared" si="96"/>
        <v>0.2551124687</v>
      </c>
      <c r="AQ62" s="32">
        <f t="shared" si="96"/>
        <v>0.2425793674</v>
      </c>
      <c r="AR62" s="32">
        <f t="shared" si="96"/>
        <v>0.1138661703</v>
      </c>
      <c r="AS62" s="32">
        <f t="shared" si="96"/>
        <v>0.1668361153</v>
      </c>
      <c r="AT62" s="66">
        <f t="shared" si="96"/>
        <v>0.2115142167</v>
      </c>
      <c r="AU62" s="66">
        <f t="shared" si="96"/>
        <v>0.2114538427</v>
      </c>
      <c r="AV62" s="66">
        <f t="shared" si="96"/>
        <v>0.2499861062</v>
      </c>
      <c r="AW62" s="32">
        <f t="shared" si="96"/>
        <v>0.1965156987</v>
      </c>
      <c r="AX62" s="32">
        <f t="shared" si="96"/>
        <v>0.2428982823</v>
      </c>
      <c r="AY62" s="32">
        <f t="shared" si="96"/>
        <v>0.2961132827</v>
      </c>
      <c r="AZ62" s="32">
        <f t="shared" si="96"/>
        <v>0.2799429838</v>
      </c>
      <c r="BA62" s="32">
        <f t="shared" si="96"/>
        <v>0.2721789619</v>
      </c>
      <c r="BB62" s="32">
        <f t="shared" si="96"/>
        <v>0.2695832501</v>
      </c>
      <c r="BC62" s="32">
        <f t="shared" si="96"/>
        <v>0.2465803954</v>
      </c>
      <c r="BD62" s="32">
        <f t="shared" si="96"/>
        <v>0.2414875445</v>
      </c>
      <c r="BE62" s="32">
        <f t="shared" si="96"/>
        <v>0.1618695624</v>
      </c>
      <c r="BF62" s="32">
        <f t="shared" si="96"/>
        <v>0.04740630564</v>
      </c>
      <c r="BG62" s="32">
        <f t="shared" si="96"/>
        <v>0.1734724786</v>
      </c>
      <c r="BH62" s="32">
        <f t="shared" si="96"/>
        <v>0.07691379319</v>
      </c>
      <c r="BI62" s="32">
        <f t="shared" si="96"/>
        <v>0.2520764659</v>
      </c>
      <c r="BJ62" s="32">
        <f t="shared" si="96"/>
        <v>0.1980209114</v>
      </c>
      <c r="BK62" s="32">
        <f t="shared" si="96"/>
        <v>0.1571826246</v>
      </c>
      <c r="BL62" s="32"/>
      <c r="BM62" s="32"/>
      <c r="BN62" s="32"/>
      <c r="BO62" s="32"/>
      <c r="BP62" s="32"/>
      <c r="BQ62" s="32"/>
      <c r="BR62" s="32"/>
      <c r="BS62" s="3"/>
      <c r="BT62" s="27" t="s">
        <v>124</v>
      </c>
      <c r="BU62" s="27"/>
      <c r="BV62" s="32"/>
      <c r="BW62" s="32"/>
      <c r="BX62" s="32"/>
      <c r="BY62" s="32"/>
      <c r="BZ62" s="32"/>
    </row>
    <row r="63">
      <c r="A63" s="3"/>
      <c r="B63" s="33" t="s">
        <v>117</v>
      </c>
      <c r="C63" s="12"/>
      <c r="D63" s="12" t="s">
        <v>189</v>
      </c>
      <c r="E63" s="2"/>
      <c r="F63" s="2"/>
      <c r="G63" s="2"/>
      <c r="H63" s="2"/>
      <c r="I63" s="2"/>
      <c r="J63" s="2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3"/>
      <c r="BT63" s="9"/>
      <c r="BU63" s="9"/>
      <c r="BV63" s="1"/>
      <c r="BW63" s="1"/>
      <c r="BX63" s="1"/>
      <c r="BY63" s="1"/>
      <c r="BZ63" s="1"/>
    </row>
    <row r="64">
      <c r="A64" s="3"/>
      <c r="B64" s="33" t="s">
        <v>117</v>
      </c>
      <c r="C64" s="3"/>
      <c r="D64" s="3" t="s">
        <v>190</v>
      </c>
      <c r="E64" s="2"/>
      <c r="F64" s="2"/>
      <c r="G64" s="2" t="s">
        <v>191</v>
      </c>
      <c r="H64" s="2"/>
      <c r="I64" s="2"/>
      <c r="J64" s="2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>
        <f t="shared" ref="AD64:AQ64" si="97">(AD101/AC101)*AC4</f>
        <v>12493826.83</v>
      </c>
      <c r="AE64" s="18">
        <f t="shared" si="97"/>
        <v>13127911.84</v>
      </c>
      <c r="AF64" s="18">
        <f t="shared" si="97"/>
        <v>14551577.43</v>
      </c>
      <c r="AG64" s="18">
        <f t="shared" si="97"/>
        <v>14034230.85</v>
      </c>
      <c r="AH64" s="18">
        <f t="shared" si="97"/>
        <v>13800358.12</v>
      </c>
      <c r="AI64" s="18">
        <f t="shared" si="97"/>
        <v>16194721.23</v>
      </c>
      <c r="AJ64" s="18">
        <f t="shared" si="97"/>
        <v>16001961.16</v>
      </c>
      <c r="AK64" s="18">
        <f t="shared" si="97"/>
        <v>14681139.72</v>
      </c>
      <c r="AL64" s="18">
        <f t="shared" si="97"/>
        <v>0</v>
      </c>
      <c r="AM64" s="18" t="str">
        <f t="shared" si="97"/>
        <v>#DIV/0!</v>
      </c>
      <c r="AN64" s="18" t="str">
        <f t="shared" si="97"/>
        <v>#DIV/0!</v>
      </c>
      <c r="AO64" s="18" t="str">
        <f t="shared" si="97"/>
        <v>#DIV/0!</v>
      </c>
      <c r="AP64" s="18" t="str">
        <f t="shared" si="97"/>
        <v>#DIV/0!</v>
      </c>
      <c r="AQ64" s="18" t="str">
        <f t="shared" si="97"/>
        <v>#DIV/0!</v>
      </c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3"/>
      <c r="BT64" s="27" t="s">
        <v>124</v>
      </c>
      <c r="BU64" s="27"/>
      <c r="BV64" s="1"/>
      <c r="BW64" s="1"/>
      <c r="BX64" s="1"/>
      <c r="BY64" s="1"/>
      <c r="BZ64" s="1"/>
    </row>
    <row r="65">
      <c r="A65" s="3"/>
      <c r="B65" s="33" t="s">
        <v>117</v>
      </c>
      <c r="C65" s="3"/>
      <c r="D65" s="3" t="s">
        <v>192</v>
      </c>
      <c r="E65" s="2"/>
      <c r="F65" s="2"/>
      <c r="G65" s="2"/>
      <c r="H65" s="2"/>
      <c r="I65" s="2"/>
      <c r="J65" s="2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>
        <f t="shared" ref="AW65:BK65" si="98">AW61-AW4*0.14</f>
        <v>845281.06</v>
      </c>
      <c r="AX65" s="18">
        <f t="shared" si="98"/>
        <v>1664697.98</v>
      </c>
      <c r="AY65" s="18">
        <f t="shared" si="98"/>
        <v>2716030.48</v>
      </c>
      <c r="AZ65" s="18">
        <f t="shared" si="98"/>
        <v>2331522.04</v>
      </c>
      <c r="BA65" s="18">
        <f t="shared" si="98"/>
        <v>2194070.84</v>
      </c>
      <c r="BB65" s="18">
        <f t="shared" si="98"/>
        <v>1984661.234</v>
      </c>
      <c r="BC65" s="18">
        <f t="shared" si="98"/>
        <v>1680214.46</v>
      </c>
      <c r="BD65" s="18">
        <f t="shared" si="98"/>
        <v>1792413.54</v>
      </c>
      <c r="BE65" s="18">
        <f t="shared" si="98"/>
        <v>333166.6</v>
      </c>
      <c r="BF65" s="18">
        <f t="shared" si="98"/>
        <v>-1292992.7</v>
      </c>
      <c r="BG65" s="18">
        <f t="shared" si="98"/>
        <v>543723.335</v>
      </c>
      <c r="BH65" s="18">
        <f t="shared" si="98"/>
        <v>-1136391.4</v>
      </c>
      <c r="BI65" s="18">
        <f t="shared" si="98"/>
        <v>1840561.64</v>
      </c>
      <c r="BJ65" s="18">
        <f t="shared" si="98"/>
        <v>887495.52</v>
      </c>
      <c r="BK65" s="18">
        <f t="shared" si="98"/>
        <v>290584.18</v>
      </c>
      <c r="BL65" s="18"/>
      <c r="BM65" s="18"/>
      <c r="BN65" s="18"/>
      <c r="BO65" s="18"/>
      <c r="BP65" s="18"/>
      <c r="BQ65" s="18"/>
      <c r="BR65" s="18"/>
      <c r="BS65" s="3"/>
      <c r="BT65" s="9"/>
      <c r="BU65" s="9"/>
      <c r="BV65" s="1"/>
      <c r="BW65" s="1"/>
      <c r="BX65" s="1"/>
      <c r="BY65" s="1"/>
      <c r="BZ65" s="1"/>
    </row>
    <row r="66">
      <c r="A66" s="3"/>
      <c r="B66" s="33" t="s">
        <v>117</v>
      </c>
      <c r="C66" s="3"/>
      <c r="D66" s="3" t="s">
        <v>193</v>
      </c>
      <c r="E66" s="2"/>
      <c r="F66" s="2"/>
      <c r="G66" s="2"/>
      <c r="H66" s="2"/>
      <c r="I66" s="2"/>
      <c r="J66" s="2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33">
        <f t="shared" ref="AW66:BK66" si="99">AW65/AW4</f>
        <v>0.05651569869</v>
      </c>
      <c r="AX66" s="33">
        <f t="shared" si="99"/>
        <v>0.1028982823</v>
      </c>
      <c r="AY66" s="33">
        <f t="shared" si="99"/>
        <v>0.1561132827</v>
      </c>
      <c r="AZ66" s="33">
        <f t="shared" si="99"/>
        <v>0.1399429838</v>
      </c>
      <c r="BA66" s="33">
        <f t="shared" si="99"/>
        <v>0.1321789619</v>
      </c>
      <c r="BB66" s="33">
        <f t="shared" si="99"/>
        <v>0.1295832501</v>
      </c>
      <c r="BC66" s="33">
        <f t="shared" si="99"/>
        <v>0.1065803954</v>
      </c>
      <c r="BD66" s="33">
        <f t="shared" si="99"/>
        <v>0.1014875445</v>
      </c>
      <c r="BE66" s="33">
        <f t="shared" si="99"/>
        <v>0.02186956242</v>
      </c>
      <c r="BF66" s="33">
        <f t="shared" si="99"/>
        <v>-0.09259369436</v>
      </c>
      <c r="BG66" s="33">
        <f t="shared" si="99"/>
        <v>0.03347247856</v>
      </c>
      <c r="BH66" s="33">
        <f t="shared" si="99"/>
        <v>-0.06308620681</v>
      </c>
      <c r="BI66" s="33">
        <f t="shared" si="99"/>
        <v>0.1120764659</v>
      </c>
      <c r="BJ66" s="33">
        <f t="shared" si="99"/>
        <v>0.05802091143</v>
      </c>
      <c r="BK66" s="33">
        <f t="shared" si="99"/>
        <v>0.01718262464</v>
      </c>
      <c r="BL66" s="18"/>
      <c r="BM66" s="18"/>
      <c r="BN66" s="18"/>
      <c r="BO66" s="18"/>
      <c r="BP66" s="18"/>
      <c r="BQ66" s="18"/>
      <c r="BR66" s="18"/>
      <c r="BS66" s="3"/>
      <c r="BT66" s="9"/>
      <c r="BU66" s="9"/>
      <c r="BV66" s="1"/>
      <c r="BW66" s="1"/>
      <c r="BX66" s="1"/>
      <c r="BY66" s="1"/>
      <c r="BZ66" s="1"/>
    </row>
    <row r="67">
      <c r="A67" s="3"/>
      <c r="B67" s="33" t="s">
        <v>117</v>
      </c>
      <c r="C67" s="12"/>
      <c r="D67" s="12" t="s">
        <v>194</v>
      </c>
      <c r="E67" s="2"/>
      <c r="F67" s="2"/>
      <c r="G67" s="2"/>
      <c r="H67" s="2"/>
      <c r="I67" s="2"/>
      <c r="J67" s="2"/>
      <c r="K67" s="18"/>
      <c r="L67" s="18"/>
      <c r="M67" s="18"/>
      <c r="N67" s="18"/>
      <c r="O67" s="18"/>
      <c r="P67" s="18"/>
      <c r="Q67" s="18" t="s">
        <v>195</v>
      </c>
      <c r="R67" s="18" t="s">
        <v>196</v>
      </c>
      <c r="S67" s="18">
        <v>4264018.0</v>
      </c>
      <c r="T67" s="18">
        <v>4906877.81</v>
      </c>
      <c r="U67" s="18">
        <v>5143084.0</v>
      </c>
      <c r="V67" s="18">
        <v>5405612.0</v>
      </c>
      <c r="W67" s="18">
        <v>5151270.0</v>
      </c>
      <c r="X67" s="18">
        <v>5896924.0</v>
      </c>
      <c r="Y67" s="18">
        <v>6203737.0</v>
      </c>
      <c r="Z67" s="18">
        <v>6067119.0</v>
      </c>
      <c r="AA67" s="18">
        <v>5810491.0</v>
      </c>
      <c r="AB67" s="18">
        <v>4740865.0</v>
      </c>
      <c r="AC67" s="18">
        <v>5102783.0</v>
      </c>
      <c r="AD67" s="18">
        <v>5439355.0</v>
      </c>
      <c r="AE67" s="18">
        <v>5751005.0</v>
      </c>
      <c r="AF67" s="18">
        <v>5226308.0</v>
      </c>
      <c r="AG67" s="18">
        <v>5846317.0</v>
      </c>
      <c r="AH67" s="18">
        <v>7176352.0</v>
      </c>
      <c r="AI67" s="18">
        <v>6104857.0</v>
      </c>
      <c r="AJ67" s="18">
        <v>6036564.0</v>
      </c>
      <c r="AK67" s="18">
        <v>6807436.0</v>
      </c>
      <c r="AL67" s="18">
        <v>6468341.0</v>
      </c>
      <c r="AM67" s="18">
        <v>6149521.0</v>
      </c>
      <c r="AN67" s="18">
        <v>6170392.0</v>
      </c>
      <c r="AO67" s="18">
        <v>7723352.0</v>
      </c>
      <c r="AP67" s="18">
        <v>8247146.0</v>
      </c>
      <c r="AQ67" s="18">
        <v>8299997.0</v>
      </c>
      <c r="AR67" s="18">
        <v>9183328.0</v>
      </c>
      <c r="AS67" s="18">
        <v>9223879.0</v>
      </c>
      <c r="AT67" s="18">
        <v>7902750.0</v>
      </c>
      <c r="AU67" s="18">
        <v>8423497.0</v>
      </c>
      <c r="AV67" s="18">
        <v>7716607.0</v>
      </c>
      <c r="AW67" s="18">
        <v>5979437.0</v>
      </c>
      <c r="AX67" s="18">
        <v>6387983.0</v>
      </c>
      <c r="AY67" s="18">
        <v>6346887.0</v>
      </c>
      <c r="AZ67" s="18">
        <v>5960161.0</v>
      </c>
      <c r="BA67" s="18">
        <v>6020172.0</v>
      </c>
      <c r="BB67" s="18">
        <v>5556896.0</v>
      </c>
      <c r="BC67" s="18">
        <v>5620990.0</v>
      </c>
      <c r="BD67" s="18">
        <v>6319248.0</v>
      </c>
      <c r="BE67" s="18">
        <v>5234668.0</v>
      </c>
      <c r="BF67" s="18">
        <v>6516999.0</v>
      </c>
      <c r="BG67" s="18">
        <v>6606116.0</v>
      </c>
      <c r="BH67" s="18">
        <v>8093635.0</v>
      </c>
      <c r="BI67" s="18">
        <v>6431650.0</v>
      </c>
      <c r="BJ67" s="18">
        <v>5820020.0</v>
      </c>
      <c r="BK67" s="18">
        <v>6375517.0</v>
      </c>
      <c r="BL67" s="18"/>
      <c r="BM67" s="18"/>
      <c r="BN67" s="18"/>
      <c r="BO67" s="18"/>
      <c r="BP67" s="18"/>
      <c r="BQ67" s="18"/>
      <c r="BR67" s="18"/>
      <c r="BS67" s="3"/>
      <c r="BT67" s="9" t="s">
        <v>141</v>
      </c>
      <c r="BU67" s="9"/>
      <c r="BV67" s="1"/>
      <c r="BW67" s="1"/>
      <c r="BX67" s="1"/>
      <c r="BY67" s="1"/>
      <c r="BZ67" s="1"/>
    </row>
    <row r="68">
      <c r="A68" s="3"/>
      <c r="B68" s="33" t="s">
        <v>117</v>
      </c>
      <c r="C68" s="12"/>
      <c r="D68" s="12" t="s">
        <v>197</v>
      </c>
      <c r="E68" s="2"/>
      <c r="F68" s="2"/>
      <c r="G68" s="2"/>
      <c r="H68" s="2"/>
      <c r="I68" s="2"/>
      <c r="J68" s="2"/>
      <c r="K68" s="33"/>
      <c r="L68" s="33"/>
      <c r="M68" s="33"/>
      <c r="N68" s="33"/>
      <c r="O68" s="33"/>
      <c r="P68" s="33"/>
      <c r="Q68" s="33"/>
      <c r="R68" s="33">
        <f t="shared" ref="R68:BK68" si="100">R67/R4</f>
        <v>0.4280208467</v>
      </c>
      <c r="S68" s="33">
        <f t="shared" si="100"/>
        <v>0.3659075804</v>
      </c>
      <c r="T68" s="33">
        <f t="shared" si="100"/>
        <v>0.3861007041</v>
      </c>
      <c r="U68" s="33">
        <f t="shared" si="100"/>
        <v>0.40062797</v>
      </c>
      <c r="V68" s="33">
        <f t="shared" si="100"/>
        <v>0.4115433167</v>
      </c>
      <c r="W68" s="33">
        <f t="shared" si="100"/>
        <v>0.4222098441</v>
      </c>
      <c r="X68" s="33">
        <f t="shared" si="100"/>
        <v>0.4276878701</v>
      </c>
      <c r="Y68" s="33">
        <f t="shared" si="100"/>
        <v>0.4252100918</v>
      </c>
      <c r="Z68" s="33">
        <f t="shared" si="100"/>
        <v>0.4353014283</v>
      </c>
      <c r="AA68" s="33">
        <f t="shared" si="100"/>
        <v>0.4263512873</v>
      </c>
      <c r="AB68" s="33">
        <f t="shared" si="100"/>
        <v>0.3999100282</v>
      </c>
      <c r="AC68" s="33">
        <f t="shared" si="100"/>
        <v>0.4011028084</v>
      </c>
      <c r="AD68" s="33">
        <f t="shared" si="100"/>
        <v>0.410076704</v>
      </c>
      <c r="AE68" s="33">
        <f t="shared" si="100"/>
        <v>0.4140879198</v>
      </c>
      <c r="AF68" s="33">
        <f t="shared" si="100"/>
        <v>0.3961753818</v>
      </c>
      <c r="AG68" s="33">
        <f t="shared" si="100"/>
        <v>0.4133383691</v>
      </c>
      <c r="AH68" s="33">
        <f t="shared" si="100"/>
        <v>0.4403269378</v>
      </c>
      <c r="AI68" s="33">
        <f t="shared" si="100"/>
        <v>0.4204967088</v>
      </c>
      <c r="AJ68" s="33">
        <f t="shared" si="100"/>
        <v>0.4078910489</v>
      </c>
      <c r="AK68" s="33">
        <f t="shared" si="100"/>
        <v>0.4274223712</v>
      </c>
      <c r="AL68" s="33">
        <f t="shared" si="100"/>
        <v>0.3990290435</v>
      </c>
      <c r="AM68" s="33">
        <f t="shared" si="100"/>
        <v>0.4076613827</v>
      </c>
      <c r="AN68" s="33">
        <f t="shared" si="100"/>
        <v>0.3977999771</v>
      </c>
      <c r="AO68" s="33">
        <f t="shared" si="100"/>
        <v>0.4135643348</v>
      </c>
      <c r="AP68" s="33">
        <f t="shared" si="100"/>
        <v>0.4333828472</v>
      </c>
      <c r="AQ68" s="33">
        <f t="shared" si="100"/>
        <v>0.4356208105</v>
      </c>
      <c r="AR68" s="33">
        <f t="shared" si="100"/>
        <v>0.4574650418</v>
      </c>
      <c r="AS68" s="33">
        <f t="shared" si="100"/>
        <v>0.4478393179</v>
      </c>
      <c r="AT68" s="33">
        <f t="shared" si="100"/>
        <v>0.4155003252</v>
      </c>
      <c r="AU68" s="33">
        <f t="shared" si="100"/>
        <v>0.4230330863</v>
      </c>
      <c r="AV68" s="33">
        <f t="shared" si="100"/>
        <v>0.3993021249</v>
      </c>
      <c r="AW68" s="33">
        <f t="shared" si="100"/>
        <v>0.3997866222</v>
      </c>
      <c r="AX68" s="33">
        <f t="shared" si="100"/>
        <v>0.3948538929</v>
      </c>
      <c r="AY68" s="33">
        <f t="shared" si="100"/>
        <v>0.3648093686</v>
      </c>
      <c r="AZ68" s="33">
        <f t="shared" si="100"/>
        <v>0.3577417239</v>
      </c>
      <c r="BA68" s="33">
        <f t="shared" si="100"/>
        <v>0.362677481</v>
      </c>
      <c r="BB68" s="33">
        <f t="shared" si="100"/>
        <v>0.3628229503</v>
      </c>
      <c r="BC68" s="33">
        <f t="shared" si="100"/>
        <v>0.3565540892</v>
      </c>
      <c r="BD68" s="33">
        <f t="shared" si="100"/>
        <v>0.3577996643</v>
      </c>
      <c r="BE68" s="33">
        <f t="shared" si="100"/>
        <v>0.3436115702</v>
      </c>
      <c r="BF68" s="33">
        <f t="shared" si="100"/>
        <v>0.466694834</v>
      </c>
      <c r="BG68" s="33">
        <f t="shared" si="100"/>
        <v>0.4066830719</v>
      </c>
      <c r="BH68" s="33">
        <f t="shared" si="100"/>
        <v>0.449314146</v>
      </c>
      <c r="BI68" s="33">
        <f t="shared" si="100"/>
        <v>0.3916394792</v>
      </c>
      <c r="BJ68" s="33">
        <f t="shared" si="100"/>
        <v>0.3804896558</v>
      </c>
      <c r="BK68" s="33">
        <f t="shared" si="100"/>
        <v>0.3769927031</v>
      </c>
      <c r="BL68" s="33"/>
      <c r="BM68" s="33"/>
      <c r="BN68" s="33"/>
      <c r="BO68" s="33"/>
      <c r="BP68" s="33"/>
      <c r="BQ68" s="33"/>
      <c r="BR68" s="33"/>
      <c r="BS68" s="3"/>
      <c r="BT68" s="27" t="s">
        <v>124</v>
      </c>
      <c r="BU68" s="27"/>
      <c r="BV68" s="1"/>
      <c r="BW68" s="1"/>
      <c r="BX68" s="1"/>
      <c r="BY68" s="1"/>
      <c r="BZ68" s="1"/>
    </row>
    <row r="69">
      <c r="A69" s="3"/>
      <c r="B69" s="33" t="s">
        <v>117</v>
      </c>
      <c r="C69" s="3"/>
      <c r="D69" s="3"/>
      <c r="E69" s="14"/>
      <c r="F69" s="2"/>
      <c r="G69" s="14"/>
      <c r="H69" s="14"/>
      <c r="I69" s="14"/>
      <c r="J69" s="14"/>
      <c r="K69" s="14"/>
      <c r="L69" s="1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3"/>
      <c r="BT69" s="9"/>
      <c r="BU69" s="9"/>
      <c r="BV69" s="1"/>
      <c r="BW69" s="1"/>
      <c r="BX69" s="1"/>
      <c r="BY69" s="1"/>
      <c r="BZ69" s="1"/>
    </row>
    <row r="70">
      <c r="A70" s="3"/>
      <c r="B70" s="33" t="s">
        <v>117</v>
      </c>
      <c r="C70" s="3"/>
      <c r="D70" s="3"/>
      <c r="E70" s="14"/>
      <c r="F70" s="2"/>
      <c r="G70" s="14"/>
      <c r="H70" s="14"/>
      <c r="I70" s="14"/>
      <c r="J70" s="14"/>
      <c r="K70" s="14"/>
      <c r="L70" s="1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3"/>
      <c r="BT70" s="9"/>
      <c r="BU70" s="9"/>
      <c r="BV70" s="1"/>
      <c r="BW70" s="1"/>
      <c r="BX70" s="1"/>
      <c r="BY70" s="1"/>
      <c r="BZ70" s="1"/>
    </row>
    <row r="71">
      <c r="A71" s="3"/>
      <c r="B71" s="33" t="s">
        <v>117</v>
      </c>
      <c r="C71" s="3"/>
      <c r="D71" s="3"/>
      <c r="E71" s="14"/>
      <c r="F71" s="2"/>
      <c r="G71" s="14"/>
      <c r="H71" s="14"/>
      <c r="I71" s="14"/>
      <c r="J71" s="14"/>
      <c r="K71" s="14"/>
      <c r="L71" s="1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3"/>
      <c r="BT71" s="9"/>
      <c r="BU71" s="9"/>
      <c r="BV71" s="1"/>
      <c r="BW71" s="1"/>
      <c r="BX71" s="1"/>
      <c r="BY71" s="1"/>
      <c r="BZ71" s="1"/>
    </row>
    <row r="72">
      <c r="A72" s="3"/>
      <c r="B72" s="33" t="s">
        <v>117</v>
      </c>
      <c r="C72" s="12"/>
      <c r="D72" s="12" t="s">
        <v>198</v>
      </c>
      <c r="E72" s="14"/>
      <c r="F72" s="2"/>
      <c r="G72" s="14"/>
      <c r="H72" s="14"/>
      <c r="I72" s="14"/>
      <c r="J72" s="14"/>
      <c r="K72" s="14"/>
      <c r="L72" s="1"/>
      <c r="M72" s="67">
        <v>0.91</v>
      </c>
      <c r="N72" s="67">
        <v>0.91</v>
      </c>
      <c r="O72" s="67">
        <v>0.91</v>
      </c>
      <c r="P72" s="67">
        <v>0.89</v>
      </c>
      <c r="Q72" s="67">
        <v>0.85</v>
      </c>
      <c r="R72" s="67">
        <v>0.84</v>
      </c>
      <c r="S72" s="67">
        <v>0.87</v>
      </c>
      <c r="T72" s="67">
        <v>0.91</v>
      </c>
      <c r="U72" s="67">
        <v>0.89</v>
      </c>
      <c r="V72" s="67">
        <v>0.87</v>
      </c>
      <c r="W72" s="67">
        <v>0.86</v>
      </c>
      <c r="X72" s="67">
        <v>0.87</v>
      </c>
      <c r="Y72" s="67">
        <v>0.88</v>
      </c>
      <c r="Z72" s="67">
        <v>0.9</v>
      </c>
      <c r="AA72" s="67">
        <v>0.92</v>
      </c>
      <c r="AB72" s="67">
        <v>0.9</v>
      </c>
      <c r="AC72" s="67">
        <v>0.89</v>
      </c>
      <c r="AD72" s="67">
        <v>0.9</v>
      </c>
      <c r="AE72" s="67">
        <v>0.9</v>
      </c>
      <c r="AF72" s="67">
        <v>0.92</v>
      </c>
      <c r="AG72" s="67">
        <v>0.94</v>
      </c>
      <c r="AH72" s="67">
        <v>0.94</v>
      </c>
      <c r="AI72" s="67">
        <v>0.94</v>
      </c>
      <c r="AJ72" s="67">
        <v>0.9</v>
      </c>
      <c r="AK72" s="67">
        <v>0.88</v>
      </c>
      <c r="AL72" s="67">
        <v>0.89</v>
      </c>
      <c r="AM72" s="67">
        <v>0.93</v>
      </c>
      <c r="AN72" s="67">
        <v>0.97</v>
      </c>
      <c r="AO72" s="67">
        <v>0.73</v>
      </c>
      <c r="AP72" s="67">
        <v>0.96</v>
      </c>
      <c r="AQ72" s="67">
        <v>0.96</v>
      </c>
      <c r="AR72" s="67">
        <v>0.95</v>
      </c>
      <c r="AS72" s="67">
        <v>0.95</v>
      </c>
      <c r="AT72" s="67">
        <v>0.95</v>
      </c>
      <c r="AU72" s="67">
        <v>0.94</v>
      </c>
      <c r="AV72" s="67"/>
      <c r="AW72" s="67"/>
      <c r="AX72" s="67"/>
      <c r="AY72" s="67">
        <v>0.91</v>
      </c>
      <c r="AZ72" s="67">
        <v>0.89</v>
      </c>
      <c r="BA72" s="67">
        <v>0.91</v>
      </c>
      <c r="BB72" s="67">
        <v>0.94</v>
      </c>
      <c r="BC72" s="67">
        <v>0.94</v>
      </c>
      <c r="BD72" s="67">
        <v>0.94</v>
      </c>
      <c r="BE72" s="67">
        <v>0.93</v>
      </c>
      <c r="BF72" s="67">
        <v>0.88</v>
      </c>
      <c r="BG72" s="67">
        <v>0.88</v>
      </c>
      <c r="BH72" s="67">
        <v>0.88</v>
      </c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3"/>
      <c r="BT72" s="60" t="s">
        <v>199</v>
      </c>
      <c r="BU72" s="9"/>
      <c r="BV72" s="1"/>
      <c r="BW72" s="1"/>
      <c r="BX72" s="1"/>
      <c r="BY72" s="1"/>
      <c r="BZ72" s="1"/>
    </row>
    <row r="73">
      <c r="A73" s="1"/>
      <c r="B73" s="33" t="s">
        <v>117</v>
      </c>
      <c r="C73" s="3"/>
      <c r="D73" s="3" t="s">
        <v>200</v>
      </c>
      <c r="E73" s="2"/>
      <c r="F73" s="2"/>
      <c r="G73" s="2"/>
      <c r="H73" s="2"/>
      <c r="I73" s="2"/>
      <c r="J73" s="2"/>
      <c r="K73" s="2"/>
      <c r="L73" s="3"/>
      <c r="M73" s="3"/>
      <c r="N73" s="3"/>
      <c r="O73" s="3"/>
      <c r="P73" s="3"/>
      <c r="Q73" s="3"/>
      <c r="R73" s="3"/>
      <c r="S73" s="3">
        <v>48.0</v>
      </c>
      <c r="T73" s="3">
        <v>54.0</v>
      </c>
      <c r="U73" s="3">
        <v>75.0</v>
      </c>
      <c r="V73" s="3">
        <v>70.0</v>
      </c>
      <c r="W73" s="3">
        <v>59.0</v>
      </c>
      <c r="X73" s="3">
        <v>58.0</v>
      </c>
      <c r="Y73" s="3">
        <v>61.0</v>
      </c>
      <c r="Z73" s="3">
        <v>51.0</v>
      </c>
      <c r="AA73" s="3">
        <v>50.0</v>
      </c>
      <c r="AB73" s="68">
        <v>54.0</v>
      </c>
      <c r="AC73" s="3">
        <v>51.0</v>
      </c>
      <c r="AD73" s="3">
        <v>57.0</v>
      </c>
      <c r="AE73" s="3">
        <v>56.0</v>
      </c>
      <c r="AF73" s="3">
        <v>66.0</v>
      </c>
      <c r="AG73" s="3">
        <v>62.0</v>
      </c>
      <c r="AH73" s="3">
        <v>63.0</v>
      </c>
      <c r="AI73" s="3">
        <v>70.0</v>
      </c>
      <c r="AJ73" s="3">
        <v>69.0</v>
      </c>
      <c r="AK73" s="3">
        <v>72.0</v>
      </c>
      <c r="AL73" s="3">
        <v>75.0</v>
      </c>
      <c r="AM73" s="3">
        <v>73.0</v>
      </c>
      <c r="AN73" s="3">
        <v>86.0</v>
      </c>
      <c r="AO73" s="3">
        <v>186.0</v>
      </c>
      <c r="AP73" s="3">
        <v>72.0</v>
      </c>
      <c r="AQ73" s="3">
        <v>128.0</v>
      </c>
      <c r="AR73" s="3">
        <v>90.0</v>
      </c>
      <c r="AS73" s="3">
        <v>80.0</v>
      </c>
      <c r="AT73" s="69">
        <v>72.0</v>
      </c>
      <c r="AU73" s="69">
        <v>83.0</v>
      </c>
      <c r="AV73" s="69">
        <v>67.0</v>
      </c>
      <c r="AW73" s="69">
        <v>66.0</v>
      </c>
      <c r="AX73" s="69">
        <v>67.0</v>
      </c>
      <c r="AY73" s="69">
        <v>63.0</v>
      </c>
      <c r="AZ73" s="69">
        <v>128.0</v>
      </c>
      <c r="BA73" s="69">
        <v>233.0</v>
      </c>
      <c r="BB73" s="69">
        <v>289.0</v>
      </c>
      <c r="BC73" s="69">
        <v>230.0</v>
      </c>
      <c r="BD73" s="69">
        <v>253.0</v>
      </c>
      <c r="BE73" s="69">
        <v>281.0</v>
      </c>
      <c r="BF73" s="69">
        <v>545.0</v>
      </c>
      <c r="BG73" s="69">
        <v>404.0</v>
      </c>
      <c r="BH73" s="69">
        <v>406.0</v>
      </c>
      <c r="BI73" s="69">
        <v>557.0</v>
      </c>
      <c r="BJ73" s="69">
        <v>185.0</v>
      </c>
      <c r="BK73" s="69">
        <v>57.0</v>
      </c>
      <c r="BL73" s="69"/>
      <c r="BM73" s="69"/>
      <c r="BN73" s="69"/>
      <c r="BO73" s="69"/>
      <c r="BP73" s="69"/>
      <c r="BQ73" s="69"/>
      <c r="BR73" s="69"/>
      <c r="BS73" s="1"/>
      <c r="BT73" s="70" t="s">
        <v>201</v>
      </c>
      <c r="BU73" s="30"/>
      <c r="BV73" s="1"/>
      <c r="BW73" s="1"/>
      <c r="BX73" s="1"/>
      <c r="BY73" s="1"/>
      <c r="BZ73" s="1"/>
    </row>
    <row r="74">
      <c r="A74" s="3"/>
      <c r="B74" s="33" t="s">
        <v>117</v>
      </c>
      <c r="C74" s="3"/>
      <c r="D74" s="3" t="s">
        <v>202</v>
      </c>
      <c r="E74" s="14"/>
      <c r="F74" s="2"/>
      <c r="G74" s="14"/>
      <c r="H74" s="14"/>
      <c r="I74" s="14"/>
      <c r="J74" s="14"/>
      <c r="K74" s="14"/>
      <c r="L74" s="1"/>
      <c r="M74" s="1"/>
      <c r="N74" s="1"/>
      <c r="O74" s="1"/>
      <c r="P74" s="1"/>
      <c r="Q74" s="1"/>
      <c r="R74" s="1"/>
      <c r="S74" s="71">
        <v>56.35458695332056</v>
      </c>
      <c r="T74" s="71">
        <v>32.84497010200493</v>
      </c>
      <c r="U74" s="69">
        <v>47.0</v>
      </c>
      <c r="V74" s="69">
        <v>48.0</v>
      </c>
      <c r="W74" s="69">
        <v>54.0</v>
      </c>
      <c r="X74" s="69">
        <v>58.0</v>
      </c>
      <c r="Y74" s="69">
        <v>55.0</v>
      </c>
      <c r="Z74" s="3">
        <v>67.0</v>
      </c>
      <c r="AA74" s="3">
        <v>80.0</v>
      </c>
      <c r="AB74" s="68">
        <v>76.0</v>
      </c>
      <c r="AC74" s="3">
        <v>64.0</v>
      </c>
      <c r="AD74" s="3">
        <v>49.0</v>
      </c>
      <c r="AE74" s="3">
        <v>55.0</v>
      </c>
      <c r="AF74" s="3">
        <v>60.0</v>
      </c>
      <c r="AG74" s="3">
        <v>43.0</v>
      </c>
      <c r="AH74" s="3">
        <v>47.0</v>
      </c>
      <c r="AI74" s="3">
        <v>66.0</v>
      </c>
      <c r="AJ74" s="3">
        <v>39.0</v>
      </c>
      <c r="AK74" s="3">
        <v>36.0</v>
      </c>
      <c r="AL74" s="3">
        <v>50.0</v>
      </c>
      <c r="AM74" s="3">
        <v>54.0</v>
      </c>
      <c r="AN74" s="3">
        <v>68.0</v>
      </c>
      <c r="AO74" s="3">
        <v>60.0</v>
      </c>
      <c r="AP74" s="3">
        <v>61.0</v>
      </c>
      <c r="AQ74" s="3">
        <v>61.0</v>
      </c>
      <c r="AR74" s="3">
        <v>54.0</v>
      </c>
      <c r="AS74" s="3">
        <v>75.0</v>
      </c>
      <c r="AT74" s="69">
        <v>78.0</v>
      </c>
      <c r="AU74" s="69">
        <v>60.0</v>
      </c>
      <c r="AV74" s="69">
        <v>83.0</v>
      </c>
      <c r="AW74" s="69">
        <v>102.0</v>
      </c>
      <c r="AX74" s="69">
        <v>82.0</v>
      </c>
      <c r="AY74" s="69">
        <v>71.0</v>
      </c>
      <c r="AZ74" s="69">
        <v>73.0</v>
      </c>
      <c r="BA74" s="69">
        <v>69.0</v>
      </c>
      <c r="BB74" s="69">
        <v>75.0</v>
      </c>
      <c r="BC74" s="69">
        <v>56.0</v>
      </c>
      <c r="BD74" s="69">
        <v>58.0</v>
      </c>
      <c r="BE74" s="69">
        <v>64.0</v>
      </c>
      <c r="BF74" s="69">
        <v>44.0</v>
      </c>
      <c r="BG74" s="69">
        <v>51.0</v>
      </c>
      <c r="BH74" s="69">
        <v>32.0</v>
      </c>
      <c r="BI74" s="69">
        <v>48.0</v>
      </c>
      <c r="BJ74" s="69">
        <v>43.0</v>
      </c>
      <c r="BK74" s="69">
        <v>42.0</v>
      </c>
      <c r="BL74" s="69"/>
      <c r="BM74" s="69"/>
      <c r="BN74" s="69"/>
      <c r="BO74" s="69"/>
      <c r="BP74" s="69"/>
      <c r="BQ74" s="69"/>
      <c r="BR74" s="69"/>
      <c r="BS74" s="1"/>
      <c r="BT74" s="72" t="s">
        <v>203</v>
      </c>
      <c r="BU74" s="9"/>
      <c r="BV74" s="1"/>
      <c r="BW74" s="1"/>
      <c r="BX74" s="1"/>
      <c r="BY74" s="1"/>
      <c r="BZ74" s="1"/>
    </row>
    <row r="75">
      <c r="A75" s="18"/>
      <c r="B75" s="33" t="s">
        <v>117</v>
      </c>
      <c r="C75" s="18"/>
      <c r="D75" s="18"/>
      <c r="E75" s="73"/>
      <c r="F75" s="20"/>
      <c r="G75" s="20"/>
      <c r="H75" s="20"/>
      <c r="I75" s="20"/>
      <c r="J75" s="20"/>
      <c r="K75" s="20"/>
      <c r="L75" s="18"/>
      <c r="M75" s="18"/>
      <c r="N75" s="18"/>
      <c r="O75" s="18"/>
      <c r="P75" s="18"/>
      <c r="Q75" s="18"/>
      <c r="R75" s="17"/>
      <c r="S75" s="18"/>
      <c r="T75" s="18"/>
      <c r="U75" s="18"/>
      <c r="V75" s="18"/>
      <c r="W75" s="18"/>
      <c r="X75" s="18"/>
      <c r="Y75" s="18"/>
      <c r="Z75" s="18"/>
      <c r="AA75" s="74"/>
      <c r="AB75" s="74"/>
      <c r="AC75" s="74"/>
      <c r="AD75" s="74"/>
      <c r="AE75" s="74"/>
      <c r="AF75" s="74"/>
      <c r="AG75" s="7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18"/>
      <c r="BT75" s="75"/>
      <c r="BU75" s="75"/>
      <c r="BV75" s="17"/>
      <c r="BW75" s="17"/>
      <c r="BX75" s="17"/>
      <c r="BY75" s="17"/>
      <c r="BZ75" s="17"/>
    </row>
    <row r="76">
      <c r="A76" s="18"/>
      <c r="B76" s="33" t="s">
        <v>117</v>
      </c>
      <c r="C76" s="18"/>
      <c r="D76" s="18"/>
      <c r="E76" s="73"/>
      <c r="F76" s="20"/>
      <c r="G76" s="20"/>
      <c r="H76" s="20"/>
      <c r="I76" s="20"/>
      <c r="J76" s="20"/>
      <c r="K76" s="20"/>
      <c r="L76" s="18"/>
      <c r="M76" s="18"/>
      <c r="N76" s="18"/>
      <c r="O76" s="18"/>
      <c r="P76" s="18"/>
      <c r="Q76" s="18"/>
      <c r="R76" s="17"/>
      <c r="S76" s="18"/>
      <c r="T76" s="18"/>
      <c r="U76" s="18"/>
      <c r="V76" s="18"/>
      <c r="W76" s="18"/>
      <c r="X76" s="18"/>
      <c r="Y76" s="18"/>
      <c r="Z76" s="18"/>
      <c r="AA76" s="74"/>
      <c r="AB76" s="74"/>
      <c r="AC76" s="74"/>
      <c r="AD76" s="74"/>
      <c r="AE76" s="74"/>
      <c r="AF76" s="74"/>
      <c r="AG76" s="7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18" t="s">
        <v>204</v>
      </c>
      <c r="BT76" s="75"/>
      <c r="BU76" s="75"/>
      <c r="BV76" s="17"/>
      <c r="BW76" s="17"/>
      <c r="BX76" s="17"/>
      <c r="BY76" s="17"/>
      <c r="BZ76" s="17"/>
    </row>
    <row r="77">
      <c r="A77" s="18"/>
      <c r="B77" s="33" t="s">
        <v>117</v>
      </c>
      <c r="C77" s="18"/>
      <c r="D77" s="18"/>
      <c r="E77" s="73"/>
      <c r="F77" s="20"/>
      <c r="G77" s="20"/>
      <c r="H77" s="20"/>
      <c r="I77" s="20"/>
      <c r="J77" s="20"/>
      <c r="K77" s="20"/>
      <c r="L77" s="18"/>
      <c r="M77" s="18"/>
      <c r="N77" s="18"/>
      <c r="O77" s="18"/>
      <c r="P77" s="18"/>
      <c r="Q77" s="18"/>
      <c r="R77" s="17"/>
      <c r="S77" s="18"/>
      <c r="T77" s="18"/>
      <c r="U77" s="18"/>
      <c r="V77" s="18"/>
      <c r="W77" s="18"/>
      <c r="X77" s="18"/>
      <c r="Y77" s="18"/>
      <c r="Z77" s="18"/>
      <c r="AA77" s="74"/>
      <c r="AB77" s="74"/>
      <c r="AC77" s="74"/>
      <c r="AD77" s="74"/>
      <c r="AE77" s="74"/>
      <c r="AF77" s="74"/>
      <c r="AG77" s="7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18"/>
      <c r="BT77" s="75"/>
      <c r="BU77" s="75"/>
      <c r="BV77" s="17"/>
      <c r="BW77" s="17"/>
      <c r="BX77" s="17"/>
      <c r="BY77" s="17"/>
      <c r="BZ77" s="17"/>
    </row>
    <row r="78">
      <c r="A78" s="18"/>
      <c r="B78" s="33" t="s">
        <v>117</v>
      </c>
      <c r="C78" s="18"/>
      <c r="D78" s="18" t="s">
        <v>205</v>
      </c>
      <c r="E78" s="73"/>
      <c r="F78" s="20">
        <v>302724.6</v>
      </c>
      <c r="G78" s="20">
        <v>315838.1</v>
      </c>
      <c r="H78" s="20">
        <v>553688.4</v>
      </c>
      <c r="I78" s="20">
        <v>745241.6</v>
      </c>
      <c r="J78" s="20">
        <v>386759.4</v>
      </c>
      <c r="K78" s="20">
        <v>1312845.27</v>
      </c>
      <c r="L78" s="18">
        <v>893739.9</v>
      </c>
      <c r="M78" s="18">
        <v>920432.24</v>
      </c>
      <c r="N78" s="18">
        <v>1836402.42</v>
      </c>
      <c r="O78" s="18">
        <v>3903398.31</v>
      </c>
      <c r="P78" s="18"/>
      <c r="Q78" s="18"/>
      <c r="R78" s="17"/>
      <c r="S78" s="18">
        <v>307941.42</v>
      </c>
      <c r="T78" s="18">
        <v>882007.33</v>
      </c>
      <c r="U78" s="18">
        <v>1780184.41</v>
      </c>
      <c r="V78" s="18">
        <v>2198665.85</v>
      </c>
      <c r="W78" s="18">
        <v>1313647.0</v>
      </c>
      <c r="X78" s="18">
        <v>1440399.86</v>
      </c>
      <c r="Y78" s="18">
        <v>1750553.0</v>
      </c>
      <c r="Z78" s="18">
        <v>2159394.0</v>
      </c>
      <c r="AA78" s="74">
        <v>1653885.0</v>
      </c>
      <c r="AB78" s="74">
        <v>550688.0</v>
      </c>
      <c r="AC78" s="74">
        <v>621664.0</v>
      </c>
      <c r="AD78" s="74">
        <v>1345927.0</v>
      </c>
      <c r="AE78" s="74">
        <v>1515857.0</v>
      </c>
      <c r="AF78" s="74">
        <v>613115.0</v>
      </c>
      <c r="AG78" s="74">
        <v>1203424.0</v>
      </c>
      <c r="AH78" s="74">
        <v>2534051.0</v>
      </c>
      <c r="AI78" s="74">
        <v>1502113.0</v>
      </c>
      <c r="AJ78" s="74">
        <v>969965.0</v>
      </c>
      <c r="AK78" s="74">
        <v>1872356.0</v>
      </c>
      <c r="AL78" s="74">
        <v>944053.0</v>
      </c>
      <c r="AM78" s="74">
        <v>1139976.0</v>
      </c>
      <c r="AN78" s="74">
        <v>759941.0</v>
      </c>
      <c r="AO78" s="74">
        <v>1470318.0</v>
      </c>
      <c r="AP78" s="74">
        <v>2692185.0</v>
      </c>
      <c r="AQ78" s="74">
        <v>3086357.0</v>
      </c>
      <c r="AR78" s="74">
        <v>3964439.0</v>
      </c>
      <c r="AS78" s="74">
        <v>3399283.0</v>
      </c>
      <c r="AT78" s="74">
        <v>1558062.0</v>
      </c>
      <c r="AU78" s="74">
        <v>2521694.0</v>
      </c>
      <c r="AV78" s="74">
        <v>825164.0</v>
      </c>
      <c r="AW78" s="74">
        <v>541411.0</v>
      </c>
      <c r="AX78" s="74">
        <v>366642.0</v>
      </c>
      <c r="AY78" s="74">
        <v>366642.0</v>
      </c>
      <c r="AZ78" s="76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18"/>
      <c r="BT78" s="75" t="s">
        <v>206</v>
      </c>
      <c r="BU78" s="75"/>
      <c r="BV78" s="17"/>
      <c r="BW78" s="17"/>
      <c r="BX78" s="17"/>
      <c r="BY78" s="17"/>
      <c r="BZ78" s="17"/>
    </row>
    <row r="79">
      <c r="A79" s="33"/>
      <c r="B79" s="33" t="s">
        <v>117</v>
      </c>
      <c r="C79" s="33"/>
      <c r="D79" s="33" t="s">
        <v>207</v>
      </c>
      <c r="E79" s="32">
        <f t="shared" ref="E79:AZ79" si="101">E78/E4</f>
        <v>0</v>
      </c>
      <c r="F79" s="32">
        <f t="shared" si="101"/>
        <v>0.02709088966</v>
      </c>
      <c r="G79" s="32">
        <f t="shared" si="101"/>
        <v>0.02770326662</v>
      </c>
      <c r="H79" s="32">
        <f t="shared" si="101"/>
        <v>0.04416039692</v>
      </c>
      <c r="I79" s="32">
        <f t="shared" si="101"/>
        <v>0.05840074735</v>
      </c>
      <c r="J79" s="32">
        <f t="shared" si="101"/>
        <v>0.03374087722</v>
      </c>
      <c r="K79" s="32">
        <f t="shared" si="101"/>
        <v>0.1106991954</v>
      </c>
      <c r="L79" s="32">
        <f t="shared" si="101"/>
        <v>0.07623656171</v>
      </c>
      <c r="M79" s="32">
        <f t="shared" si="101"/>
        <v>0.08423311292</v>
      </c>
      <c r="N79" s="32">
        <f t="shared" si="101"/>
        <v>0.1534711324</v>
      </c>
      <c r="O79" s="32">
        <f t="shared" si="101"/>
        <v>0.281818491</v>
      </c>
      <c r="P79" s="32">
        <f t="shared" si="101"/>
        <v>0</v>
      </c>
      <c r="Q79" s="32">
        <f t="shared" si="101"/>
        <v>0</v>
      </c>
      <c r="R79" s="32">
        <f t="shared" si="101"/>
        <v>0</v>
      </c>
      <c r="S79" s="32">
        <f t="shared" si="101"/>
        <v>0.02642533402</v>
      </c>
      <c r="T79" s="32">
        <f t="shared" si="101"/>
        <v>0.06940129026</v>
      </c>
      <c r="U79" s="32">
        <f t="shared" si="101"/>
        <v>0.1386700405</v>
      </c>
      <c r="V79" s="32">
        <f t="shared" si="101"/>
        <v>0.1673901561</v>
      </c>
      <c r="W79" s="32">
        <f t="shared" si="101"/>
        <v>0.1076695058</v>
      </c>
      <c r="X79" s="32">
        <f t="shared" si="101"/>
        <v>0.1044682869</v>
      </c>
      <c r="Y79" s="32">
        <f t="shared" si="101"/>
        <v>0.1199845838</v>
      </c>
      <c r="Z79" s="32">
        <f t="shared" si="101"/>
        <v>0.1549314085</v>
      </c>
      <c r="AA79" s="32">
        <f t="shared" si="101"/>
        <v>0.1213556649</v>
      </c>
      <c r="AB79" s="32">
        <f t="shared" si="101"/>
        <v>0.04645263124</v>
      </c>
      <c r="AC79" s="32">
        <f t="shared" si="101"/>
        <v>0.04886572216</v>
      </c>
      <c r="AD79" s="32">
        <f t="shared" si="101"/>
        <v>0.1014703596</v>
      </c>
      <c r="AE79" s="32">
        <f t="shared" si="101"/>
        <v>0.1091458053</v>
      </c>
      <c r="AF79" s="32">
        <f t="shared" si="101"/>
        <v>0.04647660819</v>
      </c>
      <c r="AG79" s="32">
        <f t="shared" si="101"/>
        <v>0.08508285019</v>
      </c>
      <c r="AH79" s="32">
        <f t="shared" si="101"/>
        <v>0.1554844184</v>
      </c>
      <c r="AI79" s="32">
        <f t="shared" si="101"/>
        <v>0.1034641062</v>
      </c>
      <c r="AJ79" s="32">
        <f t="shared" si="101"/>
        <v>0.06554060245</v>
      </c>
      <c r="AK79" s="32">
        <f t="shared" si="101"/>
        <v>0.1175606853</v>
      </c>
      <c r="AL79" s="32">
        <f t="shared" si="101"/>
        <v>0.05823820445</v>
      </c>
      <c r="AM79" s="32">
        <f t="shared" si="101"/>
        <v>0.07557079525</v>
      </c>
      <c r="AN79" s="32">
        <f t="shared" si="101"/>
        <v>0.04899275644</v>
      </c>
      <c r="AO79" s="32">
        <f t="shared" si="101"/>
        <v>0.07873149969</v>
      </c>
      <c r="AP79" s="32">
        <f t="shared" si="101"/>
        <v>0.1414727956</v>
      </c>
      <c r="AQ79" s="32">
        <f t="shared" si="101"/>
        <v>0.1619857619</v>
      </c>
      <c r="AR79" s="32">
        <f t="shared" si="101"/>
        <v>0.1974874743</v>
      </c>
      <c r="AS79" s="32">
        <f t="shared" si="101"/>
        <v>0.1650425575</v>
      </c>
      <c r="AT79" s="32">
        <f t="shared" si="101"/>
        <v>0.08191772075</v>
      </c>
      <c r="AU79" s="32">
        <f t="shared" si="101"/>
        <v>0.1266409895</v>
      </c>
      <c r="AV79" s="32">
        <f t="shared" si="101"/>
        <v>0.0426987844</v>
      </c>
      <c r="AW79" s="32">
        <f t="shared" si="101"/>
        <v>0.03619887205</v>
      </c>
      <c r="AX79" s="32">
        <f t="shared" si="101"/>
        <v>0.02266286886</v>
      </c>
      <c r="AY79" s="32">
        <f t="shared" si="101"/>
        <v>0.02107402204</v>
      </c>
      <c r="AZ79" s="32">
        <f t="shared" si="101"/>
        <v>0</v>
      </c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27" t="s">
        <v>124</v>
      </c>
      <c r="BU79" s="27"/>
      <c r="BV79" s="32"/>
      <c r="BW79" s="33"/>
      <c r="BX79" s="33"/>
      <c r="BY79" s="33"/>
      <c r="BZ79" s="33"/>
    </row>
    <row r="80">
      <c r="A80" s="18"/>
      <c r="B80" s="33" t="s">
        <v>117</v>
      </c>
      <c r="C80" s="18"/>
      <c r="D80" s="18" t="s">
        <v>208</v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>
        <f t="shared" ref="X80:AZ80" si="102">X81/X82</f>
        <v>623090.0008</v>
      </c>
      <c r="Y80" s="73">
        <f t="shared" si="102"/>
        <v>764672.2892</v>
      </c>
      <c r="Z80" s="73">
        <f t="shared" si="102"/>
        <v>487329.1506</v>
      </c>
      <c r="AA80" s="73">
        <f t="shared" si="102"/>
        <v>409827.9994</v>
      </c>
      <c r="AB80" s="73">
        <f t="shared" si="102"/>
        <v>335129.9998</v>
      </c>
      <c r="AC80" s="73">
        <f t="shared" si="102"/>
        <v>343765.9991</v>
      </c>
      <c r="AD80" s="73">
        <f t="shared" si="102"/>
        <v>601759.0008</v>
      </c>
      <c r="AE80" s="73">
        <f t="shared" si="102"/>
        <v>445084.6398</v>
      </c>
      <c r="AF80" s="73">
        <f t="shared" si="102"/>
        <v>418206.2975</v>
      </c>
      <c r="AG80" s="73">
        <f t="shared" si="102"/>
        <v>624540.0003</v>
      </c>
      <c r="AH80" s="73">
        <f t="shared" si="102"/>
        <v>662047.0001</v>
      </c>
      <c r="AI80" s="73">
        <f t="shared" si="102"/>
        <v>209070.2139</v>
      </c>
      <c r="AJ80" s="73">
        <f t="shared" si="102"/>
        <v>508538.8463</v>
      </c>
      <c r="AK80" s="73">
        <f t="shared" si="102"/>
        <v>550539.7541</v>
      </c>
      <c r="AL80" s="73">
        <f t="shared" si="102"/>
        <v>500651.3158</v>
      </c>
      <c r="AM80" s="73">
        <f t="shared" si="102"/>
        <v>665329.6976</v>
      </c>
      <c r="AN80" s="73">
        <f t="shared" si="102"/>
        <v>563204.3449</v>
      </c>
      <c r="AO80" s="73">
        <f t="shared" si="102"/>
        <v>772309.7932</v>
      </c>
      <c r="AP80" s="73">
        <f t="shared" si="102"/>
        <v>819901.2183</v>
      </c>
      <c r="AQ80" s="73">
        <f t="shared" si="102"/>
        <v>806087.2027</v>
      </c>
      <c r="AR80" s="73">
        <f t="shared" si="102"/>
        <v>784297.359</v>
      </c>
      <c r="AS80" s="73">
        <f t="shared" si="102"/>
        <v>739461.1212</v>
      </c>
      <c r="AT80" s="73">
        <f t="shared" si="102"/>
        <v>941694.9153</v>
      </c>
      <c r="AU80" s="73">
        <f t="shared" si="102"/>
        <v>765213.2701</v>
      </c>
      <c r="AV80" s="73">
        <f t="shared" si="102"/>
        <v>838755.6675</v>
      </c>
      <c r="AW80" s="73">
        <f t="shared" si="102"/>
        <v>582058.8235</v>
      </c>
      <c r="AX80" s="73">
        <f t="shared" si="102"/>
        <v>543233.5649</v>
      </c>
      <c r="AY80" s="73">
        <f t="shared" si="102"/>
        <v>543233.5649</v>
      </c>
      <c r="AZ80" s="73" t="str">
        <f t="shared" si="102"/>
        <v>#DIV/0!</v>
      </c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17"/>
      <c r="BT80" s="27" t="s">
        <v>124</v>
      </c>
      <c r="BU80" s="27"/>
      <c r="BV80" s="17"/>
      <c r="BW80" s="17"/>
      <c r="BX80" s="17"/>
      <c r="BY80" s="17"/>
      <c r="BZ80" s="17"/>
    </row>
    <row r="81">
      <c r="A81" s="18"/>
      <c r="B81" s="33" t="s">
        <v>117</v>
      </c>
      <c r="C81" s="18"/>
      <c r="D81" s="18" t="s">
        <v>209</v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>
        <v>160261.02</v>
      </c>
      <c r="Y81" s="73">
        <v>267245.56</v>
      </c>
      <c r="Z81" s="73">
        <v>156384.96</v>
      </c>
      <c r="AA81" s="73">
        <v>63802.0</v>
      </c>
      <c r="AB81" s="73">
        <v>47408.03</v>
      </c>
      <c r="AC81" s="73">
        <v>60159.0</v>
      </c>
      <c r="AD81" s="73">
        <v>133490.75</v>
      </c>
      <c r="AE81" s="73">
        <v>84501.04</v>
      </c>
      <c r="AF81" s="20">
        <v>38516.8</v>
      </c>
      <c r="AG81" s="20">
        <v>127944.22</v>
      </c>
      <c r="AH81" s="20">
        <v>155049.7</v>
      </c>
      <c r="AI81" s="20">
        <v>76227.0</v>
      </c>
      <c r="AJ81" s="20">
        <v>112844.77</v>
      </c>
      <c r="AK81" s="20">
        <v>80599.02</v>
      </c>
      <c r="AL81" s="20">
        <v>76099.0</v>
      </c>
      <c r="AM81" s="20">
        <v>134197.0</v>
      </c>
      <c r="AN81" s="20">
        <v>82960.0</v>
      </c>
      <c r="AO81" s="20">
        <v>197943.0</v>
      </c>
      <c r="AP81" s="20">
        <v>249004.0</v>
      </c>
      <c r="AQ81" s="20">
        <v>284710.0</v>
      </c>
      <c r="AR81" s="20">
        <v>240544.0</v>
      </c>
      <c r="AS81" s="20">
        <v>204461.0</v>
      </c>
      <c r="AT81" s="20">
        <v>266688.0</v>
      </c>
      <c r="AU81" s="20">
        <v>274482.0</v>
      </c>
      <c r="AV81" s="20">
        <v>166493.0</v>
      </c>
      <c r="AW81" s="20">
        <v>138530.0</v>
      </c>
      <c r="AX81" s="20">
        <v>101639.0</v>
      </c>
      <c r="AY81" s="20">
        <v>101639.0</v>
      </c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17"/>
      <c r="BT81" s="77" t="s">
        <v>210</v>
      </c>
      <c r="BU81" s="75"/>
      <c r="BV81" s="17"/>
      <c r="BW81" s="17"/>
      <c r="BX81" s="17"/>
      <c r="BY81" s="17"/>
      <c r="BZ81" s="17"/>
    </row>
    <row r="82">
      <c r="A82" s="18"/>
      <c r="B82" s="33" t="s">
        <v>117</v>
      </c>
      <c r="C82" s="18"/>
      <c r="D82" s="18" t="s">
        <v>211</v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8">
        <v>0.257203646</v>
      </c>
      <c r="Y82" s="78">
        <v>0.349490316</v>
      </c>
      <c r="Z82" s="78">
        <v>0.320902125</v>
      </c>
      <c r="AA82" s="78">
        <v>0.155679944</v>
      </c>
      <c r="AB82" s="78">
        <v>0.141461612</v>
      </c>
      <c r="AC82" s="78">
        <v>0.174999855</v>
      </c>
      <c r="AD82" s="78">
        <v>0.221834239</v>
      </c>
      <c r="AE82" s="78">
        <v>0.189853867</v>
      </c>
      <c r="AF82" s="40">
        <v>0.0921</v>
      </c>
      <c r="AG82" s="40">
        <v>0.20486153</v>
      </c>
      <c r="AH82" s="40">
        <v>0.234197421</v>
      </c>
      <c r="AI82" s="40">
        <v>0.3646</v>
      </c>
      <c r="AJ82" s="40">
        <v>0.2219</v>
      </c>
      <c r="AK82" s="40">
        <v>0.1464</v>
      </c>
      <c r="AL82" s="40">
        <v>0.152</v>
      </c>
      <c r="AM82" s="40">
        <v>0.2017</v>
      </c>
      <c r="AN82" s="40">
        <v>0.1473</v>
      </c>
      <c r="AO82" s="40">
        <v>0.2563</v>
      </c>
      <c r="AP82" s="40">
        <v>0.3037</v>
      </c>
      <c r="AQ82" s="40">
        <v>0.3532</v>
      </c>
      <c r="AR82" s="40">
        <v>0.3067</v>
      </c>
      <c r="AS82" s="40">
        <v>0.2765</v>
      </c>
      <c r="AT82" s="40">
        <v>0.2832</v>
      </c>
      <c r="AU82" s="40">
        <v>0.3587</v>
      </c>
      <c r="AV82" s="40">
        <v>0.1985</v>
      </c>
      <c r="AW82" s="40">
        <v>0.238</v>
      </c>
      <c r="AX82" s="40">
        <v>0.1871</v>
      </c>
      <c r="AY82" s="40">
        <v>0.1871</v>
      </c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17"/>
      <c r="BT82" s="77" t="s">
        <v>212</v>
      </c>
      <c r="BU82" s="75"/>
      <c r="BV82" s="17"/>
      <c r="BW82" s="17"/>
      <c r="BX82" s="17"/>
      <c r="BY82" s="17"/>
      <c r="BZ82" s="17"/>
    </row>
    <row r="83">
      <c r="A83" s="18"/>
      <c r="B83" s="33" t="s">
        <v>117</v>
      </c>
      <c r="C83" s="18"/>
      <c r="D83" s="18" t="s">
        <v>213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>
        <f t="shared" ref="X83:AZ83" si="103">X84/X85</f>
        <v>5864088.84</v>
      </c>
      <c r="Y83" s="73">
        <f t="shared" si="103"/>
        <v>6477690.551</v>
      </c>
      <c r="Z83" s="73">
        <f t="shared" si="103"/>
        <v>6234168.451</v>
      </c>
      <c r="AA83" s="73">
        <f t="shared" si="103"/>
        <v>1845295.021</v>
      </c>
      <c r="AB83" s="73">
        <f t="shared" si="103"/>
        <v>1574744.687</v>
      </c>
      <c r="AC83" s="73">
        <f t="shared" si="103"/>
        <v>1664669.112</v>
      </c>
      <c r="AD83" s="73">
        <f t="shared" si="103"/>
        <v>1710874.429</v>
      </c>
      <c r="AE83" s="73">
        <f t="shared" si="103"/>
        <v>1431043.881</v>
      </c>
      <c r="AF83" s="73">
        <f t="shared" si="103"/>
        <v>854465.9514</v>
      </c>
      <c r="AG83" s="73">
        <f t="shared" si="103"/>
        <v>5545834.161</v>
      </c>
      <c r="AH83" s="73">
        <f t="shared" si="103"/>
        <v>6085228.897</v>
      </c>
      <c r="AI83" s="73">
        <f t="shared" si="103"/>
        <v>5552635.904</v>
      </c>
      <c r="AJ83" s="73">
        <f t="shared" si="103"/>
        <v>2882874.954</v>
      </c>
      <c r="AK83" s="73">
        <f t="shared" si="103"/>
        <v>53157.69806</v>
      </c>
      <c r="AL83" s="73">
        <f t="shared" si="103"/>
        <v>45382.42474</v>
      </c>
      <c r="AM83" s="73">
        <f t="shared" si="103"/>
        <v>46858.87709</v>
      </c>
      <c r="AN83" s="73">
        <f t="shared" si="103"/>
        <v>9983.734548</v>
      </c>
      <c r="AO83" s="73">
        <f t="shared" si="103"/>
        <v>221181.7347</v>
      </c>
      <c r="AP83" s="73">
        <f t="shared" si="103"/>
        <v>1662065.089</v>
      </c>
      <c r="AQ83" s="73">
        <f t="shared" si="103"/>
        <v>1452395.163</v>
      </c>
      <c r="AR83" s="73">
        <f t="shared" si="103"/>
        <v>1038899.281</v>
      </c>
      <c r="AS83" s="73">
        <f t="shared" si="103"/>
        <v>293488.6973</v>
      </c>
      <c r="AT83" s="73" t="str">
        <f t="shared" si="103"/>
        <v>#DIV/0!</v>
      </c>
      <c r="AU83" s="73">
        <f t="shared" si="103"/>
        <v>2039558.726</v>
      </c>
      <c r="AV83" s="73">
        <f t="shared" si="103"/>
        <v>3222086.458</v>
      </c>
      <c r="AW83" s="73">
        <f t="shared" si="103"/>
        <v>3272956.359</v>
      </c>
      <c r="AX83" s="73">
        <f t="shared" si="103"/>
        <v>3342390.422</v>
      </c>
      <c r="AY83" s="73">
        <f t="shared" si="103"/>
        <v>3342390.422</v>
      </c>
      <c r="AZ83" s="73" t="str">
        <f t="shared" si="103"/>
        <v>#DIV/0!</v>
      </c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17"/>
      <c r="BT83" s="27" t="s">
        <v>124</v>
      </c>
      <c r="BU83" s="27"/>
      <c r="BV83" s="17"/>
      <c r="BW83" s="17"/>
      <c r="BX83" s="17"/>
      <c r="BY83" s="17"/>
      <c r="BZ83" s="17"/>
    </row>
    <row r="84">
      <c r="A84" s="18"/>
      <c r="B84" s="33" t="s">
        <v>117</v>
      </c>
      <c r="C84" s="18"/>
      <c r="D84" s="18" t="s">
        <v>214</v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>
        <v>1586625.53</v>
      </c>
      <c r="Y84" s="73">
        <v>2039690.31</v>
      </c>
      <c r="Z84" s="73">
        <v>2155269.13</v>
      </c>
      <c r="AA84" s="73">
        <v>628090.01</v>
      </c>
      <c r="AB84" s="73">
        <v>341158.21</v>
      </c>
      <c r="AC84" s="73">
        <v>364625.4</v>
      </c>
      <c r="AD84" s="73">
        <v>385735.86</v>
      </c>
      <c r="AE84" s="73">
        <v>318679.76</v>
      </c>
      <c r="AF84" s="20">
        <v>238908.68</v>
      </c>
      <c r="AG84" s="20">
        <v>2670747.98</v>
      </c>
      <c r="AH84" s="20">
        <v>2452145.38</v>
      </c>
      <c r="AI84" s="20">
        <v>878427.0</v>
      </c>
      <c r="AJ84" s="20">
        <v>786160.0</v>
      </c>
      <c r="AK84" s="79">
        <v>14225.0</v>
      </c>
      <c r="AL84" s="20">
        <v>11155.0</v>
      </c>
      <c r="AM84" s="20">
        <v>9264.0</v>
      </c>
      <c r="AN84" s="20">
        <v>3069.0</v>
      </c>
      <c r="AO84" s="20">
        <v>96391.0</v>
      </c>
      <c r="AP84" s="20">
        <v>713849.36</v>
      </c>
      <c r="AQ84" s="20">
        <v>744643.0</v>
      </c>
      <c r="AR84" s="20">
        <v>433221.0</v>
      </c>
      <c r="AS84" s="20">
        <v>125936.0</v>
      </c>
      <c r="AT84" s="20">
        <v>0.0</v>
      </c>
      <c r="AU84" s="20">
        <v>614723.0</v>
      </c>
      <c r="AV84" s="20">
        <v>730447.0</v>
      </c>
      <c r="AW84" s="20">
        <v>697467.0</v>
      </c>
      <c r="AX84" s="20">
        <v>823565.0</v>
      </c>
      <c r="AY84" s="20">
        <v>823565.0</v>
      </c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17"/>
      <c r="BT84" s="77" t="s">
        <v>212</v>
      </c>
      <c r="BU84" s="75"/>
      <c r="BV84" s="17"/>
      <c r="BW84" s="17"/>
      <c r="BX84" s="17"/>
      <c r="BY84" s="17"/>
      <c r="BZ84" s="17"/>
    </row>
    <row r="85">
      <c r="A85" s="18"/>
      <c r="B85" s="33" t="s">
        <v>117</v>
      </c>
      <c r="C85" s="18"/>
      <c r="D85" s="18" t="s">
        <v>215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8">
        <v>0.270566421</v>
      </c>
      <c r="Y85" s="78">
        <v>0.314879245</v>
      </c>
      <c r="Z85" s="78">
        <v>0.345718783</v>
      </c>
      <c r="AA85" s="78">
        <v>0.340373763</v>
      </c>
      <c r="AB85" s="78">
        <v>0.216643506</v>
      </c>
      <c r="AC85" s="78">
        <v>0.219037764</v>
      </c>
      <c r="AD85" s="78">
        <v>0.225461234</v>
      </c>
      <c r="AE85" s="78">
        <v>0.222690418</v>
      </c>
      <c r="AF85" s="40">
        <v>0.2796</v>
      </c>
      <c r="AG85" s="40">
        <v>0.481577325</v>
      </c>
      <c r="AH85" s="40">
        <v>0.402966827</v>
      </c>
      <c r="AI85" s="40">
        <v>0.1582</v>
      </c>
      <c r="AJ85" s="40">
        <v>0.2727</v>
      </c>
      <c r="AK85" s="40">
        <v>0.2676</v>
      </c>
      <c r="AL85" s="40">
        <v>0.2458</v>
      </c>
      <c r="AM85" s="40">
        <v>0.1977</v>
      </c>
      <c r="AN85" s="40">
        <v>0.3074</v>
      </c>
      <c r="AO85" s="40">
        <v>0.4358</v>
      </c>
      <c r="AP85" s="40">
        <v>0.42949543</v>
      </c>
      <c r="AQ85" s="40">
        <v>0.5127</v>
      </c>
      <c r="AR85" s="40">
        <v>0.417</v>
      </c>
      <c r="AS85" s="40">
        <v>0.4291</v>
      </c>
      <c r="AT85" s="40">
        <v>0.0</v>
      </c>
      <c r="AU85" s="40">
        <v>0.3014</v>
      </c>
      <c r="AV85" s="40">
        <v>0.2267</v>
      </c>
      <c r="AW85" s="40">
        <v>0.2131</v>
      </c>
      <c r="AX85" s="40">
        <v>0.2464</v>
      </c>
      <c r="AY85" s="40">
        <v>0.2464</v>
      </c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17"/>
      <c r="BT85" s="77" t="s">
        <v>212</v>
      </c>
      <c r="BU85" s="75"/>
      <c r="BV85" s="17"/>
      <c r="BW85" s="17"/>
      <c r="BX85" s="17"/>
      <c r="BY85" s="17"/>
      <c r="BZ85" s="17"/>
    </row>
    <row r="86">
      <c r="A86" s="18"/>
      <c r="B86" s="33" t="s">
        <v>117</v>
      </c>
      <c r="C86" s="18"/>
      <c r="D86" s="18" t="s">
        <v>216</v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>
        <f t="shared" ref="X86:AZ86" si="104">X4*0.06</f>
        <v>827274.9</v>
      </c>
      <c r="Y86" s="73">
        <f t="shared" si="104"/>
        <v>875388.96</v>
      </c>
      <c r="Z86" s="73">
        <f t="shared" si="104"/>
        <v>836264.52</v>
      </c>
      <c r="AA86" s="73">
        <f t="shared" si="104"/>
        <v>817704.72</v>
      </c>
      <c r="AB86" s="73">
        <f t="shared" si="104"/>
        <v>711289.74</v>
      </c>
      <c r="AC86" s="73">
        <f t="shared" si="104"/>
        <v>763312.98</v>
      </c>
      <c r="AD86" s="73">
        <f t="shared" si="104"/>
        <v>795854.28</v>
      </c>
      <c r="AE86" s="73">
        <f t="shared" si="104"/>
        <v>833302.02</v>
      </c>
      <c r="AF86" s="73">
        <f t="shared" si="104"/>
        <v>791514.3</v>
      </c>
      <c r="AG86" s="73">
        <f t="shared" si="104"/>
        <v>848648.58</v>
      </c>
      <c r="AH86" s="73">
        <f t="shared" si="104"/>
        <v>977866.86</v>
      </c>
      <c r="AI86" s="73">
        <f t="shared" si="104"/>
        <v>871092.24</v>
      </c>
      <c r="AJ86" s="73">
        <f t="shared" si="104"/>
        <v>887967.12</v>
      </c>
      <c r="AK86" s="73">
        <f t="shared" si="104"/>
        <v>955603.14</v>
      </c>
      <c r="AL86" s="73">
        <f t="shared" si="104"/>
        <v>972612.06</v>
      </c>
      <c r="AM86" s="73">
        <f t="shared" si="104"/>
        <v>905092.5</v>
      </c>
      <c r="AN86" s="73">
        <f t="shared" si="104"/>
        <v>930677.58</v>
      </c>
      <c r="AO86" s="73">
        <f t="shared" si="104"/>
        <v>1120505.52</v>
      </c>
      <c r="AP86" s="73">
        <f t="shared" si="104"/>
        <v>1141782.06</v>
      </c>
      <c r="AQ86" s="73">
        <f t="shared" si="104"/>
        <v>1143195.66</v>
      </c>
      <c r="AR86" s="73">
        <f t="shared" si="104"/>
        <v>1204462.92</v>
      </c>
      <c r="AS86" s="73">
        <f t="shared" si="104"/>
        <v>1235784.17</v>
      </c>
      <c r="AT86" s="73">
        <f t="shared" si="104"/>
        <v>1141190.443</v>
      </c>
      <c r="AU86" s="73">
        <f t="shared" si="104"/>
        <v>1194728.82</v>
      </c>
      <c r="AV86" s="73">
        <f t="shared" si="104"/>
        <v>1159514.04</v>
      </c>
      <c r="AW86" s="73">
        <f t="shared" si="104"/>
        <v>897394.26</v>
      </c>
      <c r="AX86" s="73">
        <f t="shared" si="104"/>
        <v>970685.58</v>
      </c>
      <c r="AY86" s="73">
        <f t="shared" si="104"/>
        <v>1043869.08</v>
      </c>
      <c r="AZ86" s="73">
        <f t="shared" si="104"/>
        <v>999630.84</v>
      </c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17"/>
      <c r="BT86" s="27" t="s">
        <v>124</v>
      </c>
      <c r="BU86" s="27"/>
      <c r="BV86" s="17"/>
      <c r="BW86" s="17"/>
      <c r="BX86" s="17"/>
      <c r="BY86" s="17"/>
      <c r="BZ86" s="17"/>
    </row>
    <row r="87">
      <c r="A87" s="18"/>
      <c r="B87" s="33" t="s">
        <v>117</v>
      </c>
      <c r="C87" s="18"/>
      <c r="D87" s="18" t="s">
        <v>217</v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17"/>
      <c r="BT87" s="41"/>
      <c r="BU87" s="41"/>
      <c r="BV87" s="17"/>
      <c r="BW87" s="17"/>
      <c r="BX87" s="17"/>
      <c r="BY87" s="17"/>
      <c r="BZ87" s="17"/>
    </row>
    <row r="88">
      <c r="A88" s="18"/>
      <c r="B88" s="33" t="s">
        <v>117</v>
      </c>
      <c r="C88" s="18"/>
      <c r="D88" s="18" t="s">
        <v>218</v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80">
        <f t="shared" ref="X88:AZ88" si="105">X80+X84-X86</f>
        <v>1382440.631</v>
      </c>
      <c r="Y88" s="80">
        <f t="shared" si="105"/>
        <v>1928973.639</v>
      </c>
      <c r="Z88" s="80">
        <f t="shared" si="105"/>
        <v>1806333.761</v>
      </c>
      <c r="AA88" s="80">
        <f t="shared" si="105"/>
        <v>220213.2894</v>
      </c>
      <c r="AB88" s="80">
        <f t="shared" si="105"/>
        <v>-35001.53021</v>
      </c>
      <c r="AC88" s="80">
        <f t="shared" si="105"/>
        <v>-54921.58088</v>
      </c>
      <c r="AD88" s="80">
        <f t="shared" si="105"/>
        <v>191640.5808</v>
      </c>
      <c r="AE88" s="80">
        <f t="shared" si="105"/>
        <v>-69537.62024</v>
      </c>
      <c r="AF88" s="80">
        <f t="shared" si="105"/>
        <v>-134399.3225</v>
      </c>
      <c r="AG88" s="80">
        <f t="shared" si="105"/>
        <v>2446639.4</v>
      </c>
      <c r="AH88" s="80">
        <f t="shared" si="105"/>
        <v>2136325.52</v>
      </c>
      <c r="AI88" s="80">
        <f t="shared" si="105"/>
        <v>216404.9739</v>
      </c>
      <c r="AJ88" s="80">
        <f t="shared" si="105"/>
        <v>406731.7263</v>
      </c>
      <c r="AK88" s="80">
        <f t="shared" si="105"/>
        <v>-390838.3859</v>
      </c>
      <c r="AL88" s="80">
        <f t="shared" si="105"/>
        <v>-460805.7442</v>
      </c>
      <c r="AM88" s="80">
        <f t="shared" si="105"/>
        <v>-230498.8024</v>
      </c>
      <c r="AN88" s="80">
        <f t="shared" si="105"/>
        <v>-364404.2351</v>
      </c>
      <c r="AO88" s="80">
        <f t="shared" si="105"/>
        <v>-251804.7268</v>
      </c>
      <c r="AP88" s="80">
        <f t="shared" si="105"/>
        <v>391968.5183</v>
      </c>
      <c r="AQ88" s="80">
        <f t="shared" si="105"/>
        <v>407534.5427</v>
      </c>
      <c r="AR88" s="80">
        <f t="shared" si="105"/>
        <v>13055.43898</v>
      </c>
      <c r="AS88" s="80">
        <f t="shared" si="105"/>
        <v>-370387.0492</v>
      </c>
      <c r="AT88" s="80">
        <f t="shared" si="105"/>
        <v>-199495.5273</v>
      </c>
      <c r="AU88" s="80">
        <f t="shared" si="105"/>
        <v>185207.4501</v>
      </c>
      <c r="AV88" s="80">
        <f t="shared" si="105"/>
        <v>409688.6275</v>
      </c>
      <c r="AW88" s="80">
        <f t="shared" si="105"/>
        <v>382131.5635</v>
      </c>
      <c r="AX88" s="80">
        <f t="shared" si="105"/>
        <v>396112.9849</v>
      </c>
      <c r="AY88" s="80">
        <f t="shared" si="105"/>
        <v>322929.4849</v>
      </c>
      <c r="AZ88" s="80" t="str">
        <f t="shared" si="105"/>
        <v>#DIV/0!</v>
      </c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17"/>
      <c r="BT88" s="27" t="s">
        <v>124</v>
      </c>
      <c r="BU88" s="27"/>
      <c r="BV88" s="17"/>
      <c r="BW88" s="17"/>
      <c r="BX88" s="17"/>
      <c r="BY88" s="17"/>
      <c r="BZ88" s="17"/>
    </row>
    <row r="89">
      <c r="A89" s="18"/>
      <c r="B89" s="33" t="s">
        <v>117</v>
      </c>
      <c r="C89" s="18"/>
      <c r="D89" s="18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17"/>
      <c r="BT89" s="41"/>
      <c r="BU89" s="41"/>
      <c r="BV89" s="17"/>
      <c r="BW89" s="17"/>
      <c r="BX89" s="17"/>
      <c r="BY89" s="17"/>
      <c r="BZ89" s="17"/>
    </row>
    <row r="90">
      <c r="A90" s="18"/>
      <c r="B90" s="33" t="s">
        <v>117</v>
      </c>
      <c r="C90" s="18"/>
      <c r="D90" s="18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17"/>
      <c r="BT90" s="41"/>
      <c r="BU90" s="41"/>
      <c r="BV90" s="17"/>
      <c r="BW90" s="17"/>
      <c r="BX90" s="17"/>
      <c r="BY90" s="17"/>
      <c r="BZ90" s="17"/>
    </row>
    <row r="91">
      <c r="A91" s="18"/>
      <c r="B91" s="33" t="s">
        <v>117</v>
      </c>
      <c r="C91" s="19"/>
      <c r="D91" s="19" t="s">
        <v>219</v>
      </c>
      <c r="E91" s="73">
        <f>(55000000/31)*3+(50000000/30)*4</f>
        <v>11989247.31</v>
      </c>
      <c r="F91" s="73">
        <f t="shared" ref="F91:I91" si="106">(55000000/31)*7</f>
        <v>12419354.84</v>
      </c>
      <c r="G91" s="73">
        <f t="shared" si="106"/>
        <v>12419354.84</v>
      </c>
      <c r="H91" s="73">
        <f t="shared" si="106"/>
        <v>12419354.84</v>
      </c>
      <c r="I91" s="73">
        <f t="shared" si="106"/>
        <v>12419354.84</v>
      </c>
      <c r="J91" s="73">
        <f t="shared" ref="J91:M91" si="107">(55000000/30)*7</f>
        <v>12833333.33</v>
      </c>
      <c r="K91" s="73">
        <f t="shared" si="107"/>
        <v>12833333.33</v>
      </c>
      <c r="L91" s="73">
        <f t="shared" si="107"/>
        <v>12833333.33</v>
      </c>
      <c r="M91" s="73">
        <f t="shared" si="107"/>
        <v>12833333.33</v>
      </c>
      <c r="N91" s="73">
        <f>(55000000/30)*2+(50000000/31)*5</f>
        <v>11731182.8</v>
      </c>
      <c r="O91" s="73">
        <f t="shared" ref="O91:Q91" si="108">(50000000/31)*7</f>
        <v>11290322.58</v>
      </c>
      <c r="P91" s="73">
        <f t="shared" si="108"/>
        <v>11290322.58</v>
      </c>
      <c r="Q91" s="73">
        <f t="shared" si="108"/>
        <v>11290322.58</v>
      </c>
      <c r="R91" s="73">
        <f>(50000000/31)*2+(55000000/31)*5</f>
        <v>12096774.19</v>
      </c>
      <c r="S91" s="73">
        <f t="shared" ref="S91:V91" si="109">(55000000/31)*7</f>
        <v>12419354.84</v>
      </c>
      <c r="T91" s="73">
        <f t="shared" si="109"/>
        <v>12419354.84</v>
      </c>
      <c r="U91" s="73">
        <f t="shared" si="109"/>
        <v>12419354.84</v>
      </c>
      <c r="V91" s="73">
        <f t="shared" si="109"/>
        <v>12419354.84</v>
      </c>
      <c r="W91" s="73">
        <f t="shared" ref="W91:Z91" si="110">(60000000/31)*7</f>
        <v>13548387.1</v>
      </c>
      <c r="X91" s="73">
        <f t="shared" si="110"/>
        <v>13548387.1</v>
      </c>
      <c r="Y91" s="73">
        <f t="shared" si="110"/>
        <v>13548387.1</v>
      </c>
      <c r="Z91" s="73">
        <f t="shared" si="110"/>
        <v>13548387.1</v>
      </c>
      <c r="AA91" s="73">
        <f t="shared" ref="AA91:AI91" si="111">(65000000/31)*7</f>
        <v>14677419.35</v>
      </c>
      <c r="AB91" s="73">
        <f t="shared" si="111"/>
        <v>14677419.35</v>
      </c>
      <c r="AC91" s="73">
        <f t="shared" si="111"/>
        <v>14677419.35</v>
      </c>
      <c r="AD91" s="73">
        <f t="shared" si="111"/>
        <v>14677419.35</v>
      </c>
      <c r="AE91" s="73">
        <f t="shared" si="111"/>
        <v>14677419.35</v>
      </c>
      <c r="AF91" s="73">
        <f t="shared" si="111"/>
        <v>14677419.35</v>
      </c>
      <c r="AG91" s="73">
        <f t="shared" si="111"/>
        <v>14677419.35</v>
      </c>
      <c r="AH91" s="73">
        <f t="shared" si="111"/>
        <v>14677419.35</v>
      </c>
      <c r="AI91" s="73">
        <f t="shared" si="111"/>
        <v>14677419.35</v>
      </c>
      <c r="AJ91" s="73">
        <f t="shared" ref="AJ91:AN91" si="112">(70000000/31)*7</f>
        <v>15806451.61</v>
      </c>
      <c r="AK91" s="73">
        <f t="shared" si="112"/>
        <v>15806451.61</v>
      </c>
      <c r="AL91" s="73">
        <f t="shared" si="112"/>
        <v>15806451.61</v>
      </c>
      <c r="AM91" s="73">
        <f t="shared" si="112"/>
        <v>15806451.61</v>
      </c>
      <c r="AN91" s="73">
        <f t="shared" si="112"/>
        <v>15806451.61</v>
      </c>
      <c r="AO91" s="73">
        <f t="shared" ref="AO91:AV91" si="113">(90000000/31)*7</f>
        <v>20322580.65</v>
      </c>
      <c r="AP91" s="73">
        <f t="shared" si="113"/>
        <v>20322580.65</v>
      </c>
      <c r="AQ91" s="73">
        <f t="shared" si="113"/>
        <v>20322580.65</v>
      </c>
      <c r="AR91" s="73">
        <f t="shared" si="113"/>
        <v>20322580.65</v>
      </c>
      <c r="AS91" s="73">
        <f t="shared" si="113"/>
        <v>20322580.65</v>
      </c>
      <c r="AT91" s="73">
        <f t="shared" si="113"/>
        <v>20322580.65</v>
      </c>
      <c r="AU91" s="73">
        <f t="shared" si="113"/>
        <v>20322580.65</v>
      </c>
      <c r="AV91" s="73">
        <f t="shared" si="113"/>
        <v>20322580.65</v>
      </c>
      <c r="AW91" s="73">
        <f t="shared" ref="AW91:BA91" si="114">(69000000/31)*7</f>
        <v>15580645.16</v>
      </c>
      <c r="AX91" s="73">
        <f t="shared" si="114"/>
        <v>15580645.16</v>
      </c>
      <c r="AY91" s="73">
        <f t="shared" si="114"/>
        <v>15580645.16</v>
      </c>
      <c r="AZ91" s="73">
        <f t="shared" si="114"/>
        <v>15580645.16</v>
      </c>
      <c r="BA91" s="73">
        <f t="shared" si="114"/>
        <v>15580645.16</v>
      </c>
      <c r="BB91" s="73">
        <f t="shared" ref="BB91:BE91" si="115">(70000000/31)*7</f>
        <v>15806451.61</v>
      </c>
      <c r="BC91" s="73">
        <f t="shared" si="115"/>
        <v>15806451.61</v>
      </c>
      <c r="BD91" s="73">
        <f t="shared" si="115"/>
        <v>15806451.61</v>
      </c>
      <c r="BE91" s="73">
        <f t="shared" si="115"/>
        <v>15806451.61</v>
      </c>
      <c r="BF91" s="73">
        <f t="shared" ref="BF91:BK91" si="116">(78000000/31)*7</f>
        <v>17612903.23</v>
      </c>
      <c r="BG91" s="73">
        <f t="shared" si="116"/>
        <v>17612903.23</v>
      </c>
      <c r="BH91" s="73">
        <f t="shared" si="116"/>
        <v>17612903.23</v>
      </c>
      <c r="BI91" s="73">
        <f t="shared" si="116"/>
        <v>17612903.23</v>
      </c>
      <c r="BJ91" s="73">
        <f t="shared" si="116"/>
        <v>17612903.23</v>
      </c>
      <c r="BK91" s="73">
        <f t="shared" si="116"/>
        <v>17612903.23</v>
      </c>
      <c r="BL91" s="73"/>
      <c r="BM91" s="73"/>
      <c r="BN91" s="73"/>
      <c r="BO91" s="73"/>
      <c r="BP91" s="73"/>
      <c r="BQ91" s="73"/>
      <c r="BR91" s="73"/>
      <c r="BS91" s="17"/>
      <c r="BT91" s="81" t="s">
        <v>220</v>
      </c>
      <c r="BU91" s="44"/>
      <c r="BV91" s="17"/>
      <c r="BW91" s="17"/>
      <c r="BX91" s="17"/>
      <c r="BY91" s="17"/>
      <c r="BZ91" s="17"/>
    </row>
    <row r="92">
      <c r="A92" s="18"/>
      <c r="B92" s="33" t="s">
        <v>117</v>
      </c>
      <c r="C92" s="19"/>
      <c r="D92" s="19" t="s">
        <v>221</v>
      </c>
      <c r="E92" s="73"/>
      <c r="F92" s="73"/>
      <c r="G92" s="73"/>
      <c r="H92" s="73"/>
      <c r="I92" s="73"/>
      <c r="J92" s="20">
        <f>J91</f>
        <v>12833333.33</v>
      </c>
      <c r="K92" s="20">
        <f t="shared" ref="K92:M92" si="117">K91+J92</f>
        <v>25666666.67</v>
      </c>
      <c r="L92" s="20">
        <f t="shared" si="117"/>
        <v>38500000</v>
      </c>
      <c r="M92" s="20">
        <f t="shared" si="117"/>
        <v>51333333.33</v>
      </c>
      <c r="N92" s="20">
        <f>N91</f>
        <v>11731182.8</v>
      </c>
      <c r="O92" s="20">
        <f t="shared" ref="O92:R92" si="118">O91+N92</f>
        <v>23021505.38</v>
      </c>
      <c r="P92" s="20">
        <f t="shared" si="118"/>
        <v>34311827.96</v>
      </c>
      <c r="Q92" s="20">
        <f t="shared" si="118"/>
        <v>45602150.54</v>
      </c>
      <c r="R92" s="20">
        <f t="shared" si="118"/>
        <v>57698924.73</v>
      </c>
      <c r="S92" s="20">
        <f>S91</f>
        <v>12419354.84</v>
      </c>
      <c r="T92" s="20">
        <f t="shared" ref="T92:V92" si="119">T91+S92</f>
        <v>24838709.68</v>
      </c>
      <c r="U92" s="20">
        <f t="shared" si="119"/>
        <v>37258064.52</v>
      </c>
      <c r="V92" s="20">
        <f t="shared" si="119"/>
        <v>49677419.35</v>
      </c>
      <c r="W92" s="20">
        <f>W91</f>
        <v>13548387.1</v>
      </c>
      <c r="X92" s="20">
        <f t="shared" ref="X92:Z92" si="120">X91+W92</f>
        <v>27096774.19</v>
      </c>
      <c r="Y92" s="20">
        <f t="shared" si="120"/>
        <v>40645161.29</v>
      </c>
      <c r="Z92" s="20">
        <f t="shared" si="120"/>
        <v>54193548.39</v>
      </c>
      <c r="AA92" s="20">
        <f>AA91</f>
        <v>14677419.35</v>
      </c>
      <c r="AB92" s="20">
        <f t="shared" ref="AB92:AE92" si="121">AB91+AA92</f>
        <v>29354838.71</v>
      </c>
      <c r="AC92" s="20">
        <f t="shared" si="121"/>
        <v>44032258.06</v>
      </c>
      <c r="AD92" s="20">
        <f t="shared" si="121"/>
        <v>58709677.42</v>
      </c>
      <c r="AE92" s="20">
        <f t="shared" si="121"/>
        <v>73387096.77</v>
      </c>
      <c r="AF92" s="20">
        <f>AF91</f>
        <v>14677419.35</v>
      </c>
      <c r="AG92" s="20">
        <f t="shared" ref="AG92:AI92" si="122">AG91+AF92</f>
        <v>29354838.71</v>
      </c>
      <c r="AH92" s="20">
        <f t="shared" si="122"/>
        <v>44032258.06</v>
      </c>
      <c r="AI92" s="20">
        <f t="shared" si="122"/>
        <v>58709677.42</v>
      </c>
      <c r="AJ92" s="20">
        <f>AJ91</f>
        <v>15806451.61</v>
      </c>
      <c r="AK92" s="20">
        <f t="shared" ref="AK92:AZ92" si="123">AK91+AJ92</f>
        <v>31612903.23</v>
      </c>
      <c r="AL92" s="20">
        <f t="shared" si="123"/>
        <v>47419354.84</v>
      </c>
      <c r="AM92" s="20">
        <f t="shared" si="123"/>
        <v>63225806.45</v>
      </c>
      <c r="AN92" s="20">
        <f t="shared" si="123"/>
        <v>79032258.06</v>
      </c>
      <c r="AO92" s="20">
        <f t="shared" si="123"/>
        <v>99354838.71</v>
      </c>
      <c r="AP92" s="20">
        <f t="shared" si="123"/>
        <v>119677419.4</v>
      </c>
      <c r="AQ92" s="20">
        <f t="shared" si="123"/>
        <v>140000000</v>
      </c>
      <c r="AR92" s="20">
        <f t="shared" si="123"/>
        <v>160322580.6</v>
      </c>
      <c r="AS92" s="20">
        <f t="shared" si="123"/>
        <v>180645161.3</v>
      </c>
      <c r="AT92" s="20">
        <f t="shared" si="123"/>
        <v>200967741.9</v>
      </c>
      <c r="AU92" s="20">
        <f t="shared" si="123"/>
        <v>221290322.6</v>
      </c>
      <c r="AV92" s="20">
        <f t="shared" si="123"/>
        <v>241612903.2</v>
      </c>
      <c r="AW92" s="20">
        <f t="shared" si="123"/>
        <v>257193548.4</v>
      </c>
      <c r="AX92" s="20">
        <f t="shared" si="123"/>
        <v>272774193.5</v>
      </c>
      <c r="AY92" s="20">
        <f t="shared" si="123"/>
        <v>288354838.7</v>
      </c>
      <c r="AZ92" s="20">
        <f t="shared" si="123"/>
        <v>303935483.9</v>
      </c>
      <c r="BA92" s="20">
        <f>BA91</f>
        <v>15580645.16</v>
      </c>
      <c r="BB92" s="20">
        <f t="shared" ref="BB92:BK92" si="124">BB91+BA92</f>
        <v>31387096.77</v>
      </c>
      <c r="BC92" s="20">
        <f t="shared" si="124"/>
        <v>47193548.39</v>
      </c>
      <c r="BD92" s="20">
        <f t="shared" si="124"/>
        <v>63000000</v>
      </c>
      <c r="BE92" s="20">
        <f t="shared" si="124"/>
        <v>78806451.61</v>
      </c>
      <c r="BF92" s="20">
        <f t="shared" si="124"/>
        <v>96419354.84</v>
      </c>
      <c r="BG92" s="20">
        <f t="shared" si="124"/>
        <v>114032258.1</v>
      </c>
      <c r="BH92" s="20">
        <f t="shared" si="124"/>
        <v>131645161.3</v>
      </c>
      <c r="BI92" s="20">
        <f t="shared" si="124"/>
        <v>149258064.5</v>
      </c>
      <c r="BJ92" s="20">
        <f t="shared" si="124"/>
        <v>166870967.7</v>
      </c>
      <c r="BK92" s="20">
        <f t="shared" si="124"/>
        <v>184483871</v>
      </c>
      <c r="BL92" s="20"/>
      <c r="BM92" s="20"/>
      <c r="BN92" s="20"/>
      <c r="BO92" s="20"/>
      <c r="BP92" s="20"/>
      <c r="BQ92" s="20"/>
      <c r="BR92" s="20"/>
      <c r="BS92" s="25"/>
      <c r="BT92" s="27" t="s">
        <v>124</v>
      </c>
      <c r="BU92" s="27"/>
      <c r="BV92" s="17"/>
      <c r="BW92" s="17"/>
      <c r="BX92" s="17"/>
      <c r="BY92" s="17"/>
      <c r="BZ92" s="17"/>
    </row>
    <row r="93">
      <c r="A93" s="18"/>
      <c r="B93" s="33" t="s">
        <v>117</v>
      </c>
      <c r="C93" s="19"/>
      <c r="D93" s="19" t="s">
        <v>222</v>
      </c>
      <c r="E93" s="73">
        <f>E91</f>
        <v>11989247.31</v>
      </c>
      <c r="F93" s="73">
        <f t="shared" ref="F93:I93" si="125">F91+E93</f>
        <v>24408602.15</v>
      </c>
      <c r="G93" s="73">
        <f t="shared" si="125"/>
        <v>36827956.99</v>
      </c>
      <c r="H93" s="73">
        <f t="shared" si="125"/>
        <v>49247311.83</v>
      </c>
      <c r="I93" s="73">
        <f t="shared" si="125"/>
        <v>61666666.67</v>
      </c>
      <c r="J93" s="73">
        <f>J91</f>
        <v>12833333.33</v>
      </c>
      <c r="K93" s="73">
        <f t="shared" ref="K93:M93" si="126">K91+J93</f>
        <v>25666666.67</v>
      </c>
      <c r="L93" s="73">
        <f t="shared" si="126"/>
        <v>38500000</v>
      </c>
      <c r="M93" s="73">
        <f t="shared" si="126"/>
        <v>51333333.33</v>
      </c>
      <c r="N93" s="73">
        <f>N91</f>
        <v>11731182.8</v>
      </c>
      <c r="O93" s="73">
        <f t="shared" ref="O93:R93" si="127">O91+N93</f>
        <v>23021505.38</v>
      </c>
      <c r="P93" s="73">
        <f t="shared" si="127"/>
        <v>34311827.96</v>
      </c>
      <c r="Q93" s="73">
        <f t="shared" si="127"/>
        <v>45602150.54</v>
      </c>
      <c r="R93" s="73">
        <f t="shared" si="127"/>
        <v>57698924.73</v>
      </c>
      <c r="S93" s="73">
        <f t="shared" ref="S93:BK93" si="128">S91</f>
        <v>12419354.84</v>
      </c>
      <c r="T93" s="73">
        <f t="shared" si="128"/>
        <v>12419354.84</v>
      </c>
      <c r="U93" s="73">
        <f t="shared" si="128"/>
        <v>12419354.84</v>
      </c>
      <c r="V93" s="73">
        <f t="shared" si="128"/>
        <v>12419354.84</v>
      </c>
      <c r="W93" s="73">
        <f t="shared" si="128"/>
        <v>13548387.1</v>
      </c>
      <c r="X93" s="73">
        <f t="shared" si="128"/>
        <v>13548387.1</v>
      </c>
      <c r="Y93" s="73">
        <f t="shared" si="128"/>
        <v>13548387.1</v>
      </c>
      <c r="Z93" s="73">
        <f t="shared" si="128"/>
        <v>13548387.1</v>
      </c>
      <c r="AA93" s="73">
        <f t="shared" si="128"/>
        <v>14677419.35</v>
      </c>
      <c r="AB93" s="73">
        <f t="shared" si="128"/>
        <v>14677419.35</v>
      </c>
      <c r="AC93" s="73">
        <f t="shared" si="128"/>
        <v>14677419.35</v>
      </c>
      <c r="AD93" s="73">
        <f t="shared" si="128"/>
        <v>14677419.35</v>
      </c>
      <c r="AE93" s="73">
        <f t="shared" si="128"/>
        <v>14677419.35</v>
      </c>
      <c r="AF93" s="73">
        <f t="shared" si="128"/>
        <v>14677419.35</v>
      </c>
      <c r="AG93" s="73">
        <f t="shared" si="128"/>
        <v>14677419.35</v>
      </c>
      <c r="AH93" s="73">
        <f t="shared" si="128"/>
        <v>14677419.35</v>
      </c>
      <c r="AI93" s="73">
        <f t="shared" si="128"/>
        <v>14677419.35</v>
      </c>
      <c r="AJ93" s="73">
        <f t="shared" si="128"/>
        <v>15806451.61</v>
      </c>
      <c r="AK93" s="73">
        <f t="shared" si="128"/>
        <v>15806451.61</v>
      </c>
      <c r="AL93" s="73">
        <f t="shared" si="128"/>
        <v>15806451.61</v>
      </c>
      <c r="AM93" s="73">
        <f t="shared" si="128"/>
        <v>15806451.61</v>
      </c>
      <c r="AN93" s="73">
        <f t="shared" si="128"/>
        <v>15806451.61</v>
      </c>
      <c r="AO93" s="73">
        <f t="shared" si="128"/>
        <v>20322580.65</v>
      </c>
      <c r="AP93" s="73">
        <f t="shared" si="128"/>
        <v>20322580.65</v>
      </c>
      <c r="AQ93" s="73">
        <f t="shared" si="128"/>
        <v>20322580.65</v>
      </c>
      <c r="AR93" s="73">
        <f t="shared" si="128"/>
        <v>20322580.65</v>
      </c>
      <c r="AS93" s="73">
        <f t="shared" si="128"/>
        <v>20322580.65</v>
      </c>
      <c r="AT93" s="73">
        <f t="shared" si="128"/>
        <v>20322580.65</v>
      </c>
      <c r="AU93" s="73">
        <f t="shared" si="128"/>
        <v>20322580.65</v>
      </c>
      <c r="AV93" s="73">
        <f t="shared" si="128"/>
        <v>20322580.65</v>
      </c>
      <c r="AW93" s="73">
        <f t="shared" si="128"/>
        <v>15580645.16</v>
      </c>
      <c r="AX93" s="73">
        <f t="shared" si="128"/>
        <v>15580645.16</v>
      </c>
      <c r="AY93" s="73">
        <f t="shared" si="128"/>
        <v>15580645.16</v>
      </c>
      <c r="AZ93" s="73">
        <f t="shared" si="128"/>
        <v>15580645.16</v>
      </c>
      <c r="BA93" s="73">
        <f t="shared" si="128"/>
        <v>15580645.16</v>
      </c>
      <c r="BB93" s="73">
        <f t="shared" si="128"/>
        <v>15806451.61</v>
      </c>
      <c r="BC93" s="73">
        <f t="shared" si="128"/>
        <v>15806451.61</v>
      </c>
      <c r="BD93" s="73">
        <f t="shared" si="128"/>
        <v>15806451.61</v>
      </c>
      <c r="BE93" s="73">
        <f t="shared" si="128"/>
        <v>15806451.61</v>
      </c>
      <c r="BF93" s="73">
        <f t="shared" si="128"/>
        <v>17612903.23</v>
      </c>
      <c r="BG93" s="73">
        <f t="shared" si="128"/>
        <v>17612903.23</v>
      </c>
      <c r="BH93" s="73">
        <f t="shared" si="128"/>
        <v>17612903.23</v>
      </c>
      <c r="BI93" s="73">
        <f t="shared" si="128"/>
        <v>17612903.23</v>
      </c>
      <c r="BJ93" s="73">
        <f t="shared" si="128"/>
        <v>17612903.23</v>
      </c>
      <c r="BK93" s="73">
        <f t="shared" si="128"/>
        <v>17612903.23</v>
      </c>
      <c r="BL93" s="73"/>
      <c r="BM93" s="73"/>
      <c r="BN93" s="73"/>
      <c r="BO93" s="73"/>
      <c r="BP93" s="73"/>
      <c r="BQ93" s="73"/>
      <c r="BR93" s="73"/>
      <c r="BS93" s="25"/>
      <c r="BT93" s="27" t="s">
        <v>124</v>
      </c>
      <c r="BU93" s="27"/>
      <c r="BV93" s="17"/>
      <c r="BW93" s="17"/>
      <c r="BX93" s="17"/>
      <c r="BY93" s="17"/>
      <c r="BZ93" s="17"/>
    </row>
    <row r="94">
      <c r="A94" s="3"/>
      <c r="B94" s="33" t="s">
        <v>117</v>
      </c>
      <c r="C94" s="12"/>
      <c r="D94" s="12" t="s">
        <v>223</v>
      </c>
      <c r="E94" s="78">
        <f t="shared" ref="E94:BK94" si="129">E4/E91</f>
        <v>0.8769168428</v>
      </c>
      <c r="F94" s="78">
        <f t="shared" si="129"/>
        <v>0.8997573662</v>
      </c>
      <c r="G94" s="78">
        <f t="shared" si="129"/>
        <v>0.9179827091</v>
      </c>
      <c r="H94" s="78">
        <f t="shared" si="129"/>
        <v>1.00956299</v>
      </c>
      <c r="I94" s="78">
        <f t="shared" si="129"/>
        <v>1.027494839</v>
      </c>
      <c r="J94" s="78">
        <f t="shared" si="129"/>
        <v>0.8931924296</v>
      </c>
      <c r="K94" s="78">
        <f t="shared" si="129"/>
        <v>0.9241226283</v>
      </c>
      <c r="L94" s="78">
        <f t="shared" si="129"/>
        <v>0.9134996197</v>
      </c>
      <c r="M94" s="78">
        <f t="shared" si="129"/>
        <v>0.8514702857</v>
      </c>
      <c r="N94" s="78">
        <f t="shared" si="129"/>
        <v>1.019998086</v>
      </c>
      <c r="O94" s="78">
        <f t="shared" si="129"/>
        <v>1.22678098</v>
      </c>
      <c r="P94" s="78">
        <f t="shared" si="129"/>
        <v>1.083652829</v>
      </c>
      <c r="Q94" s="78">
        <f t="shared" si="129"/>
        <v>1.040011029</v>
      </c>
      <c r="R94" s="78">
        <f t="shared" si="129"/>
        <v>0.9864567437</v>
      </c>
      <c r="S94" s="78">
        <f t="shared" si="129"/>
        <v>0.9383148442</v>
      </c>
      <c r="T94" s="78">
        <f t="shared" si="129"/>
        <v>1.02330622</v>
      </c>
      <c r="U94" s="78">
        <f t="shared" si="129"/>
        <v>1.03367334</v>
      </c>
      <c r="V94" s="78">
        <f t="shared" si="129"/>
        <v>1.057621525</v>
      </c>
      <c r="W94" s="78">
        <f t="shared" si="129"/>
        <v>0.9005303667</v>
      </c>
      <c r="X94" s="78">
        <f t="shared" si="129"/>
        <v>1.01767944</v>
      </c>
      <c r="Y94" s="78">
        <f t="shared" si="129"/>
        <v>1.076867371</v>
      </c>
      <c r="Z94" s="78">
        <f t="shared" si="129"/>
        <v>1.0287381</v>
      </c>
      <c r="AA94" s="78">
        <f t="shared" si="129"/>
        <v>0.9285291692</v>
      </c>
      <c r="AB94" s="78">
        <f t="shared" si="129"/>
        <v>0.8076916462</v>
      </c>
      <c r="AC94" s="78">
        <f t="shared" si="129"/>
        <v>0.8667656549</v>
      </c>
      <c r="AD94" s="78">
        <f t="shared" si="129"/>
        <v>0.9037173143</v>
      </c>
      <c r="AE94" s="78">
        <f t="shared" si="129"/>
        <v>0.946240389</v>
      </c>
      <c r="AF94" s="78">
        <f t="shared" si="129"/>
        <v>0.8987891319</v>
      </c>
      <c r="AG94" s="78">
        <f t="shared" si="129"/>
        <v>0.9636668857</v>
      </c>
      <c r="AH94" s="78">
        <f t="shared" si="129"/>
        <v>1.110398266</v>
      </c>
      <c r="AI94" s="78">
        <f t="shared" si="129"/>
        <v>0.9891523604</v>
      </c>
      <c r="AJ94" s="78">
        <f t="shared" si="129"/>
        <v>0.9362918612</v>
      </c>
      <c r="AK94" s="78">
        <f t="shared" si="129"/>
        <v>1.007608753</v>
      </c>
      <c r="AL94" s="78">
        <f t="shared" si="129"/>
        <v>1.025543329</v>
      </c>
      <c r="AM94" s="78">
        <f t="shared" si="129"/>
        <v>0.9543492347</v>
      </c>
      <c r="AN94" s="78">
        <f t="shared" si="129"/>
        <v>0.9813267</v>
      </c>
      <c r="AO94" s="78">
        <f t="shared" si="129"/>
        <v>0.9189330984</v>
      </c>
      <c r="AP94" s="78">
        <f t="shared" si="129"/>
        <v>0.9363821127</v>
      </c>
      <c r="AQ94" s="78">
        <f t="shared" si="129"/>
        <v>0.9375414143</v>
      </c>
      <c r="AR94" s="78">
        <f t="shared" si="129"/>
        <v>0.9877870508</v>
      </c>
      <c r="AS94" s="78">
        <f t="shared" si="129"/>
        <v>1.013473791</v>
      </c>
      <c r="AT94" s="78">
        <f t="shared" si="129"/>
        <v>0.9358969238</v>
      </c>
      <c r="AU94" s="78">
        <f t="shared" si="129"/>
        <v>0.9798040587</v>
      </c>
      <c r="AV94" s="78">
        <f t="shared" si="129"/>
        <v>0.9509242127</v>
      </c>
      <c r="AW94" s="78">
        <f t="shared" si="129"/>
        <v>0.9599455507</v>
      </c>
      <c r="AX94" s="78">
        <f t="shared" si="129"/>
        <v>1.038345513</v>
      </c>
      <c r="AY94" s="78">
        <f t="shared" si="129"/>
        <v>1.116630141</v>
      </c>
      <c r="AZ94" s="78">
        <f t="shared" si="129"/>
        <v>1.069308352</v>
      </c>
      <c r="BA94" s="78">
        <f t="shared" si="129"/>
        <v>1.065375909</v>
      </c>
      <c r="BB94" s="78">
        <f t="shared" si="129"/>
        <v>0.9689539382</v>
      </c>
      <c r="BC94" s="78">
        <f t="shared" si="129"/>
        <v>0.9973624306</v>
      </c>
      <c r="BD94" s="78">
        <f t="shared" si="129"/>
        <v>1.117354763</v>
      </c>
      <c r="BE94" s="78">
        <f t="shared" si="129"/>
        <v>0.9638001224</v>
      </c>
      <c r="BF94" s="78">
        <f t="shared" si="129"/>
        <v>0.7928366392</v>
      </c>
      <c r="BG94" s="78">
        <f t="shared" si="129"/>
        <v>0.9222722706</v>
      </c>
      <c r="BH94" s="78">
        <f t="shared" si="129"/>
        <v>1.022733718</v>
      </c>
      <c r="BI94" s="78">
        <f t="shared" si="129"/>
        <v>0.9324058498</v>
      </c>
      <c r="BJ94" s="78">
        <f t="shared" si="129"/>
        <v>0.868461707</v>
      </c>
      <c r="BK94" s="78">
        <f t="shared" si="129"/>
        <v>0.960177478</v>
      </c>
      <c r="BL94" s="78"/>
      <c r="BM94" s="78"/>
      <c r="BN94" s="78"/>
      <c r="BO94" s="78"/>
      <c r="BP94" s="78"/>
      <c r="BQ94" s="78"/>
      <c r="BR94" s="78"/>
      <c r="BS94" s="25"/>
      <c r="BT94" s="27" t="s">
        <v>124</v>
      </c>
      <c r="BU94" s="27"/>
      <c r="BV94" s="1"/>
      <c r="BW94" s="1"/>
      <c r="BX94" s="1"/>
      <c r="BY94" s="1"/>
      <c r="BZ94" s="1"/>
    </row>
    <row r="95">
      <c r="A95" s="3"/>
      <c r="B95" s="33" t="s">
        <v>117</v>
      </c>
      <c r="C95" s="12"/>
      <c r="D95" s="12" t="s">
        <v>224</v>
      </c>
      <c r="E95" s="78">
        <f t="shared" ref="E95:BK95" si="130">E5/E93</f>
        <v>0.8769168428</v>
      </c>
      <c r="F95" s="78">
        <f t="shared" si="130"/>
        <v>0.8885383426</v>
      </c>
      <c r="G95" s="78">
        <f t="shared" si="130"/>
        <v>0.8984677567</v>
      </c>
      <c r="H95" s="78">
        <f t="shared" si="130"/>
        <v>0.9264841309</v>
      </c>
      <c r="I95" s="78">
        <f t="shared" si="130"/>
        <v>0.9468271768</v>
      </c>
      <c r="J95" s="78">
        <f t="shared" si="130"/>
        <v>0.8931924296</v>
      </c>
      <c r="K95" s="78">
        <f t="shared" si="130"/>
        <v>0.908657529</v>
      </c>
      <c r="L95" s="78">
        <f t="shared" si="130"/>
        <v>0.9102715592</v>
      </c>
      <c r="M95" s="78">
        <f t="shared" si="130"/>
        <v>0.8955712408</v>
      </c>
      <c r="N95" s="78">
        <f t="shared" si="130"/>
        <v>1.019998086</v>
      </c>
      <c r="O95" s="78">
        <f t="shared" si="130"/>
        <v>1.121409594</v>
      </c>
      <c r="P95" s="78">
        <f t="shared" si="130"/>
        <v>1.108985713</v>
      </c>
      <c r="Q95" s="78">
        <f t="shared" si="130"/>
        <v>1.091908746</v>
      </c>
      <c r="R95" s="78">
        <f t="shared" si="130"/>
        <v>1.069800378</v>
      </c>
      <c r="S95" s="78">
        <f t="shared" si="130"/>
        <v>0.9383148442</v>
      </c>
      <c r="T95" s="78">
        <f t="shared" si="130"/>
        <v>1.961621065</v>
      </c>
      <c r="U95" s="78">
        <f t="shared" si="130"/>
        <v>2.995294405</v>
      </c>
      <c r="V95" s="78">
        <f t="shared" si="130"/>
        <v>4.05291593</v>
      </c>
      <c r="W95" s="78">
        <f t="shared" si="130"/>
        <v>0.9005303667</v>
      </c>
      <c r="X95" s="78">
        <f t="shared" si="130"/>
        <v>1.918209807</v>
      </c>
      <c r="Y95" s="78">
        <f t="shared" si="130"/>
        <v>2.995077179</v>
      </c>
      <c r="Z95" s="78">
        <f t="shared" si="130"/>
        <v>4.023815279</v>
      </c>
      <c r="AA95" s="78">
        <f t="shared" si="130"/>
        <v>0.9285291692</v>
      </c>
      <c r="AB95" s="78">
        <f t="shared" si="130"/>
        <v>1.736220815</v>
      </c>
      <c r="AC95" s="78">
        <f t="shared" si="130"/>
        <v>2.60298647</v>
      </c>
      <c r="AD95" s="78">
        <f t="shared" si="130"/>
        <v>3.506703785</v>
      </c>
      <c r="AE95" s="78">
        <f t="shared" si="130"/>
        <v>4.452944174</v>
      </c>
      <c r="AF95" s="78">
        <f t="shared" si="130"/>
        <v>0.8987891319</v>
      </c>
      <c r="AG95" s="78">
        <f t="shared" si="130"/>
        <v>1.862456018</v>
      </c>
      <c r="AH95" s="78">
        <f t="shared" si="130"/>
        <v>2.972854284</v>
      </c>
      <c r="AI95" s="78">
        <f t="shared" si="130"/>
        <v>3.962006644</v>
      </c>
      <c r="AJ95" s="78">
        <f t="shared" si="130"/>
        <v>0.9362918612</v>
      </c>
      <c r="AK95" s="78">
        <f t="shared" si="130"/>
        <v>1.943900614</v>
      </c>
      <c r="AL95" s="78">
        <f t="shared" si="130"/>
        <v>2.969443943</v>
      </c>
      <c r="AM95" s="78">
        <f t="shared" si="130"/>
        <v>3.923793178</v>
      </c>
      <c r="AN95" s="78">
        <f t="shared" si="130"/>
        <v>0.9813267</v>
      </c>
      <c r="AO95" s="78">
        <f t="shared" si="130"/>
        <v>1.682187198</v>
      </c>
      <c r="AP95" s="78">
        <f t="shared" si="130"/>
        <v>2.618569311</v>
      </c>
      <c r="AQ95" s="78">
        <f t="shared" si="130"/>
        <v>3.556110725</v>
      </c>
      <c r="AR95" s="78">
        <f t="shared" si="130"/>
        <v>4.543897776</v>
      </c>
      <c r="AS95" s="78">
        <f t="shared" si="130"/>
        <v>1.013473791</v>
      </c>
      <c r="AT95" s="78">
        <f t="shared" si="130"/>
        <v>1.949370714</v>
      </c>
      <c r="AU95" s="78">
        <f t="shared" si="130"/>
        <v>2.929174773</v>
      </c>
      <c r="AV95" s="78">
        <f t="shared" si="130"/>
        <v>3.880098986</v>
      </c>
      <c r="AW95" s="78">
        <f t="shared" si="130"/>
        <v>0.9599455507</v>
      </c>
      <c r="AX95" s="78">
        <f t="shared" si="130"/>
        <v>1.998291064</v>
      </c>
      <c r="AY95" s="78">
        <f t="shared" si="130"/>
        <v>3.114921205</v>
      </c>
      <c r="AZ95" s="78">
        <f t="shared" si="130"/>
        <v>4.184229557</v>
      </c>
      <c r="BA95" s="78">
        <f t="shared" si="130"/>
        <v>5.249605466</v>
      </c>
      <c r="BB95" s="78">
        <f t="shared" si="130"/>
        <v>0.9689539382</v>
      </c>
      <c r="BC95" s="78">
        <f t="shared" si="130"/>
        <v>1.966316369</v>
      </c>
      <c r="BD95" s="78">
        <f t="shared" si="130"/>
        <v>3.083671132</v>
      </c>
      <c r="BE95" s="78">
        <f t="shared" si="130"/>
        <v>4.047471255</v>
      </c>
      <c r="BF95" s="78">
        <f t="shared" si="130"/>
        <v>0.7928366392</v>
      </c>
      <c r="BG95" s="78">
        <f t="shared" si="130"/>
        <v>1.71510891</v>
      </c>
      <c r="BH95" s="78">
        <f t="shared" si="130"/>
        <v>2.737842628</v>
      </c>
      <c r="BI95" s="78">
        <f t="shared" si="130"/>
        <v>3.670248478</v>
      </c>
      <c r="BJ95" s="78">
        <f t="shared" si="130"/>
        <v>0.868461707</v>
      </c>
      <c r="BK95" s="78">
        <f t="shared" si="130"/>
        <v>1.828639185</v>
      </c>
      <c r="BL95" s="78"/>
      <c r="BM95" s="78"/>
      <c r="BN95" s="78"/>
      <c r="BO95" s="78"/>
      <c r="BP95" s="78"/>
      <c r="BQ95" s="78"/>
      <c r="BR95" s="78"/>
      <c r="BS95" s="25"/>
      <c r="BT95" s="27" t="s">
        <v>124</v>
      </c>
      <c r="BU95" s="27"/>
      <c r="BV95" s="1"/>
      <c r="BW95" s="1"/>
      <c r="BX95" s="1"/>
      <c r="BY95" s="1"/>
      <c r="BZ95" s="1"/>
    </row>
    <row r="96">
      <c r="A96" s="18"/>
      <c r="B96" s="33" t="s">
        <v>117</v>
      </c>
      <c r="C96" s="18"/>
      <c r="D96" s="18"/>
      <c r="E96" s="20"/>
      <c r="F96" s="20"/>
      <c r="G96" s="20"/>
      <c r="H96" s="20"/>
      <c r="I96" s="73"/>
      <c r="J96" s="73"/>
      <c r="K96" s="73"/>
      <c r="L96" s="17"/>
      <c r="M96" s="18"/>
      <c r="N96" s="20"/>
      <c r="O96" s="18"/>
      <c r="P96" s="82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3"/>
      <c r="BT96" s="9"/>
      <c r="BU96" s="9"/>
      <c r="BV96" s="17"/>
      <c r="BW96" s="17"/>
      <c r="BX96" s="17"/>
      <c r="BY96" s="17"/>
      <c r="BZ96" s="17"/>
    </row>
    <row r="97">
      <c r="A97" s="18"/>
      <c r="B97" s="33" t="s">
        <v>117</v>
      </c>
      <c r="C97" s="18"/>
      <c r="D97" s="18"/>
      <c r="E97" s="20"/>
      <c r="F97" s="20"/>
      <c r="G97" s="20"/>
      <c r="H97" s="20"/>
      <c r="I97" s="73"/>
      <c r="J97" s="73"/>
      <c r="K97" s="73"/>
      <c r="L97" s="17"/>
      <c r="M97" s="18"/>
      <c r="N97" s="20"/>
      <c r="O97" s="18"/>
      <c r="P97" s="82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3"/>
      <c r="BT97" s="9"/>
      <c r="BU97" s="9"/>
      <c r="BV97" s="17"/>
      <c r="BW97" s="17"/>
      <c r="BX97" s="17"/>
      <c r="BY97" s="17"/>
      <c r="BZ97" s="17"/>
    </row>
    <row r="98">
      <c r="A98" s="18"/>
      <c r="B98" s="33" t="s">
        <v>117</v>
      </c>
      <c r="C98" s="18"/>
      <c r="D98" s="18"/>
      <c r="E98" s="20"/>
      <c r="F98" s="20"/>
      <c r="G98" s="20"/>
      <c r="H98" s="20"/>
      <c r="I98" s="73"/>
      <c r="J98" s="73"/>
      <c r="K98" s="73"/>
      <c r="L98" s="17"/>
      <c r="M98" s="18"/>
      <c r="N98" s="20"/>
      <c r="O98" s="18"/>
      <c r="P98" s="82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3"/>
      <c r="BT98" s="9"/>
      <c r="BU98" s="9"/>
      <c r="BV98" s="17"/>
      <c r="BW98" s="17"/>
      <c r="BX98" s="17"/>
      <c r="BY98" s="17"/>
      <c r="BZ98" s="17"/>
    </row>
    <row r="99">
      <c r="A99" s="18"/>
      <c r="B99" s="33" t="s">
        <v>117</v>
      </c>
      <c r="C99" s="19"/>
      <c r="D99" s="19" t="s">
        <v>225</v>
      </c>
      <c r="E99" s="20"/>
      <c r="F99" s="20"/>
      <c r="G99" s="20"/>
      <c r="H99" s="20"/>
      <c r="I99" s="73"/>
      <c r="J99" s="73"/>
      <c r="K99" s="73"/>
      <c r="L99" s="17"/>
      <c r="M99" s="18">
        <v>1635281.0</v>
      </c>
      <c r="N99" s="20">
        <v>2150401.0</v>
      </c>
      <c r="O99" s="18">
        <v>2475829.0</v>
      </c>
      <c r="P99" s="82" t="s">
        <v>226</v>
      </c>
      <c r="Q99" s="18">
        <v>2420497.0</v>
      </c>
      <c r="R99" s="18">
        <v>2811220.0</v>
      </c>
      <c r="S99" s="18">
        <v>2681003.0</v>
      </c>
      <c r="T99" s="18">
        <v>3570851.0</v>
      </c>
      <c r="U99" s="18">
        <v>3570851.0</v>
      </c>
      <c r="V99" s="18">
        <f>2637865+730086</f>
        <v>3367951</v>
      </c>
      <c r="W99" s="18">
        <v>3151745.0</v>
      </c>
      <c r="X99" s="18">
        <v>3563834.0</v>
      </c>
      <c r="Y99" s="18">
        <v>3753569.0</v>
      </c>
      <c r="Z99" s="18">
        <v>3676696.0</v>
      </c>
      <c r="AA99" s="18">
        <v>3032178.0</v>
      </c>
      <c r="AB99" s="18">
        <v>4051080.0</v>
      </c>
      <c r="AC99" s="18">
        <v>3274684.0</v>
      </c>
      <c r="AD99" s="18">
        <v>3918914.0</v>
      </c>
      <c r="AE99" s="18">
        <v>4030876.0</v>
      </c>
      <c r="AF99" s="18">
        <v>4264375.0</v>
      </c>
      <c r="AG99" s="18">
        <v>5924753.0</v>
      </c>
      <c r="AH99" s="18">
        <v>5959771.0</v>
      </c>
      <c r="AI99" s="18">
        <f t="shared" ref="AI99:AY99" si="131">AI32</f>
        <v>4873911</v>
      </c>
      <c r="AJ99" s="18">
        <f t="shared" si="131"/>
        <v>6538914</v>
      </c>
      <c r="AK99" s="18">
        <f t="shared" si="131"/>
        <v>5932909</v>
      </c>
      <c r="AL99" s="18">
        <f t="shared" si="131"/>
        <v>5673113</v>
      </c>
      <c r="AM99" s="18">
        <f t="shared" si="131"/>
        <v>6271943</v>
      </c>
      <c r="AN99" s="18">
        <f t="shared" si="131"/>
        <v>6637788</v>
      </c>
      <c r="AO99" s="18">
        <f t="shared" si="131"/>
        <v>6617881</v>
      </c>
      <c r="AP99" s="18">
        <f t="shared" si="131"/>
        <v>7138451</v>
      </c>
      <c r="AQ99" s="18">
        <f t="shared" si="131"/>
        <v>7201736</v>
      </c>
      <c r="AR99" s="18">
        <f t="shared" si="131"/>
        <v>8130174</v>
      </c>
      <c r="AS99" s="18">
        <f t="shared" si="131"/>
        <v>7610324</v>
      </c>
      <c r="AT99" s="18">
        <f t="shared" si="131"/>
        <v>8835319</v>
      </c>
      <c r="AU99" s="18">
        <f t="shared" si="131"/>
        <v>9601943</v>
      </c>
      <c r="AV99" s="18">
        <f t="shared" si="131"/>
        <v>8568888</v>
      </c>
      <c r="AW99" s="18">
        <f t="shared" si="131"/>
        <v>6634167</v>
      </c>
      <c r="AX99" s="18">
        <f t="shared" si="131"/>
        <v>7163713</v>
      </c>
      <c r="AY99" s="18">
        <f t="shared" si="131"/>
        <v>8267555</v>
      </c>
      <c r="AZ99" s="18">
        <v>8328793.0</v>
      </c>
      <c r="BA99" s="18">
        <v>6778111.0</v>
      </c>
      <c r="BB99" s="18">
        <v>5535366.0</v>
      </c>
      <c r="BC99" s="18">
        <v>7383081.0</v>
      </c>
      <c r="BD99" s="18">
        <v>5739191.0</v>
      </c>
      <c r="BE99" s="18">
        <v>6683276.0</v>
      </c>
      <c r="BF99" s="18">
        <v>4962291.0</v>
      </c>
      <c r="BG99" s="18">
        <v>6401606.0</v>
      </c>
      <c r="BH99" s="18">
        <f>6613877+2588120</f>
        <v>9201997</v>
      </c>
      <c r="BI99" s="18">
        <f t="shared" ref="BI99:BK99" si="132">BI32</f>
        <v>6483194</v>
      </c>
      <c r="BJ99" s="18">
        <f t="shared" si="132"/>
        <v>7750493</v>
      </c>
      <c r="BK99" s="18">
        <f t="shared" si="132"/>
        <v>7203338</v>
      </c>
      <c r="BL99" s="18"/>
      <c r="BM99" s="18"/>
      <c r="BN99" s="18"/>
      <c r="BO99" s="18"/>
      <c r="BP99" s="18"/>
      <c r="BQ99" s="18"/>
      <c r="BR99" s="18"/>
      <c r="BS99" s="3"/>
      <c r="BT99" s="60" t="s">
        <v>152</v>
      </c>
      <c r="BU99" s="9"/>
      <c r="BV99" s="17"/>
      <c r="BW99" s="17"/>
      <c r="BX99" s="17"/>
      <c r="BY99" s="17"/>
      <c r="BZ99" s="17"/>
    </row>
    <row r="100">
      <c r="A100" s="3"/>
      <c r="B100" s="18" t="s">
        <v>117</v>
      </c>
      <c r="C100" s="19"/>
      <c r="D100" s="19" t="s">
        <v>227</v>
      </c>
      <c r="E100" s="2"/>
      <c r="F100" s="2"/>
      <c r="G100" s="2"/>
      <c r="H100" s="2"/>
      <c r="I100" s="14"/>
      <c r="J100" s="14"/>
      <c r="K100" s="14"/>
      <c r="L100" s="1"/>
      <c r="M100" s="18">
        <v>4571864.0</v>
      </c>
      <c r="N100" s="18">
        <v>3591791.0</v>
      </c>
      <c r="O100" s="18">
        <v>3029778.0</v>
      </c>
      <c r="P100" s="83" t="s">
        <v>228</v>
      </c>
      <c r="Q100" s="18">
        <v>3381701.0</v>
      </c>
      <c r="R100" s="18">
        <v>4645214.0</v>
      </c>
      <c r="S100" s="18">
        <v>4327400.0</v>
      </c>
      <c r="T100" s="18">
        <v>4910827.0</v>
      </c>
      <c r="U100" s="18">
        <v>4910827.0</v>
      </c>
      <c r="V100" s="18">
        <v>3793132.0</v>
      </c>
      <c r="W100" s="18">
        <v>4379260.0</v>
      </c>
      <c r="X100" s="18">
        <v>4353128.0</v>
      </c>
      <c r="Y100" s="18">
        <v>4909352.0</v>
      </c>
      <c r="Z100" s="18">
        <v>4614052.0</v>
      </c>
      <c r="AA100" s="18">
        <v>3458733.0</v>
      </c>
      <c r="AB100" s="18">
        <v>3181155.0</v>
      </c>
      <c r="AC100" s="18">
        <v>2963701.0</v>
      </c>
      <c r="AD100" s="18">
        <v>4477758.0</v>
      </c>
      <c r="AE100" s="18">
        <v>2821684.0</v>
      </c>
      <c r="AF100" s="18">
        <v>1664897.0</v>
      </c>
      <c r="AG100" s="18">
        <v>1579208.0</v>
      </c>
      <c r="AH100" s="18">
        <v>902471.0</v>
      </c>
      <c r="AI100" s="18">
        <f t="shared" ref="AI100:AY100" si="133">AI33</f>
        <v>863636</v>
      </c>
      <c r="AJ100" s="18">
        <f t="shared" si="133"/>
        <v>1395083</v>
      </c>
      <c r="AK100" s="18">
        <f t="shared" si="133"/>
        <v>1914867</v>
      </c>
      <c r="AL100" s="18">
        <f t="shared" si="133"/>
        <v>1498761</v>
      </c>
      <c r="AM100" s="18">
        <f t="shared" si="133"/>
        <v>989974</v>
      </c>
      <c r="AN100" s="18">
        <f t="shared" si="133"/>
        <v>2276577</v>
      </c>
      <c r="AO100" s="18">
        <f t="shared" si="133"/>
        <v>2907506</v>
      </c>
      <c r="AP100" s="18">
        <f t="shared" si="133"/>
        <v>4179527</v>
      </c>
      <c r="AQ100" s="18">
        <f t="shared" si="133"/>
        <v>3703535</v>
      </c>
      <c r="AR100" s="18">
        <f t="shared" si="133"/>
        <v>2783525</v>
      </c>
      <c r="AS100" s="18">
        <f t="shared" si="133"/>
        <v>3100533</v>
      </c>
      <c r="AT100" s="18">
        <f t="shared" si="133"/>
        <v>1713200</v>
      </c>
      <c r="AU100" s="18">
        <f t="shared" si="133"/>
        <v>688932</v>
      </c>
      <c r="AV100" s="18">
        <f t="shared" si="133"/>
        <v>507998</v>
      </c>
      <c r="AW100" s="18">
        <f t="shared" si="133"/>
        <v>150773</v>
      </c>
      <c r="AX100" s="18">
        <f t="shared" si="133"/>
        <v>175309</v>
      </c>
      <c r="AY100" s="18">
        <f t="shared" si="133"/>
        <v>54390</v>
      </c>
      <c r="AZ100" s="18">
        <v>93168.0</v>
      </c>
      <c r="BA100" s="18">
        <v>655418.0</v>
      </c>
      <c r="BB100" s="18">
        <v>2394622.0</v>
      </c>
      <c r="BC100" s="18">
        <v>2152650.0</v>
      </c>
      <c r="BD100" s="18">
        <v>1078626.0</v>
      </c>
      <c r="BE100" s="18">
        <v>953921.0</v>
      </c>
      <c r="BF100" s="18">
        <v>2895843.0</v>
      </c>
      <c r="BG100" s="18">
        <v>2407191.0</v>
      </c>
      <c r="BH100" s="18">
        <v>958772.0</v>
      </c>
      <c r="BI100" s="18">
        <f t="shared" ref="BI100:BK100" si="134">BI33</f>
        <v>1003216</v>
      </c>
      <c r="BJ100" s="18">
        <f t="shared" si="134"/>
        <v>1109870</v>
      </c>
      <c r="BK100" s="18">
        <f t="shared" si="134"/>
        <v>334027</v>
      </c>
      <c r="BL100" s="18"/>
      <c r="BM100" s="18"/>
      <c r="BN100" s="18"/>
      <c r="BO100" s="18"/>
      <c r="BP100" s="18"/>
      <c r="BQ100" s="18"/>
      <c r="BR100" s="18"/>
      <c r="BS100" s="3"/>
      <c r="BT100" s="60" t="s">
        <v>152</v>
      </c>
      <c r="BU100" s="9"/>
      <c r="BV100" s="1"/>
      <c r="BW100" s="1"/>
      <c r="BX100" s="1"/>
      <c r="BY100" s="1"/>
      <c r="BZ100" s="1"/>
    </row>
    <row r="101">
      <c r="A101" s="84"/>
      <c r="B101" s="85" t="s">
        <v>117</v>
      </c>
      <c r="C101" s="84"/>
      <c r="D101" s="84" t="s">
        <v>229</v>
      </c>
      <c r="E101" s="86"/>
      <c r="F101" s="86"/>
      <c r="G101" s="86"/>
      <c r="H101" s="86"/>
      <c r="I101" s="87"/>
      <c r="J101" s="87"/>
      <c r="K101" s="87"/>
      <c r="L101" s="88"/>
      <c r="M101" s="88"/>
      <c r="N101" s="88"/>
      <c r="O101" s="88"/>
      <c r="P101" s="89"/>
      <c r="Q101" s="89"/>
      <c r="R101" s="89">
        <v>2.145031362E8</v>
      </c>
      <c r="S101" s="89">
        <f>231311567+195958565</f>
        <v>427270132</v>
      </c>
      <c r="T101" s="89">
        <f>248154285+206639078</f>
        <v>454793363</v>
      </c>
      <c r="U101" s="89">
        <f>225283507+185552731</f>
        <v>410836238</v>
      </c>
      <c r="V101" s="90">
        <f>237640555+199821222</f>
        <v>437461777</v>
      </c>
      <c r="W101" s="90">
        <f>271242910+223405036</f>
        <v>494647946</v>
      </c>
      <c r="X101" s="90">
        <f>276382183+236194322</f>
        <v>512576505</v>
      </c>
      <c r="Y101" s="90">
        <f>223388403+222714766</f>
        <v>446103169</v>
      </c>
      <c r="Z101" s="90">
        <f>265433927+225864695</f>
        <v>491298622</v>
      </c>
      <c r="AA101" s="90">
        <f>230928023+203231232</f>
        <v>434159255</v>
      </c>
      <c r="AB101" s="90">
        <f>187979691+155554014</f>
        <v>343533705</v>
      </c>
      <c r="AC101" s="90">
        <f>193252205+150294170</f>
        <v>343546375</v>
      </c>
      <c r="AD101" s="90">
        <f>184829863+152558000</f>
        <v>337387863</v>
      </c>
      <c r="AE101" s="90">
        <f>184461091+149459193</f>
        <v>333920284</v>
      </c>
      <c r="AF101" s="90">
        <f>193177862+156688099</f>
        <v>349865961</v>
      </c>
      <c r="AG101" s="90">
        <f>210916642+161288863</f>
        <v>372205505</v>
      </c>
      <c r="AH101" s="90">
        <f>158769036+204389712</f>
        <v>363158748</v>
      </c>
      <c r="AI101" s="90">
        <f>166071534+194790763</f>
        <v>360862297</v>
      </c>
      <c r="AJ101" s="90">
        <f>184644828+213097514</f>
        <v>397742342</v>
      </c>
      <c r="AK101" s="90">
        <v>3.94562643E8</v>
      </c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84"/>
      <c r="BT101" s="91" t="s">
        <v>230</v>
      </c>
      <c r="BU101" s="91"/>
      <c r="BV101" s="88"/>
      <c r="BW101" s="84"/>
      <c r="BX101" s="88"/>
      <c r="BY101" s="88"/>
      <c r="BZ101" s="88"/>
    </row>
    <row r="102">
      <c r="A102" s="3"/>
      <c r="B102" s="33" t="s">
        <v>117</v>
      </c>
      <c r="C102" s="3"/>
      <c r="D102" s="3" t="s">
        <v>231</v>
      </c>
      <c r="E102" s="2"/>
      <c r="F102" s="2"/>
      <c r="G102" s="2"/>
      <c r="H102" s="2"/>
      <c r="I102" s="14"/>
      <c r="J102" s="14"/>
      <c r="K102" s="14"/>
      <c r="L102" s="32"/>
      <c r="M102" s="32"/>
      <c r="N102" s="32"/>
      <c r="O102" s="32"/>
      <c r="P102" s="32"/>
      <c r="Q102" s="32"/>
      <c r="R102" s="32">
        <f>R4/R101</f>
        <v>0.05563062942</v>
      </c>
      <c r="S102" s="33">
        <v>0.013</v>
      </c>
      <c r="T102" s="33">
        <v>0.011</v>
      </c>
      <c r="U102" s="33">
        <v>0.013</v>
      </c>
      <c r="V102" s="33">
        <v>0.013</v>
      </c>
      <c r="W102" s="33">
        <v>0.014</v>
      </c>
      <c r="X102" s="33">
        <v>0.012</v>
      </c>
      <c r="Y102" s="33">
        <v>0.014</v>
      </c>
      <c r="Z102" s="33">
        <v>0.013</v>
      </c>
      <c r="AA102" s="33">
        <v>0.011</v>
      </c>
      <c r="AB102" s="33">
        <v>0.011</v>
      </c>
      <c r="AC102" s="33">
        <v>0.011</v>
      </c>
      <c r="AD102" s="33">
        <v>0.014</v>
      </c>
      <c r="AE102" s="33">
        <v>0.013</v>
      </c>
      <c r="AF102" s="33">
        <v>0.012</v>
      </c>
      <c r="AG102" s="33">
        <v>0.014</v>
      </c>
      <c r="AH102" s="33">
        <v>0.014</v>
      </c>
      <c r="AI102" s="33">
        <v>0.012</v>
      </c>
      <c r="AJ102" s="33">
        <v>0.014</v>
      </c>
      <c r="AK102" s="33">
        <v>0.012</v>
      </c>
      <c r="AL102" s="33">
        <v>0.011</v>
      </c>
      <c r="AM102" s="33">
        <v>0.011</v>
      </c>
      <c r="AN102" s="33">
        <v>0.01</v>
      </c>
      <c r="AO102" s="33">
        <v>0.013</v>
      </c>
      <c r="AP102" s="33">
        <v>0.014</v>
      </c>
      <c r="AQ102" s="33">
        <v>0.017</v>
      </c>
      <c r="AR102" s="33">
        <v>0.015</v>
      </c>
      <c r="AS102" s="33">
        <v>0.015</v>
      </c>
      <c r="AT102" s="33">
        <v>0.014</v>
      </c>
      <c r="AU102" s="33">
        <v>0.014</v>
      </c>
      <c r="AV102" s="33">
        <v>0.014</v>
      </c>
      <c r="AW102" s="33">
        <v>0.015</v>
      </c>
      <c r="AX102" s="33">
        <v>0.013</v>
      </c>
      <c r="AY102" s="33">
        <v>0.013</v>
      </c>
      <c r="AZ102" s="33">
        <v>0.013</v>
      </c>
      <c r="BA102" s="33">
        <v>0.013</v>
      </c>
      <c r="BB102" s="33">
        <v>0.01</v>
      </c>
      <c r="BC102" s="33">
        <v>0.013</v>
      </c>
      <c r="BD102" s="33">
        <v>0.012</v>
      </c>
      <c r="BE102" s="33">
        <v>0.011</v>
      </c>
      <c r="BF102" s="33">
        <v>0.011</v>
      </c>
      <c r="BG102" s="33">
        <v>0.011</v>
      </c>
      <c r="BH102" s="33">
        <v>0.016</v>
      </c>
      <c r="BI102" s="33">
        <v>0.011</v>
      </c>
      <c r="BJ102" s="33">
        <v>0.012</v>
      </c>
      <c r="BK102" s="33">
        <v>0.011</v>
      </c>
      <c r="BL102" s="33"/>
      <c r="BM102" s="33"/>
      <c r="BN102" s="33"/>
      <c r="BO102" s="33"/>
      <c r="BP102" s="33"/>
      <c r="BQ102" s="33"/>
      <c r="BR102" s="33"/>
      <c r="BS102" s="25"/>
      <c r="BT102" s="92" t="s">
        <v>232</v>
      </c>
      <c r="BU102" s="27"/>
      <c r="BV102" s="1"/>
      <c r="BW102" s="1"/>
      <c r="BX102" s="1"/>
      <c r="BY102" s="1"/>
      <c r="BZ102" s="1"/>
    </row>
    <row r="103">
      <c r="A103" s="3"/>
      <c r="B103" s="33" t="s">
        <v>117</v>
      </c>
      <c r="C103" s="3"/>
      <c r="D103" s="3" t="s">
        <v>233</v>
      </c>
      <c r="E103" s="2"/>
      <c r="F103" s="2"/>
      <c r="G103" s="2"/>
      <c r="H103" s="2"/>
      <c r="I103" s="14"/>
      <c r="J103" s="14"/>
      <c r="K103" s="14"/>
      <c r="L103" s="1"/>
      <c r="M103" s="1"/>
      <c r="N103" s="1"/>
      <c r="O103" s="1"/>
      <c r="P103" s="1"/>
      <c r="Q103" s="1"/>
      <c r="R103" s="1"/>
      <c r="S103" s="32">
        <f t="shared" ref="S103:AN103" si="135">S6-S101/R101</f>
        <v>-1.015343815</v>
      </c>
      <c r="T103" s="32">
        <f t="shared" si="135"/>
        <v>0.02616227613</v>
      </c>
      <c r="U103" s="32">
        <f t="shared" si="135"/>
        <v>0.106783965</v>
      </c>
      <c r="V103" s="32">
        <f t="shared" si="135"/>
        <v>-0.04164011684</v>
      </c>
      <c r="W103" s="32">
        <f t="shared" si="135"/>
        <v>-0.2018490164</v>
      </c>
      <c r="X103" s="32">
        <f t="shared" si="135"/>
        <v>0.09384388726</v>
      </c>
      <c r="Y103" s="32">
        <f t="shared" si="135"/>
        <v>0.1878444112</v>
      </c>
      <c r="Z103" s="32">
        <f t="shared" si="135"/>
        <v>-0.1460054391</v>
      </c>
      <c r="AA103" s="32">
        <f t="shared" si="135"/>
        <v>0.09410902653</v>
      </c>
      <c r="AB103" s="32">
        <f t="shared" si="135"/>
        <v>0.07859939576</v>
      </c>
      <c r="AC103" s="32">
        <f t="shared" si="135"/>
        <v>0.0731024275</v>
      </c>
      <c r="AD103" s="32">
        <f t="shared" si="135"/>
        <v>0.06055795089</v>
      </c>
      <c r="AE103" s="32">
        <f t="shared" si="135"/>
        <v>0.05733123637</v>
      </c>
      <c r="AF103" s="32">
        <f t="shared" si="135"/>
        <v>-0.09790009346</v>
      </c>
      <c r="AG103" s="32">
        <f t="shared" si="135"/>
        <v>0.008331787734</v>
      </c>
      <c r="AH103" s="32">
        <f t="shared" si="135"/>
        <v>0.1765694026</v>
      </c>
      <c r="AI103" s="32">
        <f t="shared" si="135"/>
        <v>-0.102867822</v>
      </c>
      <c r="AJ103" s="32">
        <f t="shared" si="135"/>
        <v>-0.08282768032</v>
      </c>
      <c r="AK103" s="32">
        <f t="shared" si="135"/>
        <v>0.0841638784</v>
      </c>
      <c r="AL103" s="32">
        <f t="shared" si="135"/>
        <v>1.017799146</v>
      </c>
      <c r="AM103" s="1" t="str">
        <f t="shared" si="135"/>
        <v>#DIV/0!</v>
      </c>
      <c r="AN103" s="1" t="str">
        <f t="shared" si="135"/>
        <v>#DIV/0!</v>
      </c>
      <c r="AO103" s="1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25"/>
      <c r="BT103" s="27" t="s">
        <v>124</v>
      </c>
      <c r="BU103" s="27"/>
      <c r="BV103" s="1"/>
      <c r="BW103" s="1"/>
      <c r="BX103" s="1"/>
      <c r="BY103" s="1"/>
      <c r="BZ103" s="1"/>
    </row>
    <row r="104">
      <c r="A104" s="3"/>
      <c r="B104" s="33" t="s">
        <v>117</v>
      </c>
      <c r="C104" s="3"/>
      <c r="D104" s="3" t="s">
        <v>234</v>
      </c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>
        <f t="shared" ref="S104:AN104" si="136">S101/R101*S4</f>
        <v>23212211.08</v>
      </c>
      <c r="T104" s="1">
        <f t="shared" si="136"/>
        <v>13527459.21</v>
      </c>
      <c r="U104" s="18">
        <f t="shared" si="136"/>
        <v>11596768.21</v>
      </c>
      <c r="V104" s="18">
        <f t="shared" si="136"/>
        <v>13986230.64</v>
      </c>
      <c r="W104" s="18">
        <f t="shared" si="136"/>
        <v>13795646.45</v>
      </c>
      <c r="X104" s="18">
        <f t="shared" si="136"/>
        <v>14287659.21</v>
      </c>
      <c r="Y104" s="18">
        <f t="shared" si="136"/>
        <v>12697739.93</v>
      </c>
      <c r="Z104" s="18">
        <f t="shared" si="136"/>
        <v>15349797.79</v>
      </c>
      <c r="AA104" s="18">
        <f t="shared" si="136"/>
        <v>12043390.59</v>
      </c>
      <c r="AB104" s="18">
        <f t="shared" si="136"/>
        <v>9380275.283</v>
      </c>
      <c r="AC104" s="18">
        <f t="shared" si="136"/>
        <v>12722352.2</v>
      </c>
      <c r="AD104" s="18">
        <f t="shared" si="136"/>
        <v>13026459.42</v>
      </c>
      <c r="AE104" s="18">
        <f t="shared" si="136"/>
        <v>13745626.21</v>
      </c>
      <c r="AF104" s="18">
        <f t="shared" si="136"/>
        <v>13821857.32</v>
      </c>
      <c r="AG104" s="18">
        <f t="shared" si="136"/>
        <v>15047270.88</v>
      </c>
      <c r="AH104" s="18">
        <f t="shared" si="136"/>
        <v>15901650.2</v>
      </c>
      <c r="AI104" s="18">
        <f t="shared" si="136"/>
        <v>14426397.47</v>
      </c>
      <c r="AJ104" s="18">
        <f t="shared" si="136"/>
        <v>16311952.64</v>
      </c>
      <c r="AK104" s="18">
        <f t="shared" si="136"/>
        <v>15799394.93</v>
      </c>
      <c r="AL104" s="18">
        <f t="shared" si="136"/>
        <v>0</v>
      </c>
      <c r="AM104" s="18" t="str">
        <f t="shared" si="136"/>
        <v>#DIV/0!</v>
      </c>
      <c r="AN104" s="18" t="str">
        <f t="shared" si="136"/>
        <v>#DIV/0!</v>
      </c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"/>
      <c r="BT104" s="27" t="s">
        <v>124</v>
      </c>
      <c r="BU104" s="27"/>
      <c r="BV104" s="1"/>
      <c r="BW104" s="1"/>
      <c r="BX104" s="1"/>
      <c r="BY104" s="1"/>
      <c r="BZ104" s="1"/>
    </row>
    <row r="105">
      <c r="A105" s="17"/>
      <c r="B105" s="18" t="s">
        <v>117</v>
      </c>
      <c r="C105" s="18"/>
      <c r="D105" s="18" t="s">
        <v>120</v>
      </c>
      <c r="E105" s="20">
        <v>1.05135729E7</v>
      </c>
      <c r="F105" s="20">
        <v>1.1174406E7</v>
      </c>
      <c r="G105" s="20">
        <v>1.1400753E7</v>
      </c>
      <c r="H105" s="20">
        <v>1.2538121E7</v>
      </c>
      <c r="I105" s="20">
        <v>1.2760823E7</v>
      </c>
      <c r="J105" s="20">
        <v>1.146263618E7</v>
      </c>
      <c r="K105" s="20">
        <v>1.185957373E7</v>
      </c>
      <c r="L105" s="18">
        <v>1.172324512E7</v>
      </c>
      <c r="M105" s="18">
        <v>1.0927202E7</v>
      </c>
      <c r="N105" s="18">
        <v>1.1965784E7</v>
      </c>
      <c r="O105" s="18">
        <v>1.3850753E7</v>
      </c>
      <c r="P105" s="18">
        <v>1.223479E7</v>
      </c>
      <c r="Q105" s="18">
        <v>1.174206E7</v>
      </c>
      <c r="R105" s="18">
        <v>1.193294448E7</v>
      </c>
      <c r="S105" s="18">
        <v>1.1653265E7</v>
      </c>
      <c r="T105" s="18">
        <v>1.270880306E7</v>
      </c>
      <c r="U105" s="18">
        <v>1.2837556E7</v>
      </c>
      <c r="V105" s="18">
        <v>1.3134977E7</v>
      </c>
      <c r="W105" s="18">
        <v>1.2202511E7</v>
      </c>
      <c r="X105" s="18">
        <v>1.3802938E7</v>
      </c>
      <c r="Y105" s="18">
        <f t="shared" ref="Y105:BK105" si="137">Y4</f>
        <v>14589816</v>
      </c>
      <c r="Z105" s="18">
        <f t="shared" si="137"/>
        <v>13937742</v>
      </c>
      <c r="AA105" s="18">
        <f t="shared" si="137"/>
        <v>13628412</v>
      </c>
      <c r="AB105" s="18">
        <f t="shared" si="137"/>
        <v>11854829</v>
      </c>
      <c r="AC105" s="18">
        <f t="shared" si="137"/>
        <v>12721883</v>
      </c>
      <c r="AD105" s="18">
        <f t="shared" si="137"/>
        <v>13264238</v>
      </c>
      <c r="AE105" s="18">
        <f t="shared" si="137"/>
        <v>13888367</v>
      </c>
      <c r="AF105" s="18">
        <f t="shared" si="137"/>
        <v>13191905</v>
      </c>
      <c r="AG105" s="18">
        <f t="shared" si="137"/>
        <v>14144143</v>
      </c>
      <c r="AH105" s="18">
        <f t="shared" si="137"/>
        <v>16297781</v>
      </c>
      <c r="AI105" s="18">
        <f t="shared" si="137"/>
        <v>14518204</v>
      </c>
      <c r="AJ105" s="18">
        <f t="shared" si="137"/>
        <v>14799452</v>
      </c>
      <c r="AK105" s="18">
        <f t="shared" si="137"/>
        <v>15926719</v>
      </c>
      <c r="AL105" s="18">
        <f t="shared" si="137"/>
        <v>16210201</v>
      </c>
      <c r="AM105" s="18">
        <f t="shared" si="137"/>
        <v>15084875</v>
      </c>
      <c r="AN105" s="18">
        <f t="shared" si="137"/>
        <v>15511293</v>
      </c>
      <c r="AO105" s="18">
        <f t="shared" si="137"/>
        <v>18675092</v>
      </c>
      <c r="AP105" s="18">
        <f t="shared" si="137"/>
        <v>19029701</v>
      </c>
      <c r="AQ105" s="18">
        <f t="shared" si="137"/>
        <v>19053261</v>
      </c>
      <c r="AR105" s="18">
        <f t="shared" si="137"/>
        <v>20074382</v>
      </c>
      <c r="AS105" s="18">
        <f t="shared" si="137"/>
        <v>20596402.84</v>
      </c>
      <c r="AT105" s="18">
        <f t="shared" si="137"/>
        <v>19019840.71</v>
      </c>
      <c r="AU105" s="18">
        <f t="shared" si="137"/>
        <v>19912147</v>
      </c>
      <c r="AV105" s="18">
        <f t="shared" si="137"/>
        <v>19325234</v>
      </c>
      <c r="AW105" s="18">
        <f t="shared" si="137"/>
        <v>14956571</v>
      </c>
      <c r="AX105" s="18">
        <f t="shared" si="137"/>
        <v>16178093</v>
      </c>
      <c r="AY105" s="18">
        <f t="shared" si="137"/>
        <v>17397818</v>
      </c>
      <c r="AZ105" s="18">
        <f t="shared" si="137"/>
        <v>16660514</v>
      </c>
      <c r="BA105" s="18">
        <f t="shared" si="137"/>
        <v>16599244</v>
      </c>
      <c r="BB105" s="18">
        <f t="shared" si="137"/>
        <v>15315723.54</v>
      </c>
      <c r="BC105" s="18">
        <f t="shared" si="137"/>
        <v>15764761</v>
      </c>
      <c r="BD105" s="18">
        <f t="shared" si="137"/>
        <v>17661414</v>
      </c>
      <c r="BE105" s="18">
        <f t="shared" si="137"/>
        <v>15234260</v>
      </c>
      <c r="BF105" s="18">
        <f t="shared" si="137"/>
        <v>13964155</v>
      </c>
      <c r="BG105" s="18">
        <f t="shared" si="137"/>
        <v>16243892.25</v>
      </c>
      <c r="BH105" s="18">
        <f t="shared" si="137"/>
        <v>18013310</v>
      </c>
      <c r="BI105" s="18">
        <f t="shared" si="137"/>
        <v>16422374</v>
      </c>
      <c r="BJ105" s="18">
        <f t="shared" si="137"/>
        <v>15296132</v>
      </c>
      <c r="BK105" s="18">
        <f t="shared" si="137"/>
        <v>16911513</v>
      </c>
      <c r="BL105" s="18"/>
      <c r="BM105" s="18"/>
      <c r="BN105" s="18"/>
      <c r="BO105" s="18"/>
      <c r="BP105" s="18"/>
      <c r="BQ105" s="18"/>
      <c r="BR105" s="18"/>
      <c r="BS105" s="18"/>
      <c r="BT105" s="75" t="s">
        <v>235</v>
      </c>
      <c r="BU105" s="75"/>
      <c r="BV105" s="17"/>
      <c r="BW105" s="17"/>
      <c r="BX105" s="17"/>
      <c r="BY105" s="17"/>
      <c r="BZ105" s="17"/>
    </row>
    <row r="106">
      <c r="A106" s="93"/>
      <c r="B106" s="94" t="s">
        <v>117</v>
      </c>
      <c r="C106" s="12"/>
      <c r="D106" s="12" t="s">
        <v>236</v>
      </c>
      <c r="E106" s="93"/>
      <c r="F106" s="93"/>
      <c r="G106" s="93"/>
      <c r="H106" s="93"/>
      <c r="I106" s="93"/>
      <c r="J106" s="93"/>
      <c r="K106" s="93"/>
      <c r="L106" s="93"/>
      <c r="M106" s="93"/>
      <c r="N106" s="95"/>
      <c r="O106" s="95"/>
      <c r="P106" s="95"/>
      <c r="Q106" s="95"/>
      <c r="R106" s="95"/>
      <c r="S106" s="96">
        <f t="shared" ref="S106:V106" si="138">(S105/7)*30</f>
        <v>49942564.29</v>
      </c>
      <c r="T106" s="96">
        <f t="shared" si="138"/>
        <v>54466298.83</v>
      </c>
      <c r="U106" s="96">
        <f t="shared" si="138"/>
        <v>55018097.14</v>
      </c>
      <c r="V106" s="96">
        <f t="shared" si="138"/>
        <v>56292758.57</v>
      </c>
      <c r="W106" s="96">
        <f t="shared" ref="W106:BA106" si="139">(W105/7)*31</f>
        <v>54039691.57</v>
      </c>
      <c r="X106" s="96">
        <f t="shared" si="139"/>
        <v>61127296.86</v>
      </c>
      <c r="Y106" s="96">
        <f t="shared" si="139"/>
        <v>64612042.29</v>
      </c>
      <c r="Z106" s="96">
        <f t="shared" si="139"/>
        <v>61724286</v>
      </c>
      <c r="AA106" s="96">
        <f t="shared" si="139"/>
        <v>60354396</v>
      </c>
      <c r="AB106" s="96">
        <f t="shared" si="139"/>
        <v>52499957</v>
      </c>
      <c r="AC106" s="96">
        <f t="shared" si="139"/>
        <v>56339767.57</v>
      </c>
      <c r="AD106" s="96">
        <f t="shared" si="139"/>
        <v>58741625.43</v>
      </c>
      <c r="AE106" s="96">
        <f t="shared" si="139"/>
        <v>61505625.29</v>
      </c>
      <c r="AF106" s="96">
        <f t="shared" si="139"/>
        <v>58421293.57</v>
      </c>
      <c r="AG106" s="96">
        <f t="shared" si="139"/>
        <v>62638347.57</v>
      </c>
      <c r="AH106" s="96">
        <f t="shared" si="139"/>
        <v>72175887.29</v>
      </c>
      <c r="AI106" s="96">
        <f t="shared" si="139"/>
        <v>64294903.43</v>
      </c>
      <c r="AJ106" s="96">
        <f t="shared" si="139"/>
        <v>65540430.29</v>
      </c>
      <c r="AK106" s="96">
        <f t="shared" si="139"/>
        <v>70532612.71</v>
      </c>
      <c r="AL106" s="96">
        <f t="shared" si="139"/>
        <v>71788033</v>
      </c>
      <c r="AM106" s="96">
        <f t="shared" si="139"/>
        <v>66804446.43</v>
      </c>
      <c r="AN106" s="96">
        <f t="shared" si="139"/>
        <v>68692869</v>
      </c>
      <c r="AO106" s="96">
        <f t="shared" si="139"/>
        <v>82703978.86</v>
      </c>
      <c r="AP106" s="96">
        <f t="shared" si="139"/>
        <v>84274390.14</v>
      </c>
      <c r="AQ106" s="96">
        <f t="shared" si="139"/>
        <v>84378727.29</v>
      </c>
      <c r="AR106" s="96">
        <f t="shared" si="139"/>
        <v>88900834.57</v>
      </c>
      <c r="AS106" s="96">
        <f t="shared" si="139"/>
        <v>91212641.15</v>
      </c>
      <c r="AT106" s="96">
        <f t="shared" si="139"/>
        <v>84230723.14</v>
      </c>
      <c r="AU106" s="96">
        <f t="shared" si="139"/>
        <v>88182365.29</v>
      </c>
      <c r="AV106" s="96">
        <f t="shared" si="139"/>
        <v>85583179.14</v>
      </c>
      <c r="AW106" s="96">
        <f t="shared" si="139"/>
        <v>66236243</v>
      </c>
      <c r="AX106" s="96">
        <f t="shared" si="139"/>
        <v>71645840.43</v>
      </c>
      <c r="AY106" s="96">
        <f t="shared" si="139"/>
        <v>77047479.71</v>
      </c>
      <c r="AZ106" s="96">
        <f t="shared" si="139"/>
        <v>73782276.29</v>
      </c>
      <c r="BA106" s="96">
        <f t="shared" si="139"/>
        <v>73510937.71</v>
      </c>
      <c r="BB106" s="96">
        <f t="shared" ref="BB106:BK106" si="140">(BB105/7)*28</f>
        <v>61262894.16</v>
      </c>
      <c r="BC106" s="96">
        <f t="shared" si="140"/>
        <v>63059044</v>
      </c>
      <c r="BD106" s="96">
        <f t="shared" si="140"/>
        <v>70645656</v>
      </c>
      <c r="BE106" s="96">
        <f t="shared" si="140"/>
        <v>60937040</v>
      </c>
      <c r="BF106" s="96">
        <f t="shared" si="140"/>
        <v>55856620</v>
      </c>
      <c r="BG106" s="96">
        <f t="shared" si="140"/>
        <v>64975569</v>
      </c>
      <c r="BH106" s="96">
        <f t="shared" si="140"/>
        <v>72053240</v>
      </c>
      <c r="BI106" s="96">
        <f t="shared" si="140"/>
        <v>65689496</v>
      </c>
      <c r="BJ106" s="96">
        <f t="shared" si="140"/>
        <v>61184528</v>
      </c>
      <c r="BK106" s="96">
        <f t="shared" si="140"/>
        <v>67646052</v>
      </c>
      <c r="BL106" s="96"/>
      <c r="BM106" s="96"/>
      <c r="BN106" s="96"/>
      <c r="BO106" s="96"/>
      <c r="BP106" s="96"/>
      <c r="BQ106" s="96"/>
      <c r="BR106" s="96"/>
      <c r="BS106" s="97"/>
      <c r="BT106" s="98" t="s">
        <v>124</v>
      </c>
      <c r="BU106" s="98"/>
      <c r="BV106" s="95"/>
      <c r="BW106" s="95"/>
      <c r="BX106" s="95"/>
      <c r="BY106" s="95"/>
      <c r="BZ106" s="95"/>
    </row>
    <row r="107">
      <c r="A107" s="93"/>
      <c r="B107" s="94" t="s">
        <v>117</v>
      </c>
      <c r="C107" s="12"/>
      <c r="D107" s="12" t="s">
        <v>237</v>
      </c>
      <c r="E107" s="99"/>
      <c r="F107" s="99"/>
      <c r="G107" s="99"/>
      <c r="H107" s="99"/>
      <c r="I107" s="99"/>
      <c r="J107" s="99"/>
      <c r="K107" s="99"/>
      <c r="L107" s="100"/>
      <c r="M107" s="95"/>
      <c r="N107" s="95"/>
      <c r="O107" s="95"/>
      <c r="P107" s="95"/>
      <c r="Q107" s="95"/>
      <c r="R107" s="95"/>
      <c r="S107" s="96">
        <f>(S5/7)*30</f>
        <v>49942564.29</v>
      </c>
      <c r="T107" s="96">
        <f>(T5/14)*30</f>
        <v>52204431.56</v>
      </c>
      <c r="U107" s="96">
        <f>(U5/21)*30</f>
        <v>53142320.09</v>
      </c>
      <c r="V107" s="96">
        <f>(V5/30)*30</f>
        <v>50334601.06</v>
      </c>
      <c r="W107" s="96">
        <f>(W5/7)*30</f>
        <v>52288860</v>
      </c>
      <c r="X107" s="96">
        <f t="shared" ref="X107:BA107" si="141">SUM(U4:X4)*31/28</f>
        <v>57528451.5</v>
      </c>
      <c r="Y107" s="96">
        <f t="shared" si="141"/>
        <v>59468453.64</v>
      </c>
      <c r="Z107" s="96">
        <f t="shared" si="141"/>
        <v>60357229.18</v>
      </c>
      <c r="AA107" s="96">
        <f t="shared" si="141"/>
        <v>61937872.68</v>
      </c>
      <c r="AB107" s="96">
        <f t="shared" si="141"/>
        <v>59797670.32</v>
      </c>
      <c r="AC107" s="96">
        <f t="shared" si="141"/>
        <v>57729601.64</v>
      </c>
      <c r="AD107" s="96">
        <f t="shared" si="141"/>
        <v>56983936.5</v>
      </c>
      <c r="AE107" s="96">
        <f t="shared" si="141"/>
        <v>57271743.82</v>
      </c>
      <c r="AF107" s="96">
        <f t="shared" si="141"/>
        <v>58752077.96</v>
      </c>
      <c r="AG107" s="96">
        <f t="shared" si="141"/>
        <v>60326722.96</v>
      </c>
      <c r="AH107" s="96">
        <f t="shared" si="141"/>
        <v>63685288.43</v>
      </c>
      <c r="AI107" s="96">
        <f t="shared" si="141"/>
        <v>64382607.96</v>
      </c>
      <c r="AJ107" s="96">
        <f t="shared" si="141"/>
        <v>66162392.14</v>
      </c>
      <c r="AK107" s="96">
        <f t="shared" si="141"/>
        <v>68135958.43</v>
      </c>
      <c r="AL107" s="96">
        <f t="shared" si="141"/>
        <v>68038994.86</v>
      </c>
      <c r="AM107" s="96">
        <f t="shared" si="141"/>
        <v>68666380.61</v>
      </c>
      <c r="AN107" s="96">
        <f t="shared" si="141"/>
        <v>69454490.29</v>
      </c>
      <c r="AO107" s="96">
        <f t="shared" si="141"/>
        <v>72497331.82</v>
      </c>
      <c r="AP107" s="96">
        <f t="shared" si="141"/>
        <v>75618921.11</v>
      </c>
      <c r="AQ107" s="96">
        <f t="shared" si="141"/>
        <v>80012491.32</v>
      </c>
      <c r="AR107" s="96">
        <f t="shared" si="141"/>
        <v>85064482.71</v>
      </c>
      <c r="AS107" s="96">
        <f t="shared" si="141"/>
        <v>87191648.29</v>
      </c>
      <c r="AT107" s="96">
        <f t="shared" si="141"/>
        <v>87180731.54</v>
      </c>
      <c r="AU107" s="96">
        <f t="shared" si="141"/>
        <v>88131641.04</v>
      </c>
      <c r="AV107" s="96">
        <f t="shared" si="141"/>
        <v>87302227.18</v>
      </c>
      <c r="AW107" s="96">
        <f t="shared" si="141"/>
        <v>81058127.64</v>
      </c>
      <c r="AX107" s="96">
        <f t="shared" si="141"/>
        <v>77911906.96</v>
      </c>
      <c r="AY107" s="96">
        <f t="shared" si="141"/>
        <v>75128185.57</v>
      </c>
      <c r="AZ107" s="96">
        <f t="shared" si="141"/>
        <v>72177959.86</v>
      </c>
      <c r="BA107" s="96">
        <f t="shared" si="141"/>
        <v>73996633.54</v>
      </c>
      <c r="BB107" s="96">
        <f t="shared" ref="BB107:BK107" si="142">SUM(AY4:BB4)*28/28</f>
        <v>65973299.54</v>
      </c>
      <c r="BC107" s="96">
        <f t="shared" si="142"/>
        <v>64340242.54</v>
      </c>
      <c r="BD107" s="96">
        <f t="shared" si="142"/>
        <v>65341142.54</v>
      </c>
      <c r="BE107" s="96">
        <f t="shared" si="142"/>
        <v>63976158.54</v>
      </c>
      <c r="BF107" s="96">
        <f t="shared" si="142"/>
        <v>62624590</v>
      </c>
      <c r="BG107" s="96">
        <f t="shared" si="142"/>
        <v>63103721.25</v>
      </c>
      <c r="BH107" s="96">
        <f t="shared" si="142"/>
        <v>63455617.25</v>
      </c>
      <c r="BI107" s="96">
        <f t="shared" si="142"/>
        <v>64643731.25</v>
      </c>
      <c r="BJ107" s="96">
        <f t="shared" si="142"/>
        <v>65975708.25</v>
      </c>
      <c r="BK107" s="96">
        <f t="shared" si="142"/>
        <v>66643329</v>
      </c>
      <c r="BL107" s="96"/>
      <c r="BM107" s="96"/>
      <c r="BN107" s="96"/>
      <c r="BO107" s="96"/>
      <c r="BP107" s="96"/>
      <c r="BQ107" s="96"/>
      <c r="BR107" s="96"/>
      <c r="BS107" s="97"/>
      <c r="BT107" s="98" t="s">
        <v>124</v>
      </c>
      <c r="BU107" s="98"/>
      <c r="BV107" s="95"/>
      <c r="BW107" s="95"/>
      <c r="BX107" s="95"/>
      <c r="BY107" s="95"/>
      <c r="BZ107" s="95"/>
    </row>
    <row r="108">
      <c r="A108" s="93"/>
      <c r="B108" s="94"/>
      <c r="C108" s="12"/>
      <c r="D108" s="12" t="s">
        <v>238</v>
      </c>
      <c r="E108" s="99"/>
      <c r="F108" s="99"/>
      <c r="G108" s="99"/>
      <c r="H108" s="99"/>
      <c r="I108" s="99"/>
      <c r="J108" s="99"/>
      <c r="K108" s="99"/>
      <c r="L108" s="100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3">
        <v>6.0E7</v>
      </c>
      <c r="X108" s="93">
        <v>6.0E7</v>
      </c>
      <c r="Y108" s="93">
        <v>6.0E7</v>
      </c>
      <c r="Z108" s="93">
        <v>6.0E7</v>
      </c>
      <c r="AA108" s="95">
        <f>(65*4/7+60*3/7)*1000000</f>
        <v>62857142.86</v>
      </c>
      <c r="AB108" s="93">
        <v>6.5E7</v>
      </c>
      <c r="AC108" s="93">
        <v>6.5E7</v>
      </c>
      <c r="AD108" s="93">
        <v>6.5E7</v>
      </c>
      <c r="AE108" s="93">
        <v>6.5E7</v>
      </c>
      <c r="AF108" s="93">
        <v>6.5E7</v>
      </c>
      <c r="AG108" s="93">
        <v>6.5E7</v>
      </c>
      <c r="AH108" s="93">
        <v>6.5E7</v>
      </c>
      <c r="AI108" s="93">
        <v>6.5E7</v>
      </c>
      <c r="AJ108" s="95">
        <f>(65*1/7+70*6/7)*1000000</f>
        <v>69285714.29</v>
      </c>
      <c r="AK108" s="95">
        <f t="shared" ref="AK108:AM108" si="143">70*1000000</f>
        <v>70000000</v>
      </c>
      <c r="AL108" s="95">
        <f t="shared" si="143"/>
        <v>70000000</v>
      </c>
      <c r="AM108" s="95">
        <f t="shared" si="143"/>
        <v>70000000</v>
      </c>
      <c r="AN108" s="95">
        <f>70*1000000*4/7+92.5*1000000*3/7</f>
        <v>79642857.14</v>
      </c>
      <c r="AO108" s="95">
        <f t="shared" ref="AO108:AV108" si="144">90.5*1000000</f>
        <v>90500000</v>
      </c>
      <c r="AP108" s="95">
        <f t="shared" si="144"/>
        <v>90500000</v>
      </c>
      <c r="AQ108" s="95">
        <f t="shared" si="144"/>
        <v>90500000</v>
      </c>
      <c r="AR108" s="95">
        <f t="shared" si="144"/>
        <v>90500000</v>
      </c>
      <c r="AS108" s="95">
        <f t="shared" si="144"/>
        <v>90500000</v>
      </c>
      <c r="AT108" s="95">
        <f t="shared" si="144"/>
        <v>90500000</v>
      </c>
      <c r="AU108" s="95">
        <f t="shared" si="144"/>
        <v>90500000</v>
      </c>
      <c r="AV108" s="95">
        <f t="shared" si="144"/>
        <v>90500000</v>
      </c>
      <c r="AW108" s="95">
        <f t="shared" ref="AW108:BA108" si="145">69*1000000</f>
        <v>69000000</v>
      </c>
      <c r="AX108" s="95">
        <f t="shared" si="145"/>
        <v>69000000</v>
      </c>
      <c r="AY108" s="95">
        <f t="shared" si="145"/>
        <v>69000000</v>
      </c>
      <c r="AZ108" s="95">
        <f t="shared" si="145"/>
        <v>69000000</v>
      </c>
      <c r="BA108" s="95">
        <f t="shared" si="145"/>
        <v>69000000</v>
      </c>
      <c r="BB108" s="93">
        <f t="shared" ref="BB108:BE108" si="146">70*1000000</f>
        <v>70000000</v>
      </c>
      <c r="BC108" s="93">
        <f t="shared" si="146"/>
        <v>70000000</v>
      </c>
      <c r="BD108" s="93">
        <f t="shared" si="146"/>
        <v>70000000</v>
      </c>
      <c r="BE108" s="93">
        <f t="shared" si="146"/>
        <v>70000000</v>
      </c>
      <c r="BF108" s="93">
        <f t="shared" ref="BF108:BK108" si="147">78*1000000</f>
        <v>78000000</v>
      </c>
      <c r="BG108" s="93">
        <f t="shared" si="147"/>
        <v>78000000</v>
      </c>
      <c r="BH108" s="93">
        <f t="shared" si="147"/>
        <v>78000000</v>
      </c>
      <c r="BI108" s="93">
        <f t="shared" si="147"/>
        <v>78000000</v>
      </c>
      <c r="BJ108" s="93">
        <f t="shared" si="147"/>
        <v>78000000</v>
      </c>
      <c r="BK108" s="93">
        <f t="shared" si="147"/>
        <v>78000000</v>
      </c>
      <c r="BL108" s="95"/>
      <c r="BM108" s="95"/>
      <c r="BN108" s="95"/>
      <c r="BO108" s="95"/>
      <c r="BP108" s="95"/>
      <c r="BQ108" s="95"/>
      <c r="BR108" s="95"/>
      <c r="BS108" s="95"/>
      <c r="BT108" s="98" t="s">
        <v>239</v>
      </c>
      <c r="BU108" s="98"/>
      <c r="BV108" s="95"/>
      <c r="BW108" s="95"/>
      <c r="BX108" s="95"/>
      <c r="BY108" s="95"/>
      <c r="BZ108" s="95"/>
    </row>
    <row r="109">
      <c r="A109" s="3"/>
      <c r="B109" s="33"/>
      <c r="C109" s="3"/>
      <c r="D109" s="3"/>
      <c r="E109" s="101"/>
      <c r="F109" s="101"/>
      <c r="G109" s="101"/>
      <c r="H109" s="101"/>
      <c r="I109" s="101"/>
      <c r="J109" s="101"/>
      <c r="K109" s="101"/>
      <c r="L109" s="1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3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8"/>
      <c r="BU109" s="8"/>
      <c r="BV109" s="1"/>
      <c r="BW109" s="1"/>
      <c r="BX109" s="1"/>
      <c r="BY109" s="1"/>
      <c r="BZ109" s="1"/>
    </row>
    <row r="110">
      <c r="A110" s="3"/>
      <c r="B110" s="33" t="s">
        <v>117</v>
      </c>
      <c r="C110" s="3"/>
      <c r="D110" s="3" t="s">
        <v>240</v>
      </c>
      <c r="E110" s="101"/>
      <c r="F110" s="101"/>
      <c r="G110" s="101"/>
      <c r="H110" s="101"/>
      <c r="I110" s="101"/>
      <c r="J110" s="101"/>
      <c r="K110" s="101"/>
      <c r="L110" s="1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33">
        <v>0.2502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8"/>
      <c r="BU110" s="8"/>
      <c r="BV110" s="1"/>
      <c r="BW110" s="1"/>
      <c r="BX110" s="1"/>
      <c r="BY110" s="1"/>
      <c r="BZ110" s="1"/>
    </row>
    <row r="111">
      <c r="A111" s="3"/>
      <c r="B111" s="33" t="s">
        <v>117</v>
      </c>
      <c r="C111" s="3"/>
      <c r="D111" s="3" t="s">
        <v>241</v>
      </c>
      <c r="E111" s="101"/>
      <c r="F111" s="101"/>
      <c r="G111" s="101"/>
      <c r="H111" s="101"/>
      <c r="I111" s="101"/>
      <c r="J111" s="101"/>
      <c r="K111" s="101"/>
      <c r="L111" s="16"/>
      <c r="M111" s="1"/>
      <c r="N111" s="1"/>
      <c r="O111" s="1"/>
      <c r="P111" s="1"/>
      <c r="Q111" s="1"/>
      <c r="R111" s="1"/>
      <c r="S111" s="1">
        <f t="shared" ref="S111:AA111" si="148">S4*S110</f>
        <v>0</v>
      </c>
      <c r="T111" s="1">
        <f t="shared" si="148"/>
        <v>0</v>
      </c>
      <c r="U111" s="1">
        <f t="shared" si="148"/>
        <v>0</v>
      </c>
      <c r="V111" s="1">
        <f t="shared" si="148"/>
        <v>0</v>
      </c>
      <c r="W111" s="1">
        <f t="shared" si="148"/>
        <v>0</v>
      </c>
      <c r="X111" s="1">
        <f t="shared" si="148"/>
        <v>0</v>
      </c>
      <c r="Y111" s="17">
        <f t="shared" si="148"/>
        <v>3650371.963</v>
      </c>
      <c r="Z111" s="17">
        <f t="shared" si="148"/>
        <v>0</v>
      </c>
      <c r="AA111" s="17">
        <f t="shared" si="148"/>
        <v>0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"/>
      <c r="BT111" s="8"/>
      <c r="BU111" s="8"/>
      <c r="BV111" s="1"/>
      <c r="BW111" s="1"/>
      <c r="BX111" s="1"/>
      <c r="BY111" s="1"/>
      <c r="BZ111" s="1"/>
    </row>
    <row r="112">
      <c r="A112" s="3"/>
      <c r="B112" s="33"/>
      <c r="C112" s="18"/>
      <c r="D112" s="1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"/>
      <c r="BT112" s="8"/>
      <c r="BU112" s="8"/>
      <c r="BV112" s="1"/>
      <c r="BW112" s="1"/>
      <c r="BX112" s="1"/>
      <c r="BY112" s="1"/>
      <c r="BZ112" s="1"/>
    </row>
    <row r="113">
      <c r="A113" s="3"/>
      <c r="B113" s="33"/>
      <c r="C113" s="18"/>
      <c r="D113" s="1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"/>
      <c r="BT113" s="8"/>
      <c r="BU113" s="8"/>
      <c r="BV113" s="1"/>
      <c r="BW113" s="1"/>
      <c r="BX113" s="1"/>
      <c r="BY113" s="1"/>
      <c r="BZ113" s="1"/>
    </row>
    <row r="114">
      <c r="A114" s="3"/>
      <c r="B114" s="33" t="s">
        <v>117</v>
      </c>
      <c r="C114" s="18"/>
      <c r="D114" s="18" t="s">
        <v>242</v>
      </c>
      <c r="E114" s="17">
        <f t="shared" ref="E114:T114" si="149">E4-E21-E22</f>
        <v>9333872.24</v>
      </c>
      <c r="F114" s="17">
        <f t="shared" si="149"/>
        <v>9069215.6</v>
      </c>
      <c r="G114" s="17">
        <f t="shared" si="149"/>
        <v>10442038.6</v>
      </c>
      <c r="H114" s="17">
        <f t="shared" si="149"/>
        <v>11542083.53</v>
      </c>
      <c r="I114" s="17">
        <f t="shared" si="149"/>
        <v>11914938.37</v>
      </c>
      <c r="J114" s="17">
        <f t="shared" si="149"/>
        <v>10489172.94</v>
      </c>
      <c r="K114" s="17">
        <f t="shared" si="149"/>
        <v>10809602.18</v>
      </c>
      <c r="L114" s="17">
        <f t="shared" si="149"/>
        <v>10832989.13</v>
      </c>
      <c r="M114" s="17">
        <f t="shared" si="149"/>
        <v>9951597.21</v>
      </c>
      <c r="N114" s="17">
        <f t="shared" si="149"/>
        <v>11252793</v>
      </c>
      <c r="O114" s="17">
        <f t="shared" si="149"/>
        <v>13156506</v>
      </c>
      <c r="P114" s="17">
        <f t="shared" si="149"/>
        <v>11174045</v>
      </c>
      <c r="Q114" s="17">
        <f t="shared" si="149"/>
        <v>10835856</v>
      </c>
      <c r="R114" s="17">
        <f t="shared" si="149"/>
        <v>10183722.37</v>
      </c>
      <c r="S114" s="17">
        <f t="shared" si="149"/>
        <v>10045516</v>
      </c>
      <c r="T114" s="17">
        <f t="shared" si="149"/>
        <v>10239986.06</v>
      </c>
      <c r="U114" s="17">
        <f t="shared" ref="U114:Z114" si="150">U4-U115</f>
        <v>4355878</v>
      </c>
      <c r="V114" s="17">
        <f t="shared" si="150"/>
        <v>5973894</v>
      </c>
      <c r="W114" s="17">
        <f t="shared" si="150"/>
        <v>4669729</v>
      </c>
      <c r="X114" s="17">
        <f t="shared" si="150"/>
        <v>5870953</v>
      </c>
      <c r="Y114" s="17">
        <f t="shared" si="150"/>
        <v>5926895</v>
      </c>
      <c r="Z114" s="17">
        <f t="shared" si="150"/>
        <v>5646994</v>
      </c>
      <c r="AA114" s="17">
        <f t="shared" ref="AA114:BK114" si="151">AA8-AA115</f>
        <v>5510566</v>
      </c>
      <c r="AB114" s="17">
        <f t="shared" si="151"/>
        <v>5509898</v>
      </c>
      <c r="AC114" s="17">
        <f t="shared" si="151"/>
        <v>6495575</v>
      </c>
      <c r="AD114" s="17">
        <f t="shared" si="151"/>
        <v>6916510</v>
      </c>
      <c r="AE114" s="102">
        <f t="shared" si="151"/>
        <v>7022932</v>
      </c>
      <c r="AF114" s="102">
        <f t="shared" si="151"/>
        <v>7354635</v>
      </c>
      <c r="AG114" s="102">
        <f t="shared" si="151"/>
        <v>9894285</v>
      </c>
      <c r="AH114" s="102">
        <f t="shared" si="151"/>
        <v>8966465.49</v>
      </c>
      <c r="AI114" s="102">
        <f t="shared" si="151"/>
        <v>8100444</v>
      </c>
      <c r="AJ114" s="102">
        <f t="shared" si="151"/>
        <v>9620367</v>
      </c>
      <c r="AK114" s="102">
        <f t="shared" si="151"/>
        <v>8734166</v>
      </c>
      <c r="AL114" s="102">
        <f t="shared" si="151"/>
        <v>8135099</v>
      </c>
      <c r="AM114" s="102">
        <f t="shared" si="151"/>
        <v>9534302</v>
      </c>
      <c r="AN114" s="102">
        <f t="shared" si="151"/>
        <v>8404562</v>
      </c>
      <c r="AO114" s="102">
        <f t="shared" si="151"/>
        <v>9671707</v>
      </c>
      <c r="AP114" s="102">
        <f t="shared" si="151"/>
        <v>9603246</v>
      </c>
      <c r="AQ114" s="102">
        <f t="shared" si="151"/>
        <v>10536799</v>
      </c>
      <c r="AR114" s="102">
        <f t="shared" si="151"/>
        <v>10286288</v>
      </c>
      <c r="AS114" s="102">
        <f t="shared" si="151"/>
        <v>9255761</v>
      </c>
      <c r="AT114" s="102">
        <f t="shared" si="151"/>
        <v>10449497</v>
      </c>
      <c r="AU114" s="102">
        <f t="shared" si="151"/>
        <v>10013529</v>
      </c>
      <c r="AV114" s="102">
        <f t="shared" si="151"/>
        <v>11217104</v>
      </c>
      <c r="AW114" s="102">
        <f t="shared" si="151"/>
        <v>7581940</v>
      </c>
      <c r="AX114" s="102">
        <f t="shared" si="151"/>
        <v>9115556</v>
      </c>
      <c r="AY114" s="102">
        <f t="shared" si="151"/>
        <v>9716643</v>
      </c>
      <c r="AZ114" s="102">
        <f t="shared" si="151"/>
        <v>9430159</v>
      </c>
      <c r="BA114" s="102">
        <f t="shared" si="151"/>
        <v>9136860</v>
      </c>
      <c r="BB114" s="102">
        <f t="shared" si="151"/>
        <v>6703532</v>
      </c>
      <c r="BC114" s="102">
        <f t="shared" si="151"/>
        <v>9650808</v>
      </c>
      <c r="BD114" s="102">
        <f t="shared" si="151"/>
        <v>10139267</v>
      </c>
      <c r="BE114" s="102">
        <f t="shared" si="151"/>
        <v>7850253</v>
      </c>
      <c r="BF114" s="102">
        <f t="shared" si="151"/>
        <v>7815123</v>
      </c>
      <c r="BG114" s="102">
        <f t="shared" si="151"/>
        <v>9008194</v>
      </c>
      <c r="BH114" s="102">
        <f t="shared" si="151"/>
        <v>11146338</v>
      </c>
      <c r="BI114" s="102">
        <f t="shared" si="151"/>
        <v>7970250</v>
      </c>
      <c r="BJ114" s="102">
        <f t="shared" si="151"/>
        <v>8414453</v>
      </c>
      <c r="BK114" s="102">
        <f t="shared" si="151"/>
        <v>9316411</v>
      </c>
      <c r="BL114" s="102"/>
      <c r="BM114" s="102"/>
      <c r="BN114" s="102"/>
      <c r="BO114" s="102"/>
      <c r="BP114" s="102"/>
      <c r="BQ114" s="102"/>
      <c r="BR114" s="102"/>
      <c r="BS114" s="1"/>
      <c r="BT114" s="27" t="s">
        <v>124</v>
      </c>
      <c r="BU114" s="27"/>
      <c r="BV114" s="1"/>
      <c r="BW114" s="1"/>
      <c r="BX114" s="1"/>
      <c r="BY114" s="1"/>
      <c r="BZ114" s="1"/>
    </row>
    <row r="115">
      <c r="A115" s="3"/>
      <c r="B115" s="33" t="s">
        <v>117</v>
      </c>
      <c r="C115" s="3"/>
      <c r="D115" s="3" t="s">
        <v>243</v>
      </c>
      <c r="E115" s="1"/>
      <c r="F115" s="17">
        <f t="shared" ref="F115:T115" si="152">F22+F21</f>
        <v>2105190.4</v>
      </c>
      <c r="G115" s="17">
        <f t="shared" si="152"/>
        <v>958714.4</v>
      </c>
      <c r="H115" s="17">
        <f t="shared" si="152"/>
        <v>996037.47</v>
      </c>
      <c r="I115" s="17">
        <f t="shared" si="152"/>
        <v>845884.63</v>
      </c>
      <c r="J115" s="17">
        <f t="shared" si="152"/>
        <v>973463.24</v>
      </c>
      <c r="K115" s="17">
        <f t="shared" si="152"/>
        <v>1049971.55</v>
      </c>
      <c r="L115" s="17">
        <f t="shared" si="152"/>
        <v>890255.99</v>
      </c>
      <c r="M115" s="17">
        <f t="shared" si="152"/>
        <v>975604.79</v>
      </c>
      <c r="N115" s="17">
        <f t="shared" si="152"/>
        <v>712991</v>
      </c>
      <c r="O115" s="17">
        <f t="shared" si="152"/>
        <v>694247</v>
      </c>
      <c r="P115" s="17">
        <f t="shared" si="152"/>
        <v>1060745</v>
      </c>
      <c r="Q115" s="17">
        <f t="shared" si="152"/>
        <v>906204</v>
      </c>
      <c r="R115" s="17">
        <f t="shared" si="152"/>
        <v>1749222.11</v>
      </c>
      <c r="S115" s="17">
        <f t="shared" si="152"/>
        <v>1607749</v>
      </c>
      <c r="T115" s="17">
        <f t="shared" si="152"/>
        <v>2468817</v>
      </c>
      <c r="U115" s="17">
        <f t="shared" ref="U115:BK115" si="153">U99+U100</f>
        <v>8481678</v>
      </c>
      <c r="V115" s="17">
        <f t="shared" si="153"/>
        <v>7161083</v>
      </c>
      <c r="W115" s="17">
        <f t="shared" si="153"/>
        <v>7531005</v>
      </c>
      <c r="X115" s="17">
        <f t="shared" si="153"/>
        <v>7916962</v>
      </c>
      <c r="Y115" s="17">
        <f t="shared" si="153"/>
        <v>8662921</v>
      </c>
      <c r="Z115" s="17">
        <f t="shared" si="153"/>
        <v>8290748</v>
      </c>
      <c r="AA115" s="17">
        <f t="shared" si="153"/>
        <v>6490911</v>
      </c>
      <c r="AB115" s="17">
        <f t="shared" si="153"/>
        <v>7232235</v>
      </c>
      <c r="AC115" s="17">
        <f t="shared" si="153"/>
        <v>6238385</v>
      </c>
      <c r="AD115" s="17">
        <f t="shared" si="153"/>
        <v>8396672</v>
      </c>
      <c r="AE115" s="17">
        <f t="shared" si="153"/>
        <v>6852560</v>
      </c>
      <c r="AF115" s="17">
        <f t="shared" si="153"/>
        <v>5929272</v>
      </c>
      <c r="AG115" s="17">
        <f t="shared" si="153"/>
        <v>7503961</v>
      </c>
      <c r="AH115" s="17">
        <f t="shared" si="153"/>
        <v>6862242</v>
      </c>
      <c r="AI115" s="17">
        <f t="shared" si="153"/>
        <v>5737547</v>
      </c>
      <c r="AJ115" s="17">
        <f t="shared" si="153"/>
        <v>7933997</v>
      </c>
      <c r="AK115" s="17">
        <f t="shared" si="153"/>
        <v>7847776</v>
      </c>
      <c r="AL115" s="17">
        <f t="shared" si="153"/>
        <v>7171874</v>
      </c>
      <c r="AM115" s="17">
        <f t="shared" si="153"/>
        <v>7261917</v>
      </c>
      <c r="AN115" s="17">
        <f t="shared" si="153"/>
        <v>8914365</v>
      </c>
      <c r="AO115" s="17">
        <f t="shared" si="153"/>
        <v>9525387</v>
      </c>
      <c r="AP115" s="17">
        <f t="shared" si="153"/>
        <v>11317978</v>
      </c>
      <c r="AQ115" s="17">
        <f t="shared" si="153"/>
        <v>10905271</v>
      </c>
      <c r="AR115" s="17">
        <f t="shared" si="153"/>
        <v>10913699</v>
      </c>
      <c r="AS115" s="17">
        <f t="shared" si="153"/>
        <v>10710857</v>
      </c>
      <c r="AT115" s="17">
        <f t="shared" si="153"/>
        <v>10548519</v>
      </c>
      <c r="AU115" s="17">
        <f t="shared" si="153"/>
        <v>10290875</v>
      </c>
      <c r="AV115" s="17">
        <f t="shared" si="153"/>
        <v>9076886</v>
      </c>
      <c r="AW115" s="17">
        <f t="shared" si="153"/>
        <v>6784940</v>
      </c>
      <c r="AX115" s="17">
        <f t="shared" si="153"/>
        <v>7339022</v>
      </c>
      <c r="AY115" s="17">
        <f t="shared" si="153"/>
        <v>8321945</v>
      </c>
      <c r="AZ115" s="17">
        <f t="shared" si="153"/>
        <v>8421961</v>
      </c>
      <c r="BA115" s="17">
        <f t="shared" si="153"/>
        <v>7433529</v>
      </c>
      <c r="BB115" s="17">
        <f t="shared" si="153"/>
        <v>7929988</v>
      </c>
      <c r="BC115" s="17">
        <f t="shared" si="153"/>
        <v>9535731</v>
      </c>
      <c r="BD115" s="17">
        <f t="shared" si="153"/>
        <v>6817817</v>
      </c>
      <c r="BE115" s="17">
        <f t="shared" si="153"/>
        <v>7637197</v>
      </c>
      <c r="BF115" s="17">
        <f t="shared" si="153"/>
        <v>7858134</v>
      </c>
      <c r="BG115" s="17">
        <f t="shared" si="153"/>
        <v>8808797</v>
      </c>
      <c r="BH115" s="17">
        <f t="shared" si="153"/>
        <v>10160769</v>
      </c>
      <c r="BI115" s="17">
        <f t="shared" si="153"/>
        <v>7486410</v>
      </c>
      <c r="BJ115" s="17">
        <f t="shared" si="153"/>
        <v>8860363</v>
      </c>
      <c r="BK115" s="17">
        <f t="shared" si="153"/>
        <v>7537365</v>
      </c>
      <c r="BL115" s="17"/>
      <c r="BM115" s="17"/>
      <c r="BN115" s="17"/>
      <c r="BO115" s="17"/>
      <c r="BP115" s="17"/>
      <c r="BQ115" s="17"/>
      <c r="BR115" s="17"/>
      <c r="BS115" s="1"/>
      <c r="BT115" s="27" t="s">
        <v>124</v>
      </c>
      <c r="BU115" s="27"/>
      <c r="BV115" s="1"/>
      <c r="BW115" s="1"/>
      <c r="BX115" s="1"/>
      <c r="BY115" s="1"/>
      <c r="BZ115" s="1"/>
    </row>
    <row r="116">
      <c r="A116" s="3"/>
      <c r="B116" s="33" t="s">
        <v>117</v>
      </c>
      <c r="C116" s="18"/>
      <c r="D116" s="18" t="s">
        <v>244</v>
      </c>
      <c r="E116" s="101"/>
      <c r="F116" s="101"/>
      <c r="G116" s="101"/>
      <c r="H116" s="101"/>
      <c r="I116" s="101"/>
      <c r="J116" s="101"/>
      <c r="K116" s="101"/>
      <c r="L116" s="16"/>
      <c r="M116" s="1"/>
      <c r="N116" s="1"/>
      <c r="O116" s="1"/>
      <c r="P116" s="1"/>
      <c r="Q116" s="1"/>
      <c r="R116" s="1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33">
        <f t="shared" ref="AW116:BK116" si="154">AW114/AW8</f>
        <v>0.5277374071</v>
      </c>
      <c r="AX116" s="33">
        <f t="shared" si="154"/>
        <v>0.5539829706</v>
      </c>
      <c r="AY116" s="33">
        <f t="shared" si="154"/>
        <v>0.5386587354</v>
      </c>
      <c r="AZ116" s="33">
        <f t="shared" si="154"/>
        <v>0.5282374866</v>
      </c>
      <c r="BA116" s="33">
        <f t="shared" si="154"/>
        <v>0.551396832</v>
      </c>
      <c r="BB116" s="33">
        <f t="shared" si="154"/>
        <v>0.4580942931</v>
      </c>
      <c r="BC116" s="33">
        <f t="shared" si="154"/>
        <v>0.5029988994</v>
      </c>
      <c r="BD116" s="33">
        <f t="shared" si="154"/>
        <v>0.5979369448</v>
      </c>
      <c r="BE116" s="33">
        <f t="shared" si="154"/>
        <v>0.5068783434</v>
      </c>
      <c r="BF116" s="33">
        <f t="shared" si="154"/>
        <v>0.4986278857</v>
      </c>
      <c r="BG116" s="33">
        <f t="shared" si="154"/>
        <v>0.5055956979</v>
      </c>
      <c r="BH116" s="33">
        <f t="shared" si="154"/>
        <v>0.5231277057</v>
      </c>
      <c r="BI116" s="33">
        <f t="shared" si="154"/>
        <v>0.5156515056</v>
      </c>
      <c r="BJ116" s="33">
        <f t="shared" si="154"/>
        <v>0.4870936397</v>
      </c>
      <c r="BK116" s="33">
        <f t="shared" si="154"/>
        <v>0.552778855</v>
      </c>
      <c r="BL116" s="18"/>
      <c r="BM116" s="18"/>
      <c r="BN116" s="18"/>
      <c r="BO116" s="18"/>
      <c r="BP116" s="18"/>
      <c r="BQ116" s="18"/>
      <c r="BR116" s="18"/>
      <c r="BS116" s="3"/>
      <c r="BT116" s="9"/>
      <c r="BU116" s="9"/>
      <c r="BV116" s="1"/>
      <c r="BW116" s="1"/>
      <c r="BX116" s="1"/>
      <c r="BY116" s="1"/>
      <c r="BZ116" s="1"/>
    </row>
    <row r="117">
      <c r="A117" s="3"/>
      <c r="B117" s="33" t="s">
        <v>117</v>
      </c>
      <c r="C117" s="3"/>
      <c r="D117" s="3" t="s">
        <v>245</v>
      </c>
      <c r="E117" s="101"/>
      <c r="F117" s="101"/>
      <c r="G117" s="101"/>
      <c r="H117" s="101"/>
      <c r="I117" s="101"/>
      <c r="J117" s="101"/>
      <c r="K117" s="101"/>
      <c r="L117" s="16"/>
      <c r="M117" s="1"/>
      <c r="N117" s="1"/>
      <c r="O117" s="1"/>
      <c r="P117" s="1"/>
      <c r="Q117" s="1"/>
      <c r="R117" s="1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33">
        <f t="shared" ref="AW117:BK117" si="155">AW115/AW8</f>
        <v>0.4722625929</v>
      </c>
      <c r="AX117" s="33">
        <f t="shared" si="155"/>
        <v>0.4460170294</v>
      </c>
      <c r="AY117" s="33">
        <f t="shared" si="155"/>
        <v>0.4613412646</v>
      </c>
      <c r="AZ117" s="33">
        <f t="shared" si="155"/>
        <v>0.4717625134</v>
      </c>
      <c r="BA117" s="33">
        <f t="shared" si="155"/>
        <v>0.448603168</v>
      </c>
      <c r="BB117" s="33">
        <f t="shared" si="155"/>
        <v>0.5419057069</v>
      </c>
      <c r="BC117" s="33">
        <f t="shared" si="155"/>
        <v>0.4970011006</v>
      </c>
      <c r="BD117" s="33">
        <f t="shared" si="155"/>
        <v>0.4020630552</v>
      </c>
      <c r="BE117" s="33">
        <f t="shared" si="155"/>
        <v>0.4931216566</v>
      </c>
      <c r="BF117" s="33">
        <f t="shared" si="155"/>
        <v>0.5013721143</v>
      </c>
      <c r="BG117" s="33">
        <f t="shared" si="155"/>
        <v>0.4944043021</v>
      </c>
      <c r="BH117" s="33">
        <f t="shared" si="155"/>
        <v>0.4768722943</v>
      </c>
      <c r="BI117" s="33">
        <f t="shared" si="155"/>
        <v>0.4843484944</v>
      </c>
      <c r="BJ117" s="33">
        <f t="shared" si="155"/>
        <v>0.5129063603</v>
      </c>
      <c r="BK117" s="33">
        <f t="shared" si="155"/>
        <v>0.447221145</v>
      </c>
      <c r="BL117" s="18"/>
      <c r="BM117" s="18"/>
      <c r="BN117" s="18"/>
      <c r="BO117" s="18"/>
      <c r="BP117" s="18"/>
      <c r="BQ117" s="18"/>
      <c r="BR117" s="18"/>
      <c r="BS117" s="3"/>
      <c r="BT117" s="9"/>
      <c r="BU117" s="9"/>
      <c r="BV117" s="1"/>
      <c r="BW117" s="1"/>
      <c r="BX117" s="1"/>
      <c r="BY117" s="1"/>
      <c r="BZ117" s="1"/>
    </row>
    <row r="118">
      <c r="A118" s="3"/>
      <c r="B118" s="33" t="s">
        <v>117</v>
      </c>
      <c r="C118" s="103"/>
      <c r="D118" s="103" t="s">
        <v>246</v>
      </c>
      <c r="E118" s="101"/>
      <c r="F118" s="101"/>
      <c r="G118" s="101"/>
      <c r="H118" s="101"/>
      <c r="I118" s="101"/>
      <c r="J118" s="101"/>
      <c r="K118" s="101"/>
      <c r="L118" s="16"/>
      <c r="M118" s="1"/>
      <c r="N118" s="1"/>
      <c r="O118" s="1"/>
      <c r="P118" s="1"/>
      <c r="Q118" s="1"/>
      <c r="R118" s="3" t="s">
        <v>246</v>
      </c>
      <c r="S118" s="18">
        <v>3306920.0</v>
      </c>
      <c r="T118" s="18">
        <v>4108000.0</v>
      </c>
      <c r="U118" s="18">
        <v>4635956.0</v>
      </c>
      <c r="V118" s="18">
        <v>5091430.0</v>
      </c>
      <c r="W118" s="18">
        <v>3910699.0</v>
      </c>
      <c r="X118" s="18">
        <v>3700281.0</v>
      </c>
      <c r="Y118" s="18">
        <v>4071189.0</v>
      </c>
      <c r="Z118" s="18">
        <v>4012054.0</v>
      </c>
      <c r="AA118" s="18">
        <v>4042774.0</v>
      </c>
      <c r="AB118" s="18">
        <v>3634751.0</v>
      </c>
      <c r="AC118" s="18">
        <v>4053961.0</v>
      </c>
      <c r="AD118" s="18">
        <v>4274937.0</v>
      </c>
      <c r="AE118" s="18">
        <v>4461090.0</v>
      </c>
      <c r="AF118" s="18">
        <v>4116949.0</v>
      </c>
      <c r="AG118" s="18">
        <v>4472484.0</v>
      </c>
      <c r="AH118" s="18">
        <v>4996715.0</v>
      </c>
      <c r="AI118" s="74">
        <v>4249638.0</v>
      </c>
      <c r="AJ118" s="74">
        <v>4135452.0</v>
      </c>
      <c r="AK118" s="18">
        <v>4696570.0</v>
      </c>
      <c r="AL118" s="18">
        <v>4990927.0</v>
      </c>
      <c r="AM118" s="18">
        <v>4473827.0</v>
      </c>
      <c r="AN118" s="18">
        <v>4763319.0</v>
      </c>
      <c r="AO118" s="18">
        <v>5622700.0</v>
      </c>
      <c r="AP118" s="18">
        <v>5350074.0</v>
      </c>
      <c r="AQ118" s="18">
        <v>5643771.0</v>
      </c>
      <c r="AR118" s="18">
        <v>5877650.0</v>
      </c>
      <c r="AS118" s="18">
        <v>6835018.0</v>
      </c>
      <c r="AT118" s="18">
        <v>5949875.0</v>
      </c>
      <c r="AU118" s="18">
        <v>5853537.0</v>
      </c>
      <c r="AV118" s="18">
        <v>5941535.0</v>
      </c>
      <c r="AW118" s="18">
        <v>4366363.0</v>
      </c>
      <c r="AX118" s="18">
        <v>5059308.0</v>
      </c>
      <c r="AY118" s="18">
        <v>5586801.0</v>
      </c>
      <c r="AZ118" s="18">
        <v>5316143.0</v>
      </c>
      <c r="BA118" s="18">
        <v>5182778.0</v>
      </c>
      <c r="BB118" s="18">
        <v>4974819.0</v>
      </c>
      <c r="BC118" s="18">
        <v>4737021.0</v>
      </c>
      <c r="BD118" s="18">
        <v>5680287.0</v>
      </c>
      <c r="BE118" s="18">
        <v>5339461.0</v>
      </c>
      <c r="BF118" s="18">
        <v>5017341.0</v>
      </c>
      <c r="BG118" s="18">
        <v>5718880.0</v>
      </c>
      <c r="BH118" s="18">
        <v>6057816.0</v>
      </c>
      <c r="BI118" s="18">
        <v>5168691.0</v>
      </c>
      <c r="BJ118" s="18">
        <v>4974671.0</v>
      </c>
      <c r="BK118" s="18">
        <v>5418966.0</v>
      </c>
      <c r="BL118" s="18"/>
      <c r="BM118" s="18"/>
      <c r="BN118" s="18"/>
      <c r="BO118" s="18"/>
      <c r="BP118" s="18"/>
      <c r="BQ118" s="18"/>
      <c r="BR118" s="18"/>
      <c r="BS118" s="3"/>
      <c r="BT118" s="72" t="s">
        <v>201</v>
      </c>
      <c r="BU118" s="9"/>
      <c r="BV118" s="1"/>
      <c r="BW118" s="1"/>
      <c r="BX118" s="1"/>
      <c r="BY118" s="1"/>
      <c r="BZ118" s="1"/>
    </row>
    <row r="119">
      <c r="A119" s="3"/>
      <c r="B119" s="33" t="s">
        <v>117</v>
      </c>
      <c r="C119" s="103"/>
      <c r="D119" s="103" t="s">
        <v>247</v>
      </c>
      <c r="E119" s="101"/>
      <c r="F119" s="101"/>
      <c r="G119" s="101"/>
      <c r="H119" s="101"/>
      <c r="I119" s="101"/>
      <c r="J119" s="101"/>
      <c r="K119" s="101"/>
      <c r="L119" s="16"/>
      <c r="M119" s="1"/>
      <c r="N119" s="1"/>
      <c r="O119" s="1"/>
      <c r="P119" s="1"/>
      <c r="Q119" s="1"/>
      <c r="R119" s="3" t="s">
        <v>247</v>
      </c>
      <c r="S119" s="53">
        <v>0.2838</v>
      </c>
      <c r="T119" s="53">
        <v>0.3232</v>
      </c>
      <c r="U119" s="33">
        <v>0.3613</v>
      </c>
      <c r="V119" s="33">
        <v>0.3876</v>
      </c>
      <c r="W119" s="33">
        <v>0.3205</v>
      </c>
      <c r="X119" s="33">
        <v>0.2684</v>
      </c>
      <c r="Y119" s="33">
        <v>0.279</v>
      </c>
      <c r="Z119" s="33">
        <v>0.2879</v>
      </c>
      <c r="AA119" s="33">
        <v>0.2965</v>
      </c>
      <c r="AB119" s="33">
        <v>0.3066</v>
      </c>
      <c r="AC119" s="33">
        <v>0.3187</v>
      </c>
      <c r="AD119" s="33">
        <v>0.3223</v>
      </c>
      <c r="AE119" s="33">
        <v>0.3212</v>
      </c>
      <c r="AF119" s="33">
        <v>0.3121</v>
      </c>
      <c r="AG119" s="33">
        <v>0.3162</v>
      </c>
      <c r="AH119" s="33">
        <v>0.3066</v>
      </c>
      <c r="AI119" s="33">
        <v>0.2927</v>
      </c>
      <c r="AJ119" s="33">
        <v>0.2794</v>
      </c>
      <c r="AK119" s="33">
        <v>0.2949</v>
      </c>
      <c r="AL119" s="33">
        <v>0.308</v>
      </c>
      <c r="AM119" s="33">
        <v>0.297</v>
      </c>
      <c r="AN119" s="33">
        <v>0.3072</v>
      </c>
      <c r="AO119" s="33">
        <v>0.3011</v>
      </c>
      <c r="AP119" s="33">
        <v>0.2812</v>
      </c>
      <c r="AQ119" s="33">
        <v>0.2908</v>
      </c>
      <c r="AR119" s="33">
        <v>0.2928</v>
      </c>
      <c r="AS119" s="33">
        <v>0.3319</v>
      </c>
      <c r="AT119" s="33">
        <v>0.3128</v>
      </c>
      <c r="AU119" s="33">
        <v>0.294</v>
      </c>
      <c r="AV119" s="33">
        <v>0.3074</v>
      </c>
      <c r="AW119" s="33">
        <v>0.2919</v>
      </c>
      <c r="AX119" s="33">
        <v>0.3127</v>
      </c>
      <c r="AY119" s="33">
        <v>0.3358</v>
      </c>
      <c r="AZ119" s="33">
        <v>0.3191</v>
      </c>
      <c r="BA119" s="33">
        <v>0.3122</v>
      </c>
      <c r="BB119" s="33">
        <v>0.3248</v>
      </c>
      <c r="BC119" s="33">
        <v>0.3005</v>
      </c>
      <c r="BD119" s="33">
        <v>0.3216</v>
      </c>
      <c r="BE119" s="33">
        <v>0.3505</v>
      </c>
      <c r="BF119" s="33">
        <v>0.3593</v>
      </c>
      <c r="BG119" s="33">
        <v>0.3522</v>
      </c>
      <c r="BH119" s="33">
        <v>0.3367</v>
      </c>
      <c r="BI119" s="33">
        <v>0.3149</v>
      </c>
      <c r="BJ119" s="33">
        <v>0.3258</v>
      </c>
      <c r="BK119" s="33">
        <v>0.3205</v>
      </c>
      <c r="BL119" s="33"/>
      <c r="BM119" s="33"/>
      <c r="BN119" s="33"/>
      <c r="BO119" s="33"/>
      <c r="BP119" s="33"/>
      <c r="BQ119" s="33"/>
      <c r="BR119" s="33"/>
      <c r="BS119" s="3"/>
      <c r="BT119" s="72" t="s">
        <v>201</v>
      </c>
      <c r="BU119" s="9"/>
      <c r="BV119" s="1"/>
      <c r="BW119" s="1"/>
      <c r="BX119" s="1"/>
      <c r="BY119" s="1"/>
      <c r="BZ119" s="1"/>
    </row>
    <row r="120">
      <c r="A120" s="3"/>
      <c r="B120" s="33" t="s">
        <v>117</v>
      </c>
      <c r="C120" s="103"/>
      <c r="D120" s="103" t="s">
        <v>248</v>
      </c>
      <c r="E120" s="101"/>
      <c r="F120" s="101"/>
      <c r="G120" s="101"/>
      <c r="H120" s="101"/>
      <c r="I120" s="101"/>
      <c r="J120" s="101"/>
      <c r="K120" s="101"/>
      <c r="L120" s="16"/>
      <c r="M120" s="1"/>
      <c r="N120" s="1"/>
      <c r="O120" s="1"/>
      <c r="P120" s="1"/>
      <c r="Q120" s="1"/>
      <c r="R120" s="3" t="s">
        <v>248</v>
      </c>
      <c r="S120" s="104">
        <v>6418804.0</v>
      </c>
      <c r="T120" s="104">
        <v>6598098.0</v>
      </c>
      <c r="U120" s="74">
        <v>6217627.0</v>
      </c>
      <c r="V120" s="74">
        <v>6166918.0</v>
      </c>
      <c r="W120" s="74">
        <v>6373852.0</v>
      </c>
      <c r="X120" s="74">
        <v>7833280.0</v>
      </c>
      <c r="Y120" s="74">
        <v>8186067.0</v>
      </c>
      <c r="Z120" s="74">
        <v>7818064.0</v>
      </c>
      <c r="AA120" s="74">
        <v>7451423.0</v>
      </c>
      <c r="AB120" s="74">
        <v>6211504.0</v>
      </c>
      <c r="AC120" s="74">
        <v>6273265.0</v>
      </c>
      <c r="AD120" s="74">
        <v>6761539.0</v>
      </c>
      <c r="AE120" s="74">
        <v>7227248.0</v>
      </c>
      <c r="AF120" s="74">
        <v>7015708.0</v>
      </c>
      <c r="AG120" s="74">
        <v>7090219.0</v>
      </c>
      <c r="AH120" s="74">
        <v>8874149.0</v>
      </c>
      <c r="AI120" s="74">
        <v>8011787.0</v>
      </c>
      <c r="AJ120" s="74">
        <v>8290416.0</v>
      </c>
      <c r="AK120" s="74">
        <v>8498759.0</v>
      </c>
      <c r="AL120" s="74">
        <v>8227067.0</v>
      </c>
      <c r="AM120" s="74">
        <v>8159652.0</v>
      </c>
      <c r="AN120" s="74">
        <v>8030347.0</v>
      </c>
      <c r="AO120" s="74">
        <v>1.0000374E7</v>
      </c>
      <c r="AP120" s="74">
        <v>1.0697219E7</v>
      </c>
      <c r="AQ120" s="74">
        <v>1.0759991E7</v>
      </c>
      <c r="AR120" s="74">
        <v>1.0856719E7</v>
      </c>
      <c r="AS120" s="74">
        <v>1.0162093E7</v>
      </c>
      <c r="AT120" s="74">
        <v>9529184.0</v>
      </c>
      <c r="AU120" s="74">
        <v>9985171.0</v>
      </c>
      <c r="AV120" s="74">
        <v>9338252.0</v>
      </c>
      <c r="AW120" s="74">
        <v>7793543.0</v>
      </c>
      <c r="AX120" s="74">
        <v>8019673.0</v>
      </c>
      <c r="AY120" s="74">
        <v>7546348.0</v>
      </c>
      <c r="AZ120" s="74">
        <v>7800483.0</v>
      </c>
      <c r="BA120" s="74">
        <v>7781535.0</v>
      </c>
      <c r="BB120" s="74">
        <v>6752120.0</v>
      </c>
      <c r="BC120" s="74">
        <v>7745032.0</v>
      </c>
      <c r="BD120" s="74">
        <v>8505052.0</v>
      </c>
      <c r="BE120" s="74">
        <v>6315586.0</v>
      </c>
      <c r="BF120" s="74">
        <v>5404176.0</v>
      </c>
      <c r="BG120" s="74">
        <v>7406174.0</v>
      </c>
      <c r="BH120" s="74">
        <v>9058747.0</v>
      </c>
      <c r="BI120" s="74">
        <v>8599229.0</v>
      </c>
      <c r="BJ120" s="74">
        <v>6922584.0</v>
      </c>
      <c r="BK120" s="74">
        <v>7271777.0</v>
      </c>
      <c r="BL120" s="74"/>
      <c r="BM120" s="74"/>
      <c r="BN120" s="74"/>
      <c r="BO120" s="74"/>
      <c r="BP120" s="74"/>
      <c r="BQ120" s="74"/>
      <c r="BR120" s="74"/>
      <c r="BS120" s="3"/>
      <c r="BT120" s="60" t="s">
        <v>249</v>
      </c>
      <c r="BU120" s="9"/>
      <c r="BV120" s="1"/>
      <c r="BW120" s="1"/>
      <c r="BX120" s="1"/>
      <c r="BY120" s="1"/>
      <c r="BZ120" s="1"/>
    </row>
    <row r="121">
      <c r="A121" s="3"/>
      <c r="B121" s="33" t="s">
        <v>117</v>
      </c>
      <c r="C121" s="103"/>
      <c r="D121" s="103" t="s">
        <v>250</v>
      </c>
      <c r="E121" s="101"/>
      <c r="F121" s="101"/>
      <c r="G121" s="101"/>
      <c r="H121" s="101"/>
      <c r="I121" s="101"/>
      <c r="J121" s="101"/>
      <c r="K121" s="101"/>
      <c r="L121" s="16"/>
      <c r="M121" s="1"/>
      <c r="N121" s="1"/>
      <c r="O121" s="1"/>
      <c r="P121" s="1"/>
      <c r="Q121" s="1"/>
      <c r="R121" s="3" t="s">
        <v>250</v>
      </c>
      <c r="S121" s="53">
        <v>0.5508</v>
      </c>
      <c r="T121" s="53">
        <v>0.5192</v>
      </c>
      <c r="U121" s="33">
        <v>0.4846</v>
      </c>
      <c r="V121" s="33">
        <v>0.4695</v>
      </c>
      <c r="W121" s="33">
        <v>0.5224</v>
      </c>
      <c r="X121" s="33">
        <v>0.5681</v>
      </c>
      <c r="Y121" s="33">
        <v>0.5611</v>
      </c>
      <c r="Z121" s="33">
        <v>0.5609</v>
      </c>
      <c r="AA121" s="33">
        <v>0.5465</v>
      </c>
      <c r="AB121" s="33">
        <v>0.524</v>
      </c>
      <c r="AC121" s="33">
        <v>0.4931</v>
      </c>
      <c r="AD121" s="33">
        <v>0.5098</v>
      </c>
      <c r="AE121" s="33">
        <v>0.5204</v>
      </c>
      <c r="AF121" s="33">
        <v>0.5318</v>
      </c>
      <c r="AG121" s="33">
        <v>0.5013</v>
      </c>
      <c r="AH121" s="33">
        <v>0.5445</v>
      </c>
      <c r="AI121" s="33">
        <v>0.5518</v>
      </c>
      <c r="AJ121" s="33">
        <v>0.5602</v>
      </c>
      <c r="AK121" s="33">
        <v>0.5336</v>
      </c>
      <c r="AL121" s="33">
        <v>0.5078</v>
      </c>
      <c r="AM121" s="33">
        <v>0.5417</v>
      </c>
      <c r="AN121" s="33">
        <v>0.5179</v>
      </c>
      <c r="AO121" s="33">
        <v>0.5355</v>
      </c>
      <c r="AP121" s="33">
        <v>0.5622</v>
      </c>
      <c r="AQ121" s="33">
        <v>0.5544</v>
      </c>
      <c r="AR121" s="33">
        <v>0.5408</v>
      </c>
      <c r="AS121" s="33">
        <v>0.4934</v>
      </c>
      <c r="AT121" s="33">
        <v>0.501</v>
      </c>
      <c r="AU121" s="33">
        <v>0.5015</v>
      </c>
      <c r="AV121" s="33">
        <v>0.4832</v>
      </c>
      <c r="AW121" s="33">
        <v>0.5211</v>
      </c>
      <c r="AX121" s="33">
        <v>0.4957</v>
      </c>
      <c r="AY121" s="33">
        <v>0.4535</v>
      </c>
      <c r="AZ121" s="33">
        <v>0.4682</v>
      </c>
      <c r="BA121" s="33">
        <v>0.4688</v>
      </c>
      <c r="BB121" s="33">
        <v>0.4409</v>
      </c>
      <c r="BC121" s="33">
        <v>0.4913</v>
      </c>
      <c r="BD121" s="33">
        <v>0.4816</v>
      </c>
      <c r="BE121" s="33">
        <v>0.4146</v>
      </c>
      <c r="BF121" s="33">
        <v>0.387</v>
      </c>
      <c r="BG121" s="33">
        <v>0.4561</v>
      </c>
      <c r="BH121" s="33">
        <v>0.5035</v>
      </c>
      <c r="BI121" s="33">
        <v>0.524</v>
      </c>
      <c r="BJ121" s="33">
        <v>0.4534</v>
      </c>
      <c r="BK121" s="33">
        <v>0.4301</v>
      </c>
      <c r="BL121" s="33"/>
      <c r="BM121" s="33"/>
      <c r="BN121" s="33"/>
      <c r="BO121" s="33"/>
      <c r="BP121" s="33"/>
      <c r="BQ121" s="33"/>
      <c r="BR121" s="33"/>
      <c r="BS121" s="3"/>
      <c r="BT121" s="60" t="s">
        <v>249</v>
      </c>
      <c r="BU121" s="9"/>
      <c r="BV121" s="1"/>
      <c r="BW121" s="1"/>
      <c r="BX121" s="1"/>
      <c r="BY121" s="1"/>
      <c r="BZ121" s="1"/>
    </row>
    <row r="122">
      <c r="A122" s="3"/>
      <c r="B122" s="33" t="s">
        <v>117</v>
      </c>
      <c r="C122" s="103"/>
      <c r="D122" s="103" t="s">
        <v>251</v>
      </c>
      <c r="E122" s="101"/>
      <c r="F122" s="101"/>
      <c r="G122" s="101"/>
      <c r="H122" s="101"/>
      <c r="I122" s="101"/>
      <c r="J122" s="101"/>
      <c r="K122" s="101"/>
      <c r="L122" s="16"/>
      <c r="M122" s="1"/>
      <c r="N122" s="1"/>
      <c r="O122" s="1"/>
      <c r="P122" s="1"/>
      <c r="Q122" s="1"/>
      <c r="R122" s="3" t="s">
        <v>251</v>
      </c>
      <c r="S122" s="104">
        <v>925532.0</v>
      </c>
      <c r="T122" s="104">
        <v>808264.0</v>
      </c>
      <c r="U122" s="74">
        <v>892362.0</v>
      </c>
      <c r="V122" s="74">
        <v>768500.0</v>
      </c>
      <c r="W122" s="74">
        <v>913087.0</v>
      </c>
      <c r="X122" s="74">
        <v>1121875.0</v>
      </c>
      <c r="Y122" s="74">
        <v>1014554.0</v>
      </c>
      <c r="Z122" s="74">
        <v>1016037.0</v>
      </c>
      <c r="AA122" s="74">
        <v>1050111.0</v>
      </c>
      <c r="AB122" s="74">
        <v>879661.0</v>
      </c>
      <c r="AC122" s="74">
        <v>1198721.0</v>
      </c>
      <c r="AD122" s="74">
        <v>1024478.0</v>
      </c>
      <c r="AE122" s="74">
        <v>981055.0</v>
      </c>
      <c r="AF122" s="74">
        <v>973016.0</v>
      </c>
      <c r="AG122" s="74">
        <v>1327326.0</v>
      </c>
      <c r="AH122" s="74">
        <v>1168296.0</v>
      </c>
      <c r="AI122" s="74">
        <v>991919.0</v>
      </c>
      <c r="AJ122" s="74">
        <v>1039434.0</v>
      </c>
      <c r="AK122" s="74">
        <v>1162972.0</v>
      </c>
      <c r="AL122" s="74">
        <v>1319509.0</v>
      </c>
      <c r="AM122" s="74">
        <v>1087439.0</v>
      </c>
      <c r="AN122" s="74">
        <v>1335130.0</v>
      </c>
      <c r="AO122" s="74">
        <v>1435793.0</v>
      </c>
      <c r="AP122" s="74">
        <v>1301546.0</v>
      </c>
      <c r="AQ122" s="74">
        <v>1319302.0</v>
      </c>
      <c r="AR122" s="74">
        <v>1493186.0</v>
      </c>
      <c r="AS122" s="74">
        <v>1573504.0</v>
      </c>
      <c r="AT122" s="74">
        <v>1702442.0</v>
      </c>
      <c r="AU122" s="74">
        <v>2282580.0</v>
      </c>
      <c r="AV122" s="74">
        <v>1944806.0</v>
      </c>
      <c r="AW122" s="74">
        <v>1210381.0</v>
      </c>
      <c r="AX122" s="74">
        <v>1208538.0</v>
      </c>
      <c r="AY122" s="74">
        <v>1393660.0</v>
      </c>
      <c r="AZ122" s="74">
        <v>1424894.0</v>
      </c>
      <c r="BA122" s="74">
        <v>1355847.0</v>
      </c>
      <c r="BB122" s="74">
        <v>1389022.0</v>
      </c>
      <c r="BC122" s="74">
        <v>1309387.0</v>
      </c>
      <c r="BD122" s="74">
        <v>1347085.0</v>
      </c>
      <c r="BE122" s="74">
        <v>1456237.0</v>
      </c>
      <c r="BF122" s="74">
        <v>1421353.0</v>
      </c>
      <c r="BG122" s="74">
        <v>1233280.0</v>
      </c>
      <c r="BH122" s="74">
        <v>1093775.0</v>
      </c>
      <c r="BI122" s="74">
        <v>1007392.0</v>
      </c>
      <c r="BJ122" s="74">
        <v>1167178.0</v>
      </c>
      <c r="BK122" s="74">
        <v>1327208.0</v>
      </c>
      <c r="BL122" s="74"/>
      <c r="BM122" s="74"/>
      <c r="BN122" s="74"/>
      <c r="BO122" s="74"/>
      <c r="BP122" s="74"/>
      <c r="BQ122" s="74"/>
      <c r="BR122" s="74"/>
      <c r="BS122" s="3"/>
      <c r="BT122" s="60" t="s">
        <v>249</v>
      </c>
      <c r="BU122" s="9"/>
      <c r="BV122" s="1"/>
      <c r="BW122" s="1"/>
      <c r="BX122" s="1"/>
      <c r="BY122" s="1"/>
      <c r="BZ122" s="1"/>
    </row>
    <row r="123">
      <c r="A123" s="3"/>
      <c r="B123" s="33" t="s">
        <v>117</v>
      </c>
      <c r="C123" s="103"/>
      <c r="D123" s="103" t="s">
        <v>252</v>
      </c>
      <c r="E123" s="101"/>
      <c r="F123" s="101"/>
      <c r="G123" s="101"/>
      <c r="H123" s="101"/>
      <c r="I123" s="101"/>
      <c r="J123" s="101"/>
      <c r="K123" s="101"/>
      <c r="L123" s="16"/>
      <c r="M123" s="1"/>
      <c r="N123" s="1"/>
      <c r="O123" s="1"/>
      <c r="P123" s="1"/>
      <c r="Q123" s="1"/>
      <c r="R123" s="3" t="s">
        <v>252</v>
      </c>
      <c r="S123" s="53">
        <v>0.0794</v>
      </c>
      <c r="T123" s="53">
        <v>0.0636</v>
      </c>
      <c r="U123" s="33">
        <v>0.0695</v>
      </c>
      <c r="V123" s="33">
        <v>0.0585</v>
      </c>
      <c r="W123" s="33">
        <v>0.0748</v>
      </c>
      <c r="X123" s="33">
        <v>0.0814</v>
      </c>
      <c r="Y123" s="33">
        <v>0.0695</v>
      </c>
      <c r="Z123" s="33">
        <v>0.0729</v>
      </c>
      <c r="AA123" s="33">
        <v>0.077</v>
      </c>
      <c r="AB123" s="33">
        <v>0.0742</v>
      </c>
      <c r="AC123" s="33">
        <v>0.0942</v>
      </c>
      <c r="AD123" s="33">
        <v>0.0772</v>
      </c>
      <c r="AE123" s="33">
        <v>0.0706</v>
      </c>
      <c r="AF123" s="33">
        <v>0.0738</v>
      </c>
      <c r="AG123" s="33">
        <v>0.0938</v>
      </c>
      <c r="AH123" s="33">
        <v>0.0717</v>
      </c>
      <c r="AI123" s="33">
        <v>0.0683</v>
      </c>
      <c r="AJ123" s="33">
        <v>0.0702</v>
      </c>
      <c r="AK123" s="33">
        <v>0.073</v>
      </c>
      <c r="AL123" s="33">
        <v>0.0814</v>
      </c>
      <c r="AM123" s="33">
        <v>0.0722</v>
      </c>
      <c r="AN123" s="33">
        <v>0.0861</v>
      </c>
      <c r="AO123" s="33">
        <v>0.0769</v>
      </c>
      <c r="AP123" s="33">
        <v>0.0684</v>
      </c>
      <c r="AQ123" s="33">
        <v>0.068</v>
      </c>
      <c r="AR123" s="33">
        <v>0.0744</v>
      </c>
      <c r="AS123" s="33">
        <v>0.0764</v>
      </c>
      <c r="AT123" s="33">
        <v>0.0895</v>
      </c>
      <c r="AU123" s="33">
        <v>0.1146</v>
      </c>
      <c r="AV123" s="33">
        <v>0.1006</v>
      </c>
      <c r="AW123" s="33">
        <v>0.0809</v>
      </c>
      <c r="AX123" s="33">
        <v>0.0747</v>
      </c>
      <c r="AY123" s="33">
        <v>0.0838</v>
      </c>
      <c r="AZ123" s="33">
        <v>0.0855</v>
      </c>
      <c r="BA123" s="33">
        <v>0.0817</v>
      </c>
      <c r="BB123" s="33">
        <v>0.0907</v>
      </c>
      <c r="BC123" s="33">
        <v>0.0831</v>
      </c>
      <c r="BD123" s="33">
        <v>0.0763</v>
      </c>
      <c r="BE123" s="33">
        <v>0.0956</v>
      </c>
      <c r="BF123" s="33">
        <v>0.1018</v>
      </c>
      <c r="BG123" s="33">
        <v>0.0759</v>
      </c>
      <c r="BH123" s="33">
        <v>0.0608</v>
      </c>
      <c r="BI123" s="33">
        <v>0.0614</v>
      </c>
      <c r="BJ123" s="33">
        <v>0.0764</v>
      </c>
      <c r="BK123" s="33">
        <v>0.0785</v>
      </c>
      <c r="BL123" s="33"/>
      <c r="BM123" s="33"/>
      <c r="BN123" s="33"/>
      <c r="BO123" s="33"/>
      <c r="BP123" s="33"/>
      <c r="BQ123" s="33"/>
      <c r="BR123" s="33"/>
      <c r="BS123" s="3"/>
      <c r="BT123" s="60" t="s">
        <v>249</v>
      </c>
      <c r="BU123" s="9"/>
      <c r="BV123" s="1"/>
      <c r="BW123" s="1"/>
      <c r="BX123" s="1"/>
      <c r="BY123" s="1"/>
      <c r="BZ123" s="1"/>
    </row>
    <row r="124">
      <c r="A124" s="3"/>
      <c r="B124" s="33" t="s">
        <v>117</v>
      </c>
      <c r="C124" s="103"/>
      <c r="D124" s="103" t="s">
        <v>253</v>
      </c>
      <c r="E124" s="101"/>
      <c r="F124" s="101"/>
      <c r="G124" s="101"/>
      <c r="H124" s="101"/>
      <c r="I124" s="101"/>
      <c r="J124" s="101"/>
      <c r="K124" s="73"/>
      <c r="L124" s="73"/>
      <c r="M124" s="73"/>
      <c r="N124" s="73"/>
      <c r="O124" s="73"/>
      <c r="P124" s="73"/>
      <c r="Q124" s="73"/>
      <c r="R124" s="2" t="s">
        <v>253</v>
      </c>
      <c r="S124" s="20">
        <v>573871.0</v>
      </c>
      <c r="T124" s="20">
        <v>652279.0</v>
      </c>
      <c r="U124" s="74">
        <v>600969.0</v>
      </c>
      <c r="V124" s="74">
        <v>610174.0</v>
      </c>
      <c r="W124" s="74">
        <v>541902.0</v>
      </c>
      <c r="X124" s="74">
        <v>583263.0</v>
      </c>
      <c r="Y124" s="74">
        <v>742037.0</v>
      </c>
      <c r="Z124" s="74">
        <v>641531.0</v>
      </c>
      <c r="AA124" s="74">
        <v>597057.0</v>
      </c>
      <c r="AB124" s="74">
        <v>608148.0</v>
      </c>
      <c r="AC124" s="74">
        <v>680766.0</v>
      </c>
      <c r="AD124" s="74">
        <v>643301.0</v>
      </c>
      <c r="AE124" s="74">
        <v>610184.0</v>
      </c>
      <c r="AF124" s="74">
        <v>534631.0</v>
      </c>
      <c r="AG124" s="74">
        <v>586609.0</v>
      </c>
      <c r="AH124" s="74">
        <v>616173.0</v>
      </c>
      <c r="AI124" s="74">
        <v>629724.0</v>
      </c>
      <c r="AJ124" s="74">
        <v>654969.0</v>
      </c>
      <c r="AK124" s="74">
        <v>644337.0</v>
      </c>
      <c r="AL124" s="74">
        <v>772984.0</v>
      </c>
      <c r="AM124" s="74">
        <v>551557.0</v>
      </c>
      <c r="AN124" s="74">
        <v>626979.0</v>
      </c>
      <c r="AO124" s="74">
        <v>797958.0</v>
      </c>
      <c r="AP124" s="74">
        <v>796807.0</v>
      </c>
      <c r="AQ124" s="74">
        <v>813166.0</v>
      </c>
      <c r="AR124" s="74">
        <v>892539.0</v>
      </c>
      <c r="AS124" s="74">
        <v>1000017.0</v>
      </c>
      <c r="AT124" s="74">
        <v>810869.0</v>
      </c>
      <c r="AU124" s="74">
        <v>783998.0</v>
      </c>
      <c r="AV124" s="74">
        <v>998899.0</v>
      </c>
      <c r="AW124" s="74">
        <v>786909.0</v>
      </c>
      <c r="AX124" s="74">
        <v>930151.0</v>
      </c>
      <c r="AY124" s="74">
        <v>914121.0</v>
      </c>
      <c r="AZ124" s="74">
        <v>882501.0</v>
      </c>
      <c r="BA124" s="74">
        <v>916163.0</v>
      </c>
      <c r="BB124" s="74">
        <v>852888.0</v>
      </c>
      <c r="BC124" s="74">
        <v>854449.0</v>
      </c>
      <c r="BD124" s="74">
        <v>892176.0</v>
      </c>
      <c r="BE124" s="74">
        <v>906683.0</v>
      </c>
      <c r="BF124" s="74">
        <v>831530.0</v>
      </c>
      <c r="BG124" s="74">
        <v>752149.0</v>
      </c>
      <c r="BH124" s="74">
        <v>744495.0</v>
      </c>
      <c r="BI124" s="74">
        <v>587710.0</v>
      </c>
      <c r="BJ124" s="74">
        <v>679335.0</v>
      </c>
      <c r="BK124" s="74">
        <v>1079667.0</v>
      </c>
      <c r="BL124" s="74"/>
      <c r="BM124" s="74"/>
      <c r="BN124" s="74"/>
      <c r="BO124" s="74"/>
      <c r="BP124" s="74"/>
      <c r="BQ124" s="74"/>
      <c r="BR124" s="74"/>
      <c r="BS124" s="3"/>
      <c r="BT124" s="60" t="s">
        <v>249</v>
      </c>
      <c r="BU124" s="9"/>
      <c r="BV124" s="1"/>
      <c r="BW124" s="1"/>
      <c r="BX124" s="1"/>
      <c r="BY124" s="1"/>
      <c r="BZ124" s="1"/>
    </row>
    <row r="125">
      <c r="A125" s="3"/>
      <c r="B125" s="33" t="s">
        <v>117</v>
      </c>
      <c r="C125" s="103"/>
      <c r="D125" s="103" t="s">
        <v>254</v>
      </c>
      <c r="E125" s="101"/>
      <c r="F125" s="101"/>
      <c r="G125" s="101"/>
      <c r="H125" s="101"/>
      <c r="I125" s="101"/>
      <c r="J125" s="101"/>
      <c r="K125" s="32"/>
      <c r="L125" s="32"/>
      <c r="M125" s="32"/>
      <c r="N125" s="32"/>
      <c r="O125" s="32"/>
      <c r="P125" s="32"/>
      <c r="Q125" s="32"/>
      <c r="R125" s="3" t="s">
        <v>254</v>
      </c>
      <c r="S125" s="33">
        <v>0.0492</v>
      </c>
      <c r="T125" s="33">
        <v>0.0513</v>
      </c>
      <c r="U125" s="33">
        <v>0.0468</v>
      </c>
      <c r="V125" s="33">
        <v>0.0465</v>
      </c>
      <c r="W125" s="33">
        <v>0.0444</v>
      </c>
      <c r="X125" s="33">
        <v>0.0423</v>
      </c>
      <c r="Y125" s="33">
        <v>0.0509</v>
      </c>
      <c r="Z125" s="33">
        <v>0.046</v>
      </c>
      <c r="AA125" s="33">
        <v>0.0438</v>
      </c>
      <c r="AB125" s="33">
        <v>0.0513</v>
      </c>
      <c r="AC125" s="33">
        <v>0.0535</v>
      </c>
      <c r="AD125" s="33">
        <v>0.0485</v>
      </c>
      <c r="AE125" s="33">
        <v>0.0439</v>
      </c>
      <c r="AF125" s="33">
        <v>0.0405</v>
      </c>
      <c r="AG125" s="33">
        <v>0.0415</v>
      </c>
      <c r="AH125" s="33">
        <v>0.0378</v>
      </c>
      <c r="AI125" s="33">
        <v>0.0434</v>
      </c>
      <c r="AJ125" s="33">
        <v>0.0443</v>
      </c>
      <c r="AK125" s="33">
        <v>0.0405</v>
      </c>
      <c r="AL125" s="33">
        <v>0.0477</v>
      </c>
      <c r="AM125" s="33">
        <v>0.0366</v>
      </c>
      <c r="AN125" s="33">
        <v>0.0404</v>
      </c>
      <c r="AO125" s="33">
        <v>0.0427</v>
      </c>
      <c r="AP125" s="33">
        <v>0.0419</v>
      </c>
      <c r="AQ125" s="33">
        <v>0.0419</v>
      </c>
      <c r="AR125" s="33">
        <v>0.0445</v>
      </c>
      <c r="AS125" s="33">
        <v>0.0486</v>
      </c>
      <c r="AT125" s="33">
        <v>0.0426</v>
      </c>
      <c r="AU125" s="33">
        <v>0.0394</v>
      </c>
      <c r="AV125" s="33">
        <v>0.0517</v>
      </c>
      <c r="AW125" s="33">
        <v>0.0526</v>
      </c>
      <c r="AX125" s="33">
        <v>0.0575</v>
      </c>
      <c r="AY125" s="33">
        <v>0.0549</v>
      </c>
      <c r="AZ125" s="33">
        <v>0.053</v>
      </c>
      <c r="BA125" s="33">
        <v>0.0552</v>
      </c>
      <c r="BB125" s="33">
        <v>0.0557</v>
      </c>
      <c r="BC125" s="33">
        <v>0.0542</v>
      </c>
      <c r="BD125" s="33">
        <v>0.0505</v>
      </c>
      <c r="BE125" s="33">
        <v>0.0595</v>
      </c>
      <c r="BF125" s="33">
        <v>0.0595</v>
      </c>
      <c r="BG125" s="33">
        <v>0.0463</v>
      </c>
      <c r="BH125" s="33">
        <v>0.0414</v>
      </c>
      <c r="BI125" s="33">
        <v>0.0358</v>
      </c>
      <c r="BJ125" s="33">
        <v>0.0445</v>
      </c>
      <c r="BK125" s="33">
        <v>0.0639</v>
      </c>
      <c r="BL125" s="33"/>
      <c r="BM125" s="33"/>
      <c r="BN125" s="33"/>
      <c r="BO125" s="33"/>
      <c r="BP125" s="33"/>
      <c r="BQ125" s="33"/>
      <c r="BR125" s="33"/>
      <c r="BS125" s="3"/>
      <c r="BT125" s="60" t="s">
        <v>249</v>
      </c>
      <c r="BU125" s="9"/>
      <c r="BV125" s="1"/>
      <c r="BW125" s="1"/>
      <c r="BX125" s="1"/>
      <c r="BY125" s="1"/>
      <c r="BZ125" s="1"/>
    </row>
    <row r="126">
      <c r="A126" s="3"/>
      <c r="B126" s="33" t="s">
        <v>117</v>
      </c>
      <c r="C126" s="105"/>
      <c r="D126" s="105" t="s">
        <v>255</v>
      </c>
      <c r="E126" s="101"/>
      <c r="F126" s="101"/>
      <c r="G126" s="101"/>
      <c r="H126" s="101"/>
      <c r="I126" s="101"/>
      <c r="J126" s="101"/>
      <c r="K126" s="101"/>
      <c r="L126" s="16"/>
      <c r="M126" s="1"/>
      <c r="N126" s="1"/>
      <c r="O126" s="1"/>
      <c r="P126" s="1"/>
      <c r="Q126" s="1"/>
      <c r="R126" s="3" t="s">
        <v>255</v>
      </c>
      <c r="S126" s="3">
        <v>292674.0</v>
      </c>
      <c r="T126" s="3">
        <v>393077.0</v>
      </c>
      <c r="U126" s="74">
        <v>355819.0</v>
      </c>
      <c r="V126" s="74">
        <v>333161.0</v>
      </c>
      <c r="W126" s="74">
        <v>344088.0</v>
      </c>
      <c r="X126" s="74">
        <v>391640.0</v>
      </c>
      <c r="Y126" s="74">
        <v>384645.0</v>
      </c>
      <c r="Z126" s="74">
        <v>309256.0</v>
      </c>
      <c r="AA126" s="74">
        <v>325676.0</v>
      </c>
      <c r="AB126" s="74">
        <v>363040.0</v>
      </c>
      <c r="AC126" s="74">
        <v>346189.0</v>
      </c>
      <c r="AD126" s="74">
        <v>334976.0</v>
      </c>
      <c r="AE126" s="74">
        <v>329034.0</v>
      </c>
      <c r="AF126" s="74">
        <v>346655.0</v>
      </c>
      <c r="AG126" s="74">
        <v>370993.0</v>
      </c>
      <c r="AH126" s="74">
        <v>366175.0</v>
      </c>
      <c r="AI126" s="74">
        <v>386459.0</v>
      </c>
      <c r="AJ126" s="74">
        <v>424077.0</v>
      </c>
      <c r="AK126" s="74">
        <v>535528.0</v>
      </c>
      <c r="AL126" s="74">
        <v>581943.0</v>
      </c>
      <c r="AM126" s="74">
        <v>462780.0</v>
      </c>
      <c r="AN126" s="74">
        <v>502694.0</v>
      </c>
      <c r="AO126" s="74">
        <v>547738.0</v>
      </c>
      <c r="AP126" s="74">
        <v>609323.0</v>
      </c>
      <c r="AQ126" s="74">
        <v>602652.0</v>
      </c>
      <c r="AR126" s="74">
        <v>636538.0</v>
      </c>
      <c r="AS126" s="74">
        <v>619522.0</v>
      </c>
      <c r="AT126" s="74">
        <v>563263.0</v>
      </c>
      <c r="AU126" s="74">
        <v>563405.0</v>
      </c>
      <c r="AV126" s="74">
        <v>575484.0</v>
      </c>
      <c r="AW126" s="74">
        <v>460431.0</v>
      </c>
      <c r="AX126" s="74">
        <v>565059.0</v>
      </c>
      <c r="AY126" s="74">
        <v>675678.0</v>
      </c>
      <c r="AZ126" s="74">
        <v>681728.0</v>
      </c>
      <c r="BA126" s="74">
        <v>677115.0</v>
      </c>
      <c r="BB126" s="74">
        <v>589954.0</v>
      </c>
      <c r="BC126" s="74">
        <v>615398.0</v>
      </c>
      <c r="BD126" s="74">
        <v>683047.0</v>
      </c>
      <c r="BE126" s="74">
        <v>575790.0</v>
      </c>
      <c r="BF126" s="74">
        <v>585927.0</v>
      </c>
      <c r="BG126" s="74">
        <v>555551.0</v>
      </c>
      <c r="BH126" s="74">
        <v>613485.0</v>
      </c>
      <c r="BI126" s="74">
        <v>571932.0</v>
      </c>
      <c r="BJ126" s="74">
        <v>514066.0</v>
      </c>
      <c r="BK126" s="74">
        <v>516655.0</v>
      </c>
      <c r="BL126" s="74"/>
      <c r="BM126" s="74"/>
      <c r="BN126" s="74"/>
      <c r="BO126" s="74"/>
      <c r="BP126" s="74"/>
      <c r="BQ126" s="74"/>
      <c r="BR126" s="74"/>
      <c r="BS126" s="1"/>
      <c r="BT126" s="60" t="s">
        <v>249</v>
      </c>
      <c r="BU126" s="9"/>
      <c r="BV126" s="1"/>
      <c r="BW126" s="1"/>
      <c r="BX126" s="1"/>
      <c r="BY126" s="1"/>
      <c r="BZ126" s="1"/>
    </row>
    <row r="127">
      <c r="A127" s="3"/>
      <c r="B127" s="33" t="s">
        <v>117</v>
      </c>
      <c r="C127" s="105"/>
      <c r="D127" s="105" t="s">
        <v>256</v>
      </c>
      <c r="E127" s="101"/>
      <c r="F127" s="101"/>
      <c r="G127" s="101"/>
      <c r="H127" s="101"/>
      <c r="I127" s="101"/>
      <c r="J127" s="101"/>
      <c r="K127" s="101"/>
      <c r="L127" s="16"/>
      <c r="M127" s="1"/>
      <c r="N127" s="1"/>
      <c r="O127" s="1"/>
      <c r="P127" s="1"/>
      <c r="Q127" s="1"/>
      <c r="R127" s="3" t="s">
        <v>256</v>
      </c>
      <c r="S127" s="33">
        <v>0.0251</v>
      </c>
      <c r="T127" s="33">
        <v>0.0309</v>
      </c>
      <c r="U127" s="33">
        <v>0.0277</v>
      </c>
      <c r="V127" s="33">
        <v>0.0254</v>
      </c>
      <c r="W127" s="33">
        <v>0.0282</v>
      </c>
      <c r="X127" s="33">
        <v>0.0284</v>
      </c>
      <c r="Y127" s="33">
        <v>0.0264</v>
      </c>
      <c r="Z127" s="33">
        <v>0.0222</v>
      </c>
      <c r="AA127" s="33">
        <v>0.0239</v>
      </c>
      <c r="AB127" s="33">
        <v>0.0306</v>
      </c>
      <c r="AC127" s="33">
        <v>0.0272</v>
      </c>
      <c r="AD127" s="33">
        <v>0.0253</v>
      </c>
      <c r="AE127" s="33">
        <v>0.0237</v>
      </c>
      <c r="AF127" s="33">
        <v>0.0263</v>
      </c>
      <c r="AG127" s="33">
        <v>0.0262</v>
      </c>
      <c r="AH127" s="33">
        <v>0.0225</v>
      </c>
      <c r="AI127" s="33">
        <v>0.0266</v>
      </c>
      <c r="AJ127" s="33">
        <v>0.0287</v>
      </c>
      <c r="AK127" s="33">
        <v>0.0336</v>
      </c>
      <c r="AL127" s="33">
        <v>0.0359</v>
      </c>
      <c r="AM127" s="33">
        <v>0.0307</v>
      </c>
      <c r="AN127" s="33">
        <v>0.0324</v>
      </c>
      <c r="AO127" s="33">
        <v>0.0293</v>
      </c>
      <c r="AP127" s="33">
        <v>0.032</v>
      </c>
      <c r="AQ127" s="33">
        <v>0.0311</v>
      </c>
      <c r="AR127" s="33">
        <v>0.0317</v>
      </c>
      <c r="AS127" s="33">
        <v>0.0301</v>
      </c>
      <c r="AT127" s="33">
        <v>0.0296</v>
      </c>
      <c r="AU127" s="33">
        <v>0.0283</v>
      </c>
      <c r="AV127" s="33">
        <v>0.0298</v>
      </c>
      <c r="AW127" s="33">
        <v>0.0308</v>
      </c>
      <c r="AX127" s="33">
        <v>0.0349</v>
      </c>
      <c r="AY127" s="33">
        <v>0.0406</v>
      </c>
      <c r="AZ127" s="33">
        <v>0.0409</v>
      </c>
      <c r="BA127" s="33">
        <v>0.0408</v>
      </c>
      <c r="BB127" s="33">
        <v>0.0385</v>
      </c>
      <c r="BC127" s="33">
        <v>0.039</v>
      </c>
      <c r="BD127" s="33">
        <v>0.0387</v>
      </c>
      <c r="BE127" s="33">
        <v>0.0378</v>
      </c>
      <c r="BF127" s="33">
        <v>0.042</v>
      </c>
      <c r="BG127" s="33">
        <v>0.0342</v>
      </c>
      <c r="BH127" s="33">
        <v>0.0341</v>
      </c>
      <c r="BI127" s="33">
        <v>0.0348</v>
      </c>
      <c r="BJ127" s="33">
        <v>0.0337</v>
      </c>
      <c r="BK127" s="33">
        <v>0.0306</v>
      </c>
      <c r="BL127" s="33"/>
      <c r="BM127" s="33"/>
      <c r="BN127" s="33"/>
      <c r="BO127" s="33"/>
      <c r="BP127" s="33"/>
      <c r="BQ127" s="33"/>
      <c r="BR127" s="33"/>
      <c r="BS127" s="1"/>
      <c r="BT127" s="60" t="s">
        <v>249</v>
      </c>
      <c r="BU127" s="9"/>
      <c r="BV127" s="1"/>
      <c r="BW127" s="1"/>
      <c r="BX127" s="1"/>
      <c r="BY127" s="1"/>
      <c r="BZ127" s="1"/>
    </row>
    <row r="128">
      <c r="A128" s="3"/>
      <c r="B128" s="33" t="s">
        <v>117</v>
      </c>
      <c r="C128" s="105"/>
      <c r="D128" s="105" t="s">
        <v>257</v>
      </c>
      <c r="E128" s="101"/>
      <c r="F128" s="101"/>
      <c r="G128" s="101"/>
      <c r="H128" s="101"/>
      <c r="I128" s="101"/>
      <c r="J128" s="101"/>
      <c r="K128" s="101"/>
      <c r="L128" s="16"/>
      <c r="M128" s="1"/>
      <c r="N128" s="1"/>
      <c r="O128" s="1"/>
      <c r="P128" s="1"/>
      <c r="Q128" s="1"/>
      <c r="R128" s="3" t="s">
        <v>258</v>
      </c>
      <c r="S128" s="3">
        <v>132863.0</v>
      </c>
      <c r="T128" s="3">
        <v>143822.0</v>
      </c>
      <c r="U128" s="74">
        <v>94673.0</v>
      </c>
      <c r="V128" s="74">
        <v>68299.0</v>
      </c>
      <c r="W128" s="74">
        <v>71861.0</v>
      </c>
      <c r="X128" s="74">
        <v>93222.0</v>
      </c>
      <c r="Y128" s="74">
        <v>130057.0</v>
      </c>
      <c r="Z128" s="74">
        <v>82921.0</v>
      </c>
      <c r="AA128" s="74">
        <v>117637.0</v>
      </c>
      <c r="AB128" s="74">
        <v>87804.0</v>
      </c>
      <c r="AC128" s="74">
        <v>94980.0</v>
      </c>
      <c r="AD128" s="74">
        <v>115146.0</v>
      </c>
      <c r="AE128" s="74">
        <v>168658.0</v>
      </c>
      <c r="AF128" s="74">
        <v>113607.0</v>
      </c>
      <c r="AG128" s="74">
        <v>146846.0</v>
      </c>
      <c r="AH128" s="74">
        <v>157914.0</v>
      </c>
      <c r="AI128" s="74">
        <v>131558.0</v>
      </c>
      <c r="AJ128" s="74">
        <v>137538.0</v>
      </c>
      <c r="AK128" s="74">
        <v>190301.0</v>
      </c>
      <c r="AL128" s="74">
        <v>181898.0</v>
      </c>
      <c r="AM128" s="74">
        <v>170020.0</v>
      </c>
      <c r="AN128" s="74">
        <v>104718.0</v>
      </c>
      <c r="AO128" s="74">
        <v>104689.0</v>
      </c>
      <c r="AP128" s="74">
        <v>118617.0</v>
      </c>
      <c r="AQ128" s="74">
        <v>85155.0</v>
      </c>
      <c r="AR128" s="74">
        <v>134035.0</v>
      </c>
      <c r="AS128" s="74">
        <v>165175.0</v>
      </c>
      <c r="AT128" s="74">
        <v>203264.0</v>
      </c>
      <c r="AU128" s="74">
        <v>225400.0</v>
      </c>
      <c r="AV128" s="74">
        <v>244561.0</v>
      </c>
      <c r="AW128" s="74">
        <v>90311.0</v>
      </c>
      <c r="AX128" s="74">
        <v>104315.0</v>
      </c>
      <c r="AY128" s="74">
        <v>129616.0</v>
      </c>
      <c r="AZ128" s="74">
        <v>142490.0</v>
      </c>
      <c r="BA128" s="74">
        <v>143235.0</v>
      </c>
      <c r="BB128" s="74">
        <v>76507.0</v>
      </c>
      <c r="BC128" s="74">
        <v>88779.0</v>
      </c>
      <c r="BD128" s="74">
        <v>98178.0</v>
      </c>
      <c r="BE128" s="74">
        <v>130884.0</v>
      </c>
      <c r="BF128" s="74">
        <v>141890.0</v>
      </c>
      <c r="BG128" s="74">
        <v>97162.0</v>
      </c>
      <c r="BH128" s="74">
        <v>82893.0</v>
      </c>
      <c r="BI128" s="74">
        <v>86727.0</v>
      </c>
      <c r="BJ128" s="74">
        <v>46174.0</v>
      </c>
      <c r="BK128" s="74">
        <v>80338.0</v>
      </c>
      <c r="BL128" s="74"/>
      <c r="BM128" s="74"/>
      <c r="BN128" s="74"/>
      <c r="BO128" s="74"/>
      <c r="BP128" s="74"/>
      <c r="BQ128" s="74"/>
      <c r="BR128" s="74"/>
      <c r="BS128" s="3"/>
      <c r="BT128" s="60" t="s">
        <v>249</v>
      </c>
      <c r="BU128" s="9"/>
      <c r="BV128" s="1"/>
      <c r="BW128" s="1"/>
      <c r="BX128" s="1"/>
      <c r="BY128" s="1"/>
      <c r="BZ128" s="1"/>
    </row>
    <row r="129">
      <c r="A129" s="3"/>
      <c r="B129" s="33" t="s">
        <v>117</v>
      </c>
      <c r="C129" s="105"/>
      <c r="D129" s="105" t="s">
        <v>259</v>
      </c>
      <c r="E129" s="101"/>
      <c r="F129" s="101"/>
      <c r="G129" s="101"/>
      <c r="H129" s="101"/>
      <c r="I129" s="101"/>
      <c r="J129" s="101"/>
      <c r="K129" s="101"/>
      <c r="L129" s="16"/>
      <c r="M129" s="1"/>
      <c r="N129" s="1"/>
      <c r="O129" s="1"/>
      <c r="P129" s="1"/>
      <c r="Q129" s="1"/>
      <c r="R129" s="3" t="s">
        <v>260</v>
      </c>
      <c r="S129" s="33">
        <v>0.0114</v>
      </c>
      <c r="T129" s="33">
        <v>0.0113</v>
      </c>
      <c r="U129" s="33">
        <v>0.0074</v>
      </c>
      <c r="V129" s="33">
        <v>0.0052</v>
      </c>
      <c r="W129" s="33">
        <v>0.0059</v>
      </c>
      <c r="X129" s="33">
        <v>0.0068</v>
      </c>
      <c r="Y129" s="33">
        <v>0.0089</v>
      </c>
      <c r="Z129" s="33">
        <v>0.0059</v>
      </c>
      <c r="AA129" s="33">
        <v>0.0086</v>
      </c>
      <c r="AB129" s="33">
        <v>0.0074</v>
      </c>
      <c r="AC129" s="33">
        <v>0.0075</v>
      </c>
      <c r="AD129" s="33">
        <v>0.0087</v>
      </c>
      <c r="AE129" s="33">
        <v>0.0121</v>
      </c>
      <c r="AF129" s="33">
        <v>0.0086</v>
      </c>
      <c r="AG129" s="33">
        <v>0.0104</v>
      </c>
      <c r="AH129" s="33">
        <v>0.0097</v>
      </c>
      <c r="AI129" s="33">
        <v>0.0091</v>
      </c>
      <c r="AJ129" s="33">
        <v>0.0093</v>
      </c>
      <c r="AK129" s="33">
        <v>0.0119</v>
      </c>
      <c r="AL129" s="33">
        <v>0.0112</v>
      </c>
      <c r="AM129" s="33">
        <v>0.0113</v>
      </c>
      <c r="AN129" s="33">
        <v>0.0068</v>
      </c>
      <c r="AO129" s="33">
        <v>0.0056</v>
      </c>
      <c r="AP129" s="33">
        <v>0.0062</v>
      </c>
      <c r="AQ129" s="33">
        <v>0.0044</v>
      </c>
      <c r="AR129" s="33">
        <v>0.0067</v>
      </c>
      <c r="AS129" s="33">
        <v>0.008</v>
      </c>
      <c r="AT129" s="33">
        <v>0.0107</v>
      </c>
      <c r="AU129" s="33">
        <v>0.0113</v>
      </c>
      <c r="AV129" s="33">
        <v>0.0127</v>
      </c>
      <c r="AW129" s="33">
        <v>0.006</v>
      </c>
      <c r="AX129" s="33">
        <v>0.0064</v>
      </c>
      <c r="AY129" s="33">
        <v>0.0078</v>
      </c>
      <c r="AZ129" s="33">
        <v>0.0086</v>
      </c>
      <c r="BA129" s="33">
        <v>0.0086</v>
      </c>
      <c r="BB129" s="33">
        <v>0.005</v>
      </c>
      <c r="BC129" s="33">
        <v>0.0056</v>
      </c>
      <c r="BD129" s="33">
        <v>0.0056</v>
      </c>
      <c r="BE129" s="33">
        <v>0.0086</v>
      </c>
      <c r="BF129" s="33">
        <v>0.0102</v>
      </c>
      <c r="BG129" s="33">
        <v>0.006</v>
      </c>
      <c r="BH129" s="33">
        <v>0.0046</v>
      </c>
      <c r="BI129" s="33">
        <v>0.0053</v>
      </c>
      <c r="BJ129" s="33">
        <v>0.003</v>
      </c>
      <c r="BK129" s="33">
        <v>0.0048</v>
      </c>
      <c r="BL129" s="33"/>
      <c r="BM129" s="33"/>
      <c r="BN129" s="33"/>
      <c r="BO129" s="33"/>
      <c r="BP129" s="33"/>
      <c r="BQ129" s="33"/>
      <c r="BR129" s="33"/>
      <c r="BS129" s="3"/>
      <c r="BT129" s="60" t="s">
        <v>249</v>
      </c>
      <c r="BU129" s="9"/>
      <c r="BV129" s="1"/>
      <c r="BW129" s="1"/>
      <c r="BX129" s="1"/>
      <c r="BY129" s="1"/>
      <c r="BZ129" s="1"/>
    </row>
    <row r="130">
      <c r="A130" s="3"/>
      <c r="B130" s="33" t="s">
        <v>117</v>
      </c>
      <c r="C130" s="105"/>
      <c r="D130" s="105" t="s">
        <v>261</v>
      </c>
      <c r="E130" s="101"/>
      <c r="F130" s="101"/>
      <c r="G130" s="101"/>
      <c r="H130" s="101"/>
      <c r="I130" s="101"/>
      <c r="J130" s="101"/>
      <c r="K130" s="101"/>
      <c r="L130" s="16"/>
      <c r="M130" s="1"/>
      <c r="N130" s="1"/>
      <c r="O130" s="1"/>
      <c r="P130" s="1"/>
      <c r="Q130" s="1"/>
      <c r="R130" s="3" t="s">
        <v>261</v>
      </c>
      <c r="S130" s="74">
        <v>0.0</v>
      </c>
      <c r="T130" s="74">
        <v>0.0</v>
      </c>
      <c r="U130" s="74">
        <v>10033.0</v>
      </c>
      <c r="V130" s="74">
        <v>28439.0</v>
      </c>
      <c r="W130" s="74">
        <v>12118.0</v>
      </c>
      <c r="X130" s="74">
        <v>28512.0</v>
      </c>
      <c r="Y130" s="74">
        <v>37871.0</v>
      </c>
      <c r="Z130" s="74">
        <v>42071.0</v>
      </c>
      <c r="AA130" s="74">
        <v>32048.0</v>
      </c>
      <c r="AB130" s="74">
        <v>46989.0</v>
      </c>
      <c r="AC130" s="74">
        <v>53579.0</v>
      </c>
      <c r="AD130" s="74">
        <v>82527.0</v>
      </c>
      <c r="AE130" s="74">
        <v>77327.0</v>
      </c>
      <c r="AF130" s="74">
        <v>56522.0</v>
      </c>
      <c r="AG130" s="74">
        <v>124760.0</v>
      </c>
      <c r="AH130" s="74">
        <v>85476.0</v>
      </c>
      <c r="AI130" s="18">
        <v>84449.0</v>
      </c>
      <c r="AJ130" s="18">
        <v>67073.0</v>
      </c>
      <c r="AK130" s="74">
        <v>88132.0</v>
      </c>
      <c r="AL130" s="74">
        <v>79104.0</v>
      </c>
      <c r="AM130" s="74">
        <v>69679.0</v>
      </c>
      <c r="AN130" s="74">
        <v>86959.0</v>
      </c>
      <c r="AO130" s="74">
        <v>91929.0</v>
      </c>
      <c r="AP130" s="74">
        <v>79466.0</v>
      </c>
      <c r="AQ130" s="74">
        <v>87813.0</v>
      </c>
      <c r="AR130" s="74">
        <v>85212.0</v>
      </c>
      <c r="AS130" s="74">
        <v>139639.0</v>
      </c>
      <c r="AT130" s="74">
        <v>144466.0</v>
      </c>
      <c r="AU130" s="74">
        <v>137338.0</v>
      </c>
      <c r="AV130" s="74">
        <v>140588.0</v>
      </c>
      <c r="AW130" s="74">
        <v>125734.0</v>
      </c>
      <c r="AX130" s="74">
        <v>106966.0</v>
      </c>
      <c r="AY130" s="74">
        <v>119770.0</v>
      </c>
      <c r="AZ130" s="74">
        <v>91467.0</v>
      </c>
      <c r="BA130" s="74">
        <v>90196.0</v>
      </c>
      <c r="BB130" s="74">
        <v>85823.0</v>
      </c>
      <c r="BC130" s="74">
        <v>77935.0</v>
      </c>
      <c r="BD130" s="74">
        <v>83473.0</v>
      </c>
      <c r="BE130" s="74">
        <v>91124.0</v>
      </c>
      <c r="BF130" s="74">
        <v>116064.0</v>
      </c>
      <c r="BG130" s="74">
        <v>75308.0</v>
      </c>
      <c r="BH130" s="74">
        <v>81955.0</v>
      </c>
      <c r="BI130" s="74">
        <v>86493.0</v>
      </c>
      <c r="BJ130" s="74">
        <v>96396.0</v>
      </c>
      <c r="BK130" s="74">
        <v>57366.0</v>
      </c>
      <c r="BL130" s="74"/>
      <c r="BM130" s="74"/>
      <c r="BN130" s="74"/>
      <c r="BO130" s="74"/>
      <c r="BP130" s="74"/>
      <c r="BQ130" s="74"/>
      <c r="BR130" s="74"/>
      <c r="BS130" s="3"/>
      <c r="BT130" s="60" t="s">
        <v>249</v>
      </c>
      <c r="BU130" s="9"/>
      <c r="BV130" s="1"/>
      <c r="BW130" s="1"/>
      <c r="BX130" s="1"/>
      <c r="BY130" s="1"/>
      <c r="BZ130" s="1"/>
    </row>
    <row r="131">
      <c r="A131" s="3"/>
      <c r="B131" s="33" t="s">
        <v>117</v>
      </c>
      <c r="C131" s="105"/>
      <c r="D131" s="105" t="s">
        <v>262</v>
      </c>
      <c r="E131" s="101"/>
      <c r="F131" s="101"/>
      <c r="G131" s="101"/>
      <c r="H131" s="101"/>
      <c r="I131" s="101"/>
      <c r="J131" s="101"/>
      <c r="K131" s="101"/>
      <c r="L131" s="16"/>
      <c r="M131" s="1"/>
      <c r="N131" s="1"/>
      <c r="O131" s="1"/>
      <c r="P131" s="1"/>
      <c r="Q131" s="1"/>
      <c r="R131" s="3" t="s">
        <v>262</v>
      </c>
      <c r="S131" s="33">
        <v>0.0</v>
      </c>
      <c r="T131" s="33">
        <v>0.0</v>
      </c>
      <c r="U131" s="33">
        <v>8.0E-4</v>
      </c>
      <c r="V131" s="33">
        <v>0.0022</v>
      </c>
      <c r="W131" s="33">
        <v>0.001</v>
      </c>
      <c r="X131" s="33">
        <v>0.0021</v>
      </c>
      <c r="Y131" s="33">
        <v>0.0026</v>
      </c>
      <c r="Z131" s="33">
        <v>0.003</v>
      </c>
      <c r="AA131" s="33">
        <v>0.0024</v>
      </c>
      <c r="AB131" s="33">
        <v>0.004</v>
      </c>
      <c r="AC131" s="33">
        <v>0.0042</v>
      </c>
      <c r="AD131" s="33">
        <v>0.0062</v>
      </c>
      <c r="AE131" s="33">
        <v>0.0056</v>
      </c>
      <c r="AF131" s="33">
        <v>0.0043</v>
      </c>
      <c r="AG131" s="33">
        <v>0.0088</v>
      </c>
      <c r="AH131" s="33">
        <v>0.0052</v>
      </c>
      <c r="AI131" s="33">
        <v>0.0058</v>
      </c>
      <c r="AJ131" s="33">
        <v>0.0045</v>
      </c>
      <c r="AK131" s="33">
        <v>0.0055</v>
      </c>
      <c r="AL131" s="33">
        <v>0.0049</v>
      </c>
      <c r="AM131" s="33">
        <v>0.0046</v>
      </c>
      <c r="AN131" s="33">
        <v>0.0056</v>
      </c>
      <c r="AO131" s="33">
        <v>0.0049</v>
      </c>
      <c r="AP131" s="33">
        <v>0.0042</v>
      </c>
      <c r="AQ131" s="33">
        <v>0.0045</v>
      </c>
      <c r="AR131" s="33">
        <v>0.0042</v>
      </c>
      <c r="AS131" s="33">
        <v>0.0068</v>
      </c>
      <c r="AT131" s="33">
        <v>0.0076</v>
      </c>
      <c r="AU131" s="33">
        <v>0.0069</v>
      </c>
      <c r="AV131" s="33">
        <v>0.0073</v>
      </c>
      <c r="AW131" s="33">
        <v>0.0084</v>
      </c>
      <c r="AX131" s="33">
        <v>0.0066</v>
      </c>
      <c r="AY131" s="33">
        <v>0.0072</v>
      </c>
      <c r="AZ131" s="33">
        <v>0.0055</v>
      </c>
      <c r="BA131" s="33">
        <v>0.0054</v>
      </c>
      <c r="BB131" s="33">
        <v>0.0056</v>
      </c>
      <c r="BC131" s="33">
        <v>0.0049</v>
      </c>
      <c r="BD131" s="33">
        <v>0.0047</v>
      </c>
      <c r="BE131" s="33">
        <v>0.006</v>
      </c>
      <c r="BF131" s="33">
        <v>0.0083</v>
      </c>
      <c r="BG131" s="33">
        <v>0.0046</v>
      </c>
      <c r="BH131" s="33">
        <v>0.0046</v>
      </c>
      <c r="BI131" s="33">
        <v>0.0053</v>
      </c>
      <c r="BJ131" s="33">
        <v>0.0063</v>
      </c>
      <c r="BK131" s="33">
        <v>0.0034</v>
      </c>
      <c r="BL131" s="33"/>
      <c r="BM131" s="33"/>
      <c r="BN131" s="33"/>
      <c r="BO131" s="33"/>
      <c r="BP131" s="33"/>
      <c r="BQ131" s="33"/>
      <c r="BR131" s="33"/>
      <c r="BS131" s="3"/>
      <c r="BT131" s="9"/>
      <c r="BU131" s="9"/>
      <c r="BV131" s="1"/>
      <c r="BW131" s="1"/>
      <c r="BX131" s="1"/>
      <c r="BY131" s="1"/>
      <c r="BZ131" s="1"/>
    </row>
    <row r="132">
      <c r="A132" s="3"/>
      <c r="B132" s="33" t="s">
        <v>117</v>
      </c>
      <c r="C132" s="106"/>
      <c r="D132" s="106" t="s">
        <v>263</v>
      </c>
      <c r="E132" s="101"/>
      <c r="F132" s="101"/>
      <c r="G132" s="101"/>
      <c r="H132" s="101"/>
      <c r="I132" s="101"/>
      <c r="J132" s="101"/>
      <c r="K132" s="101"/>
      <c r="L132" s="16"/>
      <c r="M132" s="1"/>
      <c r="N132" s="1"/>
      <c r="O132" s="1"/>
      <c r="P132" s="1"/>
      <c r="Q132" s="1"/>
      <c r="R132" s="1"/>
      <c r="S132" s="74">
        <v>1.1653264E7</v>
      </c>
      <c r="T132" s="74">
        <v>1.2708802E7</v>
      </c>
      <c r="U132" s="74">
        <v>1.2830582E7</v>
      </c>
      <c r="V132" s="74">
        <v>1.3134979E7</v>
      </c>
      <c r="W132" s="74">
        <v>1.2200734E7</v>
      </c>
      <c r="X132" s="74">
        <v>1.378792E7</v>
      </c>
      <c r="Y132" s="74">
        <v>1.4589816E7</v>
      </c>
      <c r="Z132" s="74">
        <v>1.3937744E7</v>
      </c>
      <c r="AA132" s="74">
        <v>1.3635033E7</v>
      </c>
      <c r="AB132" s="74">
        <v>1.1854833E7</v>
      </c>
      <c r="AC132" s="74">
        <v>1.2721884E7</v>
      </c>
      <c r="AD132" s="74">
        <v>1.3264241E7</v>
      </c>
      <c r="AE132" s="74">
        <v>1.388837E7</v>
      </c>
      <c r="AF132" s="74">
        <v>1.3191902E7</v>
      </c>
      <c r="AG132" s="74">
        <v>1.4144142E7</v>
      </c>
      <c r="AH132" s="74">
        <v>1.6297785E7</v>
      </c>
      <c r="AI132" s="74">
        <v>1.4518205E7</v>
      </c>
      <c r="AJ132" s="74">
        <v>1.4799455E7</v>
      </c>
      <c r="AK132" s="74">
        <v>1.5926721E7</v>
      </c>
      <c r="AL132" s="74">
        <v>1.6202761E7</v>
      </c>
      <c r="AM132" s="74">
        <v>1.5062539E7</v>
      </c>
      <c r="AN132" s="74">
        <v>1.5505407E7</v>
      </c>
      <c r="AO132" s="74">
        <v>1.8675093E7</v>
      </c>
      <c r="AP132" s="74">
        <v>1.9026843E7</v>
      </c>
      <c r="AQ132" s="74">
        <v>1.940862E7</v>
      </c>
      <c r="AR132" s="74">
        <v>2.0074382E7</v>
      </c>
      <c r="AS132" s="74">
        <v>2.0596403E7</v>
      </c>
      <c r="AT132" s="74">
        <v>1.901984E7</v>
      </c>
      <c r="AU132" s="74">
        <v>1.9912148E7</v>
      </c>
      <c r="AV132" s="74">
        <v>1.9325235E7</v>
      </c>
      <c r="AW132" s="74">
        <v>1.4956571E7</v>
      </c>
      <c r="AX132" s="74">
        <v>1.6178094E7</v>
      </c>
      <c r="AY132" s="74">
        <v>1.6638887E7</v>
      </c>
      <c r="AZ132" s="74">
        <v>1.6661525E7</v>
      </c>
      <c r="BA132" s="74">
        <v>1.6599245E7</v>
      </c>
      <c r="BB132" s="74">
        <v>1.5315727E7</v>
      </c>
      <c r="BC132" s="74">
        <v>1.576476E7</v>
      </c>
      <c r="BD132" s="74">
        <v>1.7661413E7</v>
      </c>
      <c r="BE132" s="74">
        <v>1.5234265E7</v>
      </c>
      <c r="BF132" s="74">
        <v>1.3964152E7</v>
      </c>
      <c r="BG132" s="74">
        <v>1.6238225E7</v>
      </c>
      <c r="BH132" s="74">
        <v>1.7992939E7</v>
      </c>
      <c r="BI132" s="74">
        <v>1.6412279E7</v>
      </c>
      <c r="BJ132" s="74">
        <v>1.5269098E7</v>
      </c>
      <c r="BK132" s="74">
        <v>1.6906423E7</v>
      </c>
      <c r="BL132" s="74"/>
      <c r="BM132" s="74"/>
      <c r="BN132" s="74"/>
      <c r="BO132" s="74"/>
      <c r="BP132" s="74"/>
      <c r="BQ132" s="74"/>
      <c r="BR132" s="74"/>
      <c r="BS132" s="3"/>
      <c r="BT132" s="9"/>
      <c r="BU132" s="9"/>
      <c r="BV132" s="1"/>
      <c r="BW132" s="1"/>
      <c r="BX132" s="1"/>
      <c r="BY132" s="1"/>
      <c r="BZ132" s="1"/>
    </row>
    <row r="133">
      <c r="A133" s="3"/>
      <c r="B133" s="33"/>
      <c r="C133" s="106"/>
      <c r="D133" s="106"/>
      <c r="E133" s="101"/>
      <c r="F133" s="101"/>
      <c r="G133" s="101"/>
      <c r="H133" s="101"/>
      <c r="I133" s="101"/>
      <c r="J133" s="101"/>
      <c r="K133" s="101"/>
      <c r="L133" s="1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3"/>
      <c r="Z133" s="1"/>
      <c r="AA133" s="1"/>
      <c r="AB133" s="1"/>
      <c r="AC133" s="1"/>
      <c r="AD133" s="1"/>
      <c r="AE133" s="74"/>
      <c r="AF133" s="74"/>
      <c r="AG133" s="74"/>
      <c r="AH133" s="1"/>
      <c r="AI133" s="1"/>
      <c r="AJ133" s="1"/>
      <c r="AK133" s="1"/>
      <c r="AL133" s="1"/>
      <c r="AM133" s="1"/>
      <c r="AN133" s="1"/>
      <c r="AO133" s="1"/>
      <c r="AP133" s="1"/>
      <c r="AQ133" s="33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3"/>
      <c r="BT133" s="9"/>
      <c r="BU133" s="9"/>
      <c r="BV133" s="1"/>
      <c r="BW133" s="1"/>
      <c r="BX133" s="1"/>
      <c r="BY133" s="1"/>
      <c r="BZ133" s="1"/>
    </row>
    <row r="134">
      <c r="A134" s="3"/>
      <c r="B134" s="33"/>
      <c r="C134" s="106"/>
      <c r="D134" s="106"/>
      <c r="E134" s="101"/>
      <c r="F134" s="101"/>
      <c r="G134" s="101"/>
      <c r="H134" s="101"/>
      <c r="I134" s="101"/>
      <c r="J134" s="101"/>
      <c r="K134" s="101"/>
      <c r="L134" s="1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3"/>
      <c r="Z134" s="1"/>
      <c r="AA134" s="1"/>
      <c r="AB134" s="1"/>
      <c r="AC134" s="1"/>
      <c r="AD134" s="1"/>
      <c r="AE134" s="74"/>
      <c r="AF134" s="74"/>
      <c r="AG134" s="74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3"/>
      <c r="BT134" s="9"/>
      <c r="BU134" s="9"/>
      <c r="BV134" s="1"/>
      <c r="BW134" s="1"/>
      <c r="BX134" s="1"/>
      <c r="BY134" s="1"/>
      <c r="BZ134" s="1"/>
    </row>
    <row r="135">
      <c r="A135" s="3"/>
      <c r="B135" s="33" t="s">
        <v>117</v>
      </c>
      <c r="C135" s="106"/>
      <c r="D135" s="106"/>
      <c r="E135" s="101"/>
      <c r="F135" s="101"/>
      <c r="G135" s="101"/>
      <c r="H135" s="101"/>
      <c r="I135" s="101"/>
      <c r="J135" s="101"/>
      <c r="K135" s="101"/>
      <c r="L135" s="1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3"/>
      <c r="Z135" s="1"/>
      <c r="AA135" s="1"/>
      <c r="AB135" s="1"/>
      <c r="AC135" s="1"/>
      <c r="AD135" s="1"/>
      <c r="AE135" s="74"/>
      <c r="AF135" s="74"/>
      <c r="AG135" s="74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3"/>
      <c r="BT135" s="72" t="s">
        <v>264</v>
      </c>
      <c r="BU135" s="9"/>
      <c r="BV135" s="1"/>
      <c r="BW135" s="1"/>
      <c r="BX135" s="1"/>
      <c r="BY135" s="1"/>
      <c r="BZ135" s="1"/>
    </row>
    <row r="136">
      <c r="A136" s="3"/>
      <c r="B136" s="33" t="s">
        <v>117</v>
      </c>
      <c r="C136" s="107"/>
      <c r="D136" s="107" t="s">
        <v>265</v>
      </c>
      <c r="E136" s="101"/>
      <c r="F136" s="101"/>
      <c r="G136" s="101"/>
      <c r="H136" s="101"/>
      <c r="I136" s="101"/>
      <c r="J136" s="101"/>
      <c r="K136" s="101"/>
      <c r="L136" s="16"/>
      <c r="M136" s="1"/>
      <c r="N136" s="1"/>
      <c r="O136" s="1"/>
      <c r="P136" s="1"/>
      <c r="Q136" s="1"/>
      <c r="R136" s="1"/>
      <c r="S136" s="68">
        <v>4155077.0</v>
      </c>
      <c r="T136" s="68">
        <v>5049414.0</v>
      </c>
      <c r="U136" s="68">
        <v>4940183.0</v>
      </c>
      <c r="V136" s="68">
        <v>3390480.0</v>
      </c>
      <c r="W136" s="68">
        <v>3259897.0</v>
      </c>
      <c r="X136" s="3">
        <v>3760647.0</v>
      </c>
      <c r="Y136" s="3">
        <v>3464643.0</v>
      </c>
      <c r="Z136" s="3">
        <v>3227433.0</v>
      </c>
      <c r="AA136" s="3">
        <v>2445840.0</v>
      </c>
      <c r="AB136" s="3">
        <v>2067953.0</v>
      </c>
      <c r="AC136" s="3">
        <v>2131410.0</v>
      </c>
      <c r="AD136" s="3">
        <v>4563441.0</v>
      </c>
      <c r="AE136" s="3">
        <v>3062541.0</v>
      </c>
      <c r="AF136" s="3">
        <v>2229145.0</v>
      </c>
      <c r="AG136" s="3">
        <v>4178066.0</v>
      </c>
      <c r="AH136" s="3">
        <v>3946272.0</v>
      </c>
      <c r="AI136" s="3">
        <v>2435657.0</v>
      </c>
      <c r="AJ136" s="3">
        <v>3181781.0</v>
      </c>
      <c r="AK136" s="3">
        <v>3649388.0</v>
      </c>
      <c r="AL136" s="3">
        <v>3279774.0</v>
      </c>
      <c r="AM136" s="3">
        <v>3257953.0</v>
      </c>
      <c r="AN136" s="3">
        <v>4148637.0</v>
      </c>
      <c r="AO136" s="3">
        <v>4379261.0</v>
      </c>
      <c r="AP136" s="3">
        <v>8381035.0</v>
      </c>
      <c r="AQ136" s="3">
        <v>1.0308871E7</v>
      </c>
      <c r="AR136" s="3">
        <v>1.4030986E7</v>
      </c>
      <c r="AS136" s="3">
        <v>5249119.0</v>
      </c>
      <c r="AT136" s="3">
        <v>5706777.0</v>
      </c>
      <c r="AU136" s="3">
        <v>5489816.0</v>
      </c>
      <c r="AV136" s="3">
        <v>4841474.0</v>
      </c>
      <c r="AW136" s="3">
        <v>3524193.0</v>
      </c>
      <c r="AX136" s="3">
        <v>3558865.0</v>
      </c>
      <c r="AY136" s="3">
        <v>2739930.0</v>
      </c>
      <c r="AZ136" s="3">
        <v>2894301.0</v>
      </c>
      <c r="BA136" s="3">
        <v>3461161.0</v>
      </c>
      <c r="BB136" s="3">
        <v>3030688.0</v>
      </c>
      <c r="BC136" s="3">
        <v>3868659.0</v>
      </c>
      <c r="BD136" s="3">
        <v>3040779.0</v>
      </c>
      <c r="BE136" s="3">
        <v>4535759.0</v>
      </c>
      <c r="BF136" s="3">
        <v>3542980.0</v>
      </c>
      <c r="BG136" s="3">
        <v>3664359.0</v>
      </c>
      <c r="BH136" s="3">
        <v>5151661.0</v>
      </c>
      <c r="BI136" s="3">
        <v>3654287.0</v>
      </c>
      <c r="BJ136" s="3">
        <v>3709723.0</v>
      </c>
      <c r="BK136" s="3">
        <v>3372042.0</v>
      </c>
      <c r="BL136" s="3"/>
      <c r="BM136" s="3"/>
      <c r="BN136" s="3"/>
      <c r="BO136" s="3"/>
      <c r="BP136" s="3"/>
      <c r="BQ136" s="3"/>
      <c r="BR136" s="3"/>
      <c r="BS136" s="3"/>
      <c r="BT136" s="60" t="s">
        <v>266</v>
      </c>
      <c r="BU136" s="9"/>
      <c r="BV136" s="1"/>
      <c r="BW136" s="1"/>
      <c r="BX136" s="1"/>
      <c r="BY136" s="1"/>
      <c r="BZ136" s="1"/>
    </row>
    <row r="137">
      <c r="A137" s="3"/>
      <c r="B137" s="33" t="s">
        <v>117</v>
      </c>
      <c r="C137" s="108"/>
      <c r="D137" s="108" t="s">
        <v>267</v>
      </c>
      <c r="E137" s="101"/>
      <c r="F137" s="101"/>
      <c r="G137" s="101"/>
      <c r="H137" s="101"/>
      <c r="I137" s="101"/>
      <c r="J137" s="101"/>
      <c r="K137" s="101"/>
      <c r="L137" s="16"/>
      <c r="M137" s="1"/>
      <c r="N137" s="1"/>
      <c r="O137" s="1"/>
      <c r="P137" s="1"/>
      <c r="Q137" s="1"/>
      <c r="R137" s="1"/>
      <c r="S137" s="109">
        <v>0.7</v>
      </c>
      <c r="T137" s="109">
        <v>0.67</v>
      </c>
      <c r="U137" s="109">
        <v>0.66</v>
      </c>
      <c r="V137" s="109">
        <v>0.65</v>
      </c>
      <c r="W137" s="109">
        <v>0.66</v>
      </c>
      <c r="X137" s="109">
        <f t="shared" ref="X137:BK137" si="156">X140/X136</f>
        <v>0.2827439002</v>
      </c>
      <c r="Y137" s="109">
        <f t="shared" si="156"/>
        <v>0.6107518148</v>
      </c>
      <c r="Z137" s="109">
        <f t="shared" si="156"/>
        <v>0.630091469</v>
      </c>
      <c r="AA137" s="109">
        <f t="shared" si="156"/>
        <v>0.5834469957</v>
      </c>
      <c r="AB137" s="109">
        <f t="shared" si="156"/>
        <v>0.5713065045</v>
      </c>
      <c r="AC137" s="109">
        <f t="shared" si="156"/>
        <v>0.5993065623</v>
      </c>
      <c r="AD137" s="109">
        <f t="shared" si="156"/>
        <v>0.6090761336</v>
      </c>
      <c r="AE137" s="109">
        <f t="shared" si="156"/>
        <v>0.6101668516</v>
      </c>
      <c r="AF137" s="109">
        <f t="shared" si="156"/>
        <v>0.5815453907</v>
      </c>
      <c r="AG137" s="109">
        <f t="shared" si="156"/>
        <v>0.6439620628</v>
      </c>
      <c r="AH137" s="109">
        <f t="shared" si="156"/>
        <v>0.2312265855</v>
      </c>
      <c r="AI137" s="109">
        <f t="shared" si="156"/>
        <v>0.2217188217</v>
      </c>
      <c r="AJ137" s="109">
        <f t="shared" si="156"/>
        <v>0.2241119046</v>
      </c>
      <c r="AK137" s="109">
        <f t="shared" si="156"/>
        <v>0.2259351431</v>
      </c>
      <c r="AL137" s="109">
        <f t="shared" si="156"/>
        <v>0.2224628892</v>
      </c>
      <c r="AM137" s="109">
        <f t="shared" si="156"/>
        <v>0.6310628177</v>
      </c>
      <c r="AN137" s="109">
        <f t="shared" si="156"/>
        <v>0.1766208998</v>
      </c>
      <c r="AO137" s="109">
        <f t="shared" si="156"/>
        <v>0.1601423162</v>
      </c>
      <c r="AP137" s="109">
        <f t="shared" si="156"/>
        <v>0.2054242704</v>
      </c>
      <c r="AQ137" s="109">
        <f t="shared" si="156"/>
        <v>0.09783641681</v>
      </c>
      <c r="AR137" s="109">
        <f t="shared" si="156"/>
        <v>0.1739785786</v>
      </c>
      <c r="AS137" s="109">
        <f t="shared" si="156"/>
        <v>0.2431000326</v>
      </c>
      <c r="AT137" s="109">
        <f t="shared" si="156"/>
        <v>0.6108265664</v>
      </c>
      <c r="AU137" s="109">
        <f t="shared" si="156"/>
        <v>0.3804058278</v>
      </c>
      <c r="AV137" s="109">
        <f t="shared" si="156"/>
        <v>0.6617026137</v>
      </c>
      <c r="AW137" s="109">
        <f t="shared" si="156"/>
        <v>0.674150082</v>
      </c>
      <c r="AX137" s="109">
        <f t="shared" si="156"/>
        <v>0.6652070253</v>
      </c>
      <c r="AY137" s="109">
        <f t="shared" si="156"/>
        <v>0.2427021858</v>
      </c>
      <c r="AZ137" s="109">
        <f t="shared" si="156"/>
        <v>0.6159663421</v>
      </c>
      <c r="BA137" s="109">
        <f t="shared" si="156"/>
        <v>0.6333458628</v>
      </c>
      <c r="BB137" s="109">
        <f t="shared" si="156"/>
        <v>0.6357803905</v>
      </c>
      <c r="BC137" s="109">
        <f t="shared" si="156"/>
        <v>0.6418180046</v>
      </c>
      <c r="BD137" s="109">
        <f t="shared" si="156"/>
        <v>0.6323547354</v>
      </c>
      <c r="BE137" s="109">
        <f t="shared" si="156"/>
        <v>0.6747973162</v>
      </c>
      <c r="BF137" s="109">
        <f t="shared" si="156"/>
        <v>0.5756552394</v>
      </c>
      <c r="BG137" s="109">
        <f t="shared" si="156"/>
        <v>0.5846364944</v>
      </c>
      <c r="BH137" s="109">
        <f t="shared" si="156"/>
        <v>0.5989641011</v>
      </c>
      <c r="BI137" s="109">
        <f t="shared" si="156"/>
        <v>0.6547214272</v>
      </c>
      <c r="BJ137" s="109">
        <f t="shared" si="156"/>
        <v>0.6297402798</v>
      </c>
      <c r="BK137" s="109">
        <f t="shared" si="156"/>
        <v>0.6158811189</v>
      </c>
      <c r="BL137" s="109"/>
      <c r="BM137" s="109"/>
      <c r="BN137" s="109"/>
      <c r="BO137" s="109"/>
      <c r="BP137" s="109"/>
      <c r="BQ137" s="109"/>
      <c r="BR137" s="109"/>
      <c r="BS137" s="3"/>
      <c r="BT137" s="9" t="s">
        <v>268</v>
      </c>
      <c r="BU137" s="9"/>
      <c r="BV137" s="1"/>
      <c r="BW137" s="1"/>
      <c r="BX137" s="1"/>
      <c r="BY137" s="1"/>
      <c r="BZ137" s="1"/>
    </row>
    <row r="138">
      <c r="A138" s="3"/>
      <c r="B138" s="33" t="s">
        <v>117</v>
      </c>
      <c r="C138" s="110"/>
      <c r="D138" s="110" t="s">
        <v>269</v>
      </c>
      <c r="E138" s="101"/>
      <c r="F138" s="101"/>
      <c r="G138" s="101"/>
      <c r="H138" s="101"/>
      <c r="I138" s="101"/>
      <c r="J138" s="101"/>
      <c r="K138" s="101"/>
      <c r="L138" s="16"/>
      <c r="M138" s="1"/>
      <c r="N138" s="1"/>
      <c r="O138" s="1"/>
      <c r="P138" s="1"/>
      <c r="Q138" s="1"/>
      <c r="R138" s="1"/>
      <c r="S138" s="3">
        <v>72.0</v>
      </c>
      <c r="T138" s="3">
        <v>72.0</v>
      </c>
      <c r="U138" s="3">
        <v>69.0</v>
      </c>
      <c r="V138" s="3">
        <v>43.0</v>
      </c>
      <c r="W138" s="3">
        <v>72.0</v>
      </c>
      <c r="X138" s="3">
        <v>70.0</v>
      </c>
      <c r="Y138" s="3">
        <v>77.0</v>
      </c>
      <c r="Z138" s="3">
        <v>59.0</v>
      </c>
      <c r="AA138" s="3">
        <v>61.0</v>
      </c>
      <c r="AB138" s="3">
        <v>48.0</v>
      </c>
      <c r="AC138" s="3">
        <v>43.0</v>
      </c>
      <c r="AD138" s="3">
        <v>55.0</v>
      </c>
      <c r="AE138" s="3">
        <v>51.0</v>
      </c>
      <c r="AF138" s="3">
        <v>61.0</v>
      </c>
      <c r="AG138" s="3">
        <v>58.0</v>
      </c>
      <c r="AH138" s="3">
        <v>68.0</v>
      </c>
      <c r="AI138" s="3">
        <v>67.0</v>
      </c>
      <c r="AJ138" s="3">
        <v>63.0</v>
      </c>
      <c r="AK138" s="3">
        <v>65.0</v>
      </c>
      <c r="AL138" s="3">
        <v>68.0</v>
      </c>
      <c r="AM138" s="3">
        <v>65.0</v>
      </c>
      <c r="AN138" s="3">
        <v>78.0</v>
      </c>
      <c r="AO138" s="3">
        <v>185.0</v>
      </c>
      <c r="AP138" s="3">
        <v>201.0</v>
      </c>
      <c r="AQ138" s="3">
        <v>150.0</v>
      </c>
      <c r="AR138" s="3">
        <v>80.0</v>
      </c>
      <c r="AS138" s="3">
        <v>69.0</v>
      </c>
      <c r="AT138" s="3">
        <v>60.0</v>
      </c>
      <c r="AU138" s="3">
        <v>63.0</v>
      </c>
      <c r="AV138" s="3">
        <v>54.0</v>
      </c>
      <c r="AW138" s="3">
        <v>53.0</v>
      </c>
      <c r="AX138" s="3">
        <v>55.0</v>
      </c>
      <c r="AY138" s="3">
        <v>50.0</v>
      </c>
      <c r="AZ138" s="3">
        <v>50.0</v>
      </c>
      <c r="BA138" s="3">
        <v>244.0</v>
      </c>
      <c r="BB138" s="3">
        <v>328.0</v>
      </c>
      <c r="BC138" s="3">
        <v>252.0</v>
      </c>
      <c r="BD138" s="3">
        <v>285.0</v>
      </c>
      <c r="BE138" s="3">
        <v>306.0</v>
      </c>
      <c r="BF138" s="3">
        <v>592.0</v>
      </c>
      <c r="BG138" s="3">
        <v>496.0</v>
      </c>
      <c r="BH138" s="3">
        <v>426.0</v>
      </c>
      <c r="BI138" s="3">
        <v>569.0</v>
      </c>
      <c r="BJ138" s="3">
        <v>176.0</v>
      </c>
      <c r="BK138" s="3">
        <v>46.0</v>
      </c>
      <c r="BL138" s="3"/>
      <c r="BM138" s="3"/>
      <c r="BN138" s="3"/>
      <c r="BO138" s="3"/>
      <c r="BP138" s="3"/>
      <c r="BQ138" s="3"/>
      <c r="BR138" s="3"/>
      <c r="BS138" s="28"/>
      <c r="BT138" s="29" t="s">
        <v>270</v>
      </c>
      <c r="BU138" s="30"/>
      <c r="BV138" s="1"/>
      <c r="BW138" s="1"/>
      <c r="BX138" s="1"/>
      <c r="BY138" s="1"/>
      <c r="BZ138" s="1"/>
    </row>
    <row r="139">
      <c r="A139" s="3"/>
      <c r="B139" s="33" t="s">
        <v>117</v>
      </c>
      <c r="C139" s="111"/>
      <c r="D139" s="111" t="s">
        <v>271</v>
      </c>
      <c r="E139" s="101"/>
      <c r="F139" s="101"/>
      <c r="G139" s="101"/>
      <c r="H139" s="101"/>
      <c r="I139" s="101"/>
      <c r="J139" s="101"/>
      <c r="K139" s="101"/>
      <c r="L139" s="1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12"/>
      <c r="Y139" s="3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3"/>
      <c r="BT139" s="9" t="s">
        <v>272</v>
      </c>
      <c r="BU139" s="9"/>
      <c r="BV139" s="1"/>
      <c r="BW139" s="1"/>
      <c r="BX139" s="1"/>
      <c r="BY139" s="1"/>
      <c r="BZ139" s="1"/>
    </row>
    <row r="140">
      <c r="A140" s="3"/>
      <c r="B140" s="33" t="s">
        <v>117</v>
      </c>
      <c r="C140" s="3"/>
      <c r="D140" s="3" t="s">
        <v>273</v>
      </c>
      <c r="E140" s="101"/>
      <c r="F140" s="101"/>
      <c r="G140" s="101"/>
      <c r="H140" s="101"/>
      <c r="I140" s="101"/>
      <c r="J140" s="101"/>
      <c r="K140" s="101"/>
      <c r="L140" s="16"/>
      <c r="M140" s="1"/>
      <c r="N140" s="1"/>
      <c r="O140" s="1"/>
      <c r="P140" s="1"/>
      <c r="Q140" s="1"/>
      <c r="R140" s="1"/>
      <c r="S140" s="74">
        <v>2893526.0</v>
      </c>
      <c r="T140" s="74">
        <v>3368570.0</v>
      </c>
      <c r="U140" s="74">
        <v>3245697.0</v>
      </c>
      <c r="V140" s="74">
        <v>2216561.0</v>
      </c>
      <c r="W140" s="74">
        <v>2139257.0</v>
      </c>
      <c r="X140" s="74">
        <v>1063300.0</v>
      </c>
      <c r="Y140" s="74">
        <v>2116037.0</v>
      </c>
      <c r="Z140" s="74">
        <v>2033578.0</v>
      </c>
      <c r="AA140" s="74">
        <v>1427018.0</v>
      </c>
      <c r="AB140" s="74">
        <v>1181435.0</v>
      </c>
      <c r="AC140" s="74">
        <v>1277368.0</v>
      </c>
      <c r="AD140" s="74">
        <v>2779483.0</v>
      </c>
      <c r="AE140" s="74">
        <v>1868661.0</v>
      </c>
      <c r="AF140" s="74">
        <v>1296349.0</v>
      </c>
      <c r="AG140" s="74">
        <v>2690516.0</v>
      </c>
      <c r="AH140" s="3">
        <v>912483.0</v>
      </c>
      <c r="AI140" s="3">
        <v>540031.0</v>
      </c>
      <c r="AJ140" s="3">
        <v>713075.0</v>
      </c>
      <c r="AK140" s="3">
        <v>824525.0</v>
      </c>
      <c r="AL140" s="3">
        <v>729628.0</v>
      </c>
      <c r="AM140" s="3">
        <v>2055973.0</v>
      </c>
      <c r="AN140" s="3">
        <v>732736.0</v>
      </c>
      <c r="AO140" s="3">
        <v>701305.0</v>
      </c>
      <c r="AP140" s="3">
        <v>1721668.0</v>
      </c>
      <c r="AQ140" s="3">
        <v>1008583.0</v>
      </c>
      <c r="AR140" s="3">
        <v>2441091.0</v>
      </c>
      <c r="AS140" s="3">
        <v>1276061.0</v>
      </c>
      <c r="AT140" s="3">
        <v>3485851.0</v>
      </c>
      <c r="AU140" s="3">
        <v>2088358.0</v>
      </c>
      <c r="AV140" s="3">
        <v>3203616.0</v>
      </c>
      <c r="AW140" s="3">
        <v>2375835.0</v>
      </c>
      <c r="AX140" s="3">
        <v>2367382.0</v>
      </c>
      <c r="AY140" s="3">
        <v>664987.0</v>
      </c>
      <c r="AZ140" s="3">
        <v>1782792.0</v>
      </c>
      <c r="BA140" s="3">
        <v>2192112.0</v>
      </c>
      <c r="BB140" s="3">
        <v>1926852.0</v>
      </c>
      <c r="BC140" s="3">
        <v>2482975.0</v>
      </c>
      <c r="BD140" s="3">
        <v>1922851.0</v>
      </c>
      <c r="BE140" s="3">
        <v>3060718.0</v>
      </c>
      <c r="BF140" s="3">
        <v>2039535.0</v>
      </c>
      <c r="BG140" s="3">
        <v>2142318.0</v>
      </c>
      <c r="BH140" s="3">
        <v>3085660.0</v>
      </c>
      <c r="BI140" s="3">
        <v>2392540.0</v>
      </c>
      <c r="BJ140" s="3">
        <v>2336162.0</v>
      </c>
      <c r="BK140" s="3">
        <v>2076777.0</v>
      </c>
      <c r="BL140" s="3"/>
      <c r="BM140" s="3"/>
      <c r="BN140" s="3"/>
      <c r="BO140" s="3"/>
      <c r="BP140" s="3"/>
      <c r="BQ140" s="3"/>
      <c r="BR140" s="3"/>
      <c r="BS140" s="3"/>
      <c r="BT140" s="9" t="s">
        <v>274</v>
      </c>
      <c r="BU140" s="9"/>
      <c r="BV140" s="1"/>
      <c r="BW140" s="1"/>
      <c r="BX140" s="1"/>
      <c r="BY140" s="1"/>
      <c r="BZ140" s="1"/>
    </row>
    <row r="141">
      <c r="A141" s="3"/>
      <c r="B141" s="33" t="s">
        <v>117</v>
      </c>
      <c r="C141" s="110"/>
      <c r="D141" s="110" t="s">
        <v>275</v>
      </c>
      <c r="E141" s="101"/>
      <c r="F141" s="101"/>
      <c r="G141" s="101"/>
      <c r="H141" s="101"/>
      <c r="I141" s="101"/>
      <c r="J141" s="101"/>
      <c r="K141" s="101"/>
      <c r="L141" s="16"/>
      <c r="M141" s="1"/>
      <c r="N141" s="1"/>
      <c r="O141" s="1"/>
      <c r="P141" s="1"/>
      <c r="Q141" s="1"/>
      <c r="R141" s="1"/>
      <c r="S141" s="74">
        <v>10590.0</v>
      </c>
      <c r="T141" s="74">
        <v>15365.0</v>
      </c>
      <c r="U141" s="74">
        <v>14363.0</v>
      </c>
      <c r="V141" s="74">
        <v>13160.0</v>
      </c>
      <c r="W141" s="74">
        <v>12178.0</v>
      </c>
      <c r="X141" s="74">
        <v>12943.0</v>
      </c>
      <c r="Y141" s="74">
        <v>14831.0</v>
      </c>
      <c r="Z141" s="74">
        <v>14311.0</v>
      </c>
      <c r="AA141" s="74">
        <v>11517.0</v>
      </c>
      <c r="AB141" s="74">
        <v>11518.0</v>
      </c>
      <c r="AC141" s="74">
        <v>12345.0</v>
      </c>
      <c r="AD141" s="74">
        <v>16167.0</v>
      </c>
      <c r="AE141" s="74">
        <v>13669.0</v>
      </c>
      <c r="AF141" s="74">
        <v>11898.0</v>
      </c>
      <c r="AG141" s="74">
        <v>19747.0</v>
      </c>
      <c r="AH141" s="3">
        <v>14783.0</v>
      </c>
      <c r="AI141" s="3">
        <v>11524.0</v>
      </c>
      <c r="AJ141" s="3">
        <v>16016.0</v>
      </c>
      <c r="AK141" s="3">
        <v>16909.0</v>
      </c>
      <c r="AL141" s="3">
        <v>15120.0</v>
      </c>
      <c r="AM141" s="3">
        <v>16621.0</v>
      </c>
      <c r="AN141" s="3">
        <v>16136.0</v>
      </c>
      <c r="AO141" s="3">
        <v>12646.0</v>
      </c>
      <c r="AP141" s="3">
        <v>20921.0</v>
      </c>
      <c r="AQ141" s="3">
        <v>25311.0</v>
      </c>
      <c r="AR141" s="3">
        <v>31073.0</v>
      </c>
      <c r="AS141" s="3">
        <v>21274.0</v>
      </c>
      <c r="AT141" s="3">
        <v>20260.0</v>
      </c>
      <c r="AU141" s="3">
        <v>19333.0</v>
      </c>
      <c r="AV141" s="3">
        <v>17089.0</v>
      </c>
      <c r="AW141" s="3">
        <v>15638.0</v>
      </c>
      <c r="AX141" s="3">
        <v>19087.0</v>
      </c>
      <c r="AY141" s="3">
        <v>17083.0</v>
      </c>
      <c r="AZ141" s="3">
        <v>16450.0</v>
      </c>
      <c r="BA141" s="3">
        <v>16603.0</v>
      </c>
      <c r="BB141" s="3">
        <v>14666.0</v>
      </c>
      <c r="BC141" s="3">
        <v>17220.0</v>
      </c>
      <c r="BD141" s="3">
        <v>15305.0</v>
      </c>
      <c r="BE141" s="3">
        <v>16127.0</v>
      </c>
      <c r="BF141" s="3">
        <v>15976.0</v>
      </c>
      <c r="BG141" s="3">
        <v>15845.0</v>
      </c>
      <c r="BH141" s="3">
        <v>24798.0</v>
      </c>
      <c r="BI141" s="3">
        <v>15386.0</v>
      </c>
      <c r="BJ141" s="3">
        <v>15462.0</v>
      </c>
      <c r="BK141" s="3">
        <v>17787.0</v>
      </c>
      <c r="BL141" s="3"/>
      <c r="BM141" s="3"/>
      <c r="BN141" s="3"/>
      <c r="BO141" s="3"/>
      <c r="BP141" s="3"/>
      <c r="BQ141" s="3"/>
      <c r="BR141" s="3"/>
      <c r="BS141" s="3"/>
      <c r="BT141" s="60" t="s">
        <v>266</v>
      </c>
      <c r="BU141" s="9"/>
      <c r="BV141" s="1"/>
      <c r="BW141" s="1"/>
      <c r="BX141" s="1"/>
      <c r="BY141" s="1"/>
      <c r="BZ141" s="1"/>
    </row>
    <row r="142">
      <c r="A142" s="3"/>
      <c r="B142" s="33" t="s">
        <v>117</v>
      </c>
      <c r="C142" s="110"/>
      <c r="D142" s="110" t="s">
        <v>276</v>
      </c>
      <c r="E142" s="101"/>
      <c r="F142" s="101"/>
      <c r="G142" s="101"/>
      <c r="H142" s="101"/>
      <c r="I142" s="101"/>
      <c r="J142" s="101"/>
      <c r="K142" s="101"/>
      <c r="L142" s="16"/>
      <c r="M142" s="1"/>
      <c r="N142" s="1"/>
      <c r="O142" s="1"/>
      <c r="P142" s="1"/>
      <c r="Q142" s="1"/>
      <c r="R142" s="1"/>
      <c r="S142" s="33">
        <v>0.0025487</v>
      </c>
      <c r="T142" s="33">
        <v>0.0030429</v>
      </c>
      <c r="U142" s="33">
        <v>0.0029074</v>
      </c>
      <c r="V142" s="33">
        <v>0.0038815</v>
      </c>
      <c r="W142" s="33">
        <v>0.0037357</v>
      </c>
      <c r="X142" s="33">
        <v>0.01</v>
      </c>
      <c r="Y142" s="33">
        <v>0.007</v>
      </c>
      <c r="Z142" s="33">
        <v>0.007</v>
      </c>
      <c r="AA142" s="33">
        <v>0.0081</v>
      </c>
      <c r="AB142" s="33">
        <v>0.0097</v>
      </c>
      <c r="AC142" s="33">
        <v>0.0097</v>
      </c>
      <c r="AD142" s="33">
        <v>0.0058</v>
      </c>
      <c r="AE142" s="33">
        <v>0.0073</v>
      </c>
      <c r="AF142" s="33">
        <v>0.0092</v>
      </c>
      <c r="AG142" s="33">
        <v>0.0073</v>
      </c>
      <c r="AH142" s="33">
        <v>0.016</v>
      </c>
      <c r="AI142" s="33">
        <f t="shared" ref="AI142:AU142" si="157">AI141/AI140</f>
        <v>0.02133951569</v>
      </c>
      <c r="AJ142" s="33">
        <f t="shared" si="157"/>
        <v>0.0224604705</v>
      </c>
      <c r="AK142" s="33">
        <f t="shared" si="157"/>
        <v>0.02050756496</v>
      </c>
      <c r="AL142" s="33">
        <f t="shared" si="157"/>
        <v>0.02072288892</v>
      </c>
      <c r="AM142" s="33">
        <f t="shared" si="157"/>
        <v>0.008084250134</v>
      </c>
      <c r="AN142" s="33">
        <f t="shared" si="157"/>
        <v>0.02202157394</v>
      </c>
      <c r="AO142" s="33">
        <f t="shared" si="157"/>
        <v>0.0180320973</v>
      </c>
      <c r="AP142" s="33">
        <f t="shared" si="157"/>
        <v>0.01215158788</v>
      </c>
      <c r="AQ142" s="33">
        <f t="shared" si="157"/>
        <v>0.02509560443</v>
      </c>
      <c r="AR142" s="33">
        <f t="shared" si="157"/>
        <v>0.01272914447</v>
      </c>
      <c r="AS142" s="33">
        <f t="shared" si="157"/>
        <v>0.0166716168</v>
      </c>
      <c r="AT142" s="33">
        <f t="shared" si="157"/>
        <v>0.005812067125</v>
      </c>
      <c r="AU142" s="33">
        <f t="shared" si="157"/>
        <v>0.009257512361</v>
      </c>
      <c r="AV142" s="33">
        <v>0.0053</v>
      </c>
      <c r="AW142" s="33">
        <v>0.0066</v>
      </c>
      <c r="AX142" s="33">
        <v>0.0081</v>
      </c>
      <c r="AY142" s="33">
        <v>0.0101</v>
      </c>
      <c r="AZ142" s="33">
        <v>0.0092</v>
      </c>
      <c r="BA142" s="33">
        <v>0.0076</v>
      </c>
      <c r="BB142" s="33">
        <v>0.0076</v>
      </c>
      <c r="BC142" s="33">
        <v>0.0069</v>
      </c>
      <c r="BD142" s="33">
        <v>0.008</v>
      </c>
      <c r="BE142" s="33">
        <v>0.0053</v>
      </c>
      <c r="BF142" s="33">
        <v>0.0078</v>
      </c>
      <c r="BG142" s="33">
        <v>0.0074</v>
      </c>
      <c r="BH142" s="33">
        <v>0.008</v>
      </c>
      <c r="BI142" s="33">
        <v>0.0064</v>
      </c>
      <c r="BJ142" s="33">
        <v>0.0066</v>
      </c>
      <c r="BK142" s="33">
        <v>0.0086</v>
      </c>
      <c r="BL142" s="33"/>
      <c r="BM142" s="33"/>
      <c r="BN142" s="33"/>
      <c r="BO142" s="33"/>
      <c r="BP142" s="33"/>
      <c r="BQ142" s="33"/>
      <c r="BR142" s="33"/>
      <c r="BS142" s="3"/>
      <c r="BT142" s="60" t="s">
        <v>266</v>
      </c>
      <c r="BU142" s="9"/>
      <c r="BV142" s="1"/>
      <c r="BW142" s="1"/>
      <c r="BX142" s="1"/>
      <c r="BY142" s="1"/>
      <c r="BZ142" s="1"/>
    </row>
    <row r="143">
      <c r="A143" s="3"/>
      <c r="B143" s="33" t="s">
        <v>117</v>
      </c>
      <c r="C143" s="113"/>
      <c r="D143" s="113" t="s">
        <v>277</v>
      </c>
      <c r="E143" s="101"/>
      <c r="F143" s="101"/>
      <c r="G143" s="101"/>
      <c r="H143" s="101"/>
      <c r="I143" s="101"/>
      <c r="J143" s="101"/>
      <c r="K143" s="101"/>
      <c r="L143" s="16"/>
      <c r="M143" s="1"/>
      <c r="N143" s="1"/>
      <c r="O143" s="1"/>
      <c r="P143" s="1"/>
      <c r="Q143" s="1"/>
      <c r="R143" s="1"/>
      <c r="S143" s="74">
        <v>6791.0</v>
      </c>
      <c r="T143" s="74">
        <v>11372.0</v>
      </c>
      <c r="U143" s="74">
        <v>10651.0</v>
      </c>
      <c r="V143" s="74">
        <v>10615.0</v>
      </c>
      <c r="W143" s="74">
        <v>8466.0</v>
      </c>
      <c r="X143" s="74">
        <v>9075.0</v>
      </c>
      <c r="Y143" s="74">
        <v>10267.0</v>
      </c>
      <c r="Z143" s="74">
        <v>9385.0</v>
      </c>
      <c r="AA143" s="74">
        <v>7640.0</v>
      </c>
      <c r="AB143" s="74">
        <v>7984.0</v>
      </c>
      <c r="AC143" s="74">
        <v>8812.0</v>
      </c>
      <c r="AD143" s="74">
        <v>10705.0</v>
      </c>
      <c r="AE143" s="74">
        <v>9385.0</v>
      </c>
      <c r="AF143" s="74">
        <v>8157.0</v>
      </c>
      <c r="AG143" s="74">
        <v>11542.0</v>
      </c>
      <c r="AH143" s="3">
        <v>10554.0</v>
      </c>
      <c r="AI143" s="3">
        <v>8511.0</v>
      </c>
      <c r="AJ143" s="3">
        <v>12556.0</v>
      </c>
      <c r="AK143" s="3">
        <v>13171.0</v>
      </c>
      <c r="AL143" s="3">
        <v>10316.0</v>
      </c>
      <c r="AM143" s="3">
        <v>11088.0</v>
      </c>
      <c r="AN143" s="3">
        <v>11302.0</v>
      </c>
      <c r="AO143" s="3">
        <v>12636.0</v>
      </c>
      <c r="AP143" s="3">
        <v>13848.0</v>
      </c>
      <c r="AQ143" s="3">
        <v>14800.0</v>
      </c>
      <c r="AR143" s="3">
        <v>16767.0</v>
      </c>
      <c r="AS143" s="18">
        <v>14200.0</v>
      </c>
      <c r="AT143" s="18">
        <v>13831.0</v>
      </c>
      <c r="AU143" s="18">
        <v>13355.0</v>
      </c>
      <c r="AV143" s="18">
        <v>12794.0</v>
      </c>
      <c r="AW143" s="18">
        <v>9834.0</v>
      </c>
      <c r="AX143" s="18">
        <v>11608.0</v>
      </c>
      <c r="AY143" s="18">
        <v>11998.0</v>
      </c>
      <c r="AZ143" s="18">
        <v>11223.0</v>
      </c>
      <c r="BA143" s="18">
        <v>11544.0</v>
      </c>
      <c r="BB143" s="18">
        <v>10338.0</v>
      </c>
      <c r="BC143" s="18">
        <v>12808.0</v>
      </c>
      <c r="BD143" s="18">
        <v>11156.0</v>
      </c>
      <c r="BE143" s="18">
        <v>10975.0</v>
      </c>
      <c r="BF143" s="18">
        <v>15158.0</v>
      </c>
      <c r="BG143" s="18">
        <v>11991.0</v>
      </c>
      <c r="BH143" s="18">
        <v>16599.0</v>
      </c>
      <c r="BI143" s="18">
        <v>10456.0</v>
      </c>
      <c r="BJ143" s="18">
        <v>10784.0</v>
      </c>
      <c r="BK143" s="18">
        <v>10757.0</v>
      </c>
      <c r="BL143" s="18"/>
      <c r="BM143" s="18"/>
      <c r="BN143" s="18"/>
      <c r="BO143" s="18"/>
      <c r="BP143" s="18"/>
      <c r="BQ143" s="18"/>
      <c r="BR143" s="18"/>
      <c r="BS143" s="3"/>
      <c r="BT143" s="60" t="s">
        <v>266</v>
      </c>
      <c r="BU143" s="9"/>
      <c r="BV143" s="1"/>
      <c r="BW143" s="1"/>
      <c r="BX143" s="1"/>
      <c r="BY143" s="1"/>
      <c r="BZ143" s="1"/>
    </row>
    <row r="144">
      <c r="A144" s="3"/>
      <c r="B144" s="33" t="s">
        <v>117</v>
      </c>
      <c r="C144" s="113"/>
      <c r="D144" s="113" t="s">
        <v>278</v>
      </c>
      <c r="E144" s="101"/>
      <c r="F144" s="101"/>
      <c r="G144" s="101"/>
      <c r="H144" s="101"/>
      <c r="I144" s="101"/>
      <c r="J144" s="101"/>
      <c r="K144" s="101"/>
      <c r="L144" s="16"/>
      <c r="M144" s="1"/>
      <c r="N144" s="1"/>
      <c r="O144" s="1"/>
      <c r="P144" s="1"/>
      <c r="Q144" s="1"/>
      <c r="R144" s="1"/>
      <c r="S144" s="33">
        <f t="shared" ref="S144:X144" si="158">S143/S141</f>
        <v>0.6412653447</v>
      </c>
      <c r="T144" s="33">
        <f t="shared" si="158"/>
        <v>0.7401236577</v>
      </c>
      <c r="U144" s="33">
        <f t="shared" si="158"/>
        <v>0.7415581703</v>
      </c>
      <c r="V144" s="33">
        <f t="shared" si="158"/>
        <v>0.8066109422</v>
      </c>
      <c r="W144" s="33">
        <f t="shared" si="158"/>
        <v>0.695188044</v>
      </c>
      <c r="X144" s="33">
        <f t="shared" si="158"/>
        <v>0.7011512014</v>
      </c>
      <c r="Y144" s="33">
        <v>0.6923</v>
      </c>
      <c r="Z144" s="33">
        <v>0.6558</v>
      </c>
      <c r="AA144" s="33">
        <v>0.6634</v>
      </c>
      <c r="AB144" s="33">
        <v>0.6932</v>
      </c>
      <c r="AC144" s="33">
        <v>0.7138</v>
      </c>
      <c r="AD144" s="33">
        <v>0.6622</v>
      </c>
      <c r="AE144" s="33">
        <v>0.6866</v>
      </c>
      <c r="AF144" s="33">
        <v>0.6856</v>
      </c>
      <c r="AG144" s="33">
        <v>0.5845</v>
      </c>
      <c r="AH144" s="33">
        <f t="shared" ref="AH144:AU144" si="159">AH143/AH141</f>
        <v>0.7139281607</v>
      </c>
      <c r="AI144" s="33">
        <f t="shared" si="159"/>
        <v>0.7385456439</v>
      </c>
      <c r="AJ144" s="33">
        <f t="shared" si="159"/>
        <v>0.783966034</v>
      </c>
      <c r="AK144" s="33">
        <f t="shared" si="159"/>
        <v>0.7789342953</v>
      </c>
      <c r="AL144" s="33">
        <f t="shared" si="159"/>
        <v>0.6822751323</v>
      </c>
      <c r="AM144" s="33">
        <f t="shared" si="159"/>
        <v>0.6671078756</v>
      </c>
      <c r="AN144" s="33">
        <f t="shared" si="159"/>
        <v>0.7004214179</v>
      </c>
      <c r="AO144" s="33">
        <f t="shared" si="159"/>
        <v>0.9992092361</v>
      </c>
      <c r="AP144" s="33">
        <f t="shared" si="159"/>
        <v>0.6619186463</v>
      </c>
      <c r="AQ144" s="33">
        <f t="shared" si="159"/>
        <v>0.5847260085</v>
      </c>
      <c r="AR144" s="33">
        <f t="shared" si="159"/>
        <v>0.5396002961</v>
      </c>
      <c r="AS144" s="33">
        <f t="shared" si="159"/>
        <v>0.6674814327</v>
      </c>
      <c r="AT144" s="33">
        <f t="shared" si="159"/>
        <v>0.6826752221</v>
      </c>
      <c r="AU144" s="33">
        <f t="shared" si="159"/>
        <v>0.6907877722</v>
      </c>
      <c r="AV144" s="33">
        <v>0.7487</v>
      </c>
      <c r="AW144" s="33">
        <v>0.6289</v>
      </c>
      <c r="AX144" s="33">
        <v>0.6082</v>
      </c>
      <c r="AY144" s="33">
        <v>0.7023</v>
      </c>
      <c r="AZ144" s="33">
        <v>0.6822</v>
      </c>
      <c r="BA144" s="33">
        <v>0.6953</v>
      </c>
      <c r="BB144" s="33">
        <v>0.7049</v>
      </c>
      <c r="BC144" s="33">
        <v>0.7438</v>
      </c>
      <c r="BD144" s="33">
        <v>0.7289</v>
      </c>
      <c r="BE144" s="33">
        <v>0.6805</v>
      </c>
      <c r="BF144" s="33">
        <v>0.9488</v>
      </c>
      <c r="BG144" s="33">
        <v>0.7568</v>
      </c>
      <c r="BH144" s="33">
        <v>0.6694</v>
      </c>
      <c r="BI144" s="33">
        <v>0.6796</v>
      </c>
      <c r="BJ144" s="33">
        <v>0.6975</v>
      </c>
      <c r="BK144" s="33">
        <v>0.6048</v>
      </c>
      <c r="BL144" s="33"/>
      <c r="BM144" s="33"/>
      <c r="BN144" s="33"/>
      <c r="BO144" s="33"/>
      <c r="BP144" s="33"/>
      <c r="BQ144" s="33"/>
      <c r="BR144" s="33"/>
      <c r="BS144" s="114"/>
      <c r="BT144" s="115" t="s">
        <v>279</v>
      </c>
      <c r="BU144" s="115"/>
      <c r="BV144" s="1"/>
      <c r="BW144" s="1"/>
      <c r="BX144" s="1"/>
      <c r="BY144" s="1"/>
      <c r="BZ144" s="1"/>
    </row>
    <row r="145">
      <c r="A145" s="3"/>
      <c r="B145" s="33" t="s">
        <v>117</v>
      </c>
      <c r="C145" s="3"/>
      <c r="D145" s="3" t="s">
        <v>280</v>
      </c>
      <c r="E145" s="101"/>
      <c r="F145" s="101"/>
      <c r="G145" s="101"/>
      <c r="H145" s="101"/>
      <c r="I145" s="101"/>
      <c r="J145" s="101"/>
      <c r="K145" s="101"/>
      <c r="L145" s="16"/>
      <c r="M145" s="1"/>
      <c r="N145" s="1"/>
      <c r="O145" s="1"/>
      <c r="P145" s="1"/>
      <c r="Q145" s="1"/>
      <c r="R145" s="1"/>
      <c r="S145" s="3"/>
      <c r="T145" s="17">
        <f t="shared" ref="T145:BK145" si="160">T4/T3</f>
        <v>1458.937328</v>
      </c>
      <c r="U145" s="17">
        <f t="shared" si="160"/>
        <v>1270.29052</v>
      </c>
      <c r="V145" s="17">
        <f t="shared" si="160"/>
        <v>1202.616462</v>
      </c>
      <c r="W145" s="17">
        <f t="shared" si="160"/>
        <v>1395.645619</v>
      </c>
      <c r="X145" s="17">
        <f t="shared" si="160"/>
        <v>1565.563188</v>
      </c>
      <c r="Y145" s="17">
        <f t="shared" si="160"/>
        <v>1545.858868</v>
      </c>
      <c r="Z145" s="17">
        <f t="shared" si="160"/>
        <v>1546.061231</v>
      </c>
      <c r="AA145" s="17">
        <f t="shared" si="160"/>
        <v>1568.64779</v>
      </c>
      <c r="AB145" s="17">
        <f t="shared" si="160"/>
        <v>1546.618265</v>
      </c>
      <c r="AC145" s="17">
        <f t="shared" si="160"/>
        <v>1518.305645</v>
      </c>
      <c r="AD145" s="17">
        <f t="shared" si="160"/>
        <v>1435.83438</v>
      </c>
      <c r="AE145" s="17">
        <f t="shared" si="160"/>
        <v>1438.761732</v>
      </c>
      <c r="AF145" s="17">
        <f t="shared" si="160"/>
        <v>1538.952986</v>
      </c>
      <c r="AG145" s="17">
        <f t="shared" si="160"/>
        <v>1521.202732</v>
      </c>
      <c r="AH145" s="17">
        <f t="shared" si="160"/>
        <v>1496.857182</v>
      </c>
      <c r="AI145" s="17">
        <f t="shared" si="160"/>
        <v>1536.317884</v>
      </c>
      <c r="AJ145" s="17">
        <f t="shared" si="160"/>
        <v>1596.661128</v>
      </c>
      <c r="AK145" s="17">
        <f t="shared" si="160"/>
        <v>1353.507181</v>
      </c>
      <c r="AL145" s="17">
        <f t="shared" si="160"/>
        <v>1448.115151</v>
      </c>
      <c r="AM145" s="17">
        <f t="shared" si="160"/>
        <v>1505.326315</v>
      </c>
      <c r="AN145" s="17">
        <f t="shared" si="160"/>
        <v>1509.614891</v>
      </c>
      <c r="AO145" s="17">
        <f t="shared" si="160"/>
        <v>1509.586291</v>
      </c>
      <c r="AP145" s="17">
        <f t="shared" si="160"/>
        <v>1498.637659</v>
      </c>
      <c r="AQ145" s="17">
        <f t="shared" si="160"/>
        <v>1465.522729</v>
      </c>
      <c r="AR145" s="17">
        <f t="shared" si="160"/>
        <v>1358.120695</v>
      </c>
      <c r="AS145" s="17">
        <f t="shared" si="160"/>
        <v>1304.725886</v>
      </c>
      <c r="AT145" s="17">
        <f t="shared" si="160"/>
        <v>1456.900859</v>
      </c>
      <c r="AU145" s="17">
        <f t="shared" si="160"/>
        <v>1536.194029</v>
      </c>
      <c r="AV145" s="17">
        <f t="shared" si="160"/>
        <v>1515.348075</v>
      </c>
      <c r="AW145" s="17">
        <f t="shared" si="160"/>
        <v>1541.437803</v>
      </c>
      <c r="AX145" s="17">
        <f t="shared" si="160"/>
        <v>1428.655334</v>
      </c>
      <c r="AY145" s="17">
        <f t="shared" si="160"/>
        <v>1507.087491</v>
      </c>
      <c r="AZ145" s="17">
        <f t="shared" si="160"/>
        <v>1544.06988</v>
      </c>
      <c r="BA145" s="17">
        <f t="shared" si="160"/>
        <v>1472.086201</v>
      </c>
      <c r="BB145" s="17">
        <f t="shared" si="160"/>
        <v>1436.747049</v>
      </c>
      <c r="BC145" s="17">
        <f t="shared" si="160"/>
        <v>1462.679625</v>
      </c>
      <c r="BD145" s="17">
        <f t="shared" si="160"/>
        <v>1454.212762</v>
      </c>
      <c r="BE145" s="17">
        <f t="shared" si="160"/>
        <v>1484.097418</v>
      </c>
      <c r="BF145" s="17">
        <f t="shared" si="160"/>
        <v>1116.685726</v>
      </c>
      <c r="BG145" s="17">
        <f t="shared" si="160"/>
        <v>1383.400805</v>
      </c>
      <c r="BH145" s="17">
        <f t="shared" si="160"/>
        <v>1284.463063</v>
      </c>
      <c r="BI145" s="17">
        <f t="shared" si="160"/>
        <v>1488.342759</v>
      </c>
      <c r="BJ145" s="17">
        <f t="shared" si="160"/>
        <v>1492.159984</v>
      </c>
      <c r="BK145" s="17">
        <f t="shared" si="160"/>
        <v>1513.199087</v>
      </c>
      <c r="BL145" s="17"/>
      <c r="BM145" s="17"/>
      <c r="BN145" s="17"/>
      <c r="BO145" s="17"/>
      <c r="BP145" s="17"/>
      <c r="BQ145" s="17"/>
      <c r="BR145" s="17"/>
      <c r="BS145" s="1"/>
      <c r="BT145" s="8"/>
      <c r="BU145" s="8"/>
      <c r="BV145" s="1"/>
      <c r="BW145" s="1"/>
      <c r="BX145" s="1"/>
      <c r="BY145" s="1"/>
      <c r="BZ145" s="1"/>
    </row>
    <row r="146">
      <c r="A146" s="3"/>
      <c r="B146" s="33" t="s">
        <v>117</v>
      </c>
      <c r="C146" s="3"/>
      <c r="D146" s="3" t="s">
        <v>281</v>
      </c>
      <c r="E146" s="101"/>
      <c r="F146" s="101"/>
      <c r="G146" s="101"/>
      <c r="H146" s="101"/>
      <c r="I146" s="101"/>
      <c r="J146" s="101"/>
      <c r="K146" s="101"/>
      <c r="L146" s="16"/>
      <c r="M146" s="1"/>
      <c r="N146" s="1"/>
      <c r="O146" s="1"/>
      <c r="P146" s="1"/>
      <c r="Q146" s="1"/>
      <c r="R146" s="1"/>
      <c r="S146" s="74">
        <v>792573.25</v>
      </c>
      <c r="T146" s="74">
        <v>975663.75</v>
      </c>
      <c r="U146" s="74">
        <v>1192489.75</v>
      </c>
      <c r="V146" s="74">
        <v>1210471.25</v>
      </c>
      <c r="W146" s="74">
        <v>1198889.0</v>
      </c>
      <c r="X146" s="74">
        <v>1137716.75</v>
      </c>
      <c r="Y146" s="74">
        <v>940431.5</v>
      </c>
      <c r="Z146" s="74">
        <v>827393.25</v>
      </c>
      <c r="AA146" s="74">
        <v>702788.5</v>
      </c>
      <c r="AB146" s="74">
        <v>504432.75</v>
      </c>
      <c r="AC146" s="74">
        <v>387161.5</v>
      </c>
      <c r="AD146" s="74">
        <v>473864.5</v>
      </c>
      <c r="AE146" s="74">
        <v>488063.75</v>
      </c>
      <c r="AF146" s="74">
        <v>496250.5</v>
      </c>
      <c r="AG146" s="74">
        <f>2420275/4</f>
        <v>605068.75</v>
      </c>
      <c r="AH146" s="74">
        <f>2523529/4</f>
        <v>630882.25</v>
      </c>
      <c r="AI146" s="74">
        <f>2292694/4</f>
        <v>573173.5</v>
      </c>
      <c r="AJ146" s="74">
        <f>2474938/4</f>
        <v>618734.5</v>
      </c>
      <c r="AK146" s="74">
        <f>2372735/4</f>
        <v>593183.75</v>
      </c>
      <c r="AL146" s="74">
        <f>2203273/4</f>
        <v>550818.25</v>
      </c>
      <c r="AM146" s="74">
        <f>2382258/4</f>
        <v>595564.5</v>
      </c>
      <c r="AN146" s="74">
        <f>2843725/4</f>
        <v>710931.25</v>
      </c>
      <c r="AO146" s="74">
        <f>2316370/4</f>
        <v>579092.5</v>
      </c>
      <c r="AP146" s="74">
        <f>3256410/4</f>
        <v>814102.5</v>
      </c>
      <c r="AQ146" s="74">
        <f>3453917/4</f>
        <v>863479.25</v>
      </c>
      <c r="AR146" s="74">
        <f>4829782/4</f>
        <v>1207445.5</v>
      </c>
      <c r="AS146" s="74">
        <f>5201096/4</f>
        <v>1300274</v>
      </c>
      <c r="AT146" s="74">
        <f>5232516/4</f>
        <v>1308129</v>
      </c>
      <c r="AU146" s="74">
        <f>6119202/4</f>
        <v>1529800.5</v>
      </c>
      <c r="AV146" s="74">
        <f>5831434/4</f>
        <v>1457858.5</v>
      </c>
      <c r="AW146" s="74">
        <f>5759857/4</f>
        <v>1439964.25</v>
      </c>
      <c r="AX146" s="74">
        <f>5275635/4</f>
        <v>1318908.75</v>
      </c>
      <c r="AY146" s="74">
        <f>4270052/4</f>
        <v>1067513</v>
      </c>
      <c r="AZ146" s="74">
        <f>3162243/4</f>
        <v>790560.75</v>
      </c>
      <c r="BA146" s="74">
        <f>2679276/4</f>
        <v>669819</v>
      </c>
      <c r="BB146" s="74">
        <f>2332596/4</f>
        <v>583149</v>
      </c>
      <c r="BC146" s="74">
        <f>2476531/4</f>
        <v>619132.75</v>
      </c>
      <c r="BD146" s="74">
        <f>2354336/4</f>
        <v>588584</v>
      </c>
      <c r="BE146" s="74">
        <f>2697420/4</f>
        <v>674355</v>
      </c>
      <c r="BF146" s="74">
        <f>2691244/4</f>
        <v>672811</v>
      </c>
      <c r="BG146" s="74">
        <f>2621129/4</f>
        <v>655282.25</v>
      </c>
      <c r="BH146" s="74">
        <f>3052793/4</f>
        <v>763198.25</v>
      </c>
      <c r="BI146" s="74">
        <f>2824847/4</f>
        <v>706211.75</v>
      </c>
      <c r="BJ146" s="74">
        <f>3093976/4</f>
        <v>773494</v>
      </c>
      <c r="BK146" s="74">
        <f>3094264/4</f>
        <v>773566</v>
      </c>
      <c r="BL146" s="74"/>
      <c r="BM146" s="74"/>
      <c r="BN146" s="74"/>
      <c r="BO146" s="74"/>
      <c r="BP146" s="74"/>
      <c r="BQ146" s="74"/>
      <c r="BR146" s="74"/>
      <c r="BS146" s="3"/>
      <c r="BT146" s="60" t="s">
        <v>266</v>
      </c>
      <c r="BU146" s="9"/>
      <c r="BV146" s="1"/>
      <c r="BW146" s="1"/>
      <c r="BX146" s="1"/>
      <c r="BY146" s="1"/>
      <c r="BZ146" s="1"/>
    </row>
    <row r="147">
      <c r="A147" s="3"/>
      <c r="B147" s="33"/>
      <c r="C147" s="110"/>
      <c r="D147" s="110"/>
      <c r="E147" s="101"/>
      <c r="F147" s="101"/>
      <c r="G147" s="101"/>
      <c r="H147" s="101"/>
      <c r="I147" s="101"/>
      <c r="J147" s="101"/>
      <c r="K147" s="101"/>
      <c r="L147" s="1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8"/>
      <c r="BU147" s="8"/>
      <c r="BV147" s="1"/>
      <c r="BW147" s="1"/>
      <c r="BX147" s="1"/>
      <c r="BY147" s="1"/>
      <c r="BZ147" s="1"/>
    </row>
    <row r="148">
      <c r="A148" s="3"/>
      <c r="B148" s="33"/>
      <c r="C148" s="116"/>
      <c r="D148" s="116"/>
      <c r="E148" s="101"/>
      <c r="F148" s="101"/>
      <c r="G148" s="101"/>
      <c r="H148" s="101"/>
      <c r="I148" s="101"/>
      <c r="J148" s="101"/>
      <c r="K148" s="101"/>
      <c r="L148" s="1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8"/>
      <c r="BU148" s="8"/>
      <c r="BV148" s="1"/>
      <c r="BW148" s="1"/>
      <c r="BX148" s="1"/>
      <c r="BY148" s="1"/>
      <c r="BZ148" s="1"/>
    </row>
    <row r="149">
      <c r="A149" s="3"/>
      <c r="B149" s="33"/>
      <c r="C149" s="117"/>
      <c r="D149" s="117"/>
      <c r="E149" s="101"/>
      <c r="F149" s="101"/>
      <c r="G149" s="101"/>
      <c r="H149" s="101"/>
      <c r="I149" s="101"/>
      <c r="J149" s="101"/>
      <c r="K149" s="101"/>
      <c r="L149" s="1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8"/>
      <c r="BU149" s="8"/>
      <c r="BV149" s="1"/>
      <c r="BW149" s="1"/>
      <c r="BX149" s="1"/>
      <c r="BY149" s="1"/>
      <c r="BZ149" s="1"/>
    </row>
    <row r="150">
      <c r="A150" s="3"/>
      <c r="B150" s="33"/>
      <c r="C150" s="117"/>
      <c r="D150" s="117"/>
      <c r="E150" s="101"/>
      <c r="F150" s="101"/>
      <c r="G150" s="101"/>
      <c r="H150" s="101"/>
      <c r="I150" s="101"/>
      <c r="J150" s="101"/>
      <c r="K150" s="101"/>
      <c r="L150" s="1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1"/>
      <c r="BT150" s="8"/>
      <c r="BU150" s="8"/>
      <c r="BV150" s="1"/>
      <c r="BW150" s="1"/>
      <c r="BX150" s="1"/>
      <c r="BY150" s="1"/>
      <c r="BZ150" s="1"/>
    </row>
    <row r="151">
      <c r="A151" s="3"/>
      <c r="B151" s="33"/>
      <c r="C151" s="117"/>
      <c r="D151" s="11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1"/>
      <c r="BT151" s="8"/>
      <c r="BU151" s="8"/>
      <c r="BV151" s="1"/>
      <c r="BW151" s="1"/>
      <c r="BX151" s="1"/>
      <c r="BY151" s="1"/>
      <c r="BZ151" s="1"/>
    </row>
    <row r="152">
      <c r="A152" s="3"/>
      <c r="B152" s="33"/>
      <c r="C152" s="6"/>
      <c r="D152" s="6"/>
      <c r="E152" s="101"/>
      <c r="F152" s="101"/>
      <c r="G152" s="101"/>
      <c r="H152" s="101"/>
      <c r="I152" s="101"/>
      <c r="J152" s="101"/>
      <c r="K152" s="101"/>
      <c r="L152" s="16"/>
      <c r="M152" s="1"/>
      <c r="N152" s="1"/>
      <c r="O152" s="1"/>
      <c r="P152" s="1"/>
      <c r="Q152" s="1"/>
      <c r="R152" s="1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  <c r="BL152" s="118"/>
      <c r="BM152" s="118"/>
      <c r="BN152" s="118"/>
      <c r="BO152" s="118"/>
      <c r="BP152" s="118"/>
      <c r="BQ152" s="118"/>
      <c r="BR152" s="118"/>
      <c r="BS152" s="1"/>
      <c r="BT152" s="8"/>
      <c r="BU152" s="8"/>
      <c r="BV152" s="1"/>
      <c r="BW152" s="1"/>
      <c r="BX152" s="1"/>
      <c r="BY152" s="1"/>
      <c r="BZ152" s="1"/>
    </row>
    <row r="153">
      <c r="A153" s="3"/>
      <c r="B153" s="33"/>
      <c r="C153" s="6"/>
      <c r="D153" s="6"/>
      <c r="E153" s="101"/>
      <c r="F153" s="101"/>
      <c r="G153" s="101"/>
      <c r="H153" s="101"/>
      <c r="I153" s="101"/>
      <c r="J153" s="101"/>
      <c r="K153" s="101"/>
      <c r="L153" s="16"/>
      <c r="M153" s="1"/>
      <c r="N153" s="1"/>
      <c r="O153" s="1"/>
      <c r="P153" s="1"/>
      <c r="Q153" s="1"/>
      <c r="R153" s="1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  <c r="BL153" s="118"/>
      <c r="BM153" s="118"/>
      <c r="BN153" s="118"/>
      <c r="BO153" s="118"/>
      <c r="BP153" s="118"/>
      <c r="BQ153" s="118"/>
      <c r="BR153" s="118"/>
      <c r="BS153" s="1"/>
      <c r="BT153" s="8"/>
      <c r="BU153" s="8"/>
      <c r="BV153" s="1"/>
      <c r="BW153" s="1"/>
      <c r="BX153" s="1"/>
      <c r="BY153" s="1"/>
      <c r="BZ153" s="1"/>
    </row>
    <row r="154">
      <c r="A154" s="3"/>
      <c r="B154" s="33"/>
      <c r="C154" s="6"/>
      <c r="D154" s="6"/>
      <c r="E154" s="101"/>
      <c r="F154" s="101"/>
      <c r="G154" s="101"/>
      <c r="H154" s="101"/>
      <c r="I154" s="101"/>
      <c r="J154" s="101"/>
      <c r="K154" s="101"/>
      <c r="L154" s="16"/>
      <c r="M154" s="1"/>
      <c r="N154" s="1"/>
      <c r="O154" s="1"/>
      <c r="P154" s="1"/>
      <c r="Q154" s="1"/>
      <c r="R154" s="1"/>
      <c r="S154" s="1"/>
      <c r="T154" s="1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  <c r="BL154" s="118"/>
      <c r="BM154" s="118"/>
      <c r="BN154" s="118"/>
      <c r="BO154" s="118"/>
      <c r="BP154" s="118"/>
      <c r="BQ154" s="118"/>
      <c r="BR154" s="118"/>
      <c r="BS154" s="1"/>
      <c r="BT154" s="8"/>
      <c r="BU154" s="8"/>
      <c r="BV154" s="1"/>
      <c r="BW154" s="1"/>
      <c r="BX154" s="1"/>
      <c r="BY154" s="1"/>
      <c r="BZ154" s="1"/>
    </row>
    <row r="155">
      <c r="A155" s="3"/>
      <c r="B155" s="33"/>
      <c r="C155" s="6"/>
      <c r="D155" s="6"/>
      <c r="E155" s="101"/>
      <c r="F155" s="101"/>
      <c r="G155" s="101"/>
      <c r="H155" s="101"/>
      <c r="I155" s="101"/>
      <c r="J155" s="101"/>
      <c r="K155" s="101"/>
      <c r="L155" s="1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  <c r="BL155" s="118"/>
      <c r="BM155" s="118"/>
      <c r="BN155" s="118"/>
      <c r="BO155" s="118"/>
      <c r="BP155" s="118"/>
      <c r="BQ155" s="118"/>
      <c r="BR155" s="118"/>
      <c r="BS155" s="1"/>
      <c r="BT155" s="8"/>
      <c r="BU155" s="8"/>
      <c r="BV155" s="1"/>
      <c r="BW155" s="1"/>
      <c r="BX155" s="1"/>
      <c r="BY155" s="1"/>
      <c r="BZ155" s="1"/>
    </row>
    <row r="156">
      <c r="A156" s="3"/>
      <c r="B156" s="33"/>
      <c r="C156" s="6"/>
      <c r="D156" s="6"/>
      <c r="E156" s="101"/>
      <c r="F156" s="101"/>
      <c r="G156" s="101"/>
      <c r="H156" s="101"/>
      <c r="I156" s="101"/>
      <c r="J156" s="101"/>
      <c r="K156" s="101"/>
      <c r="L156" s="16"/>
      <c r="M156" s="1"/>
      <c r="N156" s="1"/>
      <c r="O156" s="1"/>
      <c r="P156" s="1"/>
      <c r="Q156" s="1"/>
      <c r="R156" s="1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"/>
      <c r="BT156" s="8"/>
      <c r="BU156" s="8"/>
      <c r="BV156" s="1"/>
      <c r="BW156" s="1"/>
      <c r="BX156" s="1"/>
      <c r="BY156" s="1"/>
      <c r="BZ156" s="1"/>
    </row>
    <row r="157">
      <c r="A157" s="3"/>
      <c r="B157" s="33"/>
      <c r="C157" s="6"/>
      <c r="D157" s="6"/>
      <c r="E157" s="101"/>
      <c r="F157" s="101"/>
      <c r="G157" s="101"/>
      <c r="H157" s="101"/>
      <c r="I157" s="101"/>
      <c r="J157" s="101"/>
      <c r="K157" s="101"/>
      <c r="L157" s="1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"/>
      <c r="BT157" s="8"/>
      <c r="BU157" s="8"/>
      <c r="BV157" s="1"/>
      <c r="BW157" s="1"/>
      <c r="BX157" s="1"/>
      <c r="BY157" s="1"/>
      <c r="BZ157" s="1"/>
    </row>
    <row r="158">
      <c r="A158" s="3"/>
      <c r="B158" s="33"/>
      <c r="C158" s="6"/>
      <c r="D158" s="6"/>
      <c r="E158" s="101"/>
      <c r="F158" s="101"/>
      <c r="G158" s="101"/>
      <c r="H158" s="101"/>
      <c r="I158" s="101"/>
      <c r="J158" s="101"/>
      <c r="K158" s="101"/>
      <c r="L158" s="16"/>
      <c r="M158" s="1"/>
      <c r="N158" s="1"/>
      <c r="O158" s="1"/>
      <c r="P158" s="1"/>
      <c r="Q158" s="1"/>
      <c r="R158" s="1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  <c r="BL158" s="118"/>
      <c r="BM158" s="118"/>
      <c r="BN158" s="118"/>
      <c r="BO158" s="118"/>
      <c r="BP158" s="118"/>
      <c r="BQ158" s="118"/>
      <c r="BR158" s="118"/>
      <c r="BS158" s="1"/>
      <c r="BT158" s="8"/>
      <c r="BU158" s="8"/>
      <c r="BV158" s="1"/>
      <c r="BW158" s="1"/>
      <c r="BX158" s="1"/>
      <c r="BY158" s="1"/>
      <c r="BZ158" s="1"/>
    </row>
    <row r="159">
      <c r="A159" s="3"/>
      <c r="B159" s="33"/>
      <c r="C159" s="6"/>
      <c r="D159" s="6"/>
      <c r="E159" s="101"/>
      <c r="F159" s="101"/>
      <c r="G159" s="101"/>
      <c r="H159" s="101"/>
      <c r="I159" s="101"/>
      <c r="J159" s="101"/>
      <c r="K159" s="101"/>
      <c r="L159" s="1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20"/>
      <c r="AM159" s="120"/>
      <c r="AN159" s="120"/>
      <c r="AO159" s="120"/>
      <c r="AP159" s="120"/>
      <c r="AQ159" s="120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8"/>
      <c r="BU159" s="8"/>
      <c r="BV159" s="1"/>
      <c r="BW159" s="1"/>
      <c r="BX159" s="1"/>
      <c r="BY159" s="1"/>
      <c r="BZ159" s="1"/>
    </row>
    <row r="160">
      <c r="A160" s="3"/>
      <c r="B160" s="33" t="s">
        <v>117</v>
      </c>
      <c r="C160" s="50"/>
      <c r="D160" s="50" t="s">
        <v>282</v>
      </c>
      <c r="E160" s="101"/>
      <c r="F160" s="101"/>
      <c r="G160" s="101"/>
      <c r="H160" s="101"/>
      <c r="I160" s="101"/>
      <c r="J160" s="101"/>
      <c r="K160" s="101"/>
      <c r="L160" s="16"/>
      <c r="M160" s="1"/>
      <c r="N160" s="1"/>
      <c r="O160" s="1"/>
      <c r="P160" s="1"/>
      <c r="Q160" s="1"/>
      <c r="R160" s="1"/>
      <c r="S160" s="17">
        <f t="shared" ref="S160:BK160" si="161">S21+S22</f>
        <v>1607749</v>
      </c>
      <c r="T160" s="17">
        <f t="shared" si="161"/>
        <v>2468817</v>
      </c>
      <c r="U160" s="17">
        <f t="shared" si="161"/>
        <v>1956455</v>
      </c>
      <c r="V160" s="17">
        <f t="shared" si="161"/>
        <v>1552241</v>
      </c>
      <c r="W160" s="17">
        <f t="shared" si="161"/>
        <v>1459646</v>
      </c>
      <c r="X160" s="17">
        <f t="shared" si="161"/>
        <v>1518013</v>
      </c>
      <c r="Y160" s="17">
        <f t="shared" si="161"/>
        <v>1634893</v>
      </c>
      <c r="Z160" s="17">
        <f t="shared" si="161"/>
        <v>1482114</v>
      </c>
      <c r="AA160" s="17">
        <f t="shared" si="161"/>
        <v>1213610</v>
      </c>
      <c r="AB160" s="17">
        <f t="shared" si="161"/>
        <v>1421314</v>
      </c>
      <c r="AC160" s="17">
        <f t="shared" si="161"/>
        <v>1324491</v>
      </c>
      <c r="AD160" s="17">
        <f t="shared" si="161"/>
        <v>1603963</v>
      </c>
      <c r="AE160" s="17">
        <f t="shared" si="161"/>
        <v>1367793</v>
      </c>
      <c r="AF160" s="17">
        <f t="shared" si="161"/>
        <v>899193</v>
      </c>
      <c r="AG160" s="17">
        <f t="shared" si="161"/>
        <v>1183310</v>
      </c>
      <c r="AH160" s="17">
        <f t="shared" si="161"/>
        <v>1064245</v>
      </c>
      <c r="AI160" s="17">
        <f t="shared" si="161"/>
        <v>653907</v>
      </c>
      <c r="AJ160" s="17">
        <f t="shared" si="161"/>
        <v>977248</v>
      </c>
      <c r="AK160" s="17">
        <f t="shared" si="161"/>
        <v>1095440</v>
      </c>
      <c r="AL160" s="17">
        <f t="shared" si="161"/>
        <v>873412</v>
      </c>
      <c r="AM160" s="17">
        <f t="shared" si="161"/>
        <v>788007</v>
      </c>
      <c r="AN160" s="17">
        <f t="shared" si="161"/>
        <v>1081884</v>
      </c>
      <c r="AO160" s="17">
        <f t="shared" si="161"/>
        <v>1118920</v>
      </c>
      <c r="AP160" s="17">
        <f t="shared" si="161"/>
        <v>1448434</v>
      </c>
      <c r="AQ160" s="17">
        <f t="shared" si="161"/>
        <v>1383569</v>
      </c>
      <c r="AR160" s="17">
        <f t="shared" si="161"/>
        <v>2518452</v>
      </c>
      <c r="AS160" s="17">
        <f t="shared" si="161"/>
        <v>1641609</v>
      </c>
      <c r="AT160" s="17">
        <f t="shared" si="161"/>
        <v>1648605</v>
      </c>
      <c r="AU160" s="17">
        <f t="shared" si="161"/>
        <v>1557734</v>
      </c>
      <c r="AV160" s="17">
        <f t="shared" si="161"/>
        <v>1053254</v>
      </c>
      <c r="AW160" s="17">
        <f t="shared" si="161"/>
        <v>895786</v>
      </c>
      <c r="AX160" s="17">
        <f t="shared" si="161"/>
        <v>1105946</v>
      </c>
      <c r="AY160" s="17">
        <f t="shared" si="161"/>
        <v>1025381</v>
      </c>
      <c r="AZ160" s="17">
        <f t="shared" si="161"/>
        <v>950569</v>
      </c>
      <c r="BA160" s="17">
        <f t="shared" si="161"/>
        <v>1102088</v>
      </c>
      <c r="BB160" s="17">
        <f t="shared" si="161"/>
        <v>1155189.44</v>
      </c>
      <c r="BC160" s="17">
        <f t="shared" si="161"/>
        <v>1484403</v>
      </c>
      <c r="BD160" s="17">
        <f t="shared" si="161"/>
        <v>1411936</v>
      </c>
      <c r="BE160" s="17">
        <f t="shared" si="161"/>
        <v>2362709</v>
      </c>
      <c r="BF160" s="17">
        <f t="shared" si="161"/>
        <v>1987063</v>
      </c>
      <c r="BG160" s="17">
        <f t="shared" si="161"/>
        <v>1911418</v>
      </c>
      <c r="BH160" s="17">
        <f t="shared" si="161"/>
        <v>2796807</v>
      </c>
      <c r="BI160" s="17">
        <f t="shared" si="161"/>
        <v>1845403</v>
      </c>
      <c r="BJ160" s="17">
        <f t="shared" si="161"/>
        <v>2481834</v>
      </c>
      <c r="BK160" s="17">
        <f t="shared" si="161"/>
        <v>1588839</v>
      </c>
      <c r="BL160" s="17"/>
      <c r="BM160" s="17"/>
      <c r="BN160" s="17"/>
      <c r="BO160" s="17"/>
      <c r="BP160" s="17"/>
      <c r="BQ160" s="17"/>
      <c r="BR160" s="17"/>
      <c r="BS160" s="1"/>
      <c r="BT160" s="27" t="s">
        <v>124</v>
      </c>
      <c r="BU160" s="27"/>
      <c r="BV160" s="1"/>
      <c r="BW160" s="1"/>
      <c r="BX160" s="1"/>
      <c r="BY160" s="1"/>
      <c r="BZ160" s="1"/>
    </row>
    <row r="161">
      <c r="A161" s="3"/>
      <c r="B161" s="33"/>
      <c r="C161" s="50"/>
      <c r="D161" s="50"/>
      <c r="E161" s="101"/>
      <c r="F161" s="101"/>
      <c r="G161" s="101"/>
      <c r="H161" s="101"/>
      <c r="I161" s="101"/>
      <c r="J161" s="101"/>
      <c r="K161" s="101"/>
      <c r="L161" s="1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8"/>
      <c r="BU161" s="8"/>
      <c r="BV161" s="1"/>
      <c r="BW161" s="1"/>
      <c r="BX161" s="1"/>
      <c r="BY161" s="1"/>
      <c r="BZ161" s="1"/>
    </row>
    <row r="162">
      <c r="A162" s="3"/>
      <c r="B162" s="33" t="s">
        <v>117</v>
      </c>
      <c r="C162" s="3"/>
      <c r="D162" s="3"/>
      <c r="E162" s="40"/>
      <c r="F162" s="40"/>
      <c r="G162" s="40"/>
      <c r="H162" s="40"/>
      <c r="I162" s="40"/>
      <c r="J162" s="40"/>
      <c r="K162" s="121"/>
      <c r="L162" s="12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8"/>
      <c r="BU162" s="8"/>
      <c r="BV162" s="1"/>
      <c r="BW162" s="1"/>
      <c r="BX162" s="1"/>
      <c r="BY162" s="1"/>
      <c r="BZ162" s="1"/>
    </row>
    <row r="163">
      <c r="A163" s="3"/>
      <c r="B163" s="33" t="s">
        <v>117</v>
      </c>
      <c r="C163" s="122"/>
      <c r="D163" s="122" t="s">
        <v>283</v>
      </c>
      <c r="E163" s="2"/>
      <c r="F163" s="2"/>
      <c r="G163" s="14"/>
      <c r="H163" s="14"/>
      <c r="I163" s="14"/>
      <c r="J163" s="14"/>
      <c r="K163" s="1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8"/>
      <c r="BU163" s="8"/>
      <c r="BV163" s="1"/>
      <c r="BW163" s="1"/>
      <c r="BX163" s="1"/>
      <c r="BY163" s="1"/>
      <c r="BZ163" s="1"/>
    </row>
    <row r="164">
      <c r="A164" s="3"/>
      <c r="B164" s="33" t="s">
        <v>117</v>
      </c>
      <c r="C164" s="123"/>
      <c r="D164" s="123" t="s">
        <v>246</v>
      </c>
      <c r="E164" s="124"/>
      <c r="F164" s="124"/>
      <c r="G164" s="124"/>
      <c r="H164" s="124"/>
      <c r="I164" s="124"/>
      <c r="J164" s="124"/>
      <c r="K164" s="124"/>
      <c r="L164" s="124"/>
      <c r="M164" s="1"/>
      <c r="N164" s="95"/>
      <c r="O164" s="1"/>
      <c r="P164" s="1"/>
      <c r="Q164" s="1"/>
      <c r="R164" s="1"/>
      <c r="S164" s="125"/>
      <c r="T164" s="125"/>
      <c r="U164" s="125"/>
      <c r="V164" s="125"/>
      <c r="W164" s="125"/>
      <c r="X164" s="125"/>
      <c r="Y164" s="125"/>
      <c r="Z164" s="123" t="s">
        <v>246</v>
      </c>
      <c r="AA164" s="125">
        <v>447127.0</v>
      </c>
      <c r="AB164" s="125">
        <v>432043.0</v>
      </c>
      <c r="AC164" s="125">
        <v>491318.0</v>
      </c>
      <c r="AD164" s="125">
        <v>613032.0</v>
      </c>
      <c r="AE164" s="125">
        <v>489679.0</v>
      </c>
      <c r="AF164" s="125">
        <v>285346.0</v>
      </c>
      <c r="AG164" s="125">
        <v>323235.0</v>
      </c>
      <c r="AH164" s="125">
        <v>243332.0</v>
      </c>
      <c r="AI164" s="125">
        <v>176071.0</v>
      </c>
      <c r="AJ164" s="125">
        <v>241235.0</v>
      </c>
      <c r="AK164" s="125">
        <v>325100.0</v>
      </c>
      <c r="AL164" s="125">
        <v>213588.0</v>
      </c>
      <c r="AM164" s="125">
        <v>205353.0</v>
      </c>
      <c r="AN164" s="125">
        <v>258463.0</v>
      </c>
      <c r="AO164" s="125">
        <v>310076.0</v>
      </c>
      <c r="AP164" s="125">
        <v>529441.0</v>
      </c>
      <c r="AQ164" s="125">
        <v>442621.0</v>
      </c>
      <c r="AR164" s="125">
        <v>615564.0</v>
      </c>
      <c r="AS164" s="125">
        <v>413479.0</v>
      </c>
      <c r="AT164" s="3">
        <v>312413.0</v>
      </c>
      <c r="AU164" s="3">
        <v>294652.0</v>
      </c>
      <c r="AV164" s="3">
        <v>232988.0</v>
      </c>
      <c r="AW164" s="3">
        <v>172190.0</v>
      </c>
      <c r="AX164" s="3">
        <v>249889.0</v>
      </c>
      <c r="AY164" s="3">
        <v>203883.0</v>
      </c>
      <c r="AZ164" s="3">
        <v>160260.0</v>
      </c>
      <c r="BA164" s="3">
        <v>307430.0</v>
      </c>
      <c r="BB164" s="3">
        <v>391404.0</v>
      </c>
      <c r="BC164" s="3">
        <v>411590.0</v>
      </c>
      <c r="BD164" s="3">
        <v>553689.0</v>
      </c>
      <c r="BE164" s="3">
        <v>908955.0</v>
      </c>
      <c r="BF164" s="3">
        <v>283042.0</v>
      </c>
      <c r="BG164" s="3">
        <v>399070.0</v>
      </c>
      <c r="BH164" s="3">
        <v>974563.0</v>
      </c>
      <c r="BI164" s="3">
        <v>713339.0</v>
      </c>
      <c r="BJ164" s="3">
        <v>1277027.0</v>
      </c>
      <c r="BK164" s="3">
        <v>672752.0</v>
      </c>
      <c r="BL164" s="3"/>
      <c r="BM164" s="3"/>
      <c r="BN164" s="3"/>
      <c r="BO164" s="3"/>
      <c r="BP164" s="3"/>
      <c r="BQ164" s="3"/>
      <c r="BR164" s="3"/>
      <c r="BS164" s="1"/>
      <c r="BT164" s="72" t="s">
        <v>201</v>
      </c>
      <c r="BU164" s="9"/>
      <c r="BV164" s="1"/>
      <c r="BW164" s="1"/>
      <c r="BX164" s="1"/>
      <c r="BY164" s="1"/>
      <c r="BZ164" s="1"/>
    </row>
    <row r="165">
      <c r="A165" s="3"/>
      <c r="B165" s="33" t="s">
        <v>117</v>
      </c>
      <c r="C165" s="126"/>
      <c r="D165" s="126" t="s">
        <v>247</v>
      </c>
      <c r="E165" s="124"/>
      <c r="F165" s="124"/>
      <c r="G165" s="124"/>
      <c r="H165" s="124"/>
      <c r="I165" s="124"/>
      <c r="J165" s="124"/>
      <c r="K165" s="124"/>
      <c r="L165" s="124"/>
      <c r="M165" s="1"/>
      <c r="N165" s="1"/>
      <c r="O165" s="95"/>
      <c r="P165" s="1"/>
      <c r="Q165" s="1"/>
      <c r="R165" s="1"/>
      <c r="S165" s="127"/>
      <c r="T165" s="127"/>
      <c r="U165" s="127"/>
      <c r="V165" s="127"/>
      <c r="W165" s="127"/>
      <c r="X165" s="127"/>
      <c r="Y165" s="127"/>
      <c r="Z165" s="126" t="s">
        <v>247</v>
      </c>
      <c r="AA165" s="127">
        <v>0.0507</v>
      </c>
      <c r="AB165" s="127">
        <v>0.0365</v>
      </c>
      <c r="AC165" s="127">
        <v>0.0386</v>
      </c>
      <c r="AD165" s="127">
        <v>0.0488</v>
      </c>
      <c r="AE165" s="127">
        <v>0.0496</v>
      </c>
      <c r="AF165" s="127">
        <v>0.0216</v>
      </c>
      <c r="AG165" s="127">
        <v>0.0231</v>
      </c>
      <c r="AH165" s="127">
        <v>0.015</v>
      </c>
      <c r="AI165" s="127">
        <v>0.0121</v>
      </c>
      <c r="AJ165" s="127">
        <v>0.0376</v>
      </c>
      <c r="AK165" s="127">
        <v>0.0204</v>
      </c>
      <c r="AL165" s="127">
        <v>0.0133</v>
      </c>
      <c r="AM165" s="127">
        <v>0.0136</v>
      </c>
      <c r="AN165" s="127">
        <v>0.0168</v>
      </c>
      <c r="AO165" s="127">
        <v>0.0167</v>
      </c>
      <c r="AP165" s="127">
        <v>0.0278</v>
      </c>
      <c r="AQ165" s="127">
        <v>0.0228</v>
      </c>
      <c r="AR165" s="127">
        <v>0.055</v>
      </c>
      <c r="AS165" s="127">
        <v>0.0378</v>
      </c>
      <c r="AT165" s="33">
        <v>0.017</v>
      </c>
      <c r="AU165" s="33">
        <v>0.0149</v>
      </c>
      <c r="AV165" s="33">
        <v>0.0133</v>
      </c>
      <c r="AW165" s="33">
        <v>0.0117</v>
      </c>
      <c r="AX165" s="33">
        <v>0.0158</v>
      </c>
      <c r="AY165" s="33">
        <v>0.0124</v>
      </c>
      <c r="AZ165" s="33">
        <v>0.0097</v>
      </c>
      <c r="BA165" s="33">
        <v>0.0185</v>
      </c>
      <c r="BB165" s="33">
        <v>0.0256</v>
      </c>
      <c r="BC165" s="33">
        <v>0.0261</v>
      </c>
      <c r="BD165" s="33">
        <v>0.0314</v>
      </c>
      <c r="BE165" s="33">
        <v>0.0597</v>
      </c>
      <c r="BF165" s="33">
        <v>0.0261</v>
      </c>
      <c r="BG165" s="33">
        <v>0.0246</v>
      </c>
      <c r="BH165" s="33">
        <v>0.071</v>
      </c>
      <c r="BI165" s="33">
        <v>0.0444</v>
      </c>
      <c r="BJ165" s="33">
        <v>0.0903</v>
      </c>
      <c r="BK165" s="33">
        <v>0.0405</v>
      </c>
      <c r="BL165" s="33"/>
      <c r="BM165" s="33"/>
      <c r="BN165" s="33"/>
      <c r="BO165" s="33"/>
      <c r="BP165" s="33"/>
      <c r="BQ165" s="33"/>
      <c r="BR165" s="33"/>
      <c r="BS165" s="1"/>
      <c r="BT165" s="60" t="s">
        <v>249</v>
      </c>
      <c r="BU165" s="9"/>
      <c r="BV165" s="1"/>
      <c r="BW165" s="1"/>
      <c r="BX165" s="1"/>
      <c r="BY165" s="1"/>
      <c r="BZ165" s="1"/>
    </row>
    <row r="166">
      <c r="A166" s="3"/>
      <c r="B166" s="33" t="s">
        <v>117</v>
      </c>
      <c r="C166" s="123"/>
      <c r="D166" s="123" t="s">
        <v>248</v>
      </c>
      <c r="E166" s="78"/>
      <c r="F166" s="78"/>
      <c r="G166" s="78"/>
      <c r="H166" s="78"/>
      <c r="I166" s="78"/>
      <c r="J166" s="78"/>
      <c r="K166" s="78"/>
      <c r="L166" s="78"/>
      <c r="M166" s="1"/>
      <c r="N166" s="1"/>
      <c r="O166" s="1"/>
      <c r="P166" s="1"/>
      <c r="Q166" s="1"/>
      <c r="R166" s="1"/>
      <c r="S166" s="125"/>
      <c r="T166" s="125"/>
      <c r="U166" s="125"/>
      <c r="V166" s="125"/>
      <c r="W166" s="125"/>
      <c r="X166" s="125"/>
      <c r="Y166" s="125"/>
      <c r="Z166" s="123" t="s">
        <v>248</v>
      </c>
      <c r="AA166" s="125">
        <v>399883.0</v>
      </c>
      <c r="AB166" s="125">
        <v>394142.0</v>
      </c>
      <c r="AC166" s="125">
        <v>365673.0</v>
      </c>
      <c r="AD166" s="125">
        <v>500409.0</v>
      </c>
      <c r="AE166" s="125">
        <v>356235.0</v>
      </c>
      <c r="AF166" s="125">
        <v>253106.0</v>
      </c>
      <c r="AG166" s="125">
        <v>291169.0</v>
      </c>
      <c r="AH166" s="125">
        <v>340507.0</v>
      </c>
      <c r="AI166" s="125">
        <v>208999.0</v>
      </c>
      <c r="AJ166" s="125">
        <v>281142.0</v>
      </c>
      <c r="AK166" s="125">
        <v>300625.0</v>
      </c>
      <c r="AL166" s="125">
        <v>214964.0</v>
      </c>
      <c r="AM166" s="125">
        <v>236129.0</v>
      </c>
      <c r="AN166" s="125">
        <v>204352.0</v>
      </c>
      <c r="AO166" s="125">
        <v>411529.0</v>
      </c>
      <c r="AP166" s="125">
        <v>450190.0</v>
      </c>
      <c r="AQ166" s="125">
        <v>396922.0</v>
      </c>
      <c r="AR166" s="125">
        <v>682645.0</v>
      </c>
      <c r="AS166" s="125">
        <v>365606.0</v>
      </c>
      <c r="AT166" s="3">
        <v>466640.0</v>
      </c>
      <c r="AU166" s="3">
        <v>491644.0</v>
      </c>
      <c r="AV166" s="3">
        <v>425672.0</v>
      </c>
      <c r="AW166" s="3">
        <v>368413.0</v>
      </c>
      <c r="AX166" s="3">
        <v>426222.0</v>
      </c>
      <c r="AY166" s="3">
        <v>292882.0</v>
      </c>
      <c r="AZ166" s="3">
        <v>286967.0</v>
      </c>
      <c r="BA166" s="3">
        <v>436375.0</v>
      </c>
      <c r="BB166" s="3">
        <v>537532.0</v>
      </c>
      <c r="BC166" s="3">
        <v>445802.0</v>
      </c>
      <c r="BD166" s="3">
        <v>522216.0</v>
      </c>
      <c r="BE166" s="3">
        <v>475176.0</v>
      </c>
      <c r="BF166" s="3">
        <v>335614.0</v>
      </c>
      <c r="BG166" s="3">
        <v>475471.0</v>
      </c>
      <c r="BH166" s="3">
        <v>1108518.0</v>
      </c>
      <c r="BI166" s="3">
        <v>633409.0</v>
      </c>
      <c r="BJ166" s="3">
        <v>841368.0</v>
      </c>
      <c r="BK166" s="3">
        <v>610244.0</v>
      </c>
      <c r="BL166" s="3"/>
      <c r="BM166" s="3"/>
      <c r="BN166" s="3"/>
      <c r="BO166" s="3"/>
      <c r="BP166" s="3"/>
      <c r="BQ166" s="3"/>
      <c r="BR166" s="3"/>
      <c r="BS166" s="1"/>
      <c r="BT166" s="72" t="s">
        <v>201</v>
      </c>
      <c r="BU166" s="9"/>
      <c r="BV166" s="1"/>
      <c r="BW166" s="1"/>
      <c r="BX166" s="1"/>
      <c r="BY166" s="1"/>
      <c r="BZ166" s="1"/>
    </row>
    <row r="167">
      <c r="A167" s="3"/>
      <c r="B167" s="33" t="s">
        <v>117</v>
      </c>
      <c r="C167" s="123"/>
      <c r="D167" s="123" t="s">
        <v>250</v>
      </c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95"/>
      <c r="Q167" s="1"/>
      <c r="R167" s="1"/>
      <c r="S167" s="127"/>
      <c r="T167" s="127"/>
      <c r="U167" s="127"/>
      <c r="V167" s="127"/>
      <c r="W167" s="127"/>
      <c r="X167" s="127"/>
      <c r="Y167" s="127"/>
      <c r="Z167" s="123" t="s">
        <v>250</v>
      </c>
      <c r="AA167" s="127">
        <v>0.0426</v>
      </c>
      <c r="AB167" s="127">
        <v>0.0333</v>
      </c>
      <c r="AC167" s="127">
        <v>0.0288</v>
      </c>
      <c r="AD167" s="127">
        <v>0.0397</v>
      </c>
      <c r="AE167" s="127">
        <v>0.0399</v>
      </c>
      <c r="AF167" s="127">
        <v>0.0192</v>
      </c>
      <c r="AG167" s="127">
        <v>0.0208</v>
      </c>
      <c r="AH167" s="127">
        <v>0.0209</v>
      </c>
      <c r="AI167" s="127">
        <v>0.0144</v>
      </c>
      <c r="AJ167" s="127">
        <v>0.0414</v>
      </c>
      <c r="AK167" s="127">
        <v>0.0189</v>
      </c>
      <c r="AL167" s="127">
        <v>0.0134</v>
      </c>
      <c r="AM167" s="127">
        <v>0.0157</v>
      </c>
      <c r="AN167" s="127">
        <v>0.0132</v>
      </c>
      <c r="AO167" s="127">
        <v>0.0221</v>
      </c>
      <c r="AP167" s="127">
        <v>0.0237</v>
      </c>
      <c r="AQ167" s="127">
        <v>0.0205</v>
      </c>
      <c r="AR167" s="127">
        <v>0.0558</v>
      </c>
      <c r="AS167" s="127">
        <v>0.0304</v>
      </c>
      <c r="AT167" s="33">
        <v>0.0252</v>
      </c>
      <c r="AU167" s="33">
        <v>0.0249</v>
      </c>
      <c r="AV167" s="33">
        <v>0.0245</v>
      </c>
      <c r="AW167" s="33">
        <v>0.0251</v>
      </c>
      <c r="AX167" s="33">
        <v>0.027</v>
      </c>
      <c r="AY167" s="33">
        <v>0.0174</v>
      </c>
      <c r="AZ167" s="33">
        <v>0.0174</v>
      </c>
      <c r="BA167" s="33">
        <v>0.0263</v>
      </c>
      <c r="BB167" s="33">
        <v>0.0351</v>
      </c>
      <c r="BC167" s="33">
        <v>0.0283</v>
      </c>
      <c r="BD167" s="33">
        <v>0.0296</v>
      </c>
      <c r="BE167" s="33">
        <v>0.0312</v>
      </c>
      <c r="BF167" s="33">
        <v>0.0333</v>
      </c>
      <c r="BG167" s="33">
        <v>0.0293</v>
      </c>
      <c r="BH167" s="33">
        <v>0.0818</v>
      </c>
      <c r="BI167" s="33">
        <v>0.0395</v>
      </c>
      <c r="BJ167" s="33">
        <v>0.0592</v>
      </c>
      <c r="BK167" s="33">
        <v>0.0367</v>
      </c>
      <c r="BL167" s="33"/>
      <c r="BM167" s="33"/>
      <c r="BN167" s="33"/>
      <c r="BO167" s="33"/>
      <c r="BP167" s="33"/>
      <c r="BQ167" s="33"/>
      <c r="BR167" s="33"/>
      <c r="BS167" s="1"/>
      <c r="BT167" s="60" t="s">
        <v>249</v>
      </c>
      <c r="BU167" s="9"/>
      <c r="BV167" s="1"/>
      <c r="BW167" s="1"/>
      <c r="BX167" s="1"/>
      <c r="BY167" s="1"/>
      <c r="BZ167" s="1"/>
    </row>
    <row r="168">
      <c r="A168" s="3"/>
      <c r="B168" s="33" t="s">
        <v>117</v>
      </c>
      <c r="C168" s="123"/>
      <c r="D168" s="123" t="s">
        <v>251</v>
      </c>
      <c r="E168" s="2"/>
      <c r="F168" s="2"/>
      <c r="G168" s="2"/>
      <c r="H168" s="2"/>
      <c r="I168" s="78"/>
      <c r="J168" s="14"/>
      <c r="K168" s="14"/>
      <c r="L168" s="1"/>
      <c r="M168" s="1"/>
      <c r="N168" s="1"/>
      <c r="O168" s="1"/>
      <c r="P168" s="1"/>
      <c r="Q168" s="1"/>
      <c r="R168" s="1"/>
      <c r="S168" s="125"/>
      <c r="T168" s="125"/>
      <c r="U168" s="125"/>
      <c r="V168" s="125"/>
      <c r="W168" s="125"/>
      <c r="X168" s="125"/>
      <c r="Y168" s="125"/>
      <c r="Z168" s="123" t="s">
        <v>251</v>
      </c>
      <c r="AA168" s="125">
        <v>86814.0</v>
      </c>
      <c r="AB168" s="125">
        <v>203452.0</v>
      </c>
      <c r="AC168" s="125">
        <v>140168.0</v>
      </c>
      <c r="AD168" s="125">
        <v>124850.0</v>
      </c>
      <c r="AE168" s="125">
        <v>105556.0</v>
      </c>
      <c r="AF168" s="125">
        <v>89876.0</v>
      </c>
      <c r="AG168" s="125">
        <v>187603.0</v>
      </c>
      <c r="AH168" s="125">
        <v>193357.0</v>
      </c>
      <c r="AI168" s="125">
        <v>73164.0</v>
      </c>
      <c r="AJ168" s="125">
        <v>105360.0</v>
      </c>
      <c r="AK168" s="125">
        <v>119366.0</v>
      </c>
      <c r="AL168" s="125">
        <v>96362.0</v>
      </c>
      <c r="AM168" s="125">
        <v>74303.0</v>
      </c>
      <c r="AN168" s="125">
        <v>113829.0</v>
      </c>
      <c r="AO168" s="125">
        <v>84259.0</v>
      </c>
      <c r="AP168" s="125">
        <v>126520.0</v>
      </c>
      <c r="AQ168" s="125">
        <v>61815.0</v>
      </c>
      <c r="AR168" s="125">
        <v>313059.0</v>
      </c>
      <c r="AS168" s="125">
        <v>152462.0</v>
      </c>
      <c r="AT168" s="3">
        <v>204947.0</v>
      </c>
      <c r="AU168" s="3">
        <v>310469.0</v>
      </c>
      <c r="AV168" s="3">
        <v>66666.0</v>
      </c>
      <c r="AW168" s="3">
        <v>68502.0</v>
      </c>
      <c r="AX168" s="3">
        <v>64148.0</v>
      </c>
      <c r="AY168" s="3">
        <v>50081.0</v>
      </c>
      <c r="AZ168" s="3">
        <v>50328.0</v>
      </c>
      <c r="BA168" s="3">
        <v>84342.0</v>
      </c>
      <c r="BB168" s="3">
        <v>111495.0</v>
      </c>
      <c r="BC168" s="3">
        <v>82375.0</v>
      </c>
      <c r="BD168" s="3">
        <v>106431.0</v>
      </c>
      <c r="BE168" s="3">
        <v>172526.0</v>
      </c>
      <c r="BF168" s="3">
        <v>105690.0</v>
      </c>
      <c r="BG168" s="3">
        <v>67570.0</v>
      </c>
      <c r="BH168" s="3">
        <v>127928.0</v>
      </c>
      <c r="BI168" s="3">
        <v>68627.0</v>
      </c>
      <c r="BJ168" s="3">
        <v>84870.0</v>
      </c>
      <c r="BK168" s="3">
        <v>98721.0</v>
      </c>
      <c r="BL168" s="3"/>
      <c r="BM168" s="3"/>
      <c r="BN168" s="3"/>
      <c r="BO168" s="3"/>
      <c r="BP168" s="3"/>
      <c r="BQ168" s="3"/>
      <c r="BR168" s="3"/>
      <c r="BS168" s="1"/>
      <c r="BT168" s="60" t="s">
        <v>249</v>
      </c>
      <c r="BU168" s="9"/>
      <c r="BV168" s="1"/>
      <c r="BW168" s="1"/>
      <c r="BX168" s="1"/>
      <c r="BY168" s="1"/>
      <c r="BZ168" s="1"/>
    </row>
    <row r="169">
      <c r="A169" s="3"/>
      <c r="B169" s="33" t="s">
        <v>117</v>
      </c>
      <c r="C169" s="123"/>
      <c r="D169" s="123" t="s">
        <v>252</v>
      </c>
      <c r="E169" s="2"/>
      <c r="F169" s="2"/>
      <c r="G169" s="2"/>
      <c r="H169" s="2"/>
      <c r="I169" s="14"/>
      <c r="J169" s="14"/>
      <c r="K169" s="14"/>
      <c r="L169" s="1"/>
      <c r="M169" s="1"/>
      <c r="N169" s="1"/>
      <c r="O169" s="1"/>
      <c r="P169" s="1"/>
      <c r="Q169" s="1"/>
      <c r="R169" s="1"/>
      <c r="S169" s="127"/>
      <c r="T169" s="127"/>
      <c r="U169" s="127"/>
      <c r="V169" s="127"/>
      <c r="W169" s="127"/>
      <c r="X169" s="127"/>
      <c r="Y169" s="127"/>
      <c r="Z169" s="123" t="s">
        <v>252</v>
      </c>
      <c r="AA169" s="127">
        <v>0.0091</v>
      </c>
      <c r="AB169" s="127">
        <v>0.0172</v>
      </c>
      <c r="AC169" s="127">
        <v>0.011</v>
      </c>
      <c r="AD169" s="127">
        <v>0.01</v>
      </c>
      <c r="AE169" s="127">
        <v>0.011</v>
      </c>
      <c r="AF169" s="127">
        <v>0.0068</v>
      </c>
      <c r="AG169" s="127">
        <v>0.0139</v>
      </c>
      <c r="AH169" s="127">
        <v>0.0119</v>
      </c>
      <c r="AI169" s="127">
        <v>0.005</v>
      </c>
      <c r="AJ169" s="127">
        <v>0.0187</v>
      </c>
      <c r="AK169" s="127">
        <v>0.0075</v>
      </c>
      <c r="AL169" s="127">
        <v>0.006</v>
      </c>
      <c r="AM169" s="127">
        <v>0.0049</v>
      </c>
      <c r="AN169" s="127">
        <v>0.0074</v>
      </c>
      <c r="AO169" s="127">
        <v>0.0045</v>
      </c>
      <c r="AP169" s="127">
        <v>0.0067</v>
      </c>
      <c r="AQ169" s="127">
        <v>0.0032</v>
      </c>
      <c r="AR169" s="127">
        <v>0.0276</v>
      </c>
      <c r="AS169" s="127">
        <v>0.0132</v>
      </c>
      <c r="AT169" s="33">
        <v>0.011</v>
      </c>
      <c r="AU169" s="33">
        <v>0.0157</v>
      </c>
      <c r="AV169" s="33">
        <v>0.0038</v>
      </c>
      <c r="AW169" s="33">
        <v>0.0047</v>
      </c>
      <c r="AX169" s="33">
        <v>0.0041</v>
      </c>
      <c r="AY169" s="33">
        <v>0.0031</v>
      </c>
      <c r="AZ169" s="33">
        <v>0.003</v>
      </c>
      <c r="BA169" s="33">
        <v>0.0051</v>
      </c>
      <c r="BB169" s="33">
        <v>0.0073</v>
      </c>
      <c r="BC169" s="33">
        <v>0.0052</v>
      </c>
      <c r="BD169" s="33">
        <v>0.006</v>
      </c>
      <c r="BE169" s="33">
        <v>0.0113</v>
      </c>
      <c r="BF169" s="33">
        <v>0.0105</v>
      </c>
      <c r="BG169" s="33">
        <v>0.0042</v>
      </c>
      <c r="BH169" s="33">
        <v>0.0092</v>
      </c>
      <c r="BI169" s="33">
        <v>0.0043</v>
      </c>
      <c r="BJ169" s="33">
        <v>0.0062</v>
      </c>
      <c r="BK169" s="33">
        <v>0.006</v>
      </c>
      <c r="BL169" s="33"/>
      <c r="BM169" s="33"/>
      <c r="BN169" s="33"/>
      <c r="BO169" s="33"/>
      <c r="BP169" s="33"/>
      <c r="BQ169" s="33"/>
      <c r="BR169" s="33"/>
      <c r="BS169" s="1"/>
      <c r="BT169" s="60" t="s">
        <v>249</v>
      </c>
      <c r="BU169" s="9"/>
      <c r="BV169" s="1"/>
      <c r="BW169" s="1"/>
      <c r="BX169" s="1"/>
      <c r="BY169" s="1"/>
      <c r="BZ169" s="1"/>
    </row>
    <row r="170">
      <c r="A170" s="3"/>
      <c r="B170" s="33" t="s">
        <v>117</v>
      </c>
      <c r="C170" s="123"/>
      <c r="D170" s="123" t="s">
        <v>253</v>
      </c>
      <c r="E170" s="2"/>
      <c r="F170" s="2"/>
      <c r="G170" s="2"/>
      <c r="H170" s="2"/>
      <c r="I170" s="14"/>
      <c r="J170" s="14"/>
      <c r="K170" s="14"/>
      <c r="L170" s="1"/>
      <c r="M170" s="1"/>
      <c r="N170" s="1"/>
      <c r="O170" s="1"/>
      <c r="P170" s="1"/>
      <c r="Q170" s="1"/>
      <c r="R170" s="1"/>
      <c r="S170" s="125"/>
      <c r="T170" s="125"/>
      <c r="U170" s="125"/>
      <c r="V170" s="125"/>
      <c r="W170" s="125"/>
      <c r="X170" s="125"/>
      <c r="Y170" s="125"/>
      <c r="Z170" s="123" t="s">
        <v>253</v>
      </c>
      <c r="AA170" s="125">
        <v>84171.0</v>
      </c>
      <c r="AB170" s="125">
        <v>90556.0</v>
      </c>
      <c r="AC170" s="125">
        <v>92382.0</v>
      </c>
      <c r="AD170" s="125">
        <v>95828.0</v>
      </c>
      <c r="AE170" s="125">
        <v>102327.0</v>
      </c>
      <c r="AF170" s="125">
        <v>58963.0</v>
      </c>
      <c r="AG170" s="125">
        <v>57104.0</v>
      </c>
      <c r="AH170" s="125">
        <v>60222.0</v>
      </c>
      <c r="AI170" s="125">
        <v>50547.0</v>
      </c>
      <c r="AJ170" s="125">
        <v>67956.0</v>
      </c>
      <c r="AK170" s="125">
        <v>75394.0</v>
      </c>
      <c r="AL170" s="125">
        <v>56130.0</v>
      </c>
      <c r="AM170" s="125">
        <v>48087.0</v>
      </c>
      <c r="AN170" s="125">
        <v>76256.0</v>
      </c>
      <c r="AO170" s="125">
        <v>84527.0</v>
      </c>
      <c r="AP170" s="125">
        <v>96889.0</v>
      </c>
      <c r="AQ170" s="125">
        <v>89014.0</v>
      </c>
      <c r="AR170" s="125">
        <v>126297.0</v>
      </c>
      <c r="AS170" s="125">
        <v>102502.0</v>
      </c>
      <c r="AT170" s="3">
        <v>52411.0</v>
      </c>
      <c r="AU170" s="3">
        <v>52688.0</v>
      </c>
      <c r="AV170" s="3">
        <v>56829.0</v>
      </c>
      <c r="AW170" s="3">
        <v>57258.0</v>
      </c>
      <c r="AX170" s="3">
        <v>72588.0</v>
      </c>
      <c r="AY170" s="3">
        <v>58455.0</v>
      </c>
      <c r="AZ170" s="3">
        <v>39634.0</v>
      </c>
      <c r="BA170" s="3">
        <v>44373.0</v>
      </c>
      <c r="BB170" s="3">
        <v>63615.0</v>
      </c>
      <c r="BC170" s="3">
        <v>75471.0</v>
      </c>
      <c r="BD170" s="3">
        <v>48625.0</v>
      </c>
      <c r="BE170" s="3">
        <v>190636.0</v>
      </c>
      <c r="BF170" s="3">
        <v>24962.0</v>
      </c>
      <c r="BG170" s="3">
        <v>23943.0</v>
      </c>
      <c r="BH170" s="3">
        <v>18104.0</v>
      </c>
      <c r="BI170" s="3">
        <v>37490.0</v>
      </c>
      <c r="BJ170" s="3">
        <v>20968.0</v>
      </c>
      <c r="BK170" s="3">
        <v>17894.0</v>
      </c>
      <c r="BL170" s="3"/>
      <c r="BM170" s="3"/>
      <c r="BN170" s="3"/>
      <c r="BO170" s="3"/>
      <c r="BP170" s="3"/>
      <c r="BQ170" s="3"/>
      <c r="BR170" s="3"/>
      <c r="BS170" s="1"/>
      <c r="BT170" s="60" t="s">
        <v>249</v>
      </c>
      <c r="BU170" s="9"/>
      <c r="BV170" s="1"/>
      <c r="BW170" s="1"/>
      <c r="BX170" s="1"/>
      <c r="BY170" s="1"/>
      <c r="BZ170" s="1"/>
    </row>
    <row r="171">
      <c r="A171" s="3"/>
      <c r="B171" s="33" t="s">
        <v>117</v>
      </c>
      <c r="C171" s="123"/>
      <c r="D171" s="123" t="s">
        <v>254</v>
      </c>
      <c r="E171" s="2"/>
      <c r="F171" s="2"/>
      <c r="G171" s="2"/>
      <c r="H171" s="2"/>
      <c r="I171" s="14"/>
      <c r="J171" s="14"/>
      <c r="K171" s="14"/>
      <c r="L171" s="1"/>
      <c r="M171" s="1"/>
      <c r="N171" s="1"/>
      <c r="O171" s="1"/>
      <c r="P171" s="1"/>
      <c r="Q171" s="1"/>
      <c r="R171" s="1"/>
      <c r="S171" s="127"/>
      <c r="T171" s="127"/>
      <c r="U171" s="127"/>
      <c r="V171" s="127"/>
      <c r="W171" s="127"/>
      <c r="X171" s="127"/>
      <c r="Y171" s="127"/>
      <c r="Z171" s="123" t="s">
        <v>254</v>
      </c>
      <c r="AA171" s="127">
        <v>0.0095</v>
      </c>
      <c r="AB171" s="127">
        <v>0.0076</v>
      </c>
      <c r="AC171" s="127">
        <v>0.0073</v>
      </c>
      <c r="AD171" s="127">
        <v>0.0076</v>
      </c>
      <c r="AE171" s="127">
        <v>0.0113</v>
      </c>
      <c r="AF171" s="127">
        <v>0.0045</v>
      </c>
      <c r="AG171" s="127">
        <v>0.0041</v>
      </c>
      <c r="AH171" s="127">
        <v>0.0037</v>
      </c>
      <c r="AI171" s="127">
        <v>0.0035</v>
      </c>
      <c r="AJ171" s="127">
        <v>0.0105</v>
      </c>
      <c r="AK171" s="127">
        <v>0.0047</v>
      </c>
      <c r="AL171" s="127">
        <v>0.0035</v>
      </c>
      <c r="AM171" s="127">
        <v>0.0032</v>
      </c>
      <c r="AN171" s="127">
        <v>0.0049</v>
      </c>
      <c r="AO171" s="127">
        <v>0.0045</v>
      </c>
      <c r="AP171" s="127">
        <v>0.0051</v>
      </c>
      <c r="AQ171" s="127">
        <v>0.0046</v>
      </c>
      <c r="AR171" s="127">
        <v>0.0101</v>
      </c>
      <c r="AS171" s="127">
        <v>0.0103</v>
      </c>
      <c r="AT171" s="33">
        <v>0.0028</v>
      </c>
      <c r="AU171" s="33">
        <v>0.0027</v>
      </c>
      <c r="AV171" s="33">
        <v>0.0034</v>
      </c>
      <c r="AW171" s="33">
        <v>0.0039</v>
      </c>
      <c r="AX171" s="33">
        <v>0.0046</v>
      </c>
      <c r="AY171" s="33">
        <v>0.0036</v>
      </c>
      <c r="AZ171" s="33">
        <v>0.0024</v>
      </c>
      <c r="BA171" s="33">
        <v>0.0027</v>
      </c>
      <c r="BB171" s="33">
        <v>0.0042</v>
      </c>
      <c r="BC171" s="33">
        <v>0.0048</v>
      </c>
      <c r="BD171" s="33">
        <v>0.0028</v>
      </c>
      <c r="BE171" s="33">
        <v>0.0125</v>
      </c>
      <c r="BF171" s="33">
        <v>0.0024</v>
      </c>
      <c r="BG171" s="33">
        <v>0.0015</v>
      </c>
      <c r="BH171" s="33">
        <v>0.0013</v>
      </c>
      <c r="BI171" s="33">
        <v>0.0023</v>
      </c>
      <c r="BJ171" s="33">
        <v>0.0014</v>
      </c>
      <c r="BK171" s="33">
        <v>0.0011</v>
      </c>
      <c r="BL171" s="33"/>
      <c r="BM171" s="33"/>
      <c r="BN171" s="33"/>
      <c r="BO171" s="33"/>
      <c r="BP171" s="33"/>
      <c r="BQ171" s="33"/>
      <c r="BR171" s="33"/>
      <c r="BS171" s="1"/>
      <c r="BT171" s="60" t="s">
        <v>249</v>
      </c>
      <c r="BU171" s="9"/>
      <c r="BV171" s="1"/>
      <c r="BW171" s="1"/>
      <c r="BX171" s="1"/>
      <c r="BY171" s="1"/>
      <c r="BZ171" s="1"/>
    </row>
    <row r="172">
      <c r="A172" s="3"/>
      <c r="B172" s="33" t="s">
        <v>117</v>
      </c>
      <c r="C172" s="123"/>
      <c r="D172" s="123" t="s">
        <v>255</v>
      </c>
      <c r="E172" s="2"/>
      <c r="F172" s="2"/>
      <c r="G172" s="2"/>
      <c r="H172" s="2"/>
      <c r="I172" s="14"/>
      <c r="J172" s="14"/>
      <c r="K172" s="14"/>
      <c r="L172" s="1"/>
      <c r="M172" s="1"/>
      <c r="N172" s="1"/>
      <c r="O172" s="1"/>
      <c r="P172" s="1"/>
      <c r="Q172" s="1"/>
      <c r="R172" s="1"/>
      <c r="S172" s="125"/>
      <c r="T172" s="125"/>
      <c r="U172" s="125"/>
      <c r="V172" s="125"/>
      <c r="W172" s="125"/>
      <c r="X172" s="125"/>
      <c r="Y172" s="125"/>
      <c r="Z172" s="123" t="s">
        <v>255</v>
      </c>
      <c r="AA172" s="125">
        <v>79978.0</v>
      </c>
      <c r="AB172" s="125">
        <v>86449.0</v>
      </c>
      <c r="AC172" s="125">
        <v>98018.0</v>
      </c>
      <c r="AD172" s="125">
        <v>64157.0</v>
      </c>
      <c r="AE172" s="125">
        <v>70866.0</v>
      </c>
      <c r="AF172" s="125">
        <v>55266.0</v>
      </c>
      <c r="AG172" s="125">
        <v>89093.0</v>
      </c>
      <c r="AH172" s="125">
        <v>83001.0</v>
      </c>
      <c r="AI172" s="125">
        <v>68979.0</v>
      </c>
      <c r="AJ172" s="125">
        <v>92546.0</v>
      </c>
      <c r="AK172" s="125">
        <v>106813.0</v>
      </c>
      <c r="AL172" s="125">
        <v>82932.0</v>
      </c>
      <c r="AM172" s="125">
        <v>92988.0</v>
      </c>
      <c r="AN172" s="125">
        <v>92126.0</v>
      </c>
      <c r="AO172" s="125">
        <v>81252.0</v>
      </c>
      <c r="AP172" s="125">
        <v>97916.0</v>
      </c>
      <c r="AQ172" s="125">
        <v>84160.0</v>
      </c>
      <c r="AR172" s="125">
        <v>149876.0</v>
      </c>
      <c r="AS172" s="125">
        <v>67859.0</v>
      </c>
      <c r="AT172" s="3">
        <v>102511.0</v>
      </c>
      <c r="AU172" s="3">
        <v>133265.0</v>
      </c>
      <c r="AV172" s="3">
        <v>122393.0</v>
      </c>
      <c r="AW172" s="3">
        <v>91182.0</v>
      </c>
      <c r="AX172" s="3">
        <v>130333.0</v>
      </c>
      <c r="AY172" s="3">
        <v>114691.0</v>
      </c>
      <c r="AZ172" s="3">
        <v>111151.0</v>
      </c>
      <c r="BA172" s="3">
        <v>90806.0</v>
      </c>
      <c r="BB172" s="3">
        <v>69736.0</v>
      </c>
      <c r="BC172" s="3">
        <v>107573.0</v>
      </c>
      <c r="BD172" s="3">
        <v>59923.0</v>
      </c>
      <c r="BE172" s="3">
        <v>170248.0</v>
      </c>
      <c r="BF172" s="3">
        <v>66984.0</v>
      </c>
      <c r="BG172" s="3">
        <v>301184.0</v>
      </c>
      <c r="BH172" s="3">
        <v>446745.0</v>
      </c>
      <c r="BI172" s="3">
        <v>254044.0</v>
      </c>
      <c r="BJ172" s="3">
        <v>40742.0</v>
      </c>
      <c r="BK172" s="3">
        <v>27615.0</v>
      </c>
      <c r="BL172" s="3"/>
      <c r="BM172" s="3"/>
      <c r="BN172" s="3"/>
      <c r="BO172" s="3"/>
      <c r="BP172" s="3"/>
      <c r="BQ172" s="3"/>
      <c r="BR172" s="3"/>
      <c r="BS172" s="1"/>
      <c r="BT172" s="8"/>
      <c r="BU172" s="8"/>
      <c r="BV172" s="1"/>
      <c r="BW172" s="1"/>
      <c r="BX172" s="1"/>
      <c r="BY172" s="1"/>
      <c r="BZ172" s="1"/>
    </row>
    <row r="173">
      <c r="A173" s="3"/>
      <c r="B173" s="33"/>
      <c r="C173" s="123"/>
      <c r="D173" s="123" t="s">
        <v>256</v>
      </c>
      <c r="E173" s="2"/>
      <c r="F173" s="2"/>
      <c r="G173" s="2"/>
      <c r="H173" s="2"/>
      <c r="I173" s="14"/>
      <c r="J173" s="14"/>
      <c r="K173" s="14"/>
      <c r="L173" s="1"/>
      <c r="M173" s="1"/>
      <c r="N173" s="1"/>
      <c r="O173" s="1"/>
      <c r="P173" s="1"/>
      <c r="Q173" s="1"/>
      <c r="R173" s="1"/>
      <c r="S173" s="127"/>
      <c r="T173" s="127"/>
      <c r="U173" s="127"/>
      <c r="V173" s="127"/>
      <c r="W173" s="127"/>
      <c r="X173" s="127"/>
      <c r="Y173" s="127"/>
      <c r="Z173" s="123" t="s">
        <v>256</v>
      </c>
      <c r="AA173" s="127">
        <v>0.009</v>
      </c>
      <c r="AB173" s="127">
        <v>0.0073</v>
      </c>
      <c r="AC173" s="127">
        <v>0.0077</v>
      </c>
      <c r="AD173" s="127">
        <v>0.0051</v>
      </c>
      <c r="AE173" s="127">
        <v>0.0077</v>
      </c>
      <c r="AF173" s="127">
        <v>0.0042</v>
      </c>
      <c r="AG173" s="127">
        <v>0.0063</v>
      </c>
      <c r="AH173" s="127">
        <v>0.0051</v>
      </c>
      <c r="AI173" s="127">
        <v>0.0048</v>
      </c>
      <c r="AJ173" s="127">
        <v>0.0151</v>
      </c>
      <c r="AK173" s="127">
        <v>0.0067</v>
      </c>
      <c r="AL173" s="127">
        <v>0.0052</v>
      </c>
      <c r="AM173" s="127">
        <v>0.0062</v>
      </c>
      <c r="AN173" s="127">
        <v>0.006</v>
      </c>
      <c r="AO173" s="127">
        <v>0.0044</v>
      </c>
      <c r="AP173" s="127">
        <v>0.0051</v>
      </c>
      <c r="AQ173" s="127">
        <v>0.0043</v>
      </c>
      <c r="AR173" s="127">
        <v>0.0142</v>
      </c>
      <c r="AS173" s="127">
        <v>0.0055</v>
      </c>
      <c r="AT173" s="33">
        <v>0.0055</v>
      </c>
      <c r="AU173" s="33">
        <v>0.0067</v>
      </c>
      <c r="AV173" s="33">
        <v>0.0071</v>
      </c>
      <c r="AW173" s="33">
        <v>0.0062</v>
      </c>
      <c r="AX173" s="33">
        <v>0.0083</v>
      </c>
      <c r="AY173" s="33">
        <v>0.007</v>
      </c>
      <c r="AZ173" s="33">
        <v>0.0067</v>
      </c>
      <c r="BA173" s="33">
        <v>0.0055</v>
      </c>
      <c r="BB173" s="33">
        <v>0.0046</v>
      </c>
      <c r="BC173" s="33">
        <v>0.0068</v>
      </c>
      <c r="BD173" s="33">
        <v>0.0034</v>
      </c>
      <c r="BE173" s="33">
        <v>0.0112</v>
      </c>
      <c r="BF173" s="33">
        <v>0.0063</v>
      </c>
      <c r="BG173" s="33">
        <v>0.0186</v>
      </c>
      <c r="BH173" s="33">
        <v>0.0319</v>
      </c>
      <c r="BI173" s="33">
        <v>0.0158</v>
      </c>
      <c r="BJ173" s="33">
        <v>0.0031</v>
      </c>
      <c r="BK173" s="33">
        <v>0.0017</v>
      </c>
      <c r="BL173" s="33"/>
      <c r="BM173" s="33"/>
      <c r="BN173" s="33"/>
      <c r="BO173" s="33"/>
      <c r="BP173" s="33"/>
      <c r="BQ173" s="33"/>
      <c r="BR173" s="33"/>
      <c r="BS173" s="1"/>
      <c r="BT173" s="8"/>
      <c r="BU173" s="8"/>
      <c r="BV173" s="1"/>
      <c r="BW173" s="1"/>
      <c r="BX173" s="1"/>
      <c r="BY173" s="1"/>
      <c r="BZ173" s="1"/>
    </row>
    <row r="174">
      <c r="A174" s="3"/>
      <c r="B174" s="33"/>
      <c r="C174" s="128"/>
      <c r="D174" s="128" t="s">
        <v>257</v>
      </c>
      <c r="E174" s="2"/>
      <c r="F174" s="2"/>
      <c r="G174" s="2"/>
      <c r="H174" s="2"/>
      <c r="I174" s="14"/>
      <c r="J174" s="14"/>
      <c r="K174" s="14"/>
      <c r="L174" s="1"/>
      <c r="M174" s="1"/>
      <c r="N174" s="1"/>
      <c r="O174" s="1"/>
      <c r="P174" s="1"/>
      <c r="Q174" s="1"/>
      <c r="R174" s="1"/>
      <c r="S174" s="125"/>
      <c r="T174" s="125"/>
      <c r="U174" s="125"/>
      <c r="V174" s="125"/>
      <c r="W174" s="125"/>
      <c r="X174" s="125"/>
      <c r="Y174" s="125"/>
      <c r="Z174" s="128" t="s">
        <v>257</v>
      </c>
      <c r="AA174" s="125">
        <v>61720.0</v>
      </c>
      <c r="AB174" s="125">
        <v>58304.0</v>
      </c>
      <c r="AC174" s="125">
        <v>57648.0</v>
      </c>
      <c r="AD174" s="125">
        <v>105324.0</v>
      </c>
      <c r="AE174" s="125">
        <v>111325.0</v>
      </c>
      <c r="AF174" s="125">
        <v>66694.0</v>
      </c>
      <c r="AG174" s="125">
        <v>87247.0</v>
      </c>
      <c r="AH174" s="125">
        <v>71333.0</v>
      </c>
      <c r="AI174" s="125">
        <v>27775.0</v>
      </c>
      <c r="AJ174" s="125">
        <v>72426.0</v>
      </c>
      <c r="AK174" s="125">
        <v>87092.0</v>
      </c>
      <c r="AL174" s="125">
        <v>56537.0</v>
      </c>
      <c r="AM174" s="125">
        <v>58959.0</v>
      </c>
      <c r="AN174" s="125">
        <v>58621.0</v>
      </c>
      <c r="AO174" s="125">
        <v>58821.0</v>
      </c>
      <c r="AP174" s="125">
        <v>52557.0</v>
      </c>
      <c r="AQ174" s="125">
        <v>24725.0</v>
      </c>
      <c r="AR174" s="125">
        <v>117092.0</v>
      </c>
      <c r="AS174" s="125">
        <v>41744.0</v>
      </c>
      <c r="AT174" s="3">
        <v>122352.0</v>
      </c>
      <c r="AU174" s="3">
        <v>174535.0</v>
      </c>
      <c r="AV174" s="3">
        <v>36172.0</v>
      </c>
      <c r="AW174" s="3">
        <v>23284.0</v>
      </c>
      <c r="AX174" s="3">
        <v>48988.0</v>
      </c>
      <c r="AY174" s="3">
        <v>58855.0</v>
      </c>
      <c r="AZ174" s="3">
        <v>98196.0</v>
      </c>
      <c r="BA174" s="3">
        <v>21601.0</v>
      </c>
      <c r="BB174" s="3">
        <v>4791.0</v>
      </c>
      <c r="BC174" s="3">
        <v>25969.0</v>
      </c>
      <c r="BD174" s="3">
        <v>5499.0</v>
      </c>
      <c r="BE174" s="3">
        <v>246043.0</v>
      </c>
      <c r="BF174" s="3">
        <v>33280.0</v>
      </c>
      <c r="BG174" s="3">
        <v>22944.0</v>
      </c>
      <c r="BH174" s="3">
        <v>21016.0</v>
      </c>
      <c r="BI174" s="3">
        <v>11945.0</v>
      </c>
      <c r="BJ174" s="3">
        <v>1070.0</v>
      </c>
      <c r="BK174" s="3">
        <v>1024.0</v>
      </c>
      <c r="BL174" s="3"/>
      <c r="BM174" s="3"/>
      <c r="BN174" s="3"/>
      <c r="BO174" s="3"/>
      <c r="BP174" s="3"/>
      <c r="BQ174" s="3"/>
      <c r="BR174" s="3"/>
      <c r="BS174" s="1"/>
      <c r="BT174" s="8"/>
      <c r="BU174" s="8"/>
      <c r="BV174" s="1"/>
      <c r="BW174" s="1"/>
      <c r="BX174" s="1"/>
      <c r="BY174" s="1"/>
      <c r="BZ174" s="1"/>
    </row>
    <row r="175">
      <c r="A175" s="3"/>
      <c r="B175" s="33"/>
      <c r="C175" s="128"/>
      <c r="D175" s="128" t="s">
        <v>259</v>
      </c>
      <c r="E175" s="2"/>
      <c r="F175" s="2"/>
      <c r="G175" s="2"/>
      <c r="H175" s="2"/>
      <c r="I175" s="14"/>
      <c r="J175" s="14"/>
      <c r="K175" s="14"/>
      <c r="L175" s="1"/>
      <c r="M175" s="1"/>
      <c r="N175" s="1"/>
      <c r="O175" s="1"/>
      <c r="P175" s="1"/>
      <c r="Q175" s="1"/>
      <c r="R175" s="1"/>
      <c r="S175" s="127"/>
      <c r="T175" s="127"/>
      <c r="U175" s="127"/>
      <c r="V175" s="127"/>
      <c r="W175" s="127"/>
      <c r="X175" s="127"/>
      <c r="Y175" s="127"/>
      <c r="Z175" s="128" t="s">
        <v>259</v>
      </c>
      <c r="AA175" s="127">
        <v>0.008</v>
      </c>
      <c r="AB175" s="127">
        <v>0.0049</v>
      </c>
      <c r="AC175" s="127">
        <v>0.0045</v>
      </c>
      <c r="AD175" s="127">
        <v>0.0085</v>
      </c>
      <c r="AE175" s="127">
        <v>0.0094</v>
      </c>
      <c r="AF175" s="127">
        <v>0.0051</v>
      </c>
      <c r="AG175" s="127">
        <v>0.0064</v>
      </c>
      <c r="AH175" s="127">
        <v>0.0044</v>
      </c>
      <c r="AI175" s="127">
        <v>0.0019</v>
      </c>
      <c r="AJ175" s="127">
        <v>0.0094</v>
      </c>
      <c r="AK175" s="127">
        <v>0.0055</v>
      </c>
      <c r="AL175" s="127">
        <v>0.0035</v>
      </c>
      <c r="AM175" s="127">
        <v>0.0039</v>
      </c>
      <c r="AN175" s="127">
        <v>0.0038</v>
      </c>
      <c r="AO175" s="127">
        <v>0.0032</v>
      </c>
      <c r="AP175" s="127">
        <v>0.0028</v>
      </c>
      <c r="AQ175" s="127">
        <v>0.0013</v>
      </c>
      <c r="AR175" s="127">
        <v>0.0122</v>
      </c>
      <c r="AS175" s="127">
        <v>0.0029</v>
      </c>
      <c r="AT175" s="33">
        <v>0.0066</v>
      </c>
      <c r="AU175" s="33">
        <v>0.0088</v>
      </c>
      <c r="AV175" s="33">
        <v>0.0022</v>
      </c>
      <c r="AW175" s="33">
        <v>0.0016</v>
      </c>
      <c r="AX175" s="33">
        <v>0.0031</v>
      </c>
      <c r="AY175" s="33">
        <v>0.0036</v>
      </c>
      <c r="AZ175" s="33">
        <v>0.0059</v>
      </c>
      <c r="BA175" s="33">
        <v>0.0013</v>
      </c>
      <c r="BB175" s="33">
        <v>3.0E-4</v>
      </c>
      <c r="BC175" s="33">
        <v>0.0016</v>
      </c>
      <c r="BD175" s="33">
        <v>3.0E-4</v>
      </c>
      <c r="BE175" s="33">
        <v>0.0162</v>
      </c>
      <c r="BF175" s="33">
        <v>0.0028</v>
      </c>
      <c r="BG175" s="33">
        <v>0.0014</v>
      </c>
      <c r="BH175" s="33">
        <v>0.0015</v>
      </c>
      <c r="BI175" s="33">
        <v>7.0E-4</v>
      </c>
      <c r="BJ175" s="33">
        <v>1.0E-4</v>
      </c>
      <c r="BK175" s="33">
        <v>1.0E-4</v>
      </c>
      <c r="BL175" s="33"/>
      <c r="BM175" s="33"/>
      <c r="BN175" s="33"/>
      <c r="BO175" s="33"/>
      <c r="BP175" s="33"/>
      <c r="BQ175" s="33"/>
      <c r="BR175" s="33"/>
      <c r="BS175" s="1"/>
      <c r="BT175" s="8"/>
      <c r="BU175" s="8"/>
      <c r="BV175" s="1"/>
      <c r="BW175" s="1"/>
      <c r="BX175" s="1"/>
      <c r="BY175" s="1"/>
      <c r="BZ175" s="1"/>
    </row>
    <row r="176">
      <c r="A176" s="3"/>
      <c r="B176" s="33"/>
      <c r="C176" s="123"/>
      <c r="D176" s="123" t="s">
        <v>261</v>
      </c>
      <c r="E176" s="2"/>
      <c r="F176" s="2"/>
      <c r="G176" s="2"/>
      <c r="H176" s="2"/>
      <c r="I176" s="14"/>
      <c r="J176" s="14"/>
      <c r="K176" s="14"/>
      <c r="L176" s="1"/>
      <c r="M176" s="1"/>
      <c r="N176" s="1"/>
      <c r="O176" s="1"/>
      <c r="P176" s="1"/>
      <c r="Q176" s="1"/>
      <c r="R176" s="1"/>
      <c r="S176" s="125"/>
      <c r="T176" s="125"/>
      <c r="U176" s="125"/>
      <c r="V176" s="125"/>
      <c r="W176" s="125"/>
      <c r="X176" s="125"/>
      <c r="Y176" s="125"/>
      <c r="Z176" s="123" t="s">
        <v>261</v>
      </c>
      <c r="AA176" s="125">
        <v>6785.0</v>
      </c>
      <c r="AB176" s="125">
        <v>9150.0</v>
      </c>
      <c r="AC176" s="125">
        <v>12414.0</v>
      </c>
      <c r="AD176" s="125">
        <v>15815.0</v>
      </c>
      <c r="AE176" s="125">
        <v>19997.0</v>
      </c>
      <c r="AF176" s="125">
        <v>19309.0</v>
      </c>
      <c r="AG176" s="125">
        <v>104255.0</v>
      </c>
      <c r="AH176" s="125">
        <v>33846.0</v>
      </c>
      <c r="AI176" s="125">
        <v>17158.0</v>
      </c>
      <c r="AJ176" s="125">
        <v>21488.0</v>
      </c>
      <c r="AK176" s="125">
        <v>22295.0</v>
      </c>
      <c r="AL176" s="125">
        <v>8638.0</v>
      </c>
      <c r="AM176" s="125">
        <v>6798.0</v>
      </c>
      <c r="AN176" s="125">
        <v>9635.0</v>
      </c>
      <c r="AO176" s="125">
        <v>8459.0</v>
      </c>
      <c r="AP176" s="125">
        <v>10208.0</v>
      </c>
      <c r="AQ176" s="125">
        <v>10772.0</v>
      </c>
      <c r="AR176" s="125">
        <v>43211.0</v>
      </c>
      <c r="AS176" s="125">
        <v>29096.0</v>
      </c>
      <c r="AT176" s="3">
        <v>39347.0</v>
      </c>
      <c r="AU176" s="3">
        <v>23356.0</v>
      </c>
      <c r="AV176" s="3">
        <v>33446.0</v>
      </c>
      <c r="AW176" s="3">
        <v>34780.0</v>
      </c>
      <c r="AX176" s="3">
        <v>46665.0</v>
      </c>
      <c r="AY176" s="3">
        <v>31597.0</v>
      </c>
      <c r="AZ176" s="3">
        <v>18942.0</v>
      </c>
      <c r="BA176" s="3">
        <v>12739.0</v>
      </c>
      <c r="BB176" s="3">
        <v>7056.0</v>
      </c>
      <c r="BC176" s="3">
        <v>11547.0</v>
      </c>
      <c r="BD176" s="3">
        <v>19405.0</v>
      </c>
      <c r="BE176" s="3">
        <v>45608.0</v>
      </c>
      <c r="BF176" s="3">
        <v>23504.0</v>
      </c>
      <c r="BG176" s="3">
        <v>23805.0</v>
      </c>
      <c r="BH176" s="3">
        <v>20191.0</v>
      </c>
      <c r="BI176" s="3">
        <v>30914.0</v>
      </c>
      <c r="BJ176" s="3">
        <v>16681.0</v>
      </c>
      <c r="BK176" s="3">
        <v>10500.0</v>
      </c>
      <c r="BL176" s="3"/>
      <c r="BM176" s="3"/>
      <c r="BN176" s="3"/>
      <c r="BO176" s="3"/>
      <c r="BP176" s="3"/>
      <c r="BQ176" s="3"/>
      <c r="BR176" s="3"/>
      <c r="BS176" s="1"/>
      <c r="BT176" s="8"/>
      <c r="BU176" s="8"/>
      <c r="BV176" s="1"/>
      <c r="BW176" s="1"/>
      <c r="BX176" s="1"/>
      <c r="BY176" s="1"/>
      <c r="BZ176" s="1"/>
    </row>
    <row r="177">
      <c r="A177" s="3"/>
      <c r="B177" s="33"/>
      <c r="C177" s="123"/>
      <c r="D177" s="123" t="s">
        <v>262</v>
      </c>
      <c r="E177" s="2"/>
      <c r="F177" s="2"/>
      <c r="G177" s="2"/>
      <c r="H177" s="2"/>
      <c r="I177" s="14"/>
      <c r="J177" s="14"/>
      <c r="K177" s="14"/>
      <c r="L177" s="1"/>
      <c r="M177" s="1"/>
      <c r="N177" s="1"/>
      <c r="O177" s="1"/>
      <c r="P177" s="1"/>
      <c r="Q177" s="1"/>
      <c r="R177" s="1"/>
      <c r="S177" s="127"/>
      <c r="T177" s="127"/>
      <c r="U177" s="127"/>
      <c r="V177" s="127"/>
      <c r="W177" s="127"/>
      <c r="X177" s="127"/>
      <c r="Y177" s="127"/>
      <c r="Z177" s="123" t="s">
        <v>262</v>
      </c>
      <c r="AA177" s="127">
        <v>6.0E-4</v>
      </c>
      <c r="AB177" s="127">
        <v>8.0E-4</v>
      </c>
      <c r="AC177" s="127">
        <v>0.001</v>
      </c>
      <c r="AD177" s="127">
        <v>0.0013</v>
      </c>
      <c r="AE177" s="127">
        <v>0.0024</v>
      </c>
      <c r="AF177" s="127">
        <v>0.0015</v>
      </c>
      <c r="AG177" s="127">
        <v>0.0078</v>
      </c>
      <c r="AH177" s="127">
        <v>0.0021</v>
      </c>
      <c r="AI177" s="127">
        <v>0.0012</v>
      </c>
      <c r="AJ177" s="127">
        <v>0.0032</v>
      </c>
      <c r="AK177" s="127">
        <v>0.0014</v>
      </c>
      <c r="AL177" s="127">
        <v>5.0E-4</v>
      </c>
      <c r="AM177" s="127">
        <v>5.0E-4</v>
      </c>
      <c r="AN177" s="127">
        <v>6.0E-4</v>
      </c>
      <c r="AO177" s="127">
        <v>5.0E-4</v>
      </c>
      <c r="AP177" s="127">
        <v>5.0E-4</v>
      </c>
      <c r="AQ177" s="127">
        <v>6.0E-4</v>
      </c>
      <c r="AR177" s="127">
        <v>0.0027</v>
      </c>
      <c r="AS177" s="127">
        <v>0.0027</v>
      </c>
      <c r="AT177" s="33">
        <v>0.0021</v>
      </c>
      <c r="AU177" s="33">
        <v>0.0012</v>
      </c>
      <c r="AV177" s="33">
        <v>0.0019</v>
      </c>
      <c r="AW177" s="33">
        <v>0.0024</v>
      </c>
      <c r="AX177" s="33">
        <v>0.003</v>
      </c>
      <c r="AY177" s="33">
        <v>0.0019</v>
      </c>
      <c r="AZ177" s="33">
        <v>0.0011</v>
      </c>
      <c r="BA177" s="33">
        <v>8.0E-4</v>
      </c>
      <c r="BB177" s="33">
        <v>5.0E-4</v>
      </c>
      <c r="BC177" s="33">
        <v>7.0E-4</v>
      </c>
      <c r="BD177" s="33">
        <v>0.0011</v>
      </c>
      <c r="BE177" s="33">
        <v>0.003</v>
      </c>
      <c r="BF177" s="33">
        <v>0.0023</v>
      </c>
      <c r="BG177" s="33">
        <v>0.0015</v>
      </c>
      <c r="BH177" s="33">
        <v>0.0015</v>
      </c>
      <c r="BI177" s="33">
        <v>0.0019</v>
      </c>
      <c r="BJ177" s="33">
        <v>0.0012</v>
      </c>
      <c r="BK177" s="33">
        <v>6.0E-4</v>
      </c>
      <c r="BL177" s="33"/>
      <c r="BM177" s="33"/>
      <c r="BN177" s="33"/>
      <c r="BO177" s="33"/>
      <c r="BP177" s="33"/>
      <c r="BQ177" s="33"/>
      <c r="BR177" s="33"/>
      <c r="BS177" s="1"/>
      <c r="BT177" s="8"/>
      <c r="BU177" s="8"/>
      <c r="BV177" s="1"/>
      <c r="BW177" s="1"/>
      <c r="BX177" s="1"/>
      <c r="BY177" s="1"/>
      <c r="BZ177" s="1"/>
    </row>
    <row r="178">
      <c r="A178" s="3"/>
      <c r="B178" s="33"/>
      <c r="C178" s="122"/>
      <c r="D178" s="122" t="s">
        <v>263</v>
      </c>
      <c r="E178" s="2"/>
      <c r="F178" s="2"/>
      <c r="G178" s="2"/>
      <c r="H178" s="2"/>
      <c r="I178" s="14"/>
      <c r="J178" s="14"/>
      <c r="K178" s="14"/>
      <c r="L178" s="1"/>
      <c r="M178" s="1"/>
      <c r="N178" s="1"/>
      <c r="O178" s="1"/>
      <c r="P178" s="1"/>
      <c r="Q178" s="1"/>
      <c r="R178" s="1"/>
      <c r="S178" s="125"/>
      <c r="T178" s="125"/>
      <c r="U178" s="125"/>
      <c r="V178" s="125"/>
      <c r="W178" s="125"/>
      <c r="X178" s="125"/>
      <c r="Y178" s="125"/>
      <c r="Z178" s="122" t="s">
        <v>263</v>
      </c>
      <c r="AA178" s="129">
        <v>1168065.0</v>
      </c>
      <c r="AB178" s="129">
        <v>1276505.0</v>
      </c>
      <c r="AC178" s="129">
        <v>1260202.0</v>
      </c>
      <c r="AD178" s="129">
        <v>1524491.0</v>
      </c>
      <c r="AE178" s="129">
        <v>1267839.0</v>
      </c>
      <c r="AF178" s="129">
        <v>836930.0</v>
      </c>
      <c r="AG178" s="129">
        <v>1146049.0</v>
      </c>
      <c r="AH178" s="129">
        <v>1054025.0</v>
      </c>
      <c r="AI178" s="129">
        <v>625913.0</v>
      </c>
      <c r="AJ178" s="129">
        <v>898985.0</v>
      </c>
      <c r="AK178" s="129">
        <v>1049496.0</v>
      </c>
      <c r="AL178" s="129">
        <v>734086.0</v>
      </c>
      <c r="AM178" s="129">
        <v>731665.0</v>
      </c>
      <c r="AN178" s="129">
        <v>825380.0</v>
      </c>
      <c r="AO178" s="129">
        <v>1051564.0</v>
      </c>
      <c r="AP178" s="129">
        <v>1374502.0</v>
      </c>
      <c r="AQ178" s="129">
        <v>1124880.0</v>
      </c>
      <c r="AR178" s="129">
        <v>2072170.0</v>
      </c>
      <c r="AS178" s="129">
        <v>1180626.0</v>
      </c>
      <c r="AT178" s="106">
        <v>1313303.0</v>
      </c>
      <c r="AU178" s="106">
        <v>1489668.0</v>
      </c>
      <c r="AV178" s="106">
        <v>982618.0</v>
      </c>
      <c r="AW178" s="106">
        <v>824426.0</v>
      </c>
      <c r="AX178" s="106">
        <v>1049965.0</v>
      </c>
      <c r="AY178" s="106">
        <v>817661.0</v>
      </c>
      <c r="AZ178" s="106">
        <v>773025.0</v>
      </c>
      <c r="BA178" s="106">
        <v>1020069.0</v>
      </c>
      <c r="BB178" s="106">
        <v>1213084.0</v>
      </c>
      <c r="BC178" s="106">
        <v>1190528.0</v>
      </c>
      <c r="BD178" s="106">
        <v>1347204.0</v>
      </c>
      <c r="BE178" s="106">
        <v>2321863.0</v>
      </c>
      <c r="BF178" s="106">
        <v>892757.0</v>
      </c>
      <c r="BG178" s="106">
        <v>1336244.0</v>
      </c>
      <c r="BH178" s="106">
        <v>2726773.0</v>
      </c>
      <c r="BI178" s="106">
        <v>1788558.0</v>
      </c>
      <c r="BJ178" s="106">
        <v>2405419.0</v>
      </c>
      <c r="BK178" s="106">
        <v>1542114.0</v>
      </c>
      <c r="BL178" s="106"/>
      <c r="BM178" s="106"/>
      <c r="BN178" s="106"/>
      <c r="BO178" s="106"/>
      <c r="BP178" s="106"/>
      <c r="BQ178" s="106"/>
      <c r="BR178" s="106"/>
      <c r="BS178" s="1"/>
      <c r="BT178" s="8"/>
      <c r="BU178" s="8"/>
      <c r="BV178" s="1"/>
      <c r="BW178" s="1"/>
      <c r="BX178" s="1"/>
      <c r="BY178" s="1"/>
      <c r="BZ178" s="1"/>
    </row>
    <row r="179">
      <c r="A179" s="3"/>
      <c r="B179" s="33"/>
      <c r="C179" s="3"/>
      <c r="D179" s="3"/>
      <c r="E179" s="2"/>
      <c r="F179" s="2"/>
      <c r="G179" s="2"/>
      <c r="H179" s="2"/>
      <c r="I179" s="14"/>
      <c r="J179" s="14"/>
      <c r="K179" s="1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8"/>
      <c r="BU179" s="8"/>
      <c r="BV179" s="1"/>
      <c r="BW179" s="1"/>
      <c r="BX179" s="1"/>
      <c r="BY179" s="1"/>
      <c r="BZ179" s="1"/>
    </row>
    <row r="180">
      <c r="A180" s="3"/>
      <c r="B180" s="33"/>
      <c r="C180" s="122"/>
      <c r="D180" s="122" t="s">
        <v>284</v>
      </c>
      <c r="E180" s="2"/>
      <c r="F180" s="2"/>
      <c r="G180" s="2"/>
      <c r="H180" s="2"/>
      <c r="I180" s="14"/>
      <c r="J180" s="14"/>
      <c r="K180" s="1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8"/>
      <c r="BU180" s="8"/>
      <c r="BV180" s="1"/>
      <c r="BW180" s="1"/>
      <c r="BX180" s="1"/>
      <c r="BY180" s="1"/>
      <c r="BZ180" s="1"/>
    </row>
    <row r="181">
      <c r="A181" s="3"/>
      <c r="B181" s="33"/>
      <c r="C181" s="123"/>
      <c r="D181" s="123" t="s">
        <v>246</v>
      </c>
      <c r="E181" s="2"/>
      <c r="F181" s="2"/>
      <c r="G181" s="2"/>
      <c r="H181" s="2"/>
      <c r="I181" s="14"/>
      <c r="J181" s="14"/>
      <c r="K181" s="14"/>
      <c r="L181" s="1"/>
      <c r="M181" s="1"/>
      <c r="N181" s="1"/>
      <c r="O181" s="1"/>
      <c r="P181" s="1"/>
      <c r="Q181" s="1"/>
      <c r="R181" s="1"/>
      <c r="S181" s="3"/>
      <c r="T181" s="3"/>
      <c r="U181" s="3"/>
      <c r="V181" s="3"/>
      <c r="W181" s="3"/>
      <c r="X181" s="3"/>
      <c r="Y181" s="3"/>
      <c r="Z181" s="123" t="s">
        <v>246</v>
      </c>
      <c r="AA181" s="3">
        <v>673080.0</v>
      </c>
      <c r="AB181" s="3">
        <v>247115.0</v>
      </c>
      <c r="AC181" s="3">
        <v>310733.0</v>
      </c>
      <c r="AD181" s="3">
        <v>810772.0</v>
      </c>
      <c r="AE181" s="3">
        <v>852020.0</v>
      </c>
      <c r="AF181" s="3">
        <v>441787.0</v>
      </c>
      <c r="AG181" s="3">
        <v>426056.0</v>
      </c>
      <c r="AH181" s="3">
        <v>1086147.0</v>
      </c>
      <c r="AI181" s="3">
        <v>660423.0</v>
      </c>
      <c r="AJ181" s="3">
        <v>308976.0</v>
      </c>
      <c r="AK181" s="3">
        <v>1427562.0</v>
      </c>
      <c r="AL181" s="3">
        <v>629493.0</v>
      </c>
      <c r="AM181" s="3">
        <v>549941.0</v>
      </c>
      <c r="AN181" s="3">
        <v>491823.0</v>
      </c>
      <c r="AO181" s="3">
        <v>817770.0</v>
      </c>
      <c r="AP181" s="3">
        <v>924311.0</v>
      </c>
      <c r="AQ181" s="3">
        <v>1114826.0</v>
      </c>
      <c r="AR181" s="3">
        <v>1545397.0</v>
      </c>
      <c r="AS181" s="3">
        <v>1784501.0</v>
      </c>
      <c r="AT181" s="3">
        <v>813551.0</v>
      </c>
      <c r="AU181" s="3">
        <v>752946.0</v>
      </c>
      <c r="AV181" s="3">
        <v>437738.0</v>
      </c>
      <c r="AW181" s="3">
        <v>216881.0</v>
      </c>
      <c r="AX181" s="3">
        <v>302930.0</v>
      </c>
      <c r="AY181" s="3">
        <v>-19445.0</v>
      </c>
      <c r="AZ181" s="3">
        <v>-342954.0</v>
      </c>
      <c r="BA181" s="3">
        <v>-292241.0</v>
      </c>
      <c r="BB181" s="3">
        <v>-246916.0</v>
      </c>
      <c r="BC181" s="3">
        <v>-233718.0</v>
      </c>
      <c r="BD181" s="3">
        <v>-127359.0</v>
      </c>
      <c r="BE181" s="3">
        <v>-164449.0</v>
      </c>
      <c r="BF181" s="3">
        <v>2020606.0</v>
      </c>
      <c r="BG181" s="3">
        <v>657492.0</v>
      </c>
      <c r="BH181" s="3">
        <v>1846280.0</v>
      </c>
      <c r="BI181" s="3">
        <v>530822.0</v>
      </c>
      <c r="BJ181" s="3">
        <v>311755.0</v>
      </c>
      <c r="BK181" s="3">
        <v>245523.0</v>
      </c>
      <c r="BL181" s="3"/>
      <c r="BM181" s="3"/>
      <c r="BN181" s="3"/>
      <c r="BO181" s="3"/>
      <c r="BP181" s="3"/>
      <c r="BQ181" s="3"/>
      <c r="BR181" s="3"/>
      <c r="BS181" s="1"/>
      <c r="BT181" s="8"/>
      <c r="BU181" s="8"/>
      <c r="BV181" s="1"/>
      <c r="BW181" s="1"/>
      <c r="BX181" s="1"/>
      <c r="BY181" s="1"/>
      <c r="BZ181" s="1"/>
    </row>
    <row r="182">
      <c r="A182" s="3"/>
      <c r="B182" s="33"/>
      <c r="C182" s="123"/>
      <c r="D182" s="123" t="s">
        <v>247</v>
      </c>
      <c r="E182" s="2"/>
      <c r="F182" s="2"/>
      <c r="G182" s="2"/>
      <c r="H182" s="2"/>
      <c r="I182" s="14"/>
      <c r="J182" s="14"/>
      <c r="K182" s="14"/>
      <c r="L182" s="1"/>
      <c r="M182" s="1"/>
      <c r="N182" s="1"/>
      <c r="O182" s="1"/>
      <c r="P182" s="1"/>
      <c r="Q182" s="1"/>
      <c r="R182" s="1"/>
      <c r="S182" s="33"/>
      <c r="T182" s="33"/>
      <c r="U182" s="33"/>
      <c r="V182" s="33"/>
      <c r="W182" s="33"/>
      <c r="X182" s="33"/>
      <c r="Y182" s="33"/>
      <c r="Z182" s="123" t="s">
        <v>247</v>
      </c>
      <c r="AA182" s="33">
        <v>0.0494</v>
      </c>
      <c r="AB182" s="33">
        <v>0.0208</v>
      </c>
      <c r="AC182" s="33">
        <v>0.0244</v>
      </c>
      <c r="AD182" s="33">
        <v>0.0611</v>
      </c>
      <c r="AE182" s="33">
        <v>0.0613</v>
      </c>
      <c r="AF182" s="33">
        <v>0.0335</v>
      </c>
      <c r="AG182" s="33">
        <v>0.0301</v>
      </c>
      <c r="AH182" s="33">
        <v>0.0666</v>
      </c>
      <c r="AI182" s="33">
        <v>0.0455</v>
      </c>
      <c r="AJ182" s="33">
        <v>0.0209</v>
      </c>
      <c r="AK182" s="33">
        <v>0.0896</v>
      </c>
      <c r="AL182" s="33">
        <v>0.0389</v>
      </c>
      <c r="AM182" s="33">
        <v>0.0365</v>
      </c>
      <c r="AN182" s="33">
        <v>0.0317</v>
      </c>
      <c r="AO182" s="33">
        <v>0.0438</v>
      </c>
      <c r="AP182" s="33">
        <v>0.0486</v>
      </c>
      <c r="AQ182" s="33">
        <v>0.0574</v>
      </c>
      <c r="AR182" s="33">
        <v>0.077</v>
      </c>
      <c r="AS182" s="33">
        <v>0.0866</v>
      </c>
      <c r="AT182" s="33">
        <v>0.0428</v>
      </c>
      <c r="AU182" s="33">
        <v>0.0378</v>
      </c>
      <c r="AV182" s="33">
        <v>0.0227</v>
      </c>
      <c r="AW182" s="33">
        <v>0.0145</v>
      </c>
      <c r="AX182" s="33">
        <v>0.0187</v>
      </c>
      <c r="AY182" s="33">
        <v>-0.0012</v>
      </c>
      <c r="AZ182" s="33">
        <v>-0.0206</v>
      </c>
      <c r="BA182" s="33">
        <v>-0.0176</v>
      </c>
      <c r="BB182" s="33">
        <v>-0.0161</v>
      </c>
      <c r="BC182" s="33">
        <v>-0.0148</v>
      </c>
      <c r="BD182" s="33">
        <v>-0.0072</v>
      </c>
      <c r="BE182" s="33">
        <v>-0.0108</v>
      </c>
      <c r="BF182" s="33">
        <v>0.1447</v>
      </c>
      <c r="BG182" s="33">
        <v>0.0405</v>
      </c>
      <c r="BH182" s="33">
        <v>0.1026</v>
      </c>
      <c r="BI182" s="33">
        <v>0.0323</v>
      </c>
      <c r="BJ182" s="33">
        <v>0.0204</v>
      </c>
      <c r="BK182" s="33">
        <v>0.0145</v>
      </c>
      <c r="BL182" s="33"/>
      <c r="BM182" s="33"/>
      <c r="BN182" s="33"/>
      <c r="BO182" s="33"/>
      <c r="BP182" s="33"/>
      <c r="BQ182" s="33"/>
      <c r="BR182" s="33"/>
      <c r="BS182" s="1"/>
      <c r="BT182" s="8"/>
      <c r="BU182" s="8"/>
      <c r="BV182" s="1"/>
      <c r="BW182" s="1"/>
      <c r="BX182" s="1"/>
      <c r="BY182" s="1"/>
      <c r="BZ182" s="1"/>
    </row>
    <row r="183">
      <c r="A183" s="3"/>
      <c r="B183" s="33"/>
      <c r="C183" s="123"/>
      <c r="D183" s="123" t="s">
        <v>248</v>
      </c>
      <c r="E183" s="2"/>
      <c r="F183" s="2"/>
      <c r="G183" s="2"/>
      <c r="H183" s="2"/>
      <c r="I183" s="14"/>
      <c r="J183" s="14"/>
      <c r="K183" s="14"/>
      <c r="L183" s="1"/>
      <c r="M183" s="1"/>
      <c r="N183" s="1"/>
      <c r="O183" s="1"/>
      <c r="P183" s="1"/>
      <c r="Q183" s="1"/>
      <c r="R183" s="1"/>
      <c r="S183" s="3"/>
      <c r="T183" s="3"/>
      <c r="U183" s="3"/>
      <c r="V183" s="3"/>
      <c r="W183" s="3"/>
      <c r="X183" s="3"/>
      <c r="Y183" s="3"/>
      <c r="Z183" s="123" t="s">
        <v>248</v>
      </c>
      <c r="AA183" s="3">
        <v>884709.0</v>
      </c>
      <c r="AB183" s="3">
        <v>248735.0</v>
      </c>
      <c r="AC183" s="3">
        <v>153409.0</v>
      </c>
      <c r="AD183" s="3">
        <v>427834.0</v>
      </c>
      <c r="AE183" s="3">
        <v>491238.0</v>
      </c>
      <c r="AF183" s="3">
        <v>154682.0</v>
      </c>
      <c r="AG183" s="3">
        <v>219938.0</v>
      </c>
      <c r="AH183" s="3">
        <v>1296669.0</v>
      </c>
      <c r="AI183" s="3">
        <v>833100.0</v>
      </c>
      <c r="AJ183" s="3">
        <v>626764.0</v>
      </c>
      <c r="AK183" s="3">
        <v>511796.0</v>
      </c>
      <c r="AL183" s="3">
        <v>353802.0</v>
      </c>
      <c r="AM183" s="3">
        <v>695138.0</v>
      </c>
      <c r="AN183" s="3">
        <v>386614.0</v>
      </c>
      <c r="AO183" s="3">
        <v>768570.0</v>
      </c>
      <c r="AP183" s="3">
        <v>1803836.0</v>
      </c>
      <c r="AQ183" s="3">
        <v>1989427.0</v>
      </c>
      <c r="AR183" s="3">
        <v>2322090.0</v>
      </c>
      <c r="AS183" s="3">
        <v>1572064.0</v>
      </c>
      <c r="AT183" s="3">
        <v>854851.0</v>
      </c>
      <c r="AU183" s="3">
        <v>1172288.0</v>
      </c>
      <c r="AV183" s="3">
        <v>279882.0</v>
      </c>
      <c r="AW183" s="3">
        <v>317766.0</v>
      </c>
      <c r="AX183" s="3">
        <v>170783.0</v>
      </c>
      <c r="AY183" s="3">
        <v>-398354.0</v>
      </c>
      <c r="AZ183" s="3">
        <v>-416398.0</v>
      </c>
      <c r="BA183" s="3">
        <v>-170107.0</v>
      </c>
      <c r="BB183" s="3">
        <v>-245519.0</v>
      </c>
      <c r="BC183" s="3">
        <v>-310192.0</v>
      </c>
      <c r="BD183" s="3">
        <v>-401183.0</v>
      </c>
      <c r="BE183" s="3">
        <v>-785099.0</v>
      </c>
      <c r="BF183" s="3">
        <v>677821.0</v>
      </c>
      <c r="BG183" s="3">
        <v>387928.0</v>
      </c>
      <c r="BH183" s="3">
        <v>1889935.0</v>
      </c>
      <c r="BI183" s="3">
        <v>593406.0</v>
      </c>
      <c r="BJ183" s="3">
        <v>128579.0</v>
      </c>
      <c r="BK183" s="3">
        <v>-377976.0</v>
      </c>
      <c r="BL183" s="3"/>
      <c r="BM183" s="3"/>
      <c r="BN183" s="3"/>
      <c r="BO183" s="3"/>
      <c r="BP183" s="3"/>
      <c r="BQ183" s="3"/>
      <c r="BR183" s="3"/>
      <c r="BS183" s="1"/>
      <c r="BT183" s="8"/>
      <c r="BU183" s="8"/>
      <c r="BV183" s="1"/>
      <c r="BW183" s="1"/>
      <c r="BX183" s="1"/>
      <c r="BY183" s="1"/>
      <c r="BZ183" s="1"/>
    </row>
    <row r="184">
      <c r="A184" s="3"/>
      <c r="B184" s="33"/>
      <c r="C184" s="123"/>
      <c r="D184" s="123" t="s">
        <v>250</v>
      </c>
      <c r="E184" s="2"/>
      <c r="F184" s="2"/>
      <c r="G184" s="2"/>
      <c r="H184" s="2"/>
      <c r="I184" s="14"/>
      <c r="J184" s="14"/>
      <c r="K184" s="14"/>
      <c r="L184" s="1"/>
      <c r="M184" s="1"/>
      <c r="N184" s="1"/>
      <c r="O184" s="1"/>
      <c r="P184" s="1"/>
      <c r="Q184" s="1"/>
      <c r="R184" s="1"/>
      <c r="S184" s="33"/>
      <c r="T184" s="33"/>
      <c r="U184" s="33"/>
      <c r="V184" s="33"/>
      <c r="W184" s="33"/>
      <c r="X184" s="33"/>
      <c r="Y184" s="33"/>
      <c r="Z184" s="123" t="s">
        <v>250</v>
      </c>
      <c r="AA184" s="33">
        <v>0.0649</v>
      </c>
      <c r="AB184" s="33">
        <v>0.021</v>
      </c>
      <c r="AC184" s="33">
        <v>0.0121</v>
      </c>
      <c r="AD184" s="33">
        <v>0.0323</v>
      </c>
      <c r="AE184" s="33">
        <v>0.0354</v>
      </c>
      <c r="AF184" s="33">
        <v>0.0117</v>
      </c>
      <c r="AG184" s="33">
        <v>0.0155</v>
      </c>
      <c r="AH184" s="33">
        <v>0.0796</v>
      </c>
      <c r="AI184" s="33">
        <v>0.0574</v>
      </c>
      <c r="AJ184" s="33">
        <v>0.0424</v>
      </c>
      <c r="AK184" s="33">
        <v>0.0321</v>
      </c>
      <c r="AL184" s="33">
        <v>0.0218</v>
      </c>
      <c r="AM184" s="33">
        <v>0.0462</v>
      </c>
      <c r="AN184" s="33">
        <v>0.0249</v>
      </c>
      <c r="AO184" s="33">
        <v>0.0412</v>
      </c>
      <c r="AP184" s="33">
        <v>0.0948</v>
      </c>
      <c r="AQ184" s="33">
        <v>0.1025</v>
      </c>
      <c r="AR184" s="33">
        <v>0.1157</v>
      </c>
      <c r="AS184" s="33">
        <v>0.0763</v>
      </c>
      <c r="AT184" s="33">
        <v>0.0449</v>
      </c>
      <c r="AU184" s="33">
        <v>0.0589</v>
      </c>
      <c r="AV184" s="33">
        <v>0.0145</v>
      </c>
      <c r="AW184" s="33">
        <v>0.0212</v>
      </c>
      <c r="AX184" s="33">
        <v>0.0106</v>
      </c>
      <c r="AY184" s="33">
        <v>-0.0239</v>
      </c>
      <c r="AZ184" s="33">
        <v>-0.025</v>
      </c>
      <c r="BA184" s="33">
        <v>-0.0102</v>
      </c>
      <c r="BB184" s="33">
        <v>-0.016</v>
      </c>
      <c r="BC184" s="33">
        <v>-0.0197</v>
      </c>
      <c r="BD184" s="33">
        <v>-0.0227</v>
      </c>
      <c r="BE184" s="33">
        <v>-0.0515</v>
      </c>
      <c r="BF184" s="33">
        <v>0.0485</v>
      </c>
      <c r="BG184" s="33">
        <v>0.0239</v>
      </c>
      <c r="BH184" s="33">
        <v>0.105</v>
      </c>
      <c r="BI184" s="33">
        <v>0.0362</v>
      </c>
      <c r="BJ184" s="33">
        <v>0.0084</v>
      </c>
      <c r="BK184" s="33">
        <v>-0.0224</v>
      </c>
      <c r="BL184" s="33"/>
      <c r="BM184" s="33"/>
      <c r="BN184" s="33"/>
      <c r="BO184" s="33"/>
      <c r="BP184" s="33"/>
      <c r="BQ184" s="33"/>
      <c r="BR184" s="33"/>
      <c r="BS184" s="1"/>
      <c r="BT184" s="8"/>
      <c r="BU184" s="8"/>
      <c r="BV184" s="1"/>
      <c r="BW184" s="1"/>
      <c r="BX184" s="1"/>
      <c r="BY184" s="1"/>
      <c r="BZ184" s="1"/>
    </row>
    <row r="185">
      <c r="A185" s="3"/>
      <c r="B185" s="33"/>
      <c r="C185" s="123"/>
      <c r="D185" s="123" t="s">
        <v>251</v>
      </c>
      <c r="E185" s="2"/>
      <c r="F185" s="2"/>
      <c r="G185" s="2"/>
      <c r="H185" s="2"/>
      <c r="I185" s="14"/>
      <c r="J185" s="14"/>
      <c r="K185" s="14"/>
      <c r="L185" s="1"/>
      <c r="M185" s="1"/>
      <c r="N185" s="1"/>
      <c r="O185" s="1"/>
      <c r="P185" s="1"/>
      <c r="Q185" s="1"/>
      <c r="R185" s="1"/>
      <c r="S185" s="3"/>
      <c r="T185" s="3"/>
      <c r="U185" s="3"/>
      <c r="V185" s="3"/>
      <c r="W185" s="3"/>
      <c r="X185" s="3"/>
      <c r="Y185" s="3"/>
      <c r="Z185" s="123" t="s">
        <v>251</v>
      </c>
      <c r="AA185" s="3">
        <v>68936.0</v>
      </c>
      <c r="AB185" s="3">
        <v>47709.0</v>
      </c>
      <c r="AC185" s="3">
        <v>141980.0</v>
      </c>
      <c r="AD185" s="3">
        <v>72988.0</v>
      </c>
      <c r="AE185" s="3">
        <v>114029.0</v>
      </c>
      <c r="AF185" s="3">
        <v>75580.0</v>
      </c>
      <c r="AG185" s="3">
        <v>458067.0</v>
      </c>
      <c r="AH185" s="3">
        <v>130628.0</v>
      </c>
      <c r="AI185" s="3">
        <v>2326.0</v>
      </c>
      <c r="AJ185" s="3">
        <v>9996.0</v>
      </c>
      <c r="AK185" s="3">
        <v>6516.0</v>
      </c>
      <c r="AL185" s="3">
        <v>-6806.0</v>
      </c>
      <c r="AM185" s="3">
        <v>-13043.0</v>
      </c>
      <c r="AN185" s="3">
        <v>-48912.0</v>
      </c>
      <c r="AO185" s="3">
        <v>-56077.0</v>
      </c>
      <c r="AP185" s="3">
        <v>-25120.0</v>
      </c>
      <c r="AQ185" s="3">
        <v>-22516.0</v>
      </c>
      <c r="AR185" s="3">
        <v>34214.0</v>
      </c>
      <c r="AS185" s="3">
        <v>10817.0</v>
      </c>
      <c r="AT185" s="3">
        <v>8962.0</v>
      </c>
      <c r="AU185" s="3">
        <v>615877.0</v>
      </c>
      <c r="AV185" s="3">
        <v>160717.0</v>
      </c>
      <c r="AW185" s="3">
        <v>-693.0</v>
      </c>
      <c r="AX185" s="3">
        <v>-65428.0</v>
      </c>
      <c r="AY185" s="3">
        <v>-94369.0</v>
      </c>
      <c r="AZ185" s="3">
        <v>-78063.0</v>
      </c>
      <c r="BA185" s="3">
        <v>-87121.0</v>
      </c>
      <c r="BB185" s="3">
        <v>-78504.0</v>
      </c>
      <c r="BC185" s="3">
        <v>-117006.0</v>
      </c>
      <c r="BD185" s="3">
        <v>-156047.0</v>
      </c>
      <c r="BE185" s="3">
        <v>-213196.0</v>
      </c>
      <c r="BF185" s="3">
        <v>572325.0</v>
      </c>
      <c r="BG185" s="3">
        <v>276284.0</v>
      </c>
      <c r="BH185" s="3">
        <v>24762.0</v>
      </c>
      <c r="BI185" s="3">
        <v>-149941.0</v>
      </c>
      <c r="BJ185" s="3">
        <v>-219656.0</v>
      </c>
      <c r="BK185" s="3">
        <v>-99354.0</v>
      </c>
      <c r="BL185" s="3"/>
      <c r="BM185" s="3"/>
      <c r="BN185" s="3"/>
      <c r="BO185" s="3"/>
      <c r="BP185" s="3"/>
      <c r="BQ185" s="3"/>
      <c r="BR185" s="3"/>
      <c r="BS185" s="1"/>
      <c r="BT185" s="8"/>
      <c r="BU185" s="8"/>
      <c r="BV185" s="1"/>
      <c r="BW185" s="1"/>
      <c r="BX185" s="1"/>
      <c r="BY185" s="1"/>
      <c r="BZ185" s="1"/>
    </row>
    <row r="186">
      <c r="A186" s="3"/>
      <c r="B186" s="33"/>
      <c r="C186" s="123"/>
      <c r="D186" s="123" t="s">
        <v>252</v>
      </c>
      <c r="E186" s="2"/>
      <c r="F186" s="2"/>
      <c r="G186" s="2"/>
      <c r="H186" s="2"/>
      <c r="I186" s="14"/>
      <c r="J186" s="14"/>
      <c r="K186" s="14"/>
      <c r="L186" s="1"/>
      <c r="M186" s="1"/>
      <c r="N186" s="1"/>
      <c r="O186" s="1"/>
      <c r="P186" s="1"/>
      <c r="Q186" s="1"/>
      <c r="R186" s="1"/>
      <c r="S186" s="33"/>
      <c r="T186" s="33"/>
      <c r="U186" s="33"/>
      <c r="V186" s="33"/>
      <c r="W186" s="33"/>
      <c r="X186" s="33"/>
      <c r="Y186" s="33"/>
      <c r="Z186" s="123" t="s">
        <v>252</v>
      </c>
      <c r="AA186" s="33">
        <v>0.0051</v>
      </c>
      <c r="AB186" s="33">
        <v>0.004</v>
      </c>
      <c r="AC186" s="33">
        <v>0.0112</v>
      </c>
      <c r="AD186" s="33">
        <v>0.0055</v>
      </c>
      <c r="AE186" s="33">
        <v>0.0082</v>
      </c>
      <c r="AF186" s="33">
        <v>0.0057</v>
      </c>
      <c r="AG186" s="33">
        <v>0.0324</v>
      </c>
      <c r="AH186" s="33">
        <v>0.008</v>
      </c>
      <c r="AI186" s="33">
        <v>2.0E-4</v>
      </c>
      <c r="AJ186" s="33">
        <v>7.0E-4</v>
      </c>
      <c r="AK186" s="33">
        <v>4.0E-4</v>
      </c>
      <c r="AL186" s="33">
        <v>-4.0E-4</v>
      </c>
      <c r="AM186" s="33">
        <v>-9.0E-4</v>
      </c>
      <c r="AN186" s="33">
        <v>-0.0032</v>
      </c>
      <c r="AO186" s="33">
        <v>-0.003</v>
      </c>
      <c r="AP186" s="33">
        <v>-0.0013</v>
      </c>
      <c r="AQ186" s="33">
        <v>-0.0012</v>
      </c>
      <c r="AR186" s="33">
        <v>0.0017</v>
      </c>
      <c r="AS186" s="33">
        <v>5.0E-4</v>
      </c>
      <c r="AT186" s="33">
        <v>5.0E-4</v>
      </c>
      <c r="AU186" s="33">
        <v>0.0309</v>
      </c>
      <c r="AV186" s="33">
        <v>0.0083</v>
      </c>
      <c r="AW186" s="33">
        <v>0.0</v>
      </c>
      <c r="AX186" s="33">
        <v>-0.004</v>
      </c>
      <c r="AY186" s="33">
        <v>-0.0057</v>
      </c>
      <c r="AZ186" s="33">
        <v>-0.0047</v>
      </c>
      <c r="BA186" s="33">
        <v>-0.0052</v>
      </c>
      <c r="BB186" s="33">
        <v>-0.0051</v>
      </c>
      <c r="BC186" s="33">
        <v>-0.0074</v>
      </c>
      <c r="BD186" s="33">
        <v>-0.0088</v>
      </c>
      <c r="BE186" s="33">
        <v>-0.014</v>
      </c>
      <c r="BF186" s="33">
        <v>0.041</v>
      </c>
      <c r="BG186" s="33">
        <v>0.017</v>
      </c>
      <c r="BH186" s="33">
        <v>0.0014</v>
      </c>
      <c r="BI186" s="33">
        <v>-0.0091</v>
      </c>
      <c r="BJ186" s="33">
        <v>-0.0144</v>
      </c>
      <c r="BK186" s="33">
        <v>-0.0059</v>
      </c>
      <c r="BL186" s="33"/>
      <c r="BM186" s="33"/>
      <c r="BN186" s="33"/>
      <c r="BO186" s="33"/>
      <c r="BP186" s="33"/>
      <c r="BQ186" s="33"/>
      <c r="BR186" s="33"/>
      <c r="BS186" s="1"/>
      <c r="BT186" s="8"/>
      <c r="BU186" s="8"/>
      <c r="BV186" s="1"/>
      <c r="BW186" s="1"/>
      <c r="BX186" s="1"/>
      <c r="BY186" s="1"/>
      <c r="BZ186" s="1"/>
    </row>
    <row r="187">
      <c r="A187" s="3"/>
      <c r="B187" s="33"/>
      <c r="C187" s="123"/>
      <c r="D187" s="123" t="s">
        <v>253</v>
      </c>
      <c r="E187" s="2"/>
      <c r="F187" s="2"/>
      <c r="G187" s="2"/>
      <c r="H187" s="2"/>
      <c r="I187" s="14"/>
      <c r="J187" s="14"/>
      <c r="K187" s="14"/>
      <c r="L187" s="1"/>
      <c r="M187" s="1"/>
      <c r="N187" s="1"/>
      <c r="O187" s="1"/>
      <c r="P187" s="1"/>
      <c r="Q187" s="1"/>
      <c r="R187" s="1"/>
      <c r="S187" s="3"/>
      <c r="T187" s="3"/>
      <c r="U187" s="3"/>
      <c r="V187" s="3"/>
      <c r="W187" s="3"/>
      <c r="X187" s="3"/>
      <c r="Y187" s="3"/>
      <c r="Z187" s="123" t="s">
        <v>253</v>
      </c>
      <c r="AA187" s="3">
        <v>37013.0</v>
      </c>
      <c r="AB187" s="3">
        <v>18662.0</v>
      </c>
      <c r="AC187" s="3">
        <v>27666.0</v>
      </c>
      <c r="AD187" s="3">
        <v>35650.0</v>
      </c>
      <c r="AE187" s="3">
        <v>46823.0</v>
      </c>
      <c r="AF187" s="3">
        <v>12696.0</v>
      </c>
      <c r="AG187" s="3">
        <v>-4566.0</v>
      </c>
      <c r="AH187" s="3">
        <v>-3543.0</v>
      </c>
      <c r="AI187" s="3">
        <v>12140.0</v>
      </c>
      <c r="AJ187" s="3">
        <v>39503.0</v>
      </c>
      <c r="AK187" s="3">
        <v>7966.0</v>
      </c>
      <c r="AL187" s="3">
        <v>-497.0</v>
      </c>
      <c r="AM187" s="3">
        <v>989.0</v>
      </c>
      <c r="AN187" s="3">
        <v>-9380.0</v>
      </c>
      <c r="AO187" s="3">
        <v>2508.0</v>
      </c>
      <c r="AP187" s="3">
        <v>46129.0</v>
      </c>
      <c r="AQ187" s="3">
        <v>72818.0</v>
      </c>
      <c r="AR187" s="3">
        <v>93116.0</v>
      </c>
      <c r="AS187" s="3">
        <v>75399.0</v>
      </c>
      <c r="AT187" s="3">
        <v>-26440.0</v>
      </c>
      <c r="AU187" s="3">
        <v>-40589.0</v>
      </c>
      <c r="AV187" s="3">
        <v>11234.0</v>
      </c>
      <c r="AW187" s="3">
        <v>79063.0</v>
      </c>
      <c r="AX187" s="3">
        <v>102909.0</v>
      </c>
      <c r="AY187" s="3">
        <v>-12586.0</v>
      </c>
      <c r="AZ187" s="3">
        <v>-38003.0</v>
      </c>
      <c r="BA187" s="3">
        <v>-38972.0</v>
      </c>
      <c r="BB187" s="3">
        <v>-26986.0</v>
      </c>
      <c r="BC187" s="3">
        <v>-64662.0</v>
      </c>
      <c r="BD187" s="3">
        <v>-95628.0</v>
      </c>
      <c r="BE187" s="3">
        <v>-88767.0</v>
      </c>
      <c r="BF187" s="3">
        <v>-113756.0</v>
      </c>
      <c r="BG187" s="3">
        <v>-142611.0</v>
      </c>
      <c r="BH187" s="3">
        <v>-117310.0</v>
      </c>
      <c r="BI187" s="3">
        <v>-77648.0</v>
      </c>
      <c r="BJ187" s="3">
        <v>-89346.0</v>
      </c>
      <c r="BK187" s="3">
        <v>-57488.0</v>
      </c>
      <c r="BL187" s="3"/>
      <c r="BM187" s="3"/>
      <c r="BN187" s="3"/>
      <c r="BO187" s="3"/>
      <c r="BP187" s="3"/>
      <c r="BQ187" s="3"/>
      <c r="BR187" s="3"/>
      <c r="BS187" s="1"/>
      <c r="BT187" s="8"/>
      <c r="BU187" s="8"/>
      <c r="BV187" s="1"/>
      <c r="BW187" s="1"/>
      <c r="BX187" s="1"/>
      <c r="BY187" s="1"/>
      <c r="BZ187" s="1"/>
    </row>
    <row r="188">
      <c r="A188" s="3"/>
      <c r="B188" s="33"/>
      <c r="C188" s="123"/>
      <c r="D188" s="123" t="s">
        <v>254</v>
      </c>
      <c r="E188" s="2"/>
      <c r="F188" s="2"/>
      <c r="G188" s="2"/>
      <c r="H188" s="2"/>
      <c r="I188" s="14"/>
      <c r="J188" s="14"/>
      <c r="K188" s="14"/>
      <c r="L188" s="1"/>
      <c r="M188" s="1"/>
      <c r="N188" s="1"/>
      <c r="O188" s="1"/>
      <c r="P188" s="1"/>
      <c r="Q188" s="1"/>
      <c r="R188" s="1"/>
      <c r="S188" s="33"/>
      <c r="T188" s="33"/>
      <c r="U188" s="33"/>
      <c r="V188" s="33"/>
      <c r="W188" s="33"/>
      <c r="X188" s="33"/>
      <c r="Y188" s="33"/>
      <c r="Z188" s="123" t="s">
        <v>254</v>
      </c>
      <c r="AA188" s="33">
        <v>0.0027</v>
      </c>
      <c r="AB188" s="33">
        <v>0.0016</v>
      </c>
      <c r="AC188" s="33">
        <v>0.0022</v>
      </c>
      <c r="AD188" s="33">
        <v>0.0027</v>
      </c>
      <c r="AE188" s="33">
        <v>0.0034</v>
      </c>
      <c r="AF188" s="33">
        <v>0.001</v>
      </c>
      <c r="AG188" s="33">
        <v>-3.0E-4</v>
      </c>
      <c r="AH188" s="33">
        <v>-2.0E-4</v>
      </c>
      <c r="AI188" s="33">
        <v>8.0E-4</v>
      </c>
      <c r="AJ188" s="33">
        <v>0.0027</v>
      </c>
      <c r="AK188" s="33">
        <v>5.0E-4</v>
      </c>
      <c r="AL188" s="33">
        <v>0.0</v>
      </c>
      <c r="AM188" s="33">
        <v>1.0E-4</v>
      </c>
      <c r="AN188" s="33">
        <v>-6.0E-4</v>
      </c>
      <c r="AO188" s="33">
        <v>1.0E-4</v>
      </c>
      <c r="AP188" s="33">
        <v>0.0024</v>
      </c>
      <c r="AQ188" s="33">
        <v>0.0038</v>
      </c>
      <c r="AR188" s="33">
        <v>0.0046</v>
      </c>
      <c r="AS188" s="33">
        <v>0.0037</v>
      </c>
      <c r="AT188" s="33">
        <v>-0.0014</v>
      </c>
      <c r="AU188" s="33">
        <v>-0.002</v>
      </c>
      <c r="AV188" s="33">
        <v>6.0E-4</v>
      </c>
      <c r="AW188" s="33">
        <v>0.0053</v>
      </c>
      <c r="AX188" s="33">
        <v>0.0064</v>
      </c>
      <c r="AY188" s="33">
        <v>-8.0E-4</v>
      </c>
      <c r="AZ188" s="33">
        <v>-0.0023</v>
      </c>
      <c r="BA188" s="33">
        <v>-0.0023</v>
      </c>
      <c r="BB188" s="33">
        <v>-0.0018</v>
      </c>
      <c r="BC188" s="33">
        <v>-0.0041</v>
      </c>
      <c r="BD188" s="33">
        <v>-0.0054</v>
      </c>
      <c r="BE188" s="33">
        <v>-0.0058</v>
      </c>
      <c r="BF188" s="33">
        <v>-0.0081</v>
      </c>
      <c r="BG188" s="33">
        <v>-0.0088</v>
      </c>
      <c r="BH188" s="33">
        <v>-0.0065</v>
      </c>
      <c r="BI188" s="33">
        <v>-0.0047</v>
      </c>
      <c r="BJ188" s="33">
        <v>-0.0059</v>
      </c>
      <c r="BK188" s="33">
        <v>-0.0034</v>
      </c>
      <c r="BL188" s="33"/>
      <c r="BM188" s="33"/>
      <c r="BN188" s="33"/>
      <c r="BO188" s="33"/>
      <c r="BP188" s="33"/>
      <c r="BQ188" s="33"/>
      <c r="BR188" s="33"/>
      <c r="BS188" s="1"/>
      <c r="BT188" s="8"/>
      <c r="BU188" s="8"/>
      <c r="BV188" s="1"/>
      <c r="BW188" s="1"/>
      <c r="BX188" s="1"/>
      <c r="BY188" s="1"/>
      <c r="BZ188" s="1"/>
    </row>
    <row r="189">
      <c r="A189" s="3"/>
      <c r="B189" s="33"/>
      <c r="C189" s="123"/>
      <c r="D189" s="123" t="s">
        <v>255</v>
      </c>
      <c r="E189" s="2"/>
      <c r="F189" s="2"/>
      <c r="G189" s="2"/>
      <c r="H189" s="2"/>
      <c r="I189" s="14"/>
      <c r="J189" s="14"/>
      <c r="K189" s="14"/>
      <c r="L189" s="1"/>
      <c r="M189" s="1"/>
      <c r="N189" s="1"/>
      <c r="O189" s="1"/>
      <c r="P189" s="1"/>
      <c r="Q189" s="1"/>
      <c r="R189" s="1"/>
      <c r="S189" s="3"/>
      <c r="T189" s="3"/>
      <c r="U189" s="3"/>
      <c r="V189" s="3"/>
      <c r="W189" s="3"/>
      <c r="X189" s="3"/>
      <c r="Y189" s="3"/>
      <c r="Z189" s="123" t="s">
        <v>255</v>
      </c>
      <c r="AA189" s="3">
        <v>8730.0</v>
      </c>
      <c r="AB189" s="3">
        <v>6381.0</v>
      </c>
      <c r="AC189" s="3">
        <v>5724.0</v>
      </c>
      <c r="AD189" s="3">
        <v>5964.0</v>
      </c>
      <c r="AE189" s="3">
        <v>7055.0</v>
      </c>
      <c r="AF189" s="3">
        <v>-7581.0</v>
      </c>
      <c r="AG189" s="3">
        <v>-6616.0</v>
      </c>
      <c r="AH189" s="3">
        <v>-1882.0</v>
      </c>
      <c r="AI189" s="3">
        <v>-8931.0</v>
      </c>
      <c r="AJ189" s="3">
        <v>6932.0</v>
      </c>
      <c r="AK189" s="3">
        <v>7965.0</v>
      </c>
      <c r="AL189" s="3">
        <v>-76.0</v>
      </c>
      <c r="AM189" s="3">
        <v>-11105.0</v>
      </c>
      <c r="AN189" s="3">
        <v>-3185.0</v>
      </c>
      <c r="AO189" s="3">
        <v>1203.0</v>
      </c>
      <c r="AP189" s="3">
        <v>2358.0</v>
      </c>
      <c r="AQ189" s="3">
        <v>7666.0</v>
      </c>
      <c r="AR189" s="3">
        <v>34381.0</v>
      </c>
      <c r="AS189" s="3">
        <v>23848.0</v>
      </c>
      <c r="AT189" s="3">
        <v>-15106.0</v>
      </c>
      <c r="AU189" s="3">
        <v>-19021.0</v>
      </c>
      <c r="AV189" s="3">
        <v>-21558.0</v>
      </c>
      <c r="AW189" s="3">
        <v>-19201.0</v>
      </c>
      <c r="AX189" s="3">
        <v>-18364.0</v>
      </c>
      <c r="AY189" s="3">
        <v>-28739.0</v>
      </c>
      <c r="AZ189" s="3">
        <v>-22685.0</v>
      </c>
      <c r="BA189" s="3">
        <v>12452.0</v>
      </c>
      <c r="BB189" s="3">
        <v>23953.0</v>
      </c>
      <c r="BC189" s="3">
        <v>21399.0</v>
      </c>
      <c r="BD189" s="3">
        <v>-5096.0</v>
      </c>
      <c r="BE189" s="3">
        <v>-19166.0</v>
      </c>
      <c r="BF189" s="3">
        <v>-24915.0</v>
      </c>
      <c r="BG189" s="3">
        <v>-6769.0</v>
      </c>
      <c r="BH189" s="3">
        <v>68166.0</v>
      </c>
      <c r="BI189" s="3">
        <v>40768.0</v>
      </c>
      <c r="BJ189" s="3">
        <v>20959.0</v>
      </c>
      <c r="BK189" s="3">
        <v>-9585.0</v>
      </c>
      <c r="BL189" s="3"/>
      <c r="BM189" s="3"/>
      <c r="BN189" s="3"/>
      <c r="BO189" s="3"/>
      <c r="BP189" s="3"/>
      <c r="BQ189" s="3"/>
      <c r="BR189" s="3"/>
      <c r="BS189" s="1"/>
      <c r="BT189" s="8"/>
      <c r="BU189" s="8"/>
      <c r="BV189" s="1"/>
      <c r="BW189" s="1"/>
      <c r="BX189" s="1"/>
      <c r="BY189" s="1"/>
      <c r="BZ189" s="1"/>
    </row>
    <row r="190">
      <c r="A190" s="3"/>
      <c r="B190" s="33"/>
      <c r="C190" s="123"/>
      <c r="D190" s="123" t="s">
        <v>256</v>
      </c>
      <c r="E190" s="2"/>
      <c r="F190" s="2"/>
      <c r="G190" s="2"/>
      <c r="H190" s="2"/>
      <c r="I190" s="14"/>
      <c r="J190" s="14"/>
      <c r="K190" s="14"/>
      <c r="L190" s="1"/>
      <c r="M190" s="1"/>
      <c r="N190" s="1"/>
      <c r="O190" s="1"/>
      <c r="P190" s="1"/>
      <c r="Q190" s="1"/>
      <c r="R190" s="1"/>
      <c r="S190" s="33"/>
      <c r="T190" s="33"/>
      <c r="U190" s="33"/>
      <c r="V190" s="33"/>
      <c r="W190" s="33"/>
      <c r="X190" s="33"/>
      <c r="Y190" s="33"/>
      <c r="Z190" s="123" t="s">
        <v>256</v>
      </c>
      <c r="AA190" s="33">
        <v>6.0E-4</v>
      </c>
      <c r="AB190" s="33">
        <v>5.0E-4</v>
      </c>
      <c r="AC190" s="33">
        <v>4.0E-4</v>
      </c>
      <c r="AD190" s="33">
        <v>4.0E-4</v>
      </c>
      <c r="AE190" s="33">
        <v>5.0E-4</v>
      </c>
      <c r="AF190" s="33">
        <v>-6.0E-4</v>
      </c>
      <c r="AG190" s="33">
        <v>-5.0E-4</v>
      </c>
      <c r="AH190" s="33">
        <v>-1.0E-4</v>
      </c>
      <c r="AI190" s="33">
        <v>-6.0E-4</v>
      </c>
      <c r="AJ190" s="33">
        <v>5.0E-4</v>
      </c>
      <c r="AK190" s="33">
        <v>5.0E-4</v>
      </c>
      <c r="AL190" s="33">
        <v>0.0</v>
      </c>
      <c r="AM190" s="33">
        <v>-7.0E-4</v>
      </c>
      <c r="AN190" s="33">
        <v>-2.0E-4</v>
      </c>
      <c r="AO190" s="33">
        <v>1.0E-4</v>
      </c>
      <c r="AP190" s="33">
        <v>1.0E-4</v>
      </c>
      <c r="AQ190" s="33">
        <v>4.0E-4</v>
      </c>
      <c r="AR190" s="33">
        <v>0.0017</v>
      </c>
      <c r="AS190" s="33">
        <v>0.0012</v>
      </c>
      <c r="AT190" s="33">
        <v>-8.0E-4</v>
      </c>
      <c r="AU190" s="33">
        <v>-0.001</v>
      </c>
      <c r="AV190" s="33">
        <v>-0.0011</v>
      </c>
      <c r="AW190" s="33">
        <v>-0.0013</v>
      </c>
      <c r="AX190" s="33">
        <v>-0.0011</v>
      </c>
      <c r="AY190" s="33">
        <v>-0.0017</v>
      </c>
      <c r="AZ190" s="33">
        <v>-0.0014</v>
      </c>
      <c r="BA190" s="33">
        <v>8.0E-4</v>
      </c>
      <c r="BB190" s="33">
        <v>0.0016</v>
      </c>
      <c r="BC190" s="33">
        <v>0.0014</v>
      </c>
      <c r="BD190" s="33">
        <v>-3.0E-4</v>
      </c>
      <c r="BE190" s="33">
        <v>-0.0013</v>
      </c>
      <c r="BF190" s="33">
        <v>-0.0018</v>
      </c>
      <c r="BG190" s="33">
        <v>-4.0E-4</v>
      </c>
      <c r="BH190" s="33">
        <v>0.0038</v>
      </c>
      <c r="BI190" s="33">
        <v>0.0025</v>
      </c>
      <c r="BJ190" s="33">
        <v>0.0014</v>
      </c>
      <c r="BK190" s="33">
        <v>-6.0E-4</v>
      </c>
      <c r="BL190" s="33"/>
      <c r="BM190" s="33"/>
      <c r="BN190" s="33"/>
      <c r="BO190" s="33"/>
      <c r="BP190" s="33"/>
      <c r="BQ190" s="33"/>
      <c r="BR190" s="33"/>
      <c r="BS190" s="1"/>
      <c r="BT190" s="8"/>
      <c r="BU190" s="8"/>
      <c r="BV190" s="1"/>
      <c r="BW190" s="1"/>
      <c r="BX190" s="1"/>
      <c r="BY190" s="1"/>
      <c r="BZ190" s="1"/>
    </row>
    <row r="191">
      <c r="A191" s="3"/>
      <c r="B191" s="33"/>
      <c r="C191" s="128"/>
      <c r="D191" s="128" t="s">
        <v>257</v>
      </c>
      <c r="E191" s="2"/>
      <c r="F191" s="2"/>
      <c r="G191" s="2"/>
      <c r="H191" s="2"/>
      <c r="I191" s="14"/>
      <c r="J191" s="14"/>
      <c r="K191" s="14"/>
      <c r="L191" s="1"/>
      <c r="M191" s="1"/>
      <c r="N191" s="1"/>
      <c r="O191" s="1"/>
      <c r="P191" s="1"/>
      <c r="Q191" s="1"/>
      <c r="R191" s="1"/>
      <c r="S191" s="3"/>
      <c r="T191" s="3"/>
      <c r="U191" s="3"/>
      <c r="V191" s="3"/>
      <c r="W191" s="3"/>
      <c r="X191" s="3"/>
      <c r="Y191" s="3"/>
      <c r="Z191" s="128" t="s">
        <v>257</v>
      </c>
      <c r="AA191" s="3">
        <v>-1671.0</v>
      </c>
      <c r="AB191" s="3">
        <v>-1935.0</v>
      </c>
      <c r="AC191" s="3">
        <v>-4538.0</v>
      </c>
      <c r="AD191" s="3">
        <v>463.0</v>
      </c>
      <c r="AE191" s="3">
        <v>10867.0</v>
      </c>
      <c r="AF191" s="3">
        <v>-4695.0</v>
      </c>
      <c r="AG191" s="3">
        <v>32882.0</v>
      </c>
      <c r="AH191" s="3">
        <v>6891.0</v>
      </c>
      <c r="AI191" s="3">
        <v>-2455.0</v>
      </c>
      <c r="AJ191" s="3">
        <v>10695.0</v>
      </c>
      <c r="AK191" s="3">
        <v>8239.0</v>
      </c>
      <c r="AL191" s="3">
        <v>5106.0</v>
      </c>
      <c r="AM191" s="3">
        <v>62.0</v>
      </c>
      <c r="AN191" s="3">
        <v>-935.0</v>
      </c>
      <c r="AO191" s="3">
        <v>3395.0</v>
      </c>
      <c r="AP191" s="3">
        <v>5350.0</v>
      </c>
      <c r="AQ191" s="3">
        <v>6599.0</v>
      </c>
      <c r="AR191" s="3">
        <v>16836.0</v>
      </c>
      <c r="AS191" s="3">
        <v>10558.0</v>
      </c>
      <c r="AT191" s="3">
        <v>13135.0</v>
      </c>
      <c r="AU191" s="3">
        <v>41521.0</v>
      </c>
      <c r="AV191" s="3">
        <v>38743.0</v>
      </c>
      <c r="AW191" s="3">
        <v>12790.0</v>
      </c>
      <c r="AX191" s="3">
        <v>3603.0</v>
      </c>
      <c r="AY191" s="3">
        <v>4008.0</v>
      </c>
      <c r="AZ191" s="3">
        <v>18259.0</v>
      </c>
      <c r="BA191" s="3">
        <v>22365.0</v>
      </c>
      <c r="BB191" s="3">
        <v>7277.0</v>
      </c>
      <c r="BC191" s="3">
        <v>11097.0</v>
      </c>
      <c r="BD191" s="3">
        <v>5188.0</v>
      </c>
      <c r="BE191" s="3">
        <v>-3668.0</v>
      </c>
      <c r="BF191" s="3">
        <v>60169.0</v>
      </c>
      <c r="BG191" s="3">
        <v>31775.0</v>
      </c>
      <c r="BH191" s="3">
        <v>3485.0</v>
      </c>
      <c r="BI191" s="3">
        <v>7664.0</v>
      </c>
      <c r="BJ191" s="3">
        <v>-1403.0</v>
      </c>
      <c r="BK191" s="3">
        <v>-5280.0</v>
      </c>
      <c r="BL191" s="3"/>
      <c r="BM191" s="3"/>
      <c r="BN191" s="3"/>
      <c r="BO191" s="3"/>
      <c r="BP191" s="3"/>
      <c r="BQ191" s="3"/>
      <c r="BR191" s="3"/>
      <c r="BS191" s="1"/>
      <c r="BT191" s="8"/>
      <c r="BU191" s="8"/>
      <c r="BV191" s="1"/>
      <c r="BW191" s="1"/>
      <c r="BX191" s="1"/>
      <c r="BY191" s="1"/>
      <c r="BZ191" s="1"/>
    </row>
    <row r="192">
      <c r="A192" s="3"/>
      <c r="B192" s="33"/>
      <c r="C192" s="128"/>
      <c r="D192" s="128" t="s">
        <v>259</v>
      </c>
      <c r="E192" s="2"/>
      <c r="F192" s="2"/>
      <c r="G192" s="2"/>
      <c r="H192" s="2"/>
      <c r="I192" s="14"/>
      <c r="J192" s="14"/>
      <c r="K192" s="14"/>
      <c r="L192" s="1"/>
      <c r="M192" s="1"/>
      <c r="N192" s="1"/>
      <c r="O192" s="1"/>
      <c r="P192" s="1"/>
      <c r="Q192" s="1"/>
      <c r="R192" s="1"/>
      <c r="S192" s="33"/>
      <c r="T192" s="33"/>
      <c r="U192" s="33"/>
      <c r="V192" s="33"/>
      <c r="W192" s="33"/>
      <c r="X192" s="33"/>
      <c r="Y192" s="33"/>
      <c r="Z192" s="128" t="s">
        <v>259</v>
      </c>
      <c r="AA192" s="33">
        <v>-1.0E-4</v>
      </c>
      <c r="AB192" s="33">
        <v>-2.0E-4</v>
      </c>
      <c r="AC192" s="33">
        <v>-4.0E-4</v>
      </c>
      <c r="AD192" s="33">
        <v>0.0</v>
      </c>
      <c r="AE192" s="33">
        <v>8.0E-4</v>
      </c>
      <c r="AF192" s="33">
        <v>-4.0E-4</v>
      </c>
      <c r="AG192" s="33">
        <v>0.0023</v>
      </c>
      <c r="AH192" s="33">
        <v>4.0E-4</v>
      </c>
      <c r="AI192" s="33">
        <v>-2.0E-4</v>
      </c>
      <c r="AJ192" s="33">
        <v>7.0E-4</v>
      </c>
      <c r="AK192" s="33">
        <v>5.0E-4</v>
      </c>
      <c r="AL192" s="33">
        <v>3.0E-4</v>
      </c>
      <c r="AM192" s="33">
        <v>0.0</v>
      </c>
      <c r="AN192" s="33">
        <v>-1.0E-4</v>
      </c>
      <c r="AO192" s="33">
        <v>2.0E-4</v>
      </c>
      <c r="AP192" s="33">
        <v>3.0E-4</v>
      </c>
      <c r="AQ192" s="33">
        <v>3.0E-4</v>
      </c>
      <c r="AR192" s="33">
        <v>8.0E-4</v>
      </c>
      <c r="AS192" s="33">
        <v>5.0E-4</v>
      </c>
      <c r="AT192" s="33">
        <v>7.0E-4</v>
      </c>
      <c r="AU192" s="33">
        <v>0.0021</v>
      </c>
      <c r="AV192" s="33">
        <v>0.002</v>
      </c>
      <c r="AW192" s="33">
        <v>9.0E-4</v>
      </c>
      <c r="AX192" s="33">
        <v>2.0E-4</v>
      </c>
      <c r="AY192" s="33">
        <v>2.0E-4</v>
      </c>
      <c r="AZ192" s="33">
        <v>0.0011</v>
      </c>
      <c r="BA192" s="33">
        <v>0.0013</v>
      </c>
      <c r="BB192" s="33">
        <v>5.0E-4</v>
      </c>
      <c r="BC192" s="33">
        <v>7.0E-4</v>
      </c>
      <c r="BD192" s="33">
        <v>3.0E-4</v>
      </c>
      <c r="BE192" s="33">
        <v>-2.0E-4</v>
      </c>
      <c r="BF192" s="33">
        <v>0.0043</v>
      </c>
      <c r="BG192" s="33">
        <v>0.002</v>
      </c>
      <c r="BH192" s="33">
        <v>2.0E-4</v>
      </c>
      <c r="BI192" s="33">
        <v>5.0E-4</v>
      </c>
      <c r="BJ192" s="33">
        <v>-1.0E-4</v>
      </c>
      <c r="BK192" s="33">
        <v>-3.0E-4</v>
      </c>
      <c r="BL192" s="33"/>
      <c r="BM192" s="33"/>
      <c r="BN192" s="33"/>
      <c r="BO192" s="33"/>
      <c r="BP192" s="33"/>
      <c r="BQ192" s="33"/>
      <c r="BR192" s="33"/>
      <c r="BS192" s="1"/>
      <c r="BT192" s="8"/>
      <c r="BU192" s="8"/>
      <c r="BV192" s="1"/>
      <c r="BW192" s="1"/>
      <c r="BX192" s="1"/>
      <c r="BY192" s="1"/>
      <c r="BZ192" s="1"/>
    </row>
    <row r="193">
      <c r="A193" s="3"/>
      <c r="B193" s="33"/>
      <c r="C193" s="123"/>
      <c r="D193" s="123" t="s">
        <v>261</v>
      </c>
      <c r="E193" s="2"/>
      <c r="F193" s="2"/>
      <c r="G193" s="2"/>
      <c r="H193" s="2"/>
      <c r="I193" s="14"/>
      <c r="J193" s="14"/>
      <c r="K193" s="14"/>
      <c r="L193" s="1"/>
      <c r="M193" s="1"/>
      <c r="N193" s="1"/>
      <c r="O193" s="1"/>
      <c r="P193" s="1"/>
      <c r="Q193" s="1"/>
      <c r="R193" s="1"/>
      <c r="S193" s="3"/>
      <c r="T193" s="3"/>
      <c r="U193" s="3"/>
      <c r="V193" s="3"/>
      <c r="W193" s="3"/>
      <c r="X193" s="3"/>
      <c r="Y193" s="3"/>
      <c r="Z193" s="123" t="s">
        <v>261</v>
      </c>
      <c r="AA193" s="3">
        <v>2584.0</v>
      </c>
      <c r="AB193" s="3">
        <v>6957.0</v>
      </c>
      <c r="AC193" s="3">
        <v>4363.0</v>
      </c>
      <c r="AD193" s="3">
        <v>19593.0</v>
      </c>
      <c r="AE193" s="3">
        <v>28345.0</v>
      </c>
      <c r="AF193" s="3">
        <v>16960.0</v>
      </c>
      <c r="AG193" s="3">
        <v>102568.0</v>
      </c>
      <c r="AH193" s="3">
        <v>49278.0</v>
      </c>
      <c r="AI193" s="3">
        <v>35431.0</v>
      </c>
      <c r="AJ193" s="3">
        <v>14845.0</v>
      </c>
      <c r="AK193" s="3">
        <v>12434.0</v>
      </c>
      <c r="AL193" s="3">
        <v>12360.0</v>
      </c>
      <c r="AM193" s="3">
        <v>5579.0</v>
      </c>
      <c r="AN193" s="3">
        <v>-823.0</v>
      </c>
      <c r="AO193" s="3">
        <v>6861.0</v>
      </c>
      <c r="AP193" s="3">
        <v>9112.0</v>
      </c>
      <c r="AQ193" s="3">
        <v>14307.0</v>
      </c>
      <c r="AR193" s="3">
        <v>16908.0</v>
      </c>
      <c r="AS193" s="3">
        <v>23531.0</v>
      </c>
      <c r="AT193" s="3">
        <v>25586.0</v>
      </c>
      <c r="AU193" s="3">
        <v>31382.0</v>
      </c>
      <c r="AV193" s="3">
        <v>16588.0</v>
      </c>
      <c r="AW193" s="3">
        <v>27890.0</v>
      </c>
      <c r="AX193" s="3">
        <v>12914.0</v>
      </c>
      <c r="AY193" s="3">
        <v>4106.0</v>
      </c>
      <c r="AZ193" s="3">
        <v>-1779.0</v>
      </c>
      <c r="BA193" s="3">
        <v>-2950.0</v>
      </c>
      <c r="BB193" s="3">
        <v>2089.0</v>
      </c>
      <c r="BC193" s="3">
        <v>431.0</v>
      </c>
      <c r="BD193" s="3">
        <v>-4441.0</v>
      </c>
      <c r="BE193" s="3">
        <v>-5876.0</v>
      </c>
      <c r="BF193" s="3">
        <v>153888.0</v>
      </c>
      <c r="BG193" s="3">
        <v>178216.0</v>
      </c>
      <c r="BH193" s="3">
        <v>16613.0</v>
      </c>
      <c r="BI193" s="3">
        <v>-10569.0</v>
      </c>
      <c r="BJ193" s="3">
        <v>-18030.0</v>
      </c>
      <c r="BK193" s="3">
        <v>-11412.0</v>
      </c>
      <c r="BL193" s="3"/>
      <c r="BM193" s="3"/>
      <c r="BN193" s="3"/>
      <c r="BO193" s="3"/>
      <c r="BP193" s="3"/>
      <c r="BQ193" s="3"/>
      <c r="BR193" s="3"/>
      <c r="BS193" s="1"/>
      <c r="BT193" s="8"/>
      <c r="BU193" s="8"/>
      <c r="BV193" s="1"/>
      <c r="BW193" s="1"/>
      <c r="BX193" s="1"/>
      <c r="BY193" s="1"/>
      <c r="BZ193" s="1"/>
    </row>
    <row r="194">
      <c r="A194" s="3"/>
      <c r="B194" s="33"/>
      <c r="C194" s="123"/>
      <c r="D194" s="123" t="s">
        <v>262</v>
      </c>
      <c r="E194" s="2"/>
      <c r="F194" s="2"/>
      <c r="G194" s="2"/>
      <c r="H194" s="2"/>
      <c r="I194" s="14"/>
      <c r="J194" s="14"/>
      <c r="K194" s="14"/>
      <c r="L194" s="1"/>
      <c r="M194" s="1"/>
      <c r="N194" s="1"/>
      <c r="O194" s="1"/>
      <c r="P194" s="1"/>
      <c r="Q194" s="1"/>
      <c r="R194" s="1"/>
      <c r="S194" s="33"/>
      <c r="T194" s="33"/>
      <c r="U194" s="33"/>
      <c r="V194" s="33"/>
      <c r="W194" s="33"/>
      <c r="X194" s="33"/>
      <c r="Y194" s="33"/>
      <c r="Z194" s="123" t="s">
        <v>262</v>
      </c>
      <c r="AA194" s="33">
        <v>2.0E-4</v>
      </c>
      <c r="AB194" s="33">
        <v>6.0E-4</v>
      </c>
      <c r="AC194" s="33">
        <v>3.0E-4</v>
      </c>
      <c r="AD194" s="33">
        <v>0.0015</v>
      </c>
      <c r="AE194" s="33">
        <v>0.002</v>
      </c>
      <c r="AF194" s="33">
        <v>0.0013</v>
      </c>
      <c r="AG194" s="33">
        <v>0.0073</v>
      </c>
      <c r="AH194" s="33">
        <v>0.003</v>
      </c>
      <c r="AI194" s="33">
        <v>0.0024</v>
      </c>
      <c r="AJ194" s="33">
        <v>0.001</v>
      </c>
      <c r="AK194" s="33">
        <v>8.0E-4</v>
      </c>
      <c r="AL194" s="33">
        <v>8.0E-4</v>
      </c>
      <c r="AM194" s="33">
        <v>4.0E-4</v>
      </c>
      <c r="AN194" s="33">
        <v>-1.0E-4</v>
      </c>
      <c r="AO194" s="33">
        <v>4.0E-4</v>
      </c>
      <c r="AP194" s="33">
        <v>5.0E-4</v>
      </c>
      <c r="AQ194" s="33">
        <v>7.0E-4</v>
      </c>
      <c r="AR194" s="33">
        <v>8.0E-4</v>
      </c>
      <c r="AS194" s="33">
        <v>0.0011</v>
      </c>
      <c r="AT194" s="33">
        <v>0.0013</v>
      </c>
      <c r="AU194" s="33">
        <v>0.0016</v>
      </c>
      <c r="AV194" s="33">
        <v>9.0E-4</v>
      </c>
      <c r="AW194" s="33">
        <v>0.0019</v>
      </c>
      <c r="AX194" s="33">
        <v>8.0E-4</v>
      </c>
      <c r="AY194" s="33">
        <v>2.0E-4</v>
      </c>
      <c r="AZ194" s="33">
        <v>-1.0E-4</v>
      </c>
      <c r="BA194" s="33">
        <v>-2.0E-4</v>
      </c>
      <c r="BB194" s="33">
        <v>1.0E-4</v>
      </c>
      <c r="BC194" s="33">
        <v>0.0</v>
      </c>
      <c r="BD194" s="33">
        <v>-3.0E-4</v>
      </c>
      <c r="BE194" s="33">
        <v>-4.0E-4</v>
      </c>
      <c r="BF194" s="33">
        <v>0.011</v>
      </c>
      <c r="BG194" s="33">
        <v>0.011</v>
      </c>
      <c r="BH194" s="33">
        <v>9.0E-4</v>
      </c>
      <c r="BI194" s="33">
        <v>-6.0E-4</v>
      </c>
      <c r="BJ194" s="33">
        <v>-0.0012</v>
      </c>
      <c r="BK194" s="33">
        <v>-7.0E-4</v>
      </c>
      <c r="BL194" s="33"/>
      <c r="BM194" s="33"/>
      <c r="BN194" s="33"/>
      <c r="BO194" s="33"/>
      <c r="BP194" s="33"/>
      <c r="BQ194" s="33"/>
      <c r="BR194" s="33"/>
      <c r="BS194" s="1"/>
      <c r="BT194" s="8"/>
      <c r="BU194" s="8"/>
      <c r="BV194" s="1"/>
      <c r="BW194" s="1"/>
      <c r="BX194" s="1"/>
      <c r="BY194" s="1"/>
      <c r="BZ194" s="1"/>
    </row>
    <row r="195">
      <c r="A195" s="3"/>
      <c r="B195" s="33"/>
      <c r="C195" s="122"/>
      <c r="D195" s="122" t="s">
        <v>263</v>
      </c>
      <c r="E195" s="2"/>
      <c r="F195" s="2"/>
      <c r="G195" s="2"/>
      <c r="H195" s="2"/>
      <c r="I195" s="14"/>
      <c r="J195" s="14"/>
      <c r="K195" s="14"/>
      <c r="L195" s="1"/>
      <c r="M195" s="1"/>
      <c r="N195" s="1"/>
      <c r="O195" s="1"/>
      <c r="P195" s="1"/>
      <c r="Q195" s="1"/>
      <c r="R195" s="1"/>
      <c r="S195" s="3"/>
      <c r="T195" s="3"/>
      <c r="U195" s="3"/>
      <c r="V195" s="3"/>
      <c r="W195" s="3"/>
      <c r="X195" s="3"/>
      <c r="Y195" s="3"/>
      <c r="Z195" s="122" t="s">
        <v>263</v>
      </c>
      <c r="AA195" s="106">
        <v>1655074.0</v>
      </c>
      <c r="AB195" s="106">
        <v>550688.0</v>
      </c>
      <c r="AC195" s="106">
        <v>621664.0</v>
      </c>
      <c r="AD195" s="106">
        <v>1345927.0</v>
      </c>
      <c r="AE195" s="106">
        <v>1519353.0</v>
      </c>
      <c r="AF195" s="106">
        <v>657365.0</v>
      </c>
      <c r="AG195" s="106">
        <v>1203424.0</v>
      </c>
      <c r="AH195" s="106">
        <v>2534051.0</v>
      </c>
      <c r="AI195" s="106">
        <v>1502113.0</v>
      </c>
      <c r="AJ195" s="106">
        <v>969965.0</v>
      </c>
      <c r="AK195" s="106">
        <v>1872356.0</v>
      </c>
      <c r="AL195" s="106">
        <v>944053.0</v>
      </c>
      <c r="AM195" s="106">
        <v>1139976.0</v>
      </c>
      <c r="AN195" s="106">
        <v>759941.0</v>
      </c>
      <c r="AO195" s="106">
        <v>1470318.0</v>
      </c>
      <c r="AP195" s="106">
        <v>2692185.0</v>
      </c>
      <c r="AQ195" s="106">
        <v>3086357.0</v>
      </c>
      <c r="AR195" s="106">
        <v>3964439.0</v>
      </c>
      <c r="AS195" s="106">
        <v>3399283.0</v>
      </c>
      <c r="AT195" s="106">
        <v>1558062.0</v>
      </c>
      <c r="AU195" s="106">
        <v>2521694.0</v>
      </c>
      <c r="AV195" s="106">
        <v>825164.0</v>
      </c>
      <c r="AW195" s="106">
        <v>541411.0</v>
      </c>
      <c r="AX195" s="106">
        <v>366642.0</v>
      </c>
      <c r="AY195" s="106">
        <v>-582907.0</v>
      </c>
      <c r="AZ195" s="106">
        <v>-962177.0</v>
      </c>
      <c r="BA195" s="106">
        <v>-725281.0</v>
      </c>
      <c r="BB195" s="106">
        <v>-774339.0</v>
      </c>
      <c r="BC195" s="106">
        <v>-882853.0</v>
      </c>
      <c r="BD195" s="106">
        <v>-939814.0</v>
      </c>
      <c r="BE195" s="106">
        <v>-1525373.0</v>
      </c>
      <c r="BF195" s="106">
        <v>3086768.0</v>
      </c>
      <c r="BG195" s="106">
        <v>1165336.0</v>
      </c>
      <c r="BH195" s="106">
        <v>3605393.0</v>
      </c>
      <c r="BI195" s="106">
        <v>794932.0</v>
      </c>
      <c r="BJ195" s="106">
        <v>-589799.0</v>
      </c>
      <c r="BK195" s="106">
        <v>-1261905.0</v>
      </c>
      <c r="BL195" s="106"/>
      <c r="BM195" s="106"/>
      <c r="BN195" s="106"/>
      <c r="BO195" s="106"/>
      <c r="BP195" s="106"/>
      <c r="BQ195" s="106"/>
      <c r="BR195" s="106"/>
      <c r="BS195" s="1"/>
      <c r="BT195" s="8"/>
      <c r="BU195" s="8"/>
      <c r="BV195" s="1"/>
      <c r="BW195" s="1"/>
      <c r="BX195" s="1"/>
      <c r="BY195" s="1"/>
      <c r="BZ195" s="1"/>
    </row>
    <row r="196">
      <c r="A196" s="3"/>
      <c r="B196" s="33" t="s">
        <v>117</v>
      </c>
      <c r="C196" s="3"/>
      <c r="D196" s="3"/>
      <c r="E196" s="2"/>
      <c r="F196" s="2"/>
      <c r="G196" s="14"/>
      <c r="H196" s="14"/>
      <c r="I196" s="14"/>
      <c r="J196" s="14"/>
      <c r="K196" s="1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8"/>
      <c r="BU196" s="8"/>
      <c r="BV196" s="1"/>
      <c r="BW196" s="1"/>
      <c r="BX196" s="1"/>
      <c r="BY196" s="1"/>
      <c r="BZ196" s="1"/>
    </row>
    <row r="197">
      <c r="A197" s="3"/>
      <c r="B197" s="33" t="s">
        <v>117</v>
      </c>
      <c r="C197" s="3"/>
      <c r="D197" s="3"/>
      <c r="E197" s="2"/>
      <c r="F197" s="2"/>
      <c r="G197" s="14"/>
      <c r="H197" s="14"/>
      <c r="I197" s="14"/>
      <c r="J197" s="14"/>
      <c r="K197" s="1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8"/>
      <c r="BU197" s="8"/>
      <c r="BV197" s="1"/>
      <c r="BW197" s="1"/>
      <c r="BX197" s="1"/>
      <c r="BY197" s="1"/>
      <c r="BZ197" s="1"/>
    </row>
    <row r="198">
      <c r="A198" s="3"/>
      <c r="B198" s="33" t="s">
        <v>117</v>
      </c>
      <c r="C198" s="5"/>
      <c r="D198" s="5" t="s">
        <v>285</v>
      </c>
      <c r="E198" s="2"/>
      <c r="F198" s="2"/>
      <c r="G198" s="14"/>
      <c r="H198" s="14"/>
      <c r="I198" s="14"/>
      <c r="J198" s="14"/>
      <c r="K198" s="14"/>
      <c r="L198" s="1"/>
      <c r="M198" s="1"/>
      <c r="N198" s="1"/>
      <c r="O198" s="1"/>
      <c r="P198" s="1"/>
      <c r="Q198" s="1"/>
      <c r="R198" s="1"/>
      <c r="S198" s="1"/>
      <c r="T198" s="1"/>
      <c r="U198" s="74">
        <v>1.4609387E7</v>
      </c>
      <c r="V198" s="74">
        <v>1.5309159E7</v>
      </c>
      <c r="W198" s="74">
        <v>1.3514382E7</v>
      </c>
      <c r="X198" s="74">
        <v>1.5218487E7</v>
      </c>
      <c r="Y198" s="74">
        <v>1.6340369E7</v>
      </c>
      <c r="Z198" s="74">
        <v>1.6097138E7</v>
      </c>
      <c r="AA198" s="74">
        <v>1.5282295E7</v>
      </c>
      <c r="AB198" s="74">
        <v>1.2405521E7</v>
      </c>
      <c r="AC198" s="74">
        <v>1.3343548E7</v>
      </c>
      <c r="AD198" s="74">
        <v>1.4610168E7</v>
      </c>
      <c r="AE198" s="74">
        <v>1.5407723E7</v>
      </c>
      <c r="AF198" s="74">
        <v>1.3812061E7</v>
      </c>
      <c r="AG198" s="74">
        <v>1.5347566E7</v>
      </c>
      <c r="AH198" s="74">
        <v>1.8831836E7</v>
      </c>
      <c r="AI198" s="130">
        <v>1.6020318E7</v>
      </c>
      <c r="AJ198" s="130">
        <v>1.576942E7</v>
      </c>
      <c r="AK198" s="74">
        <v>1.7799077E7</v>
      </c>
      <c r="AL198" s="74">
        <v>1.7146814E7</v>
      </c>
      <c r="AM198" s="74">
        <v>1.6202515E7</v>
      </c>
      <c r="AN198" s="74">
        <v>1.6265348E7</v>
      </c>
      <c r="AO198" s="74">
        <v>2.0145411E7</v>
      </c>
      <c r="AP198" s="74">
        <v>2.1719028E7</v>
      </c>
      <c r="AQ198" s="74">
        <v>2.2494977E7</v>
      </c>
      <c r="AR198" s="74">
        <v>2.4038821E7</v>
      </c>
      <c r="AS198" s="74">
        <v>2.3995686E7</v>
      </c>
      <c r="AT198" s="74">
        <v>2.0577902E7</v>
      </c>
      <c r="AU198" s="74">
        <v>2.2433842E7</v>
      </c>
      <c r="AV198" s="74">
        <v>2.0150399E7</v>
      </c>
      <c r="AW198" s="74">
        <v>1.5497982E7</v>
      </c>
      <c r="AX198" s="74">
        <v>1.6544736E7</v>
      </c>
      <c r="AY198" s="74">
        <v>1.6097424E7</v>
      </c>
      <c r="AZ198" s="74">
        <v>1.5699348E7</v>
      </c>
      <c r="BA198" s="74">
        <v>1.5873964E7</v>
      </c>
      <c r="BB198" s="74">
        <v>1.4541388E7</v>
      </c>
      <c r="BC198" s="74">
        <v>1.4881907E7</v>
      </c>
      <c r="BD198" s="74">
        <v>1.6721599E7</v>
      </c>
      <c r="BE198" s="74">
        <v>1.3708892E7</v>
      </c>
      <c r="BF198" s="74">
        <v>1.705092E7</v>
      </c>
      <c r="BG198" s="74">
        <v>1.7403561E7</v>
      </c>
      <c r="BH198" s="74">
        <v>2.1598332E7</v>
      </c>
      <c r="BI198" s="74">
        <v>1.7207211E7</v>
      </c>
      <c r="BJ198" s="74">
        <v>1.4679299E7</v>
      </c>
      <c r="BK198" s="74">
        <v>1.5644518E7</v>
      </c>
      <c r="BL198" s="74"/>
      <c r="BM198" s="74"/>
      <c r="BN198" s="74"/>
      <c r="BO198" s="74"/>
      <c r="BP198" s="74"/>
      <c r="BQ198" s="74"/>
      <c r="BR198" s="74"/>
      <c r="BS198" s="1"/>
      <c r="BT198" s="72" t="s">
        <v>201</v>
      </c>
      <c r="BU198" s="9"/>
      <c r="BV198" s="1"/>
      <c r="BW198" s="1"/>
      <c r="BX198" s="1"/>
      <c r="BY198" s="1"/>
      <c r="BZ198" s="1"/>
    </row>
    <row r="199">
      <c r="A199" s="3"/>
      <c r="B199" s="33" t="s">
        <v>117</v>
      </c>
      <c r="C199" s="5"/>
      <c r="D199" s="5" t="s">
        <v>286</v>
      </c>
      <c r="E199" s="131"/>
      <c r="F199" s="131"/>
      <c r="G199" s="131"/>
      <c r="H199" s="131"/>
      <c r="I199" s="131"/>
      <c r="J199" s="131"/>
      <c r="K199" s="131"/>
      <c r="L199" s="131"/>
      <c r="M199" s="1"/>
      <c r="N199" s="1"/>
      <c r="O199" s="1"/>
      <c r="P199" s="1"/>
      <c r="Q199" s="1"/>
      <c r="R199" s="1"/>
      <c r="S199" s="1"/>
      <c r="T199" s="1"/>
      <c r="U199" s="74">
        <v>1.5541901E7</v>
      </c>
      <c r="V199" s="74">
        <v>1.6286339E7</v>
      </c>
      <c r="W199" s="74">
        <v>1.4377002E7</v>
      </c>
      <c r="X199" s="74">
        <v>1.618988E7</v>
      </c>
      <c r="Y199" s="74">
        <v>1.7383371E7</v>
      </c>
      <c r="Z199" s="74">
        <v>1.7124615E7</v>
      </c>
      <c r="AA199" s="74">
        <v>1.6257761E7</v>
      </c>
      <c r="AB199" s="74">
        <v>1.3197363E7</v>
      </c>
      <c r="AC199" s="74">
        <v>1.4195264E7</v>
      </c>
      <c r="AD199" s="74">
        <v>1.5542732E7</v>
      </c>
      <c r="AE199" s="74">
        <v>1.6391195E7</v>
      </c>
      <c r="AF199" s="74">
        <v>1.4693682E7</v>
      </c>
      <c r="AG199" s="74">
        <v>1.6327198E7</v>
      </c>
      <c r="AH199" s="74">
        <v>2.0033868E7</v>
      </c>
      <c r="AI199" s="130">
        <v>1.7042891E7</v>
      </c>
      <c r="AJ199" s="130">
        <v>1.6775979E7</v>
      </c>
      <c r="AK199" s="74">
        <v>1.8935188E7</v>
      </c>
      <c r="AL199" s="74">
        <v>1.8241291E7</v>
      </c>
      <c r="AM199" s="74">
        <v>1.7236718E7</v>
      </c>
      <c r="AN199" s="74">
        <v>1.7303562E7</v>
      </c>
      <c r="AO199" s="74">
        <v>2.1431288E7</v>
      </c>
      <c r="AP199" s="74">
        <v>2.3105349E7</v>
      </c>
      <c r="AQ199" s="74">
        <v>2.3930827E7</v>
      </c>
      <c r="AR199" s="74">
        <v>2.5573214E7</v>
      </c>
      <c r="AS199" s="74">
        <v>2.5527326E7</v>
      </c>
      <c r="AT199" s="74">
        <v>2.1891385E7</v>
      </c>
      <c r="AU199" s="74">
        <v>2.3865789E7</v>
      </c>
      <c r="AV199" s="74">
        <v>2.1436595E7</v>
      </c>
      <c r="AW199" s="74">
        <v>1.6487215E7</v>
      </c>
      <c r="AX199" s="74">
        <v>1.7600783E7</v>
      </c>
      <c r="AY199" s="74">
        <v>1.7124919E7</v>
      </c>
      <c r="AZ199" s="74">
        <v>1.6701434E7</v>
      </c>
      <c r="BA199" s="74">
        <v>1.6887196E7</v>
      </c>
      <c r="BB199" s="74">
        <v>1.5469562E7</v>
      </c>
      <c r="BC199" s="74">
        <v>1.5831816E7</v>
      </c>
      <c r="BD199" s="74">
        <v>1.7788935E7</v>
      </c>
      <c r="BE199" s="74">
        <v>1.5578286E7</v>
      </c>
      <c r="BF199" s="74">
        <v>1.9376045E7</v>
      </c>
      <c r="BG199" s="74">
        <v>1.9776774E7</v>
      </c>
      <c r="BH199" s="74">
        <v>2.4543559E7</v>
      </c>
      <c r="BI199" s="74">
        <v>1.9553649E7</v>
      </c>
      <c r="BJ199" s="74">
        <v>1.6681022E7</v>
      </c>
      <c r="BK199" s="74">
        <v>1.7777861E7</v>
      </c>
      <c r="BL199" s="74"/>
      <c r="BM199" s="74"/>
      <c r="BN199" s="74"/>
      <c r="BO199" s="74"/>
      <c r="BP199" s="74"/>
      <c r="BQ199" s="74"/>
      <c r="BR199" s="74"/>
      <c r="BS199" s="1"/>
      <c r="BT199" s="60" t="s">
        <v>249</v>
      </c>
      <c r="BU199" s="9"/>
      <c r="BV199" s="1"/>
      <c r="BW199" s="1"/>
      <c r="BX199" s="1"/>
      <c r="BY199" s="1"/>
      <c r="BZ199" s="1"/>
    </row>
    <row r="200">
      <c r="A200" s="3"/>
      <c r="B200" s="33" t="s">
        <v>117</v>
      </c>
      <c r="C200" s="3"/>
      <c r="D200" s="3" t="s">
        <v>287</v>
      </c>
      <c r="E200" s="131"/>
      <c r="F200" s="131"/>
      <c r="G200" s="131"/>
      <c r="H200" s="131"/>
      <c r="I200" s="131"/>
      <c r="J200" s="131"/>
      <c r="K200" s="131"/>
      <c r="L200" s="131"/>
      <c r="M200" s="1"/>
      <c r="N200" s="1"/>
      <c r="O200" s="1"/>
      <c r="P200" s="1"/>
      <c r="Q200" s="1"/>
      <c r="R200" s="1"/>
      <c r="S200" s="1"/>
      <c r="T200" s="1"/>
      <c r="U200" s="132">
        <f t="shared" ref="U200:AS200" si="162">U199-U4</f>
        <v>2704345</v>
      </c>
      <c r="V200" s="132">
        <f t="shared" si="162"/>
        <v>3151362</v>
      </c>
      <c r="W200" s="132">
        <f t="shared" si="162"/>
        <v>2176268</v>
      </c>
      <c r="X200" s="132">
        <f t="shared" si="162"/>
        <v>2401965</v>
      </c>
      <c r="Y200" s="132">
        <f t="shared" si="162"/>
        <v>2793555</v>
      </c>
      <c r="Z200" s="132">
        <f t="shared" si="162"/>
        <v>3186873</v>
      </c>
      <c r="AA200" s="132">
        <f t="shared" si="162"/>
        <v>2629349</v>
      </c>
      <c r="AB200" s="132">
        <f t="shared" si="162"/>
        <v>1342534</v>
      </c>
      <c r="AC200" s="132">
        <f t="shared" si="162"/>
        <v>1473381</v>
      </c>
      <c r="AD200" s="132">
        <f t="shared" si="162"/>
        <v>2278494</v>
      </c>
      <c r="AE200" s="132">
        <f t="shared" si="162"/>
        <v>2502828</v>
      </c>
      <c r="AF200" s="132">
        <f t="shared" si="162"/>
        <v>1501777</v>
      </c>
      <c r="AG200" s="132">
        <f t="shared" si="162"/>
        <v>2183055</v>
      </c>
      <c r="AH200" s="132">
        <f t="shared" si="162"/>
        <v>3736087</v>
      </c>
      <c r="AI200" s="17">
        <f t="shared" si="162"/>
        <v>2524687</v>
      </c>
      <c r="AJ200" s="17">
        <f t="shared" si="162"/>
        <v>1976527</v>
      </c>
      <c r="AK200" s="132">
        <f t="shared" si="162"/>
        <v>3008469</v>
      </c>
      <c r="AL200" s="132">
        <f t="shared" si="162"/>
        <v>2031090</v>
      </c>
      <c r="AM200" s="132">
        <f t="shared" si="162"/>
        <v>2151843</v>
      </c>
      <c r="AN200" s="132">
        <f t="shared" si="162"/>
        <v>1792269</v>
      </c>
      <c r="AO200" s="132">
        <f t="shared" si="162"/>
        <v>2756196</v>
      </c>
      <c r="AP200" s="132">
        <f t="shared" si="162"/>
        <v>4075648</v>
      </c>
      <c r="AQ200" s="132">
        <f t="shared" si="162"/>
        <v>4877566</v>
      </c>
      <c r="AR200" s="132">
        <f t="shared" si="162"/>
        <v>5498832</v>
      </c>
      <c r="AS200" s="132">
        <f t="shared" si="162"/>
        <v>4930923.16</v>
      </c>
      <c r="AT200" s="74">
        <v>1313483.0</v>
      </c>
      <c r="AU200" s="74">
        <v>1431947.0</v>
      </c>
      <c r="AV200" s="74">
        <v>1286196.0</v>
      </c>
      <c r="AW200" s="74">
        <v>989233.0</v>
      </c>
      <c r="AX200" s="74">
        <v>1056047.0</v>
      </c>
      <c r="AY200" s="74">
        <v>1027495.0</v>
      </c>
      <c r="AZ200" s="74">
        <v>1002086.0</v>
      </c>
      <c r="BA200" s="74">
        <v>1013232.0</v>
      </c>
      <c r="BB200" s="74">
        <v>928174.0</v>
      </c>
      <c r="BC200" s="74">
        <v>949909.0</v>
      </c>
      <c r="BD200" s="74">
        <v>1067336.0</v>
      </c>
      <c r="BE200" s="74">
        <v>1869394.0</v>
      </c>
      <c r="BF200" s="74">
        <v>2325125.0</v>
      </c>
      <c r="BG200" s="74">
        <v>2373213.0</v>
      </c>
      <c r="BH200" s="74">
        <v>2945227.0</v>
      </c>
      <c r="BI200" s="74">
        <v>2346438.0</v>
      </c>
      <c r="BJ200" s="74">
        <v>2001723.0</v>
      </c>
      <c r="BK200" s="74">
        <v>2133343.0</v>
      </c>
      <c r="BL200" s="74"/>
      <c r="BM200" s="74"/>
      <c r="BN200" s="74"/>
      <c r="BO200" s="74"/>
      <c r="BP200" s="74"/>
      <c r="BQ200" s="74"/>
      <c r="BR200" s="74"/>
      <c r="BS200" s="1"/>
      <c r="BT200" s="9" t="s">
        <v>124</v>
      </c>
      <c r="BU200" s="9"/>
      <c r="BV200" s="1"/>
      <c r="BW200" s="1"/>
      <c r="BX200" s="1"/>
      <c r="BY200" s="1"/>
      <c r="BZ200" s="1"/>
    </row>
    <row r="201">
      <c r="A201" s="3"/>
      <c r="B201" s="33"/>
      <c r="C201" s="3"/>
      <c r="D201" s="3"/>
      <c r="E201" s="2"/>
      <c r="F201" s="2"/>
      <c r="G201" s="14"/>
      <c r="H201" s="14"/>
      <c r="I201" s="14"/>
      <c r="J201" s="14"/>
      <c r="K201" s="1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8"/>
      <c r="BU201" s="8"/>
      <c r="BV201" s="1"/>
      <c r="BW201" s="1"/>
      <c r="BX201" s="1"/>
      <c r="BY201" s="1"/>
      <c r="BZ201" s="1"/>
    </row>
    <row r="202">
      <c r="A202" s="3"/>
      <c r="B202" s="33"/>
      <c r="C202" s="133"/>
      <c r="D202" s="133" t="s">
        <v>288</v>
      </c>
      <c r="E202" s="134"/>
      <c r="F202" s="134"/>
      <c r="G202" s="14"/>
      <c r="H202" s="14"/>
      <c r="I202" s="14"/>
      <c r="J202" s="14"/>
      <c r="K202" s="1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9"/>
      <c r="BU202" s="9"/>
      <c r="BV202" s="1"/>
      <c r="BW202" s="1"/>
      <c r="BX202" s="1"/>
      <c r="BY202" s="1"/>
      <c r="BZ202" s="1"/>
    </row>
    <row r="203">
      <c r="A203" s="3"/>
      <c r="B203" s="33"/>
      <c r="C203" s="135"/>
      <c r="D203" s="135" t="s">
        <v>289</v>
      </c>
      <c r="E203" s="134"/>
      <c r="F203" s="134"/>
      <c r="G203" s="14"/>
      <c r="H203" s="14"/>
      <c r="I203" s="14"/>
      <c r="J203" s="14"/>
      <c r="K203" s="14"/>
      <c r="L203" s="1"/>
      <c r="M203" s="1"/>
      <c r="N203" s="1"/>
      <c r="O203" s="1"/>
      <c r="P203" s="1"/>
      <c r="Q203" s="1"/>
      <c r="R203" s="3" t="s">
        <v>289</v>
      </c>
      <c r="S203" s="69">
        <v>1648.97</v>
      </c>
      <c r="T203" s="69">
        <v>1458.43</v>
      </c>
      <c r="U203" s="69">
        <v>1270.1</v>
      </c>
      <c r="V203" s="69">
        <v>1202.62</v>
      </c>
      <c r="W203" s="69">
        <v>1395.65</v>
      </c>
      <c r="X203" s="69">
        <v>1565.56</v>
      </c>
      <c r="Y203" s="69">
        <v>1545.86</v>
      </c>
      <c r="Z203" s="69">
        <v>1546.06</v>
      </c>
      <c r="AA203" s="69">
        <v>1566.52</v>
      </c>
      <c r="AB203" s="69">
        <v>1546.62</v>
      </c>
      <c r="AC203" s="69">
        <v>1518.31</v>
      </c>
      <c r="AD203" s="69">
        <v>1435.83</v>
      </c>
      <c r="AE203" s="69">
        <v>1438.76</v>
      </c>
      <c r="AF203" s="69">
        <v>1538.95</v>
      </c>
      <c r="AG203" s="69">
        <v>1521.2</v>
      </c>
      <c r="AH203" s="69">
        <v>1496.86</v>
      </c>
      <c r="AI203" s="136">
        <v>1536.32</v>
      </c>
      <c r="AJ203" s="136">
        <v>1596.66</v>
      </c>
      <c r="AK203" s="69">
        <v>1353.51</v>
      </c>
      <c r="AL203" s="69">
        <v>1447.97</v>
      </c>
      <c r="AM203" s="69">
        <v>1503.85</v>
      </c>
      <c r="AN203" s="69">
        <v>1509.48</v>
      </c>
      <c r="AO203" s="69">
        <v>1509.59</v>
      </c>
      <c r="AP203" s="69">
        <v>1498.77</v>
      </c>
      <c r="AQ203" s="69">
        <v>1443.77</v>
      </c>
      <c r="AR203" s="69">
        <v>1358.12</v>
      </c>
      <c r="AS203" s="69">
        <v>1304.73</v>
      </c>
      <c r="AT203" s="69">
        <v>1456.9</v>
      </c>
      <c r="AU203" s="69">
        <v>1536.19</v>
      </c>
      <c r="AV203" s="69">
        <v>1515.35</v>
      </c>
      <c r="AW203" s="69">
        <v>1541.44</v>
      </c>
      <c r="AX203" s="69">
        <v>1428.66</v>
      </c>
      <c r="AY203" s="69">
        <v>1457.89</v>
      </c>
      <c r="AZ203" s="69">
        <v>1544.02</v>
      </c>
      <c r="BA203" s="69">
        <v>1472.09</v>
      </c>
      <c r="BB203" s="69">
        <v>1436.75</v>
      </c>
      <c r="BC203" s="69">
        <v>1462.68</v>
      </c>
      <c r="BD203" s="69">
        <v>1454.21</v>
      </c>
      <c r="BE203" s="69">
        <v>1484.1</v>
      </c>
      <c r="BF203" s="69">
        <v>1116.69</v>
      </c>
      <c r="BG203" s="69">
        <v>1383.15</v>
      </c>
      <c r="BH203" s="69">
        <v>1283.19</v>
      </c>
      <c r="BI203" s="69">
        <v>1487.43</v>
      </c>
      <c r="BJ203" s="69">
        <v>1489.52</v>
      </c>
      <c r="BK203" s="69">
        <v>1513.01</v>
      </c>
      <c r="BL203" s="69"/>
      <c r="BM203" s="69"/>
      <c r="BN203" s="69"/>
      <c r="BO203" s="69"/>
      <c r="BP203" s="69"/>
      <c r="BQ203" s="69"/>
      <c r="BR203" s="69"/>
      <c r="BS203" s="1"/>
      <c r="BT203" s="72" t="s">
        <v>201</v>
      </c>
      <c r="BU203" s="9"/>
      <c r="BV203" s="1"/>
      <c r="BW203" s="1"/>
      <c r="BX203" s="1"/>
      <c r="BY203" s="1"/>
      <c r="BZ203" s="1"/>
    </row>
    <row r="204">
      <c r="A204" s="3"/>
      <c r="B204" s="33"/>
      <c r="C204" s="137"/>
      <c r="D204" s="137" t="s">
        <v>246</v>
      </c>
      <c r="E204" s="134"/>
      <c r="F204" s="134"/>
      <c r="G204" s="14"/>
      <c r="H204" s="14"/>
      <c r="I204" s="14"/>
      <c r="J204" s="14"/>
      <c r="K204" s="14"/>
      <c r="L204" s="1"/>
      <c r="M204" s="1"/>
      <c r="N204" s="1"/>
      <c r="O204" s="1"/>
      <c r="P204" s="1"/>
      <c r="Q204" s="1"/>
      <c r="R204" s="3" t="s">
        <v>246</v>
      </c>
      <c r="S204" s="69">
        <v>899.35</v>
      </c>
      <c r="T204" s="69">
        <v>837.85</v>
      </c>
      <c r="U204" s="69">
        <v>715.09</v>
      </c>
      <c r="V204" s="69">
        <v>682.04</v>
      </c>
      <c r="W204" s="69">
        <v>738.01</v>
      </c>
      <c r="X204" s="69">
        <v>832.27</v>
      </c>
      <c r="Y204" s="69">
        <v>843.77</v>
      </c>
      <c r="Z204" s="69">
        <v>819.96</v>
      </c>
      <c r="AA204" s="69">
        <v>847.72</v>
      </c>
      <c r="AB204" s="69">
        <v>894.6</v>
      </c>
      <c r="AC204" s="69">
        <v>873.89</v>
      </c>
      <c r="AD204" s="69">
        <v>794.45</v>
      </c>
      <c r="AE204" s="69">
        <v>795.77</v>
      </c>
      <c r="AF204" s="69">
        <v>2247.24</v>
      </c>
      <c r="AG204" s="69">
        <v>2087.99</v>
      </c>
      <c r="AH204" s="69">
        <v>1975.77</v>
      </c>
      <c r="AI204" s="136">
        <v>1976.58</v>
      </c>
      <c r="AJ204" s="136">
        <v>1894.39</v>
      </c>
      <c r="AK204" s="69">
        <v>2151.43</v>
      </c>
      <c r="AL204" s="69">
        <v>2286.27</v>
      </c>
      <c r="AM204" s="69">
        <v>2049.39</v>
      </c>
      <c r="AN204" s="69">
        <v>2182.01</v>
      </c>
      <c r="AO204" s="69">
        <v>2575.68</v>
      </c>
      <c r="AP204" s="69">
        <v>2450.79</v>
      </c>
      <c r="AQ204" s="69">
        <v>2585.33</v>
      </c>
      <c r="AR204" s="69">
        <v>2692.46</v>
      </c>
      <c r="AS204" s="69">
        <v>3131.02</v>
      </c>
      <c r="AT204" s="69">
        <v>2725.55</v>
      </c>
      <c r="AU204" s="69">
        <v>2681.42</v>
      </c>
      <c r="AV204" s="69">
        <v>2721.73</v>
      </c>
      <c r="AW204" s="69">
        <v>2000.17</v>
      </c>
      <c r="AX204" s="69">
        <v>2317.59</v>
      </c>
      <c r="AY204" s="69">
        <v>2559.23</v>
      </c>
      <c r="AZ204" s="69">
        <v>2435.25</v>
      </c>
      <c r="BA204" s="69">
        <v>2374.15</v>
      </c>
      <c r="BB204" s="69">
        <v>2278.89</v>
      </c>
      <c r="BC204" s="69">
        <v>2169.96</v>
      </c>
      <c r="BD204" s="69">
        <v>2602.06</v>
      </c>
      <c r="BE204" s="69">
        <v>2445.93</v>
      </c>
      <c r="BF204" s="69">
        <v>2298.37</v>
      </c>
      <c r="BG204" s="69">
        <v>2619.73</v>
      </c>
      <c r="BH204" s="69">
        <v>2775.0</v>
      </c>
      <c r="BI204" s="69">
        <v>2367.7</v>
      </c>
      <c r="BJ204" s="69">
        <v>2278.82</v>
      </c>
      <c r="BK204" s="69">
        <v>2482.35</v>
      </c>
      <c r="BL204" s="69"/>
      <c r="BM204" s="69"/>
      <c r="BN204" s="69"/>
      <c r="BO204" s="69"/>
      <c r="BP204" s="69"/>
      <c r="BQ204" s="69"/>
      <c r="BR204" s="69"/>
      <c r="BS204" s="1"/>
      <c r="BT204" s="60" t="s">
        <v>249</v>
      </c>
      <c r="BU204" s="9"/>
      <c r="BV204" s="1"/>
      <c r="BW204" s="1"/>
      <c r="BX204" s="1"/>
      <c r="BY204" s="1"/>
      <c r="BZ204" s="1"/>
    </row>
    <row r="205">
      <c r="A205" s="3"/>
      <c r="B205" s="33"/>
      <c r="C205" s="137"/>
      <c r="D205" s="137" t="s">
        <v>248</v>
      </c>
      <c r="E205" s="134"/>
      <c r="F205" s="134"/>
      <c r="G205" s="14"/>
      <c r="H205" s="14"/>
      <c r="I205" s="14"/>
      <c r="J205" s="14"/>
      <c r="K205" s="14"/>
      <c r="L205" s="1"/>
      <c r="M205" s="1"/>
      <c r="N205" s="1"/>
      <c r="O205" s="1"/>
      <c r="P205" s="1"/>
      <c r="Q205" s="1"/>
      <c r="R205" s="3" t="s">
        <v>248</v>
      </c>
      <c r="S205" s="69">
        <v>4833.44</v>
      </c>
      <c r="T205" s="69">
        <v>4909.3</v>
      </c>
      <c r="U205" s="69">
        <v>4861.32</v>
      </c>
      <c r="V205" s="69">
        <v>5001.56</v>
      </c>
      <c r="W205" s="69">
        <v>4918.1</v>
      </c>
      <c r="X205" s="69">
        <v>4591.61</v>
      </c>
      <c r="Y205" s="69">
        <v>4598.91</v>
      </c>
      <c r="Z205" s="69">
        <v>4429.5</v>
      </c>
      <c r="AA205" s="69">
        <v>4521.49</v>
      </c>
      <c r="AB205" s="69">
        <v>4871.77</v>
      </c>
      <c r="AC205" s="69">
        <v>4966.96</v>
      </c>
      <c r="AD205" s="69">
        <v>4798.82</v>
      </c>
      <c r="AE205" s="69">
        <v>4770.46</v>
      </c>
      <c r="AF205" s="69">
        <v>4930.22</v>
      </c>
      <c r="AG205" s="69">
        <v>4873.0</v>
      </c>
      <c r="AH205" s="69">
        <v>4393.14</v>
      </c>
      <c r="AI205" s="136">
        <v>4572.94</v>
      </c>
      <c r="AJ205" s="136">
        <v>4750.95</v>
      </c>
      <c r="AK205" s="69">
        <v>4785.34</v>
      </c>
      <c r="AL205" s="69">
        <v>4905.82</v>
      </c>
      <c r="AM205" s="69">
        <v>4697.55</v>
      </c>
      <c r="AN205" s="69">
        <v>4860.98</v>
      </c>
      <c r="AO205" s="69">
        <v>4721.61</v>
      </c>
      <c r="AP205" s="69">
        <v>4405.77</v>
      </c>
      <c r="AQ205" s="69">
        <v>4304.0</v>
      </c>
      <c r="AR205" s="69">
        <v>4185.32</v>
      </c>
      <c r="AS205" s="69">
        <v>4433.72</v>
      </c>
      <c r="AT205" s="69">
        <v>4733.82</v>
      </c>
      <c r="AU205" s="69">
        <v>4730.07</v>
      </c>
      <c r="AV205" s="69">
        <v>5015.17</v>
      </c>
      <c r="AW205" s="69">
        <v>4954.57</v>
      </c>
      <c r="AX205" s="69">
        <v>5024.86</v>
      </c>
      <c r="AY205" s="69">
        <v>5329.34</v>
      </c>
      <c r="AZ205" s="69">
        <v>5402.0</v>
      </c>
      <c r="BA205" s="69">
        <v>5212.01</v>
      </c>
      <c r="BB205" s="69">
        <v>5287.49</v>
      </c>
      <c r="BC205" s="69">
        <v>5371.03</v>
      </c>
      <c r="BD205" s="69">
        <v>5417.23</v>
      </c>
      <c r="BE205" s="69">
        <v>5826.19</v>
      </c>
      <c r="BF205" s="69">
        <v>4674.89</v>
      </c>
      <c r="BG205" s="69">
        <v>4914.51</v>
      </c>
      <c r="BH205" s="69">
        <v>4289.18</v>
      </c>
      <c r="BI205" s="69">
        <v>4831.03</v>
      </c>
      <c r="BJ205" s="69">
        <v>5012.73</v>
      </c>
      <c r="BK205" s="69">
        <v>5209.01</v>
      </c>
      <c r="BL205" s="69"/>
      <c r="BM205" s="69"/>
      <c r="BN205" s="69"/>
      <c r="BO205" s="69"/>
      <c r="BP205" s="69"/>
      <c r="BQ205" s="69"/>
      <c r="BR205" s="69"/>
      <c r="BS205" s="1"/>
      <c r="BT205" s="60" t="s">
        <v>249</v>
      </c>
      <c r="BU205" s="9"/>
      <c r="BV205" s="1"/>
      <c r="BW205" s="1"/>
      <c r="BX205" s="1"/>
      <c r="BY205" s="1"/>
      <c r="BZ205" s="1"/>
    </row>
    <row r="206">
      <c r="A206" s="3"/>
      <c r="B206" s="33"/>
      <c r="C206" s="137"/>
      <c r="D206" s="137" t="s">
        <v>251</v>
      </c>
      <c r="E206" s="134"/>
      <c r="F206" s="134"/>
      <c r="G206" s="14"/>
      <c r="H206" s="14"/>
      <c r="I206" s="14"/>
      <c r="J206" s="14"/>
      <c r="K206" s="14"/>
      <c r="L206" s="1"/>
      <c r="M206" s="1"/>
      <c r="N206" s="1"/>
      <c r="O206" s="1"/>
      <c r="P206" s="1"/>
      <c r="Q206" s="1"/>
      <c r="R206" s="3" t="s">
        <v>251</v>
      </c>
      <c r="S206" s="69">
        <v>3415.25</v>
      </c>
      <c r="T206" s="69">
        <v>3396.07</v>
      </c>
      <c r="U206" s="69">
        <v>3367.4</v>
      </c>
      <c r="V206" s="69">
        <v>3493.18</v>
      </c>
      <c r="W206" s="69">
        <v>3445.61</v>
      </c>
      <c r="X206" s="69">
        <v>3233.07</v>
      </c>
      <c r="Y206" s="69">
        <v>3348.36</v>
      </c>
      <c r="Z206" s="69">
        <v>3288.15</v>
      </c>
      <c r="AA206" s="69">
        <v>3431.74</v>
      </c>
      <c r="AB206" s="69">
        <v>3463.23</v>
      </c>
      <c r="AC206" s="69">
        <v>3557.04</v>
      </c>
      <c r="AD206" s="69">
        <v>3426.35</v>
      </c>
      <c r="AE206" s="69">
        <v>3206.06</v>
      </c>
      <c r="AF206" s="69">
        <v>3298.36</v>
      </c>
      <c r="AG206" s="69">
        <v>2542.77</v>
      </c>
      <c r="AH206" s="69">
        <v>3227.34</v>
      </c>
      <c r="AI206" s="136">
        <v>3646.76</v>
      </c>
      <c r="AJ206" s="136">
        <v>3571.94</v>
      </c>
      <c r="AK206" s="69">
        <v>3600.53</v>
      </c>
      <c r="AL206" s="69">
        <v>3615.09</v>
      </c>
      <c r="AM206" s="69">
        <v>3612.75</v>
      </c>
      <c r="AN206" s="69">
        <v>3719.03</v>
      </c>
      <c r="AO206" s="69">
        <v>3758.62</v>
      </c>
      <c r="AP206" s="69">
        <v>3718.7</v>
      </c>
      <c r="AQ206" s="69">
        <v>3664.73</v>
      </c>
      <c r="AR206" s="69">
        <v>3538.36</v>
      </c>
      <c r="AS206" s="69">
        <v>3600.7</v>
      </c>
      <c r="AT206" s="69">
        <v>3584.09</v>
      </c>
      <c r="AU206" s="69">
        <v>3183.51</v>
      </c>
      <c r="AV206" s="69">
        <v>3485.32</v>
      </c>
      <c r="AW206" s="69">
        <v>3591.64</v>
      </c>
      <c r="AX206" s="69">
        <v>3753.22</v>
      </c>
      <c r="AY206" s="69">
        <v>3818.25</v>
      </c>
      <c r="AZ206" s="69">
        <v>3882.54</v>
      </c>
      <c r="BA206" s="69">
        <v>3896.11</v>
      </c>
      <c r="BB206" s="69">
        <v>3837.08</v>
      </c>
      <c r="BC206" s="69">
        <v>3943.94</v>
      </c>
      <c r="BD206" s="69">
        <v>4045.3</v>
      </c>
      <c r="BE206" s="69">
        <v>4208.78</v>
      </c>
      <c r="BF206" s="69">
        <v>2421.39</v>
      </c>
      <c r="BG206" s="69">
        <v>2771.42</v>
      </c>
      <c r="BH206" s="69">
        <v>3344.88</v>
      </c>
      <c r="BI206" s="69">
        <v>4162.78</v>
      </c>
      <c r="BJ206" s="69">
        <v>4421.13</v>
      </c>
      <c r="BK206" s="69">
        <v>3938.3</v>
      </c>
      <c r="BL206" s="69"/>
      <c r="BM206" s="69"/>
      <c r="BN206" s="69"/>
      <c r="BO206" s="69"/>
      <c r="BP206" s="69"/>
      <c r="BQ206" s="69"/>
      <c r="BR206" s="69"/>
      <c r="BS206" s="1"/>
      <c r="BT206" s="72" t="s">
        <v>201</v>
      </c>
      <c r="BU206" s="9"/>
      <c r="BV206" s="1"/>
      <c r="BW206" s="1"/>
      <c r="BX206" s="1"/>
      <c r="BY206" s="1"/>
      <c r="BZ206" s="1"/>
    </row>
    <row r="207">
      <c r="A207" s="3"/>
      <c r="B207" s="33"/>
      <c r="C207" s="137"/>
      <c r="D207" s="137" t="s">
        <v>253</v>
      </c>
      <c r="E207" s="134"/>
      <c r="F207" s="134"/>
      <c r="G207" s="14"/>
      <c r="H207" s="14"/>
      <c r="I207" s="14"/>
      <c r="J207" s="14"/>
      <c r="K207" s="14"/>
      <c r="L207" s="1"/>
      <c r="M207" s="1"/>
      <c r="N207" s="1"/>
      <c r="O207" s="1"/>
      <c r="P207" s="1"/>
      <c r="Q207" s="1"/>
      <c r="R207" s="3" t="s">
        <v>253</v>
      </c>
      <c r="S207" s="69">
        <v>838.99</v>
      </c>
      <c r="T207" s="69">
        <v>842.74</v>
      </c>
      <c r="U207" s="69">
        <v>824.37</v>
      </c>
      <c r="V207" s="69">
        <v>812.48</v>
      </c>
      <c r="W207" s="69">
        <v>823.56</v>
      </c>
      <c r="X207" s="69">
        <v>770.49</v>
      </c>
      <c r="Y207" s="69">
        <v>765.78</v>
      </c>
      <c r="Z207" s="69">
        <v>756.52</v>
      </c>
      <c r="AA207" s="69">
        <v>782.51</v>
      </c>
      <c r="AB207" s="69">
        <v>771.76</v>
      </c>
      <c r="AC207" s="69">
        <v>759.78</v>
      </c>
      <c r="AD207" s="69">
        <v>735.2</v>
      </c>
      <c r="AE207" s="69">
        <v>712.83</v>
      </c>
      <c r="AF207" s="69">
        <v>744.61</v>
      </c>
      <c r="AG207" s="69">
        <v>786.34</v>
      </c>
      <c r="AH207" s="69">
        <v>780.95</v>
      </c>
      <c r="AI207" s="136">
        <v>754.16</v>
      </c>
      <c r="AJ207" s="136">
        <v>726.94</v>
      </c>
      <c r="AK207" s="69">
        <v>761.63</v>
      </c>
      <c r="AL207" s="69">
        <v>767.61</v>
      </c>
      <c r="AM207" s="69">
        <v>764.99</v>
      </c>
      <c r="AN207" s="69">
        <v>768.36</v>
      </c>
      <c r="AO207" s="69">
        <v>749.96</v>
      </c>
      <c r="AP207" s="69">
        <v>704.52</v>
      </c>
      <c r="AQ207" s="69">
        <v>681.61</v>
      </c>
      <c r="AR207" s="69">
        <v>680.81</v>
      </c>
      <c r="AS207" s="69">
        <v>694.46</v>
      </c>
      <c r="AT207" s="69">
        <v>771.52</v>
      </c>
      <c r="AU207" s="69">
        <v>787.15</v>
      </c>
      <c r="AV207" s="69">
        <v>742.68</v>
      </c>
      <c r="AW207" s="69">
        <v>673.72</v>
      </c>
      <c r="AX207" s="69">
        <v>666.3</v>
      </c>
      <c r="AY207" s="69">
        <v>754.85</v>
      </c>
      <c r="AZ207" s="69">
        <v>781.67</v>
      </c>
      <c r="BA207" s="69">
        <v>781.04</v>
      </c>
      <c r="BB207" s="69">
        <v>771.84</v>
      </c>
      <c r="BC207" s="69">
        <v>808.37</v>
      </c>
      <c r="BD207" s="69">
        <v>838.51</v>
      </c>
      <c r="BE207" s="69">
        <v>831.06</v>
      </c>
      <c r="BF207" s="69">
        <v>867.99</v>
      </c>
      <c r="BG207" s="69">
        <v>921.75</v>
      </c>
      <c r="BH207" s="69">
        <v>884.2</v>
      </c>
      <c r="BI207" s="69">
        <v>856.72</v>
      </c>
      <c r="BJ207" s="69">
        <v>858.83</v>
      </c>
      <c r="BK207" s="69">
        <v>788.65</v>
      </c>
      <c r="BL207" s="69"/>
      <c r="BM207" s="69"/>
      <c r="BN207" s="69"/>
      <c r="BO207" s="69"/>
      <c r="BP207" s="69"/>
      <c r="BQ207" s="69"/>
      <c r="BR207" s="69"/>
      <c r="BS207" s="1"/>
      <c r="BT207" s="60" t="s">
        <v>249</v>
      </c>
      <c r="BU207" s="9"/>
      <c r="BV207" s="1"/>
      <c r="BW207" s="1"/>
      <c r="BX207" s="1"/>
      <c r="BY207" s="1"/>
      <c r="BZ207" s="1"/>
    </row>
    <row r="208">
      <c r="A208" s="3"/>
      <c r="B208" s="33"/>
      <c r="C208" s="137"/>
      <c r="D208" s="137" t="s">
        <v>255</v>
      </c>
      <c r="E208" s="134"/>
      <c r="F208" s="134"/>
      <c r="G208" s="14"/>
      <c r="H208" s="14"/>
      <c r="I208" s="14"/>
      <c r="J208" s="14"/>
      <c r="K208" s="14"/>
      <c r="L208" s="1"/>
      <c r="M208" s="1"/>
      <c r="N208" s="1"/>
      <c r="O208" s="1"/>
      <c r="P208" s="1"/>
      <c r="Q208" s="1"/>
      <c r="R208" s="3" t="s">
        <v>255</v>
      </c>
      <c r="S208" s="69">
        <v>314.37</v>
      </c>
      <c r="T208" s="69">
        <v>315.98</v>
      </c>
      <c r="U208" s="69">
        <v>301.29</v>
      </c>
      <c r="V208" s="69">
        <v>320.04</v>
      </c>
      <c r="W208" s="69">
        <v>312.52</v>
      </c>
      <c r="X208" s="69">
        <v>284.21</v>
      </c>
      <c r="Y208" s="69">
        <v>284.29</v>
      </c>
      <c r="Z208" s="69">
        <v>295.94</v>
      </c>
      <c r="AA208" s="69">
        <v>313.75</v>
      </c>
      <c r="AB208" s="69">
        <v>322.42</v>
      </c>
      <c r="AC208" s="69">
        <v>318.77</v>
      </c>
      <c r="AD208" s="69">
        <v>319.33</v>
      </c>
      <c r="AE208" s="69">
        <v>314.26</v>
      </c>
      <c r="AF208" s="69">
        <v>327.34</v>
      </c>
      <c r="AG208" s="69">
        <v>332.13</v>
      </c>
      <c r="AH208" s="69">
        <v>328.11</v>
      </c>
      <c r="AI208" s="136">
        <v>333.44</v>
      </c>
      <c r="AJ208" s="136">
        <v>316.71</v>
      </c>
      <c r="AK208" s="69">
        <v>312.08</v>
      </c>
      <c r="AL208" s="69">
        <v>316.27</v>
      </c>
      <c r="AM208" s="69">
        <v>327.05</v>
      </c>
      <c r="AN208" s="69">
        <v>319.78</v>
      </c>
      <c r="AO208" s="69">
        <v>314.79</v>
      </c>
      <c r="AP208" s="69">
        <v>315.06</v>
      </c>
      <c r="AQ208" s="69">
        <v>313.39</v>
      </c>
      <c r="AR208" s="69">
        <v>299.13</v>
      </c>
      <c r="AS208" s="69">
        <v>304.43</v>
      </c>
      <c r="AT208" s="69">
        <v>326.72</v>
      </c>
      <c r="AU208" s="69">
        <v>335.56</v>
      </c>
      <c r="AV208" s="69">
        <v>335.75</v>
      </c>
      <c r="AW208" s="69">
        <v>337.56</v>
      </c>
      <c r="AX208" s="69">
        <v>332.58</v>
      </c>
      <c r="AY208" s="69">
        <v>333.5</v>
      </c>
      <c r="AZ208" s="69">
        <v>330.94</v>
      </c>
      <c r="BA208" s="69">
        <v>317.6</v>
      </c>
      <c r="BB208" s="69">
        <v>309.04</v>
      </c>
      <c r="BC208" s="69">
        <v>306.32</v>
      </c>
      <c r="BD208" s="69">
        <v>313.9</v>
      </c>
      <c r="BE208" s="69">
        <v>322.57</v>
      </c>
      <c r="BF208" s="69">
        <v>329.36</v>
      </c>
      <c r="BG208" s="69">
        <v>324.5</v>
      </c>
      <c r="BH208" s="69">
        <v>282.97</v>
      </c>
      <c r="BI208" s="69">
        <v>297.73</v>
      </c>
      <c r="BJ208" s="69">
        <v>305.26</v>
      </c>
      <c r="BK208" s="69">
        <v>326.79</v>
      </c>
      <c r="BL208" s="69"/>
      <c r="BM208" s="69"/>
      <c r="BN208" s="69"/>
      <c r="BO208" s="69"/>
      <c r="BP208" s="69"/>
      <c r="BQ208" s="69"/>
      <c r="BR208" s="69"/>
      <c r="BS208" s="1"/>
      <c r="BT208" s="60" t="s">
        <v>249</v>
      </c>
      <c r="BU208" s="9"/>
      <c r="BV208" s="1"/>
      <c r="BW208" s="1"/>
      <c r="BX208" s="1"/>
      <c r="BY208" s="1"/>
      <c r="BZ208" s="1"/>
    </row>
    <row r="209">
      <c r="A209" s="3"/>
      <c r="B209" s="33"/>
      <c r="C209" s="137"/>
      <c r="D209" s="137" t="s">
        <v>257</v>
      </c>
      <c r="E209" s="134"/>
      <c r="F209" s="134"/>
      <c r="G209" s="14"/>
      <c r="H209" s="14"/>
      <c r="I209" s="14"/>
      <c r="J209" s="14"/>
      <c r="K209" s="14"/>
      <c r="L209" s="1"/>
      <c r="M209" s="1"/>
      <c r="N209" s="1"/>
      <c r="O209" s="1"/>
      <c r="P209" s="1"/>
      <c r="Q209" s="1"/>
      <c r="R209" s="3" t="s">
        <v>258</v>
      </c>
      <c r="S209" s="69">
        <v>759.22</v>
      </c>
      <c r="T209" s="69">
        <v>708.48</v>
      </c>
      <c r="U209" s="69">
        <v>751.37</v>
      </c>
      <c r="V209" s="69">
        <v>948.6</v>
      </c>
      <c r="W209" s="69">
        <v>1072.55</v>
      </c>
      <c r="X209" s="69">
        <v>887.83</v>
      </c>
      <c r="Y209" s="69">
        <v>867.05</v>
      </c>
      <c r="Z209" s="69">
        <v>782.27</v>
      </c>
      <c r="AA209" s="69">
        <v>877.89</v>
      </c>
      <c r="AB209" s="69">
        <v>886.91</v>
      </c>
      <c r="AC209" s="69">
        <v>949.8</v>
      </c>
      <c r="AD209" s="69">
        <v>859.3</v>
      </c>
      <c r="AE209" s="69">
        <v>759.72</v>
      </c>
      <c r="AF209" s="69">
        <v>938.9</v>
      </c>
      <c r="AG209" s="69">
        <v>889.98</v>
      </c>
      <c r="AH209" s="69">
        <v>1074.24</v>
      </c>
      <c r="AI209" s="136">
        <v>1044.11</v>
      </c>
      <c r="AJ209" s="136">
        <v>935.63</v>
      </c>
      <c r="AK209" s="69">
        <v>975.9</v>
      </c>
      <c r="AL209" s="69">
        <v>1069.99</v>
      </c>
      <c r="AM209" s="69">
        <v>1076.08</v>
      </c>
      <c r="AN209" s="69">
        <v>1036.81</v>
      </c>
      <c r="AO209" s="69">
        <v>910.34</v>
      </c>
      <c r="AP209" s="69">
        <v>926.7</v>
      </c>
      <c r="AQ209" s="69">
        <v>946.17</v>
      </c>
      <c r="AR209" s="69">
        <v>870.36</v>
      </c>
      <c r="AS209" s="69">
        <v>917.64</v>
      </c>
      <c r="AT209" s="69">
        <v>836.48</v>
      </c>
      <c r="AU209" s="69">
        <v>695.68</v>
      </c>
      <c r="AV209" s="69">
        <v>727.86</v>
      </c>
      <c r="AW209" s="69">
        <v>960.76</v>
      </c>
      <c r="AX209" s="69">
        <v>1227.24</v>
      </c>
      <c r="AY209" s="69">
        <v>1089.21</v>
      </c>
      <c r="AZ209" s="69">
        <v>770.22</v>
      </c>
      <c r="BA209" s="69">
        <v>746.02</v>
      </c>
      <c r="BB209" s="69">
        <v>993.6</v>
      </c>
      <c r="BC209" s="69">
        <v>1056.89</v>
      </c>
      <c r="BD209" s="69">
        <v>1103.12</v>
      </c>
      <c r="BE209" s="69">
        <v>1055.52</v>
      </c>
      <c r="BF209" s="69">
        <v>820.17</v>
      </c>
      <c r="BG209" s="69">
        <v>883.29</v>
      </c>
      <c r="BH209" s="69">
        <v>1062.73</v>
      </c>
      <c r="BI209" s="69">
        <v>1057.65</v>
      </c>
      <c r="BJ209" s="69">
        <v>1049.41</v>
      </c>
      <c r="BK209" s="69">
        <v>1199.07</v>
      </c>
      <c r="BL209" s="69"/>
      <c r="BM209" s="69"/>
      <c r="BN209" s="69"/>
      <c r="BO209" s="69"/>
      <c r="BP209" s="69"/>
      <c r="BQ209" s="69"/>
      <c r="BR209" s="69"/>
      <c r="BS209" s="1"/>
      <c r="BT209" s="60" t="s">
        <v>249</v>
      </c>
      <c r="BU209" s="9"/>
      <c r="BV209" s="1"/>
      <c r="BW209" s="1"/>
      <c r="BX209" s="1"/>
      <c r="BY209" s="1"/>
      <c r="BZ209" s="1"/>
    </row>
    <row r="210">
      <c r="A210" s="3"/>
      <c r="B210" s="33"/>
      <c r="C210" s="137"/>
      <c r="D210" s="137" t="s">
        <v>261</v>
      </c>
      <c r="E210" s="134"/>
      <c r="F210" s="134"/>
      <c r="G210" s="14"/>
      <c r="H210" s="14"/>
      <c r="I210" s="14"/>
      <c r="J210" s="14"/>
      <c r="K210" s="14"/>
      <c r="L210" s="1"/>
      <c r="M210" s="1"/>
      <c r="N210" s="1"/>
      <c r="O210" s="1"/>
      <c r="P210" s="1"/>
      <c r="Q210" s="1"/>
      <c r="R210" s="3" t="s">
        <v>261</v>
      </c>
      <c r="S210" s="69">
        <v>0.0</v>
      </c>
      <c r="T210" s="69">
        <v>0.0</v>
      </c>
      <c r="U210" s="69">
        <v>2006.6</v>
      </c>
      <c r="V210" s="69">
        <v>1421.95</v>
      </c>
      <c r="W210" s="69">
        <v>1731.14</v>
      </c>
      <c r="X210" s="69">
        <v>1782.0</v>
      </c>
      <c r="Y210" s="69">
        <v>1646.57</v>
      </c>
      <c r="Z210" s="69">
        <v>1618.12</v>
      </c>
      <c r="AA210" s="69">
        <v>1526.1</v>
      </c>
      <c r="AB210" s="69">
        <v>1566.3</v>
      </c>
      <c r="AC210" s="69">
        <v>1623.61</v>
      </c>
      <c r="AD210" s="69">
        <v>1500.49</v>
      </c>
      <c r="AE210" s="69">
        <v>1380.84</v>
      </c>
      <c r="AF210" s="69">
        <v>1314.47</v>
      </c>
      <c r="AG210" s="69">
        <v>1084.87</v>
      </c>
      <c r="AH210" s="69">
        <v>1275.76</v>
      </c>
      <c r="AI210" s="136">
        <v>1407.48</v>
      </c>
      <c r="AJ210" s="136">
        <v>1596.98</v>
      </c>
      <c r="AK210" s="69">
        <v>1632.07</v>
      </c>
      <c r="AL210" s="69">
        <v>1614.37</v>
      </c>
      <c r="AM210" s="69">
        <v>1786.64</v>
      </c>
      <c r="AN210" s="69">
        <v>1774.67</v>
      </c>
      <c r="AO210" s="69">
        <v>1584.98</v>
      </c>
      <c r="AP210" s="69">
        <v>1558.16</v>
      </c>
      <c r="AQ210" s="69">
        <v>1514.02</v>
      </c>
      <c r="AR210" s="69">
        <v>1469.17</v>
      </c>
      <c r="AS210" s="69">
        <v>1501.49</v>
      </c>
      <c r="AT210" s="69">
        <v>1536.87</v>
      </c>
      <c r="AU210" s="69">
        <v>1509.21</v>
      </c>
      <c r="AV210" s="69">
        <v>1673.67</v>
      </c>
      <c r="AW210" s="69">
        <v>1462.02</v>
      </c>
      <c r="AX210" s="69">
        <v>1620.7</v>
      </c>
      <c r="AY210" s="69">
        <v>1814.7</v>
      </c>
      <c r="AZ210" s="69">
        <v>1829.34</v>
      </c>
      <c r="BA210" s="69">
        <v>1879.08</v>
      </c>
      <c r="BB210" s="69">
        <v>1787.98</v>
      </c>
      <c r="BC210" s="69">
        <v>1900.85</v>
      </c>
      <c r="BD210" s="69">
        <v>2035.93</v>
      </c>
      <c r="BE210" s="69">
        <v>2024.98</v>
      </c>
      <c r="BF210" s="69">
        <v>936.0</v>
      </c>
      <c r="BG210" s="69">
        <v>649.21</v>
      </c>
      <c r="BH210" s="69">
        <v>1707.4</v>
      </c>
      <c r="BI210" s="69">
        <v>2217.77</v>
      </c>
      <c r="BJ210" s="69">
        <v>2351.12</v>
      </c>
      <c r="BK210" s="69">
        <v>2390.25</v>
      </c>
      <c r="BL210" s="69"/>
      <c r="BM210" s="69"/>
      <c r="BN210" s="69"/>
      <c r="BO210" s="69"/>
      <c r="BP210" s="69"/>
      <c r="BQ210" s="69"/>
      <c r="BR210" s="69"/>
      <c r="BS210" s="1"/>
      <c r="BT210" s="9"/>
      <c r="BU210" s="9"/>
      <c r="BV210" s="1"/>
      <c r="BW210" s="1"/>
      <c r="BX210" s="1"/>
      <c r="BY210" s="1"/>
      <c r="BZ210" s="1"/>
    </row>
    <row r="211">
      <c r="A211" s="3"/>
      <c r="B211" s="33"/>
      <c r="C211" s="138"/>
      <c r="D211" s="138"/>
      <c r="E211" s="2"/>
      <c r="F211" s="2"/>
      <c r="G211" s="14"/>
      <c r="H211" s="14"/>
      <c r="I211" s="14"/>
      <c r="J211" s="14"/>
      <c r="K211" s="1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8"/>
      <c r="BU211" s="8"/>
      <c r="BV211" s="1"/>
      <c r="BW211" s="1"/>
      <c r="BX211" s="1"/>
      <c r="BY211" s="1"/>
      <c r="BZ211" s="1"/>
    </row>
    <row r="212">
      <c r="A212" s="3"/>
      <c r="B212" s="33"/>
      <c r="C212" s="139"/>
      <c r="D212" s="139" t="s">
        <v>290</v>
      </c>
      <c r="E212" s="134"/>
      <c r="F212" s="134"/>
      <c r="G212" s="14"/>
      <c r="H212" s="14"/>
      <c r="I212" s="14"/>
      <c r="J212" s="14"/>
      <c r="K212" s="1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9"/>
      <c r="BU212" s="9"/>
      <c r="BV212" s="1"/>
      <c r="BW212" s="1"/>
      <c r="BX212" s="1"/>
      <c r="BY212" s="1"/>
      <c r="BZ212" s="1"/>
    </row>
    <row r="213">
      <c r="A213" s="3"/>
      <c r="B213" s="33"/>
      <c r="C213" s="6"/>
      <c r="D213" s="6" t="s">
        <v>291</v>
      </c>
      <c r="E213" s="134"/>
      <c r="F213" s="134"/>
      <c r="G213" s="14"/>
      <c r="H213" s="14"/>
      <c r="I213" s="14"/>
      <c r="J213" s="14"/>
      <c r="K213" s="1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3" t="s">
        <v>291</v>
      </c>
      <c r="Z213" s="3">
        <v>4995.0</v>
      </c>
      <c r="AA213" s="3">
        <v>31210.0</v>
      </c>
      <c r="AB213" s="3">
        <v>13396.0</v>
      </c>
      <c r="AC213" s="3">
        <v>18216.0</v>
      </c>
      <c r="AD213" s="3">
        <v>31972.0</v>
      </c>
      <c r="AE213" s="3">
        <v>15801.0</v>
      </c>
      <c r="AF213" s="3">
        <v>1944.0</v>
      </c>
      <c r="AG213" s="3">
        <v>16826.0</v>
      </c>
      <c r="AH213" s="3">
        <v>24221.0</v>
      </c>
      <c r="AI213" s="3">
        <v>6324.0</v>
      </c>
      <c r="AJ213" s="3">
        <v>4942.0</v>
      </c>
      <c r="AK213" s="3">
        <v>7881.0</v>
      </c>
      <c r="AL213" s="3">
        <v>8908.0</v>
      </c>
      <c r="AM213" s="3">
        <v>7590.0</v>
      </c>
      <c r="AN213" s="3">
        <v>53246.0</v>
      </c>
      <c r="AO213" s="3">
        <v>70398.0</v>
      </c>
      <c r="AP213" s="3">
        <v>98617.0</v>
      </c>
      <c r="AQ213" s="3">
        <v>65051.0</v>
      </c>
      <c r="AR213" s="6">
        <v>13611.0</v>
      </c>
      <c r="AS213" s="6">
        <v>6662.0</v>
      </c>
      <c r="AT213" s="6">
        <v>2125.0</v>
      </c>
      <c r="AU213" s="6">
        <v>7328.0</v>
      </c>
      <c r="AV213" s="6">
        <v>45456.0</v>
      </c>
      <c r="AW213" s="6">
        <v>6501.0</v>
      </c>
      <c r="AX213" s="6">
        <v>0.0</v>
      </c>
      <c r="AY213" s="6">
        <v>20956.0</v>
      </c>
      <c r="AZ213" s="6">
        <v>117750.0</v>
      </c>
      <c r="BA213" s="6">
        <v>62785.0</v>
      </c>
      <c r="BB213" s="6">
        <v>12882.0</v>
      </c>
      <c r="BC213" s="6">
        <v>11467.0</v>
      </c>
      <c r="BD213" s="6">
        <v>3002.0</v>
      </c>
      <c r="BE213" s="6">
        <v>19080.0</v>
      </c>
      <c r="BF213" s="6">
        <v>35361.0</v>
      </c>
      <c r="BG213" s="6">
        <v>16139.0</v>
      </c>
      <c r="BH213" s="6">
        <v>6698.0</v>
      </c>
      <c r="BI213" s="6">
        <v>658.0</v>
      </c>
      <c r="BJ213" s="6">
        <v>0.0</v>
      </c>
      <c r="BK213" s="6"/>
      <c r="BL213" s="6"/>
      <c r="BM213" s="6"/>
      <c r="BN213" s="6"/>
      <c r="BO213" s="6"/>
      <c r="BP213" s="6"/>
      <c r="BQ213" s="6"/>
      <c r="BR213" s="6"/>
      <c r="BS213" s="1"/>
      <c r="BT213" s="9"/>
      <c r="BU213" s="9"/>
      <c r="BV213" s="1"/>
      <c r="BW213" s="1"/>
      <c r="BX213" s="1"/>
      <c r="BY213" s="1"/>
      <c r="BZ213" s="1"/>
    </row>
    <row r="214">
      <c r="A214" s="3"/>
      <c r="B214" s="33"/>
      <c r="C214" s="6"/>
      <c r="D214" s="6" t="s">
        <v>292</v>
      </c>
      <c r="E214" s="134"/>
      <c r="F214" s="134"/>
      <c r="G214" s="14"/>
      <c r="H214" s="14"/>
      <c r="I214" s="14"/>
      <c r="J214" s="14"/>
      <c r="K214" s="1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3" t="s">
        <v>293</v>
      </c>
      <c r="Z214" s="32">
        <f t="shared" ref="Z214:AM214" si="163">Z213/Z4</f>
        <v>0.0003583794276</v>
      </c>
      <c r="AA214" s="32">
        <f t="shared" si="163"/>
        <v>0.002290068718</v>
      </c>
      <c r="AB214" s="32">
        <f t="shared" si="163"/>
        <v>0.001130003647</v>
      </c>
      <c r="AC214" s="32">
        <f t="shared" si="163"/>
        <v>0.001431863506</v>
      </c>
      <c r="AD214" s="32">
        <f t="shared" si="163"/>
        <v>0.002410391008</v>
      </c>
      <c r="AE214" s="32">
        <f t="shared" si="163"/>
        <v>0.001137714751</v>
      </c>
      <c r="AF214" s="32">
        <f t="shared" si="163"/>
        <v>0.0001473630988</v>
      </c>
      <c r="AG214" s="32">
        <f t="shared" si="163"/>
        <v>0.001189609013</v>
      </c>
      <c r="AH214" s="32">
        <f t="shared" si="163"/>
        <v>0.001486153238</v>
      </c>
      <c r="AI214" s="32">
        <f t="shared" si="163"/>
        <v>0.000435591069</v>
      </c>
      <c r="AJ214" s="32">
        <f t="shared" si="163"/>
        <v>0.0003339312834</v>
      </c>
      <c r="AK214" s="32">
        <f t="shared" si="163"/>
        <v>0.000494828847</v>
      </c>
      <c r="AL214" s="32">
        <f t="shared" si="163"/>
        <v>0.0005495305086</v>
      </c>
      <c r="AM214" s="32">
        <f t="shared" si="163"/>
        <v>0.0005031529926</v>
      </c>
      <c r="AN214" s="33">
        <v>0.0073</v>
      </c>
      <c r="AO214" s="33">
        <v>0.0075</v>
      </c>
      <c r="AP214" s="33">
        <v>0.0105</v>
      </c>
      <c r="AQ214" s="33">
        <v>0.0075</v>
      </c>
      <c r="AR214" s="33">
        <v>0.01</v>
      </c>
      <c r="AS214" s="33">
        <v>0.0071</v>
      </c>
      <c r="AT214" s="33">
        <v>0.0522</v>
      </c>
      <c r="AU214" s="33">
        <v>0.0075</v>
      </c>
      <c r="AV214" s="33">
        <v>0.2421</v>
      </c>
      <c r="AW214" s="33">
        <v>0.3039</v>
      </c>
      <c r="AX214" s="33">
        <v>0.0</v>
      </c>
      <c r="AY214" s="33">
        <v>0.0741</v>
      </c>
      <c r="AZ214" s="33">
        <v>0.1917</v>
      </c>
      <c r="BA214" s="33">
        <v>0.0158</v>
      </c>
      <c r="BB214" s="33">
        <v>0.0027</v>
      </c>
      <c r="BC214" s="33">
        <f t="shared" ref="BC214:BI214" si="164">BC213/BC215</f>
        <v>0.00450050904</v>
      </c>
      <c r="BD214" s="33">
        <f t="shared" si="164"/>
        <v>0.0008835383444</v>
      </c>
      <c r="BE214" s="33">
        <f t="shared" si="164"/>
        <v>0.03024088098</v>
      </c>
      <c r="BF214" s="33">
        <f t="shared" si="164"/>
        <v>0.2212800841</v>
      </c>
      <c r="BG214" s="33">
        <f t="shared" si="164"/>
        <v>0.027414689</v>
      </c>
      <c r="BH214" s="33">
        <f t="shared" si="164"/>
        <v>0.04427171118</v>
      </c>
      <c r="BI214" s="33">
        <f t="shared" si="164"/>
        <v>0.02447916667</v>
      </c>
      <c r="BJ214" s="3" t="e">
        <v>#DIV/0!</v>
      </c>
      <c r="BK214" s="3" t="e">
        <v>#DIV/0!</v>
      </c>
      <c r="BL214" s="33"/>
      <c r="BM214" s="33"/>
      <c r="BN214" s="33"/>
      <c r="BO214" s="33"/>
      <c r="BP214" s="33"/>
      <c r="BQ214" s="33"/>
      <c r="BR214" s="33"/>
      <c r="BS214" s="1"/>
      <c r="BT214" s="9"/>
      <c r="BU214" s="9"/>
      <c r="BV214" s="1"/>
      <c r="BW214" s="1"/>
      <c r="BX214" s="1"/>
      <c r="BY214" s="1"/>
      <c r="BZ214" s="1"/>
    </row>
    <row r="215">
      <c r="A215" s="3"/>
      <c r="B215" s="33"/>
      <c r="C215" s="106"/>
      <c r="D215" s="106" t="s">
        <v>294</v>
      </c>
      <c r="E215" s="134"/>
      <c r="F215" s="134"/>
      <c r="G215" s="14"/>
      <c r="H215" s="14"/>
      <c r="I215" s="14"/>
      <c r="J215" s="14"/>
      <c r="K215" s="1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3">
        <v>7294120.0</v>
      </c>
      <c r="AO215" s="3">
        <v>9382792.0</v>
      </c>
      <c r="AP215" s="3">
        <v>9422735.0</v>
      </c>
      <c r="AQ215" s="3">
        <v>8634250.0</v>
      </c>
      <c r="AR215" s="3">
        <v>1362196.0</v>
      </c>
      <c r="AS215" s="3">
        <v>933761.0</v>
      </c>
      <c r="AT215" s="3">
        <v>40728.0</v>
      </c>
      <c r="AU215" s="3">
        <v>977323.0</v>
      </c>
      <c r="AV215" s="3">
        <v>187793.0</v>
      </c>
      <c r="AW215" s="3">
        <v>21395.0</v>
      </c>
      <c r="AX215" s="3">
        <v>278977.0</v>
      </c>
      <c r="AY215" s="3">
        <v>282797.0</v>
      </c>
      <c r="AZ215" s="3">
        <v>614144.0</v>
      </c>
      <c r="BA215" s="3">
        <v>3969166.0</v>
      </c>
      <c r="BB215" s="3">
        <v>4830135.0</v>
      </c>
      <c r="BC215" s="3">
        <v>2547934.0</v>
      </c>
      <c r="BD215" s="3">
        <v>3397702.0</v>
      </c>
      <c r="BE215" s="3">
        <v>630934.0</v>
      </c>
      <c r="BF215" s="3">
        <v>159802.0</v>
      </c>
      <c r="BG215" s="3">
        <v>588699.0</v>
      </c>
      <c r="BH215" s="3">
        <v>151293.0</v>
      </c>
      <c r="BI215" s="3">
        <v>26880.0</v>
      </c>
      <c r="BJ215" s="3">
        <v>0.0</v>
      </c>
      <c r="BK215" s="3">
        <v>0.0</v>
      </c>
      <c r="BL215" s="1"/>
      <c r="BM215" s="1"/>
      <c r="BN215" s="1"/>
      <c r="BO215" s="1"/>
      <c r="BP215" s="1"/>
      <c r="BQ215" s="1"/>
      <c r="BR215" s="1"/>
      <c r="BS215" s="1"/>
      <c r="BT215" s="9"/>
      <c r="BU215" s="9"/>
      <c r="BV215" s="1"/>
      <c r="BW215" s="1"/>
      <c r="BX215" s="1"/>
      <c r="BY215" s="1"/>
      <c r="BZ215" s="1"/>
    </row>
    <row r="216">
      <c r="A216" s="3"/>
      <c r="B216" s="33"/>
      <c r="C216" s="133"/>
      <c r="D216" s="133" t="s">
        <v>295</v>
      </c>
      <c r="E216" s="134"/>
      <c r="F216" s="134"/>
      <c r="G216" s="14"/>
      <c r="H216" s="14"/>
      <c r="I216" s="14"/>
      <c r="J216" s="14"/>
      <c r="K216" s="1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9"/>
      <c r="BU216" s="9"/>
      <c r="BV216" s="1"/>
      <c r="BW216" s="1"/>
      <c r="BX216" s="1"/>
      <c r="BY216" s="1"/>
      <c r="BZ216" s="1"/>
    </row>
    <row r="217">
      <c r="A217" s="3"/>
      <c r="B217" s="33"/>
      <c r="C217" s="122"/>
      <c r="D217" s="122" t="s">
        <v>248</v>
      </c>
      <c r="E217" s="134"/>
      <c r="F217" s="134"/>
      <c r="G217" s="14"/>
      <c r="H217" s="14"/>
      <c r="I217" s="14"/>
      <c r="J217" s="14"/>
      <c r="K217" s="1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9"/>
      <c r="BU217" s="9"/>
      <c r="BV217" s="1"/>
      <c r="BW217" s="1"/>
      <c r="BX217" s="1"/>
      <c r="BY217" s="1"/>
      <c r="BZ217" s="1"/>
    </row>
    <row r="218">
      <c r="A218" s="3"/>
      <c r="B218" s="33"/>
      <c r="C218" s="133"/>
      <c r="D218" s="133" t="s">
        <v>296</v>
      </c>
      <c r="E218" s="134"/>
      <c r="F218" s="134"/>
      <c r="G218" s="14"/>
      <c r="H218" s="14"/>
      <c r="I218" s="14"/>
      <c r="J218" s="14"/>
      <c r="K218" s="14"/>
      <c r="L218" s="1"/>
      <c r="M218" s="1"/>
      <c r="N218" s="1"/>
      <c r="O218" s="1"/>
      <c r="P218" s="1"/>
      <c r="Q218" s="1"/>
      <c r="R218" s="140" t="s">
        <v>248</v>
      </c>
      <c r="S218" s="3">
        <v>6418804.0</v>
      </c>
      <c r="T218" s="3">
        <v>6598098.0</v>
      </c>
      <c r="U218" s="3">
        <v>6217627.0</v>
      </c>
      <c r="V218" s="3">
        <v>6166918.0</v>
      </c>
      <c r="W218" s="3">
        <v>6373852.0</v>
      </c>
      <c r="X218" s="3">
        <v>7833280.0</v>
      </c>
      <c r="Y218" s="3">
        <v>8186067.0</v>
      </c>
      <c r="Z218" s="3">
        <v>7818064.0</v>
      </c>
      <c r="AA218" s="3">
        <v>7451423.0</v>
      </c>
      <c r="AB218" s="3">
        <v>6211504.0</v>
      </c>
      <c r="AC218" s="3">
        <v>6273265.0</v>
      </c>
      <c r="AD218" s="3">
        <v>6761539.0</v>
      </c>
      <c r="AE218" s="3">
        <v>7227248.0</v>
      </c>
      <c r="AF218" s="3">
        <v>7015708.0</v>
      </c>
      <c r="AG218" s="3">
        <v>7090219.0</v>
      </c>
      <c r="AH218" s="3">
        <v>8874149.0</v>
      </c>
      <c r="AI218" s="3">
        <v>8011787.0</v>
      </c>
      <c r="AJ218" s="3">
        <v>8290416.0</v>
      </c>
      <c r="AK218" s="3">
        <v>8498759.0</v>
      </c>
      <c r="AL218" s="3">
        <v>8227067.0</v>
      </c>
      <c r="AM218" s="3">
        <v>8159652.0</v>
      </c>
      <c r="AN218" s="3">
        <v>8030347.0</v>
      </c>
      <c r="AO218" s="3">
        <v>1.0000374E7</v>
      </c>
      <c r="AP218" s="3">
        <v>1.0697219E7</v>
      </c>
      <c r="AQ218" s="3">
        <v>1.0759991E7</v>
      </c>
      <c r="AR218" s="3">
        <v>1.0856719E7</v>
      </c>
      <c r="AS218" s="3">
        <v>1.0162093E7</v>
      </c>
      <c r="AT218" s="3">
        <v>9529184.0</v>
      </c>
      <c r="AU218" s="3">
        <v>9985171.0</v>
      </c>
      <c r="AV218" s="3">
        <v>9338252.0</v>
      </c>
      <c r="AW218" s="3">
        <v>7793543.0</v>
      </c>
      <c r="AX218" s="3">
        <v>8019673.0</v>
      </c>
      <c r="AY218" s="3">
        <v>7546348.0</v>
      </c>
      <c r="AZ218" s="3">
        <v>7800483.0</v>
      </c>
      <c r="BA218" s="3">
        <v>7781535.0</v>
      </c>
      <c r="BB218" s="3">
        <v>6752120.0</v>
      </c>
      <c r="BC218" s="3">
        <v>7745032.0</v>
      </c>
      <c r="BD218" s="3">
        <v>8505052.0</v>
      </c>
      <c r="BE218" s="3">
        <v>6315586.0</v>
      </c>
      <c r="BF218" s="3">
        <v>5404176.0</v>
      </c>
      <c r="BG218" s="3">
        <v>7406174.0</v>
      </c>
      <c r="BH218" s="3">
        <v>9058747.0</v>
      </c>
      <c r="BI218" s="3">
        <v>8599229.0</v>
      </c>
      <c r="BJ218" s="3">
        <v>6922584.0</v>
      </c>
      <c r="BK218" s="3">
        <v>7271777.0</v>
      </c>
      <c r="BL218" s="3"/>
      <c r="BM218" s="3"/>
      <c r="BN218" s="3"/>
      <c r="BO218" s="3"/>
      <c r="BP218" s="3"/>
      <c r="BQ218" s="3"/>
      <c r="BR218" s="3"/>
      <c r="BS218" s="1"/>
      <c r="BT218" s="9"/>
      <c r="BU218" s="9"/>
      <c r="BV218" s="1"/>
      <c r="BW218" s="1"/>
      <c r="BX218" s="1"/>
      <c r="BY218" s="1"/>
      <c r="BZ218" s="1"/>
    </row>
    <row r="219">
      <c r="A219" s="3"/>
      <c r="B219" s="33"/>
      <c r="C219" s="133"/>
      <c r="D219" s="133" t="s">
        <v>297</v>
      </c>
      <c r="E219" s="134"/>
      <c r="F219" s="134"/>
      <c r="G219" s="14"/>
      <c r="H219" s="14"/>
      <c r="I219" s="14"/>
      <c r="J219" s="14"/>
      <c r="K219" s="14"/>
      <c r="L219" s="1"/>
      <c r="M219" s="1"/>
      <c r="N219" s="1"/>
      <c r="O219" s="1"/>
      <c r="P219" s="1"/>
      <c r="Q219" s="1"/>
      <c r="R219" s="140" t="s">
        <v>248</v>
      </c>
      <c r="S219" s="33">
        <v>0.5508</v>
      </c>
      <c r="T219" s="33">
        <v>0.5192</v>
      </c>
      <c r="U219" s="33">
        <v>0.4846</v>
      </c>
      <c r="V219" s="33">
        <v>0.4695</v>
      </c>
      <c r="W219" s="33">
        <v>0.5224</v>
      </c>
      <c r="X219" s="33">
        <v>0.5681</v>
      </c>
      <c r="Y219" s="33">
        <v>0.5611</v>
      </c>
      <c r="Z219" s="33">
        <v>0.5609</v>
      </c>
      <c r="AA219" s="33">
        <v>0.5465</v>
      </c>
      <c r="AB219" s="33">
        <v>0.524</v>
      </c>
      <c r="AC219" s="33">
        <v>0.4931</v>
      </c>
      <c r="AD219" s="33">
        <v>0.5098</v>
      </c>
      <c r="AE219" s="33">
        <v>0.5204</v>
      </c>
      <c r="AF219" s="33">
        <v>0.5318</v>
      </c>
      <c r="AG219" s="33">
        <v>0.5013</v>
      </c>
      <c r="AH219" s="33">
        <v>0.5445</v>
      </c>
      <c r="AI219" s="33">
        <v>0.5518</v>
      </c>
      <c r="AJ219" s="33">
        <v>0.5602</v>
      </c>
      <c r="AK219" s="33">
        <v>0.5336</v>
      </c>
      <c r="AL219" s="33">
        <v>0.5078</v>
      </c>
      <c r="AM219" s="33">
        <v>0.5417</v>
      </c>
      <c r="AN219" s="33">
        <v>0.5179</v>
      </c>
      <c r="AO219" s="33">
        <v>0.5355</v>
      </c>
      <c r="AP219" s="33">
        <v>0.5622</v>
      </c>
      <c r="AQ219" s="33">
        <v>0.5544</v>
      </c>
      <c r="AR219" s="33">
        <v>0.5408</v>
      </c>
      <c r="AS219" s="33">
        <v>0.4934</v>
      </c>
      <c r="AT219" s="33">
        <v>0.501</v>
      </c>
      <c r="AU219" s="33">
        <v>0.5015</v>
      </c>
      <c r="AV219" s="33">
        <v>0.4832</v>
      </c>
      <c r="AW219" s="33">
        <v>0.5211</v>
      </c>
      <c r="AX219" s="33">
        <v>0.4957</v>
      </c>
      <c r="AY219" s="33">
        <v>0.4535</v>
      </c>
      <c r="AZ219" s="33">
        <v>0.4682</v>
      </c>
      <c r="BA219" s="33">
        <v>0.4688</v>
      </c>
      <c r="BB219" s="33">
        <v>0.4409</v>
      </c>
      <c r="BC219" s="33">
        <v>0.4913</v>
      </c>
      <c r="BD219" s="33">
        <v>0.4816</v>
      </c>
      <c r="BE219" s="33">
        <v>0.4146</v>
      </c>
      <c r="BF219" s="33">
        <v>0.387</v>
      </c>
      <c r="BG219" s="33">
        <v>0.4561</v>
      </c>
      <c r="BH219" s="33">
        <v>0.5035</v>
      </c>
      <c r="BI219" s="33">
        <v>0.524</v>
      </c>
      <c r="BJ219" s="33">
        <v>0.4534</v>
      </c>
      <c r="BK219" s="33">
        <v>0.4301</v>
      </c>
      <c r="BL219" s="33"/>
      <c r="BM219" s="33"/>
      <c r="BN219" s="33"/>
      <c r="BO219" s="33"/>
      <c r="BP219" s="33"/>
      <c r="BQ219" s="33"/>
      <c r="BR219" s="33"/>
      <c r="BS219" s="1"/>
      <c r="BT219" s="9"/>
      <c r="BU219" s="9"/>
      <c r="BV219" s="1"/>
      <c r="BW219" s="1"/>
      <c r="BX219" s="1"/>
      <c r="BY219" s="1"/>
      <c r="BZ219" s="1"/>
    </row>
    <row r="220">
      <c r="A220" s="3"/>
      <c r="B220" s="33"/>
      <c r="C220" s="133"/>
      <c r="D220" s="133" t="s">
        <v>298</v>
      </c>
      <c r="E220" s="134"/>
      <c r="F220" s="134"/>
      <c r="G220" s="14"/>
      <c r="H220" s="14"/>
      <c r="I220" s="14"/>
      <c r="J220" s="14"/>
      <c r="K220" s="14"/>
      <c r="L220" s="1"/>
      <c r="M220" s="1"/>
      <c r="N220" s="1"/>
      <c r="O220" s="1"/>
      <c r="P220" s="1"/>
      <c r="Q220" s="1"/>
      <c r="R220" s="140" t="s">
        <v>248</v>
      </c>
      <c r="S220" s="33">
        <v>1.0</v>
      </c>
      <c r="T220" s="33">
        <v>1.0279</v>
      </c>
      <c r="U220" s="33">
        <v>0.9423</v>
      </c>
      <c r="V220" s="33">
        <v>0.9918</v>
      </c>
      <c r="W220" s="33">
        <v>1.0336</v>
      </c>
      <c r="X220" s="33">
        <v>1.229</v>
      </c>
      <c r="Y220" s="33">
        <v>1.045</v>
      </c>
      <c r="Z220" s="33">
        <v>0.955</v>
      </c>
      <c r="AA220" s="33">
        <v>0.9531</v>
      </c>
      <c r="AB220" s="33">
        <v>0.8336</v>
      </c>
      <c r="AC220" s="33">
        <v>1.0099</v>
      </c>
      <c r="AD220" s="33">
        <v>1.0778</v>
      </c>
      <c r="AE220" s="33">
        <v>1.0689</v>
      </c>
      <c r="AF220" s="33">
        <v>0.9707</v>
      </c>
      <c r="AG220" s="33">
        <v>1.0106</v>
      </c>
      <c r="AH220" s="33">
        <v>1.2516</v>
      </c>
      <c r="AI220" s="33">
        <v>0.9028</v>
      </c>
      <c r="AJ220" s="33">
        <v>1.0348</v>
      </c>
      <c r="AK220" s="33">
        <v>1.0251</v>
      </c>
      <c r="AL220" s="33">
        <v>0.968</v>
      </c>
      <c r="AM220" s="33">
        <v>0.9918</v>
      </c>
      <c r="AN220" s="33">
        <v>0.9842</v>
      </c>
      <c r="AO220" s="33">
        <v>1.2453</v>
      </c>
      <c r="AP220" s="33">
        <v>1.0697</v>
      </c>
      <c r="AQ220" s="33">
        <v>1.0059</v>
      </c>
      <c r="AR220" s="33">
        <v>1.009</v>
      </c>
      <c r="AS220" s="33">
        <v>0.936</v>
      </c>
      <c r="AT220" s="33">
        <v>0.9377</v>
      </c>
      <c r="AU220" s="33">
        <v>1.0479</v>
      </c>
      <c r="AV220" s="33">
        <v>0.9352</v>
      </c>
      <c r="AW220" s="33">
        <v>0.8346</v>
      </c>
      <c r="AX220" s="33">
        <v>1.029</v>
      </c>
      <c r="AY220" s="33">
        <v>0.941</v>
      </c>
      <c r="AZ220" s="33">
        <v>1.0337</v>
      </c>
      <c r="BA220" s="33">
        <v>0.9976</v>
      </c>
      <c r="BB220" s="33">
        <v>0.8677</v>
      </c>
      <c r="BC220" s="33">
        <v>1.1471</v>
      </c>
      <c r="BD220" s="33">
        <v>1.0981</v>
      </c>
      <c r="BE220" s="33">
        <v>0.7426</v>
      </c>
      <c r="BF220" s="33">
        <v>0.8557</v>
      </c>
      <c r="BG220" s="33">
        <v>1.3705</v>
      </c>
      <c r="BH220" s="33">
        <v>1.2231</v>
      </c>
      <c r="BI220" s="33">
        <v>0.9493</v>
      </c>
      <c r="BJ220" s="33">
        <v>0.805</v>
      </c>
      <c r="BK220" s="33">
        <v>1.0504</v>
      </c>
      <c r="BL220" s="33"/>
      <c r="BM220" s="33"/>
      <c r="BN220" s="33"/>
      <c r="BO220" s="33"/>
      <c r="BP220" s="33"/>
      <c r="BQ220" s="33"/>
      <c r="BR220" s="33"/>
      <c r="BS220" s="1"/>
      <c r="BT220" s="9"/>
      <c r="BU220" s="9"/>
      <c r="BV220" s="1"/>
      <c r="BW220" s="1"/>
      <c r="BX220" s="1"/>
      <c r="BY220" s="1"/>
      <c r="BZ220" s="1"/>
    </row>
    <row r="221">
      <c r="A221" s="3"/>
      <c r="B221" s="33"/>
      <c r="C221" s="122"/>
      <c r="D221" s="122" t="s">
        <v>246</v>
      </c>
      <c r="E221" s="134"/>
      <c r="F221" s="134"/>
      <c r="G221" s="14"/>
      <c r="H221" s="14"/>
      <c r="I221" s="14"/>
      <c r="J221" s="14"/>
      <c r="K221" s="1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9"/>
      <c r="BU221" s="9"/>
      <c r="BV221" s="1"/>
      <c r="BW221" s="1"/>
      <c r="BX221" s="1"/>
      <c r="BY221" s="1"/>
      <c r="BZ221" s="1"/>
    </row>
    <row r="222">
      <c r="A222" s="3"/>
      <c r="B222" s="33"/>
      <c r="C222" s="133"/>
      <c r="D222" s="133" t="s">
        <v>296</v>
      </c>
      <c r="E222" s="134"/>
      <c r="F222" s="134"/>
      <c r="G222" s="14"/>
      <c r="H222" s="14"/>
      <c r="I222" s="14"/>
      <c r="J222" s="14"/>
      <c r="K222" s="14"/>
      <c r="L222" s="1"/>
      <c r="M222" s="1"/>
      <c r="N222" s="1"/>
      <c r="O222" s="1"/>
      <c r="P222" s="1"/>
      <c r="Q222" s="1"/>
      <c r="R222" s="140" t="s">
        <v>246</v>
      </c>
      <c r="S222" s="3">
        <v>3306920.0</v>
      </c>
      <c r="T222" s="3">
        <v>4108000.0</v>
      </c>
      <c r="U222" s="3">
        <v>4635956.0</v>
      </c>
      <c r="V222" s="3">
        <v>5091430.0</v>
      </c>
      <c r="W222" s="3">
        <v>3910699.0</v>
      </c>
      <c r="X222" s="3">
        <v>3700281.0</v>
      </c>
      <c r="Y222" s="3">
        <v>4071189.0</v>
      </c>
      <c r="Z222" s="3">
        <v>4012054.0</v>
      </c>
      <c r="AA222" s="3">
        <v>4042774.0</v>
      </c>
      <c r="AB222" s="3">
        <v>3634751.0</v>
      </c>
      <c r="AC222" s="3">
        <v>4053961.0</v>
      </c>
      <c r="AD222" s="3">
        <v>4274937.0</v>
      </c>
      <c r="AE222" s="3">
        <v>4461090.0</v>
      </c>
      <c r="AF222" s="3">
        <v>4116949.0</v>
      </c>
      <c r="AG222" s="3">
        <v>4472484.0</v>
      </c>
      <c r="AH222" s="3">
        <v>4996715.0</v>
      </c>
      <c r="AI222" s="3">
        <v>4249638.0</v>
      </c>
      <c r="AJ222" s="3">
        <v>4135452.0</v>
      </c>
      <c r="AK222" s="3">
        <v>4696570.0</v>
      </c>
      <c r="AL222" s="3">
        <v>4990927.0</v>
      </c>
      <c r="AM222" s="3">
        <v>4473827.0</v>
      </c>
      <c r="AN222" s="3">
        <v>4763319.0</v>
      </c>
      <c r="AO222" s="3">
        <v>5622700.0</v>
      </c>
      <c r="AP222" s="3">
        <v>5350074.0</v>
      </c>
      <c r="AQ222" s="3">
        <v>5643771.0</v>
      </c>
      <c r="AR222" s="3">
        <v>5877650.0</v>
      </c>
      <c r="AS222" s="3">
        <v>6835018.0</v>
      </c>
      <c r="AT222" s="3">
        <v>5949875.0</v>
      </c>
      <c r="AU222" s="3">
        <v>5853537.0</v>
      </c>
      <c r="AV222" s="3">
        <v>5941535.0</v>
      </c>
      <c r="AW222" s="3">
        <v>4366363.0</v>
      </c>
      <c r="AX222" s="3">
        <v>5059308.0</v>
      </c>
      <c r="AY222" s="3">
        <v>5586801.0</v>
      </c>
      <c r="AZ222" s="3">
        <v>5316143.0</v>
      </c>
      <c r="BA222" s="3">
        <v>5182778.0</v>
      </c>
      <c r="BB222" s="3">
        <v>4974819.0</v>
      </c>
      <c r="BC222" s="3">
        <v>4737021.0</v>
      </c>
      <c r="BD222" s="3">
        <v>5680287.0</v>
      </c>
      <c r="BE222" s="3">
        <v>5339461.0</v>
      </c>
      <c r="BF222" s="3">
        <v>5017341.0</v>
      </c>
      <c r="BG222" s="3">
        <v>5718880.0</v>
      </c>
      <c r="BH222" s="3">
        <v>6057816.0</v>
      </c>
      <c r="BI222" s="3">
        <v>5168691.0</v>
      </c>
      <c r="BJ222" s="3">
        <v>4974671.0</v>
      </c>
      <c r="BK222" s="3">
        <v>5418966.0</v>
      </c>
      <c r="BL222" s="3"/>
      <c r="BM222" s="3"/>
      <c r="BN222" s="3"/>
      <c r="BO222" s="3"/>
      <c r="BP222" s="3"/>
      <c r="BQ222" s="3"/>
      <c r="BR222" s="3"/>
      <c r="BS222" s="1"/>
      <c r="BT222" s="9"/>
      <c r="BU222" s="9"/>
      <c r="BV222" s="1"/>
      <c r="BW222" s="1"/>
      <c r="BX222" s="1"/>
      <c r="BY222" s="1"/>
      <c r="BZ222" s="1"/>
    </row>
    <row r="223">
      <c r="A223" s="3"/>
      <c r="B223" s="33"/>
      <c r="C223" s="133"/>
      <c r="D223" s="133" t="s">
        <v>297</v>
      </c>
      <c r="E223" s="134"/>
      <c r="F223" s="134"/>
      <c r="G223" s="14"/>
      <c r="H223" s="14"/>
      <c r="I223" s="14"/>
      <c r="J223" s="14"/>
      <c r="K223" s="14"/>
      <c r="L223" s="1"/>
      <c r="M223" s="1"/>
      <c r="N223" s="1"/>
      <c r="O223" s="1"/>
      <c r="P223" s="1"/>
      <c r="Q223" s="1"/>
      <c r="R223" s="140" t="s">
        <v>246</v>
      </c>
      <c r="S223" s="33">
        <v>0.2838</v>
      </c>
      <c r="T223" s="33">
        <v>0.3232</v>
      </c>
      <c r="U223" s="33">
        <v>0.3613</v>
      </c>
      <c r="V223" s="33">
        <v>0.3876</v>
      </c>
      <c r="W223" s="33">
        <v>0.3205</v>
      </c>
      <c r="X223" s="33">
        <v>0.2684</v>
      </c>
      <c r="Y223" s="33">
        <v>0.279</v>
      </c>
      <c r="Z223" s="33">
        <v>0.2879</v>
      </c>
      <c r="AA223" s="33">
        <v>0.2965</v>
      </c>
      <c r="AB223" s="33">
        <v>0.3066</v>
      </c>
      <c r="AC223" s="33">
        <v>0.3187</v>
      </c>
      <c r="AD223" s="33">
        <v>0.3223</v>
      </c>
      <c r="AE223" s="33">
        <v>0.3212</v>
      </c>
      <c r="AF223" s="33">
        <v>0.3121</v>
      </c>
      <c r="AG223" s="33">
        <v>0.3162</v>
      </c>
      <c r="AH223" s="33">
        <v>0.3066</v>
      </c>
      <c r="AI223" s="33">
        <v>0.2927</v>
      </c>
      <c r="AJ223" s="33">
        <v>0.2794</v>
      </c>
      <c r="AK223" s="33">
        <v>0.2949</v>
      </c>
      <c r="AL223" s="33">
        <v>0.308</v>
      </c>
      <c r="AM223" s="33">
        <v>0.297</v>
      </c>
      <c r="AN223" s="33">
        <v>0.3072</v>
      </c>
      <c r="AO223" s="33">
        <v>0.3011</v>
      </c>
      <c r="AP223" s="33">
        <v>0.2812</v>
      </c>
      <c r="AQ223" s="33">
        <v>0.2908</v>
      </c>
      <c r="AR223" s="33">
        <v>0.2928</v>
      </c>
      <c r="AS223" s="33">
        <v>0.3319</v>
      </c>
      <c r="AT223" s="33">
        <v>0.3128</v>
      </c>
      <c r="AU223" s="33">
        <v>0.294</v>
      </c>
      <c r="AV223" s="33">
        <v>0.3074</v>
      </c>
      <c r="AW223" s="33">
        <v>0.2919</v>
      </c>
      <c r="AX223" s="33">
        <v>0.3127</v>
      </c>
      <c r="AY223" s="33">
        <v>0.3358</v>
      </c>
      <c r="AZ223" s="33">
        <v>0.3191</v>
      </c>
      <c r="BA223" s="33">
        <v>0.3122</v>
      </c>
      <c r="BB223" s="33">
        <v>0.3248</v>
      </c>
      <c r="BC223" s="33">
        <v>0.3005</v>
      </c>
      <c r="BD223" s="33">
        <v>0.3216</v>
      </c>
      <c r="BE223" s="33">
        <v>0.3505</v>
      </c>
      <c r="BF223" s="33">
        <v>0.3593</v>
      </c>
      <c r="BG223" s="33">
        <v>0.3522</v>
      </c>
      <c r="BH223" s="33">
        <v>0.3367</v>
      </c>
      <c r="BI223" s="33">
        <v>0.3149</v>
      </c>
      <c r="BJ223" s="33">
        <v>0.3258</v>
      </c>
      <c r="BK223" s="33">
        <v>0.3205</v>
      </c>
      <c r="BL223" s="33"/>
      <c r="BM223" s="33"/>
      <c r="BN223" s="33"/>
      <c r="BO223" s="33"/>
      <c r="BP223" s="33"/>
      <c r="BQ223" s="33"/>
      <c r="BR223" s="33"/>
      <c r="BS223" s="1"/>
      <c r="BT223" s="9"/>
      <c r="BU223" s="9"/>
      <c r="BV223" s="1"/>
      <c r="BW223" s="1"/>
      <c r="BX223" s="1"/>
      <c r="BY223" s="1"/>
      <c r="BZ223" s="1"/>
    </row>
    <row r="224">
      <c r="A224" s="3"/>
      <c r="B224" s="33"/>
      <c r="C224" s="133"/>
      <c r="D224" s="133" t="s">
        <v>298</v>
      </c>
      <c r="E224" s="134"/>
      <c r="F224" s="134"/>
      <c r="G224" s="14"/>
      <c r="H224" s="14"/>
      <c r="I224" s="14"/>
      <c r="J224" s="14"/>
      <c r="K224" s="14"/>
      <c r="L224" s="1"/>
      <c r="M224" s="1"/>
      <c r="N224" s="1"/>
      <c r="O224" s="1"/>
      <c r="P224" s="1"/>
      <c r="Q224" s="1"/>
      <c r="R224" s="140" t="s">
        <v>246</v>
      </c>
      <c r="S224" s="33">
        <v>1.0</v>
      </c>
      <c r="T224" s="33">
        <v>1.2422</v>
      </c>
      <c r="U224" s="33">
        <v>1.1285</v>
      </c>
      <c r="V224" s="33">
        <v>1.0982</v>
      </c>
      <c r="W224" s="33">
        <v>0.7681</v>
      </c>
      <c r="X224" s="33">
        <v>0.9462</v>
      </c>
      <c r="Y224" s="33">
        <v>1.1002</v>
      </c>
      <c r="Z224" s="33">
        <v>0.9855</v>
      </c>
      <c r="AA224" s="33">
        <v>1.0077</v>
      </c>
      <c r="AB224" s="33">
        <v>0.8991</v>
      </c>
      <c r="AC224" s="33">
        <v>1.1153</v>
      </c>
      <c r="AD224" s="33">
        <v>1.0545</v>
      </c>
      <c r="AE224" s="33">
        <v>1.0435</v>
      </c>
      <c r="AF224" s="33">
        <v>0.9229</v>
      </c>
      <c r="AG224" s="33">
        <v>1.0864</v>
      </c>
      <c r="AH224" s="33">
        <v>1.1172</v>
      </c>
      <c r="AI224" s="33">
        <v>0.8505</v>
      </c>
      <c r="AJ224" s="33">
        <v>0.9731</v>
      </c>
      <c r="AK224" s="33">
        <v>1.1357</v>
      </c>
      <c r="AL224" s="33">
        <v>1.0627</v>
      </c>
      <c r="AM224" s="33">
        <v>0.8964</v>
      </c>
      <c r="AN224" s="33">
        <v>1.0647</v>
      </c>
      <c r="AO224" s="33">
        <v>1.1804</v>
      </c>
      <c r="AP224" s="33">
        <v>0.9515</v>
      </c>
      <c r="AQ224" s="33">
        <v>1.0549</v>
      </c>
      <c r="AR224" s="33">
        <v>1.0414</v>
      </c>
      <c r="AS224" s="33">
        <v>1.1629</v>
      </c>
      <c r="AT224" s="33">
        <v>0.8705</v>
      </c>
      <c r="AU224" s="33">
        <v>0.9838</v>
      </c>
      <c r="AV224" s="33">
        <v>1.015</v>
      </c>
      <c r="AW224" s="33">
        <v>0.7349</v>
      </c>
      <c r="AX224" s="33">
        <v>1.1587</v>
      </c>
      <c r="AY224" s="33">
        <v>1.1043</v>
      </c>
      <c r="AZ224" s="33">
        <v>0.9516</v>
      </c>
      <c r="BA224" s="33">
        <v>0.9749</v>
      </c>
      <c r="BB224" s="33">
        <v>0.9599</v>
      </c>
      <c r="BC224" s="33">
        <v>0.9522</v>
      </c>
      <c r="BD224" s="33">
        <v>1.1991</v>
      </c>
      <c r="BE224" s="33">
        <v>0.94</v>
      </c>
      <c r="BF224" s="33">
        <v>0.9397</v>
      </c>
      <c r="BG224" s="33">
        <v>1.1398</v>
      </c>
      <c r="BH224" s="33">
        <v>1.0593</v>
      </c>
      <c r="BI224" s="33">
        <v>0.8532</v>
      </c>
      <c r="BJ224" s="33">
        <v>0.9625</v>
      </c>
      <c r="BK224" s="33">
        <v>1.0893</v>
      </c>
      <c r="BL224" s="33"/>
      <c r="BM224" s="33"/>
      <c r="BN224" s="33"/>
      <c r="BO224" s="33"/>
      <c r="BP224" s="33"/>
      <c r="BQ224" s="33"/>
      <c r="BR224" s="33"/>
      <c r="BS224" s="1"/>
      <c r="BT224" s="9"/>
      <c r="BU224" s="9"/>
      <c r="BV224" s="1"/>
      <c r="BW224" s="1"/>
      <c r="BX224" s="1"/>
      <c r="BY224" s="1"/>
      <c r="BZ224" s="1"/>
    </row>
    <row r="225">
      <c r="A225" s="3"/>
      <c r="B225" s="33"/>
      <c r="C225" s="106"/>
      <c r="D225" s="106"/>
      <c r="E225" s="134"/>
      <c r="F225" s="134"/>
      <c r="G225" s="14"/>
      <c r="H225" s="14"/>
      <c r="I225" s="14"/>
      <c r="J225" s="14"/>
      <c r="K225" s="1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9"/>
      <c r="BU225" s="9"/>
      <c r="BV225" s="1"/>
      <c r="BW225" s="1"/>
      <c r="BX225" s="1"/>
      <c r="BY225" s="1"/>
      <c r="BZ225" s="1"/>
    </row>
    <row r="226">
      <c r="A226" s="3"/>
      <c r="B226" s="141"/>
      <c r="C226" s="142"/>
      <c r="D226" s="142" t="s">
        <v>299</v>
      </c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"/>
      <c r="P226" s="1"/>
      <c r="Q226" s="1"/>
      <c r="R226" s="1"/>
      <c r="S226" s="1"/>
      <c r="T226" s="1"/>
      <c r="U226" s="17">
        <v>8549525.0</v>
      </c>
      <c r="V226" s="17">
        <v>8789140.0</v>
      </c>
      <c r="W226" s="17">
        <v>8146409.0</v>
      </c>
      <c r="X226" s="17">
        <v>1.0626226E7</v>
      </c>
      <c r="Y226" s="17">
        <v>1.1131922E7</v>
      </c>
      <c r="Z226" s="17">
        <v>1.0841455E7</v>
      </c>
      <c r="AA226" s="17">
        <v>9915734.0</v>
      </c>
      <c r="AB226" s="17">
        <v>8700480.0</v>
      </c>
      <c r="AC226" s="74">
        <v>9934622.0</v>
      </c>
      <c r="AD226" s="74">
        <v>9934622.0</v>
      </c>
      <c r="AE226" s="74">
        <v>9638768.0</v>
      </c>
      <c r="AF226" s="74">
        <v>1.0528281E7</v>
      </c>
      <c r="AG226" s="74">
        <v>1.1062727E7</v>
      </c>
      <c r="AH226" s="74">
        <v>1.3206588E7</v>
      </c>
      <c r="AI226" s="74">
        <v>1.0908829E7</v>
      </c>
      <c r="AJ226" s="74">
        <v>1.1466446E7</v>
      </c>
      <c r="AK226" s="74">
        <v>1.5926721E7</v>
      </c>
      <c r="AL226" s="74">
        <v>1.3152702E7</v>
      </c>
      <c r="AM226" s="74">
        <v>1.2396834E7</v>
      </c>
      <c r="AN226" s="74">
        <v>1.2412417E7</v>
      </c>
      <c r="AO226" s="74">
        <v>1.5053038E7</v>
      </c>
      <c r="AP226" s="74">
        <v>1.4751108E7</v>
      </c>
      <c r="AQ226" s="74">
        <v>1.6142423E7</v>
      </c>
      <c r="AR226" s="74">
        <v>1.5175315E7</v>
      </c>
      <c r="AS226" s="74">
        <v>1.5830081E7</v>
      </c>
      <c r="AT226" s="74">
        <v>1.4655594E7</v>
      </c>
      <c r="AU226" s="74">
        <v>1.3979312E7</v>
      </c>
      <c r="AV226" s="74">
        <v>1.3447291E7</v>
      </c>
      <c r="AW226" s="74">
        <v>1.1044915E7</v>
      </c>
      <c r="AX226" s="74">
        <v>1.1891015E7</v>
      </c>
      <c r="AY226" s="74">
        <v>1.3282593E7</v>
      </c>
      <c r="AZ226" s="74">
        <v>1.3569031E7</v>
      </c>
      <c r="BA226" s="74">
        <v>1.3626048E7</v>
      </c>
      <c r="BB226" s="74">
        <v>1.2371102E7</v>
      </c>
      <c r="BC226" s="74">
        <v>1.2726763E7</v>
      </c>
      <c r="BD226" s="74">
        <v>1.4221715E7</v>
      </c>
      <c r="BE226" s="74">
        <v>1.208002E7</v>
      </c>
      <c r="BF226" s="74">
        <v>9422441.0</v>
      </c>
      <c r="BG226" s="74">
        <v>1.2000952E7</v>
      </c>
      <c r="BH226" s="74">
        <v>1.2016641E7</v>
      </c>
      <c r="BI226" s="74">
        <v>1.3361674E7</v>
      </c>
      <c r="BJ226" s="74">
        <v>1.0971081E7</v>
      </c>
      <c r="BK226" s="74">
        <v>1.1820146E7</v>
      </c>
      <c r="BL226" s="74"/>
      <c r="BM226" s="74"/>
      <c r="BN226" s="74"/>
      <c r="BO226" s="74"/>
      <c r="BP226" s="74"/>
      <c r="BQ226" s="74"/>
      <c r="BR226" s="74"/>
      <c r="BS226" s="1"/>
      <c r="BT226" s="72" t="s">
        <v>300</v>
      </c>
      <c r="BU226" s="9"/>
      <c r="BV226" s="1"/>
      <c r="BW226" s="1"/>
      <c r="BX226" s="1"/>
      <c r="BY226" s="1"/>
      <c r="BZ226" s="1"/>
    </row>
    <row r="227">
      <c r="A227" s="3"/>
      <c r="B227" s="141"/>
      <c r="C227" s="144"/>
      <c r="D227" s="144" t="s">
        <v>301</v>
      </c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"/>
      <c r="P227" s="1"/>
      <c r="Q227" s="1"/>
      <c r="R227" s="1"/>
      <c r="S227" s="1"/>
      <c r="T227" s="1"/>
      <c r="U227" s="17">
        <v>3863.0</v>
      </c>
      <c r="V227" s="17">
        <v>4281.0</v>
      </c>
      <c r="W227" s="17">
        <v>3488.0</v>
      </c>
      <c r="X227" s="17">
        <v>4241.0</v>
      </c>
      <c r="Y227" s="17">
        <v>4967.0</v>
      </c>
      <c r="Z227" s="17">
        <v>4907.0</v>
      </c>
      <c r="AA227" s="17">
        <v>4171.0</v>
      </c>
      <c r="AB227" s="17">
        <v>3668.0</v>
      </c>
      <c r="AC227" s="74">
        <v>4679.0</v>
      </c>
      <c r="AD227" s="74">
        <v>4679.0</v>
      </c>
      <c r="AE227" s="74">
        <v>4367.0</v>
      </c>
      <c r="AF227" s="74">
        <v>4746.0</v>
      </c>
      <c r="AG227" s="74">
        <v>5173.0</v>
      </c>
      <c r="AH227" s="74">
        <v>6966.0</v>
      </c>
      <c r="AI227" s="74">
        <v>5369.0</v>
      </c>
      <c r="AJ227" s="74">
        <v>4991.0</v>
      </c>
      <c r="AK227" s="74">
        <v>5921.0</v>
      </c>
      <c r="AL227" s="74">
        <v>6363.0</v>
      </c>
      <c r="AM227" s="74">
        <v>6081.0</v>
      </c>
      <c r="AN227" s="74">
        <v>5831.0</v>
      </c>
      <c r="AO227" s="74">
        <v>7296.0</v>
      </c>
      <c r="AP227" s="74">
        <v>6878.0</v>
      </c>
      <c r="AQ227" s="74">
        <v>8204.0</v>
      </c>
      <c r="AR227" s="74">
        <v>7232.0</v>
      </c>
      <c r="AS227" s="74">
        <v>8459.0</v>
      </c>
      <c r="AT227" s="74">
        <v>7430.0</v>
      </c>
      <c r="AU227" s="74">
        <v>5704.0</v>
      </c>
      <c r="AV227" s="74">
        <v>5795.0</v>
      </c>
      <c r="AW227" s="74">
        <v>4410.0</v>
      </c>
      <c r="AX227" s="74">
        <v>5107.0</v>
      </c>
      <c r="AY227" s="74">
        <v>6778.0</v>
      </c>
      <c r="AZ227" s="74">
        <v>6244.0</v>
      </c>
      <c r="BA227" s="74">
        <v>6251.0</v>
      </c>
      <c r="BB227" s="74">
        <v>5959.0</v>
      </c>
      <c r="BC227" s="74">
        <v>6219.0</v>
      </c>
      <c r="BD227" s="74">
        <v>6989.0</v>
      </c>
      <c r="BE227" s="74">
        <v>5800.0</v>
      </c>
      <c r="BF227" s="74">
        <v>4581.0</v>
      </c>
      <c r="BG227" s="74">
        <v>5970.0</v>
      </c>
      <c r="BH227" s="74">
        <v>5946.0</v>
      </c>
      <c r="BI227" s="74">
        <v>6219.0</v>
      </c>
      <c r="BJ227" s="74">
        <v>5080.0</v>
      </c>
      <c r="BK227" s="74">
        <v>6263.0</v>
      </c>
      <c r="BL227" s="74"/>
      <c r="BM227" s="74"/>
      <c r="BN227" s="74"/>
      <c r="BO227" s="74"/>
      <c r="BP227" s="74"/>
      <c r="BQ227" s="74"/>
      <c r="BR227" s="74"/>
      <c r="BS227" s="1"/>
      <c r="BT227" s="9"/>
      <c r="BU227" s="9"/>
      <c r="BV227" s="1"/>
      <c r="BW227" s="1"/>
      <c r="BX227" s="1"/>
      <c r="BY227" s="1"/>
      <c r="BZ227" s="1"/>
    </row>
    <row r="228">
      <c r="A228" s="3"/>
      <c r="B228" s="141"/>
      <c r="C228" s="141"/>
      <c r="D228" s="141" t="s">
        <v>302</v>
      </c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"/>
      <c r="P228" s="1"/>
      <c r="Q228" s="1"/>
      <c r="R228" s="1"/>
      <c r="S228" s="1"/>
      <c r="T228" s="1"/>
      <c r="U228" s="32">
        <v>0.6663396095360289</v>
      </c>
      <c r="V228" s="32">
        <v>0.6691400115675861</v>
      </c>
      <c r="W228" s="32">
        <v>0.6676982712679418</v>
      </c>
      <c r="X228" s="32">
        <v>0.7706910106818142</v>
      </c>
      <c r="Y228" s="32">
        <v>0.7629926244443385</v>
      </c>
      <c r="Z228" s="32">
        <v>0.7778486245693708</v>
      </c>
      <c r="AA228" s="32">
        <v>0.7272247892616028</v>
      </c>
      <c r="AB228" s="32">
        <v>0.7339183942953899</v>
      </c>
      <c r="AC228" s="33">
        <v>0.7809</v>
      </c>
      <c r="AD228" s="33">
        <v>0.7809</v>
      </c>
      <c r="AE228" s="33">
        <v>0.694</v>
      </c>
      <c r="AF228" s="33">
        <v>0.7977</v>
      </c>
      <c r="AG228" s="33">
        <v>0.7821</v>
      </c>
      <c r="AH228" s="33">
        <v>0.8103</v>
      </c>
      <c r="AI228" s="33">
        <v>0.7514</v>
      </c>
      <c r="AJ228" s="33">
        <v>0.7748</v>
      </c>
      <c r="AK228" s="33">
        <v>0.7945</v>
      </c>
      <c r="AL228" s="33">
        <v>0.8118</v>
      </c>
      <c r="AM228" s="33">
        <v>0.823</v>
      </c>
      <c r="AN228" s="33">
        <v>0.8005</v>
      </c>
      <c r="AO228" s="33">
        <v>0.806</v>
      </c>
      <c r="AP228" s="33">
        <v>0.7753</v>
      </c>
      <c r="AQ228" s="33">
        <v>0.8317</v>
      </c>
      <c r="AR228" s="33">
        <v>0.756</v>
      </c>
      <c r="AS228" s="33">
        <v>0.7686</v>
      </c>
      <c r="AT228" s="33">
        <v>0.7705</v>
      </c>
      <c r="AU228" s="33">
        <v>0.702</v>
      </c>
      <c r="AV228" s="33">
        <v>0.6958</v>
      </c>
      <c r="AW228" s="33">
        <v>0.7385</v>
      </c>
      <c r="AX228" s="33">
        <v>0.735</v>
      </c>
      <c r="AY228" s="33">
        <v>0.7983</v>
      </c>
      <c r="AZ228" s="33">
        <v>0.8144</v>
      </c>
      <c r="BA228" s="33">
        <v>0.8209</v>
      </c>
      <c r="BB228" s="33">
        <v>0.8077</v>
      </c>
      <c r="BC228" s="33">
        <v>0.8073</v>
      </c>
      <c r="BD228" s="33">
        <v>0.8052</v>
      </c>
      <c r="BE228" s="33">
        <v>0.793</v>
      </c>
      <c r="BF228" s="33">
        <v>0.6748</v>
      </c>
      <c r="BG228" s="33">
        <v>0.7391</v>
      </c>
      <c r="BH228" s="33">
        <v>0.6679</v>
      </c>
      <c r="BI228" s="33">
        <v>0.8141</v>
      </c>
      <c r="BJ228" s="33">
        <v>0.7185</v>
      </c>
      <c r="BK228" s="33">
        <v>0.6992</v>
      </c>
      <c r="BL228" s="33"/>
      <c r="BM228" s="33"/>
      <c r="BN228" s="33"/>
      <c r="BO228" s="33"/>
      <c r="BP228" s="33"/>
      <c r="BQ228" s="33"/>
      <c r="BR228" s="33"/>
      <c r="BS228" s="1"/>
      <c r="BT228" s="72" t="s">
        <v>300</v>
      </c>
      <c r="BU228" s="9"/>
      <c r="BV228" s="1"/>
      <c r="BW228" s="1"/>
      <c r="BX228" s="1"/>
      <c r="BY228" s="1"/>
      <c r="BZ228" s="1"/>
    </row>
    <row r="229">
      <c r="A229" s="3"/>
      <c r="B229" s="141"/>
      <c r="C229" s="5"/>
      <c r="D229" s="5" t="s">
        <v>303</v>
      </c>
      <c r="E229" s="2"/>
      <c r="F229" s="2"/>
      <c r="G229" s="14"/>
      <c r="H229" s="14"/>
      <c r="I229" s="14"/>
      <c r="J229" s="14"/>
      <c r="K229" s="14"/>
      <c r="L229" s="1"/>
      <c r="M229" s="1"/>
      <c r="N229" s="1"/>
      <c r="O229" s="1"/>
      <c r="P229" s="1"/>
      <c r="Q229" s="1"/>
      <c r="R229" s="1"/>
      <c r="S229" s="1"/>
      <c r="T229" s="1"/>
      <c r="U229" s="71">
        <f t="shared" ref="U229:AS229" si="165">IFERROR(7*U548/U227, "")</f>
        <v>0</v>
      </c>
      <c r="V229" s="71">
        <f t="shared" si="165"/>
        <v>0</v>
      </c>
      <c r="W229" s="71">
        <f t="shared" si="165"/>
        <v>0</v>
      </c>
      <c r="X229" s="71">
        <f t="shared" si="165"/>
        <v>0</v>
      </c>
      <c r="Y229" s="71">
        <f t="shared" si="165"/>
        <v>0</v>
      </c>
      <c r="Z229" s="71">
        <f t="shared" si="165"/>
        <v>6.122681883</v>
      </c>
      <c r="AA229" s="71">
        <f t="shared" si="165"/>
        <v>4.824982019</v>
      </c>
      <c r="AB229" s="71">
        <f t="shared" si="165"/>
        <v>6.047709924</v>
      </c>
      <c r="AC229" s="71">
        <f t="shared" si="165"/>
        <v>6.377644796</v>
      </c>
      <c r="AD229" s="71">
        <f t="shared" si="165"/>
        <v>6.204103441</v>
      </c>
      <c r="AE229" s="71">
        <f t="shared" si="165"/>
        <v>5.078085642</v>
      </c>
      <c r="AF229" s="71">
        <f t="shared" si="165"/>
        <v>5.827433628</v>
      </c>
      <c r="AG229" s="71">
        <f t="shared" si="165"/>
        <v>7.664411367</v>
      </c>
      <c r="AH229" s="71">
        <f t="shared" si="165"/>
        <v>5.776055125</v>
      </c>
      <c r="AI229" s="71">
        <f t="shared" si="165"/>
        <v>5.531942634</v>
      </c>
      <c r="AJ229" s="71">
        <f t="shared" si="165"/>
        <v>6.83029453</v>
      </c>
      <c r="AK229" s="71">
        <f t="shared" si="165"/>
        <v>6.828576254</v>
      </c>
      <c r="AL229" s="71">
        <f t="shared" si="165"/>
        <v>5.707370737</v>
      </c>
      <c r="AM229" s="71">
        <f t="shared" si="165"/>
        <v>6.418681138</v>
      </c>
      <c r="AN229" s="71">
        <f t="shared" si="165"/>
        <v>6.224489796</v>
      </c>
      <c r="AO229" s="71">
        <f t="shared" si="165"/>
        <v>6.259320175</v>
      </c>
      <c r="AP229" s="71">
        <f t="shared" si="165"/>
        <v>6.518610061</v>
      </c>
      <c r="AQ229" s="71">
        <f t="shared" si="165"/>
        <v>5.613481229</v>
      </c>
      <c r="AR229" s="71">
        <f t="shared" si="165"/>
        <v>5.092228982</v>
      </c>
      <c r="AS229" s="71">
        <f t="shared" si="165"/>
        <v>5.19103913</v>
      </c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1"/>
      <c r="BT229" s="9" t="s">
        <v>304</v>
      </c>
      <c r="BU229" s="9"/>
      <c r="BV229" s="1"/>
      <c r="BW229" s="1"/>
      <c r="BX229" s="1"/>
      <c r="BY229" s="1"/>
      <c r="BZ229" s="1"/>
    </row>
    <row r="230">
      <c r="A230" s="3"/>
      <c r="B230" s="141"/>
      <c r="C230" s="5"/>
      <c r="D230" s="5"/>
      <c r="E230" s="2"/>
      <c r="F230" s="2"/>
      <c r="G230" s="14"/>
      <c r="H230" s="14"/>
      <c r="I230" s="14"/>
      <c r="J230" s="14"/>
      <c r="K230" s="14"/>
      <c r="L230" s="1"/>
      <c r="M230" s="1"/>
      <c r="N230" s="1"/>
      <c r="O230" s="1"/>
      <c r="P230" s="1"/>
      <c r="Q230" s="1"/>
      <c r="R230" s="1"/>
      <c r="S230" s="1"/>
      <c r="T230" s="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1"/>
      <c r="BT230" s="9"/>
      <c r="BU230" s="9"/>
      <c r="BV230" s="1"/>
      <c r="BW230" s="1"/>
      <c r="BX230" s="1"/>
      <c r="BY230" s="1"/>
      <c r="BZ230" s="1"/>
    </row>
    <row r="231">
      <c r="A231" s="3"/>
      <c r="B231" s="141"/>
      <c r="C231" s="122"/>
      <c r="D231" s="122" t="s">
        <v>305</v>
      </c>
      <c r="E231" s="2"/>
      <c r="F231" s="2"/>
      <c r="G231" s="14"/>
      <c r="H231" s="14"/>
      <c r="I231" s="14"/>
      <c r="J231" s="14"/>
      <c r="K231" s="14"/>
      <c r="L231" s="1"/>
      <c r="M231" s="1"/>
      <c r="N231" s="1"/>
      <c r="O231" s="1"/>
      <c r="P231" s="1"/>
      <c r="Q231" s="1"/>
      <c r="R231" s="1"/>
      <c r="S231" s="1"/>
      <c r="T231" s="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1"/>
      <c r="BT231" s="9"/>
      <c r="BU231" s="9"/>
      <c r="BV231" s="1"/>
      <c r="BW231" s="1"/>
      <c r="BX231" s="1"/>
      <c r="BY231" s="1"/>
      <c r="BZ231" s="1"/>
    </row>
    <row r="232">
      <c r="A232" s="3"/>
      <c r="B232" s="141"/>
      <c r="C232" s="133"/>
      <c r="D232" s="133" t="s">
        <v>306</v>
      </c>
      <c r="E232" s="2"/>
      <c r="F232" s="2"/>
      <c r="G232" s="14"/>
      <c r="H232" s="14"/>
      <c r="I232" s="14"/>
      <c r="J232" s="14"/>
      <c r="K232" s="14"/>
      <c r="L232" s="1"/>
      <c r="M232" s="1"/>
      <c r="N232" s="1"/>
      <c r="O232" s="1"/>
      <c r="P232" s="1"/>
      <c r="Q232" s="1"/>
      <c r="R232" s="1"/>
      <c r="S232" s="1"/>
      <c r="T232" s="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69">
        <v>1.1713611E7</v>
      </c>
      <c r="AH232" s="69">
        <v>1.3011173E7</v>
      </c>
      <c r="AI232" s="69">
        <v>1.2026935E7</v>
      </c>
      <c r="AJ232" s="69">
        <v>1.2919796E7</v>
      </c>
      <c r="AK232" s="69">
        <v>1.3756297E7</v>
      </c>
      <c r="AL232" s="69">
        <v>1.3946751E7</v>
      </c>
      <c r="AM232" s="69">
        <v>1.2960571E7</v>
      </c>
      <c r="AN232" s="69">
        <v>1.3283098E7</v>
      </c>
      <c r="AO232" s="69">
        <v>1.5577282E7</v>
      </c>
      <c r="AP232" s="69">
        <v>1.5605232E7</v>
      </c>
      <c r="AQ232" s="69">
        <v>1.5933546E7</v>
      </c>
      <c r="AR232" s="69">
        <v>1.6413403E7</v>
      </c>
      <c r="AS232" s="69">
        <v>1.7468586E7</v>
      </c>
      <c r="AT232" s="69">
        <v>1.4307543E7</v>
      </c>
      <c r="AU232" s="69">
        <v>1.2407027E7</v>
      </c>
      <c r="AV232" s="69">
        <v>1.225377E7</v>
      </c>
      <c r="AW232" s="69">
        <v>1.0129988E7</v>
      </c>
      <c r="AX232" s="69">
        <v>1.0692691E7</v>
      </c>
      <c r="AY232" s="69">
        <v>1.2250798E7</v>
      </c>
      <c r="AZ232" s="69">
        <v>1.4838926E7</v>
      </c>
      <c r="BA232" s="69">
        <v>1.2378811E7</v>
      </c>
      <c r="BB232" s="69">
        <v>1.1292111E7</v>
      </c>
      <c r="BC232" s="69">
        <v>1.0154622E7</v>
      </c>
      <c r="BD232" s="69">
        <v>1.3095154E7</v>
      </c>
      <c r="BE232" s="69">
        <v>5016229.0</v>
      </c>
      <c r="BF232" s="69">
        <v>4791881.0</v>
      </c>
      <c r="BG232" s="69">
        <v>1.1469684E7</v>
      </c>
      <c r="BH232" s="69">
        <v>1.4325119E7</v>
      </c>
      <c r="BI232" s="69">
        <v>8455215.0</v>
      </c>
      <c r="BJ232" s="69">
        <v>7133681.0</v>
      </c>
      <c r="BK232" s="69">
        <v>7706698.0</v>
      </c>
      <c r="BL232" s="69"/>
      <c r="BM232" s="69"/>
      <c r="BN232" s="69"/>
      <c r="BO232" s="69"/>
      <c r="BP232" s="69"/>
      <c r="BQ232" s="69"/>
      <c r="BR232" s="69"/>
      <c r="BS232" s="1"/>
      <c r="BT232" s="9"/>
      <c r="BU232" s="9"/>
      <c r="BV232" s="1"/>
      <c r="BW232" s="1"/>
      <c r="BX232" s="1"/>
      <c r="BY232" s="1"/>
      <c r="BZ232" s="1"/>
    </row>
    <row r="233">
      <c r="A233" s="3"/>
      <c r="B233" s="141"/>
      <c r="C233" s="133"/>
      <c r="D233" s="133" t="s">
        <v>307</v>
      </c>
      <c r="E233" s="2"/>
      <c r="F233" s="2"/>
      <c r="G233" s="14"/>
      <c r="H233" s="14"/>
      <c r="I233" s="14"/>
      <c r="J233" s="14"/>
      <c r="K233" s="14"/>
      <c r="L233" s="1"/>
      <c r="M233" s="1"/>
      <c r="N233" s="1"/>
      <c r="O233" s="1"/>
      <c r="P233" s="1"/>
      <c r="Q233" s="1"/>
      <c r="R233" s="1"/>
      <c r="S233" s="1"/>
      <c r="T233" s="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69">
        <v>1620552.0</v>
      </c>
      <c r="AH233" s="69">
        <v>2079600.0</v>
      </c>
      <c r="AI233" s="69">
        <v>1648422.0</v>
      </c>
      <c r="AJ233" s="69">
        <v>1344331.0</v>
      </c>
      <c r="AK233" s="69">
        <v>1607121.0</v>
      </c>
      <c r="AL233" s="69">
        <v>1625223.0</v>
      </c>
      <c r="AM233" s="69">
        <v>1544780.0</v>
      </c>
      <c r="AN233" s="69">
        <v>1659781.0</v>
      </c>
      <c r="AO233" s="69">
        <v>2447005.0</v>
      </c>
      <c r="AP233" s="69">
        <v>2637589.0</v>
      </c>
      <c r="AQ233" s="69">
        <v>2574276.0</v>
      </c>
      <c r="AR233" s="69">
        <v>2607174.0</v>
      </c>
      <c r="AS233" s="69">
        <v>2415533.0</v>
      </c>
      <c r="AT233" s="69">
        <v>2253834.0</v>
      </c>
      <c r="AU233" s="69">
        <v>1857018.0</v>
      </c>
      <c r="AV233" s="69">
        <v>942842.0</v>
      </c>
      <c r="AW233" s="69">
        <v>756820.0</v>
      </c>
      <c r="AX233" s="69">
        <v>1105171.0</v>
      </c>
      <c r="AY233" s="69">
        <v>719228.0</v>
      </c>
      <c r="AZ233" s="69">
        <v>478939.0</v>
      </c>
      <c r="BA233" s="69">
        <v>2863043.0</v>
      </c>
      <c r="BB233" s="69">
        <v>2685450.0</v>
      </c>
      <c r="BC233" s="69">
        <v>3376639.0</v>
      </c>
      <c r="BD233" s="69">
        <v>2897247.0</v>
      </c>
      <c r="BE233" s="69">
        <v>9312025.0</v>
      </c>
      <c r="BF233" s="69">
        <v>8485611.0</v>
      </c>
      <c r="BG233" s="69">
        <v>3528018.0</v>
      </c>
      <c r="BH233" s="69">
        <v>2207266.0</v>
      </c>
      <c r="BI233" s="69">
        <v>3639096.0</v>
      </c>
      <c r="BJ233" s="69">
        <v>7392247.0</v>
      </c>
      <c r="BK233" s="69">
        <v>7363336.0</v>
      </c>
      <c r="BL233" s="69"/>
      <c r="BM233" s="69"/>
      <c r="BN233" s="69"/>
      <c r="BO233" s="69"/>
      <c r="BP233" s="69"/>
      <c r="BQ233" s="69"/>
      <c r="BR233" s="69"/>
      <c r="BS233" s="1"/>
      <c r="BT233" s="9"/>
      <c r="BU233" s="9"/>
      <c r="BV233" s="1"/>
      <c r="BW233" s="1"/>
      <c r="BX233" s="1"/>
      <c r="BY233" s="1"/>
      <c r="BZ233" s="1"/>
    </row>
    <row r="234">
      <c r="A234" s="3"/>
      <c r="B234" s="141"/>
      <c r="C234" s="133"/>
      <c r="D234" s="133" t="s">
        <v>308</v>
      </c>
      <c r="E234" s="2"/>
      <c r="F234" s="2"/>
      <c r="G234" s="14"/>
      <c r="H234" s="14"/>
      <c r="I234" s="14"/>
      <c r="J234" s="14"/>
      <c r="K234" s="14"/>
      <c r="L234" s="1"/>
      <c r="M234" s="1"/>
      <c r="N234" s="1"/>
      <c r="O234" s="1"/>
      <c r="P234" s="1"/>
      <c r="Q234" s="1"/>
      <c r="R234" s="1"/>
      <c r="S234" s="1"/>
      <c r="T234" s="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69">
        <v>470146.0</v>
      </c>
      <c r="AH234" s="69">
        <v>864023.0</v>
      </c>
      <c r="AI234" s="69">
        <v>493239.0</v>
      </c>
      <c r="AJ234" s="69">
        <v>213133.0</v>
      </c>
      <c r="AK234" s="69">
        <v>238985.0</v>
      </c>
      <c r="AL234" s="69">
        <v>274968.0</v>
      </c>
      <c r="AM234" s="69">
        <v>234982.0</v>
      </c>
      <c r="AN234" s="69">
        <v>189652.0</v>
      </c>
      <c r="AO234" s="69">
        <v>241605.0</v>
      </c>
      <c r="AP234" s="69">
        <v>353541.0</v>
      </c>
      <c r="AQ234" s="69">
        <v>477094.0</v>
      </c>
      <c r="AR234" s="69">
        <v>559827.0</v>
      </c>
      <c r="AS234" s="69">
        <v>233843.0</v>
      </c>
      <c r="AT234" s="69">
        <v>1871537.0</v>
      </c>
      <c r="AU234" s="69">
        <v>4093210.0</v>
      </c>
      <c r="AV234" s="69">
        <v>5363536.0</v>
      </c>
      <c r="AW234" s="69">
        <v>3697700.0</v>
      </c>
      <c r="AX234" s="69">
        <v>3994881.0</v>
      </c>
      <c r="AY234" s="69">
        <v>3187252.0</v>
      </c>
      <c r="AZ234" s="69">
        <v>1091408.0</v>
      </c>
      <c r="BA234" s="69">
        <v>1085177.0</v>
      </c>
      <c r="BB234" s="69">
        <v>1009586.0</v>
      </c>
      <c r="BC234" s="69">
        <v>1840414.0</v>
      </c>
      <c r="BD234" s="69">
        <v>1550834.0</v>
      </c>
      <c r="BE234" s="69">
        <v>377799.0</v>
      </c>
      <c r="BF234" s="69">
        <v>364277.0</v>
      </c>
      <c r="BG234" s="69">
        <v>928802.0</v>
      </c>
      <c r="BH234" s="69">
        <v>1192576.0</v>
      </c>
      <c r="BI234" s="69">
        <v>3995890.0</v>
      </c>
      <c r="BJ234" s="69">
        <v>605017.0</v>
      </c>
      <c r="BK234" s="69">
        <v>1172342.0</v>
      </c>
      <c r="BL234" s="69"/>
      <c r="BM234" s="69"/>
      <c r="BN234" s="69"/>
      <c r="BO234" s="69"/>
      <c r="BP234" s="69"/>
      <c r="BQ234" s="69"/>
      <c r="BR234" s="69"/>
      <c r="BS234" s="1"/>
      <c r="BT234" s="9"/>
      <c r="BU234" s="9"/>
      <c r="BV234" s="1"/>
      <c r="BW234" s="1"/>
      <c r="BX234" s="1"/>
      <c r="BY234" s="1"/>
      <c r="BZ234" s="1"/>
    </row>
    <row r="235">
      <c r="A235" s="3"/>
      <c r="B235" s="141"/>
      <c r="C235" s="146"/>
      <c r="D235" s="146"/>
      <c r="E235" s="2"/>
      <c r="F235" s="2"/>
      <c r="G235" s="14"/>
      <c r="H235" s="14"/>
      <c r="I235" s="14"/>
      <c r="J235" s="14"/>
      <c r="K235" s="14"/>
      <c r="L235" s="1"/>
      <c r="M235" s="1"/>
      <c r="N235" s="1"/>
      <c r="O235" s="1"/>
      <c r="P235" s="1"/>
      <c r="Q235" s="1"/>
      <c r="R235" s="1"/>
      <c r="S235" s="1"/>
      <c r="T235" s="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69">
        <v>339833.0</v>
      </c>
      <c r="AH235" s="69">
        <v>342989.0</v>
      </c>
      <c r="AI235" s="69">
        <v>349609.0</v>
      </c>
      <c r="AJ235" s="69">
        <v>322195.0</v>
      </c>
      <c r="AK235" s="69">
        <v>324318.0</v>
      </c>
      <c r="AL235" s="69">
        <v>355819.0</v>
      </c>
      <c r="AM235" s="69">
        <v>322206.0</v>
      </c>
      <c r="AN235" s="69">
        <v>372876.0</v>
      </c>
      <c r="AO235" s="69">
        <v>409201.0</v>
      </c>
      <c r="AP235" s="69">
        <v>430481.0</v>
      </c>
      <c r="AQ235" s="69">
        <v>423704.0</v>
      </c>
      <c r="AR235" s="69">
        <v>493978.0</v>
      </c>
      <c r="AS235" s="69">
        <v>478441.0</v>
      </c>
      <c r="AT235" s="69">
        <v>586926.0</v>
      </c>
      <c r="AU235" s="69">
        <v>1554893.0</v>
      </c>
      <c r="AV235" s="69">
        <v>765087.0</v>
      </c>
      <c r="AW235" s="69">
        <v>372063.0</v>
      </c>
      <c r="AX235" s="69">
        <v>385351.0</v>
      </c>
      <c r="AY235" s="69">
        <v>481609.0</v>
      </c>
      <c r="AZ235" s="69">
        <v>252252.0</v>
      </c>
      <c r="BA235" s="69">
        <v>69657.0</v>
      </c>
      <c r="BB235" s="69">
        <v>55439.0</v>
      </c>
      <c r="BC235" s="69">
        <v>49033.0</v>
      </c>
      <c r="BD235" s="69">
        <v>65323.0</v>
      </c>
      <c r="BE235" s="69">
        <v>69426.0</v>
      </c>
      <c r="BF235" s="69">
        <v>61144.0</v>
      </c>
      <c r="BG235" s="69">
        <v>200550.0</v>
      </c>
      <c r="BH235" s="69">
        <v>158068.0</v>
      </c>
      <c r="BI235" s="69">
        <v>188844.0</v>
      </c>
      <c r="BJ235" s="69">
        <v>54385.0</v>
      </c>
      <c r="BK235" s="69">
        <v>161598.0</v>
      </c>
      <c r="BL235" s="69"/>
      <c r="BM235" s="69"/>
      <c r="BN235" s="69"/>
      <c r="BO235" s="69"/>
      <c r="BP235" s="69"/>
      <c r="BQ235" s="69"/>
      <c r="BR235" s="69"/>
      <c r="BS235" s="1"/>
      <c r="BT235" s="9"/>
      <c r="BU235" s="9"/>
      <c r="BV235" s="1"/>
      <c r="BW235" s="1"/>
      <c r="BX235" s="1"/>
      <c r="BY235" s="1"/>
      <c r="BZ235" s="1"/>
    </row>
    <row r="236">
      <c r="A236" s="3"/>
      <c r="B236" s="141"/>
      <c r="C236" s="146"/>
      <c r="D236" s="146"/>
      <c r="E236" s="2"/>
      <c r="F236" s="2"/>
      <c r="G236" s="14"/>
      <c r="H236" s="14"/>
      <c r="I236" s="14"/>
      <c r="J236" s="14"/>
      <c r="K236" s="14"/>
      <c r="L236" s="1"/>
      <c r="M236" s="1"/>
      <c r="N236" s="1"/>
      <c r="O236" s="1"/>
      <c r="P236" s="1"/>
      <c r="Q236" s="1"/>
      <c r="R236" s="1"/>
      <c r="S236" s="1"/>
      <c r="T236" s="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1"/>
      <c r="BT236" s="9"/>
      <c r="BU236" s="9"/>
      <c r="BV236" s="1"/>
      <c r="BW236" s="1"/>
      <c r="BX236" s="1"/>
      <c r="BY236" s="1"/>
      <c r="BZ236" s="1"/>
    </row>
    <row r="237">
      <c r="A237" s="3"/>
      <c r="B237" s="141"/>
      <c r="C237" s="133"/>
      <c r="D237" s="133" t="s">
        <v>309</v>
      </c>
      <c r="E237" s="2"/>
      <c r="F237" s="2"/>
      <c r="G237" s="14"/>
      <c r="H237" s="14"/>
      <c r="I237" s="14"/>
      <c r="J237" s="14"/>
      <c r="K237" s="14"/>
      <c r="L237" s="1"/>
      <c r="M237" s="1"/>
      <c r="N237" s="1"/>
      <c r="O237" s="1"/>
      <c r="P237" s="1"/>
      <c r="Q237" s="1"/>
      <c r="R237" s="1"/>
      <c r="S237" s="1"/>
      <c r="T237" s="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140" t="s">
        <v>309</v>
      </c>
      <c r="AG237" s="33">
        <v>0.8282</v>
      </c>
      <c r="AH237" s="33">
        <v>0.7983</v>
      </c>
      <c r="AI237" s="33">
        <v>0.8284</v>
      </c>
      <c r="AJ237" s="33">
        <v>0.873</v>
      </c>
      <c r="AK237" s="33">
        <v>0.8637</v>
      </c>
      <c r="AL237" s="33">
        <v>0.8608</v>
      </c>
      <c r="AM237" s="33">
        <v>0.8605</v>
      </c>
      <c r="AN237" s="33">
        <v>0.8567</v>
      </c>
      <c r="AO237" s="33">
        <v>0.8341</v>
      </c>
      <c r="AP237" s="33">
        <v>0.8202</v>
      </c>
      <c r="AQ237" s="33">
        <v>0.821</v>
      </c>
      <c r="AR237" s="33">
        <v>0.8176</v>
      </c>
      <c r="AS237" s="33">
        <v>0.8481</v>
      </c>
      <c r="AT237" s="33">
        <v>0.7522</v>
      </c>
      <c r="AU237" s="33">
        <v>0.6231</v>
      </c>
      <c r="AV237" s="33">
        <v>0.6341</v>
      </c>
      <c r="AW237" s="33">
        <v>0.6773</v>
      </c>
      <c r="AX237" s="33">
        <v>0.6609</v>
      </c>
      <c r="AY237" s="33">
        <v>0.7363</v>
      </c>
      <c r="AZ237" s="33">
        <v>0.8906</v>
      </c>
      <c r="BA237" s="33">
        <v>0.7457</v>
      </c>
      <c r="BB237" s="33">
        <v>0.7373</v>
      </c>
      <c r="BC237" s="33">
        <v>0.6441</v>
      </c>
      <c r="BD237" s="33">
        <v>0.7415</v>
      </c>
      <c r="BE237" s="33">
        <v>0.3293</v>
      </c>
      <c r="BF237" s="33">
        <v>0.3432</v>
      </c>
      <c r="BG237" s="33">
        <v>0.7063</v>
      </c>
      <c r="BH237" s="33">
        <v>0.7962</v>
      </c>
      <c r="BI237" s="33">
        <v>0.5152</v>
      </c>
      <c r="BJ237" s="33">
        <v>0.4672</v>
      </c>
      <c r="BK237" s="33">
        <v>0.4558</v>
      </c>
      <c r="BL237" s="33"/>
      <c r="BM237" s="33"/>
      <c r="BN237" s="33"/>
      <c r="BO237" s="33"/>
      <c r="BP237" s="33"/>
      <c r="BQ237" s="33"/>
      <c r="BR237" s="33"/>
      <c r="BS237" s="1"/>
      <c r="BT237" s="9"/>
      <c r="BU237" s="9"/>
      <c r="BV237" s="1"/>
      <c r="BW237" s="1"/>
      <c r="BX237" s="1"/>
      <c r="BY237" s="1"/>
      <c r="BZ237" s="1"/>
    </row>
    <row r="238">
      <c r="A238" s="3"/>
      <c r="B238" s="141"/>
      <c r="C238" s="133"/>
      <c r="D238" s="133" t="s">
        <v>310</v>
      </c>
      <c r="E238" s="2"/>
      <c r="F238" s="2"/>
      <c r="G238" s="14"/>
      <c r="H238" s="14"/>
      <c r="I238" s="14"/>
      <c r="J238" s="14"/>
      <c r="K238" s="14"/>
      <c r="L238" s="1"/>
      <c r="M238" s="1"/>
      <c r="N238" s="1"/>
      <c r="O238" s="1"/>
      <c r="P238" s="1"/>
      <c r="Q238" s="1"/>
      <c r="R238" s="1"/>
      <c r="S238" s="1"/>
      <c r="T238" s="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140" t="s">
        <v>310</v>
      </c>
      <c r="AG238" s="33">
        <v>0.1146</v>
      </c>
      <c r="AH238" s="33">
        <v>0.1276</v>
      </c>
      <c r="AI238" s="33">
        <v>0.1135</v>
      </c>
      <c r="AJ238" s="33">
        <v>0.0908</v>
      </c>
      <c r="AK238" s="33">
        <v>0.1009</v>
      </c>
      <c r="AL238" s="33">
        <v>0.1003</v>
      </c>
      <c r="AM238" s="33">
        <v>0.1026</v>
      </c>
      <c r="AN238" s="33">
        <v>0.107</v>
      </c>
      <c r="AO238" s="33">
        <v>0.131</v>
      </c>
      <c r="AP238" s="33">
        <v>0.1386</v>
      </c>
      <c r="AQ238" s="33">
        <v>0.1326</v>
      </c>
      <c r="AR238" s="33">
        <v>0.1299</v>
      </c>
      <c r="AS238" s="33">
        <v>0.1173</v>
      </c>
      <c r="AT238" s="33">
        <v>0.1185</v>
      </c>
      <c r="AU238" s="33">
        <v>0.0933</v>
      </c>
      <c r="AV238" s="33">
        <v>0.0488</v>
      </c>
      <c r="AW238" s="33">
        <v>0.0506</v>
      </c>
      <c r="AX238" s="33">
        <v>0.0683</v>
      </c>
      <c r="AY238" s="33">
        <v>0.0432</v>
      </c>
      <c r="AZ238" s="33">
        <v>0.0287</v>
      </c>
      <c r="BA238" s="33">
        <v>0.1725</v>
      </c>
      <c r="BB238" s="33">
        <v>0.1753</v>
      </c>
      <c r="BC238" s="33">
        <v>0.2142</v>
      </c>
      <c r="BD238" s="33">
        <v>0.164</v>
      </c>
      <c r="BE238" s="33">
        <v>0.6113</v>
      </c>
      <c r="BF238" s="33">
        <v>0.6077</v>
      </c>
      <c r="BG238" s="33">
        <v>0.2173</v>
      </c>
      <c r="BH238" s="33">
        <v>0.1227</v>
      </c>
      <c r="BI238" s="33">
        <v>0.2217</v>
      </c>
      <c r="BJ238" s="33">
        <v>0.4841</v>
      </c>
      <c r="BK238" s="33">
        <v>0.4355</v>
      </c>
      <c r="BL238" s="33"/>
      <c r="BM238" s="33"/>
      <c r="BN238" s="33"/>
      <c r="BO238" s="33"/>
      <c r="BP238" s="33"/>
      <c r="BQ238" s="33"/>
      <c r="BR238" s="33"/>
      <c r="BS238" s="1"/>
      <c r="BT238" s="9"/>
      <c r="BU238" s="9"/>
      <c r="BV238" s="1"/>
      <c r="BW238" s="1"/>
      <c r="BX238" s="1"/>
      <c r="BY238" s="1"/>
      <c r="BZ238" s="1"/>
    </row>
    <row r="239">
      <c r="A239" s="3"/>
      <c r="B239" s="141"/>
      <c r="C239" s="133"/>
      <c r="D239" s="133" t="s">
        <v>311</v>
      </c>
      <c r="E239" s="2"/>
      <c r="F239" s="2"/>
      <c r="G239" s="14"/>
      <c r="H239" s="14"/>
      <c r="I239" s="14"/>
      <c r="J239" s="14"/>
      <c r="K239" s="14"/>
      <c r="L239" s="1"/>
      <c r="M239" s="1"/>
      <c r="N239" s="1"/>
      <c r="O239" s="1"/>
      <c r="P239" s="1"/>
      <c r="Q239" s="1"/>
      <c r="R239" s="1"/>
      <c r="S239" s="1"/>
      <c r="T239" s="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140" t="s">
        <v>311</v>
      </c>
      <c r="AG239" s="33">
        <v>0.0332</v>
      </c>
      <c r="AH239" s="33">
        <v>0.053</v>
      </c>
      <c r="AI239" s="33">
        <v>0.034</v>
      </c>
      <c r="AJ239" s="33">
        <v>0.0144</v>
      </c>
      <c r="AK239" s="33">
        <v>0.015</v>
      </c>
      <c r="AL239" s="33">
        <v>0.017</v>
      </c>
      <c r="AM239" s="33">
        <v>0.0156</v>
      </c>
      <c r="AN239" s="33">
        <v>0.0122</v>
      </c>
      <c r="AO239" s="33">
        <v>0.0129</v>
      </c>
      <c r="AP239" s="33">
        <v>0.0186</v>
      </c>
      <c r="AQ239" s="33">
        <v>0.0246</v>
      </c>
      <c r="AR239" s="33">
        <v>0.0279</v>
      </c>
      <c r="AS239" s="33">
        <v>0.0114</v>
      </c>
      <c r="AT239" s="33">
        <v>0.0984</v>
      </c>
      <c r="AU239" s="33">
        <v>0.2056</v>
      </c>
      <c r="AV239" s="33">
        <v>0.2775</v>
      </c>
      <c r="AW239" s="33">
        <v>0.2472</v>
      </c>
      <c r="AX239" s="33">
        <v>0.2469</v>
      </c>
      <c r="AY239" s="33">
        <v>0.1916</v>
      </c>
      <c r="AZ239" s="33">
        <v>0.0655</v>
      </c>
      <c r="BA239" s="33">
        <v>0.0654</v>
      </c>
      <c r="BB239" s="33">
        <v>0.0659</v>
      </c>
      <c r="BC239" s="33">
        <v>0.1167</v>
      </c>
      <c r="BD239" s="33">
        <v>0.0878</v>
      </c>
      <c r="BE239" s="33">
        <v>0.0248</v>
      </c>
      <c r="BF239" s="33">
        <v>0.0261</v>
      </c>
      <c r="BG239" s="33">
        <v>0.0572</v>
      </c>
      <c r="BH239" s="33">
        <v>0.0663</v>
      </c>
      <c r="BI239" s="33">
        <v>0.2435</v>
      </c>
      <c r="BJ239" s="33">
        <v>0.0396</v>
      </c>
      <c r="BK239" s="33">
        <v>0.0693</v>
      </c>
      <c r="BL239" s="33"/>
      <c r="BM239" s="33"/>
      <c r="BN239" s="33"/>
      <c r="BO239" s="33"/>
      <c r="BP239" s="33"/>
      <c r="BQ239" s="33"/>
      <c r="BR239" s="33"/>
      <c r="BS239" s="1"/>
      <c r="BT239" s="9"/>
      <c r="BU239" s="9"/>
      <c r="BV239" s="1"/>
      <c r="BW239" s="1"/>
      <c r="BX239" s="1"/>
      <c r="BY239" s="1"/>
      <c r="BZ239" s="1"/>
    </row>
    <row r="240">
      <c r="A240" s="3"/>
      <c r="B240" s="141"/>
      <c r="C240" s="133"/>
      <c r="D240" s="133" t="s">
        <v>312</v>
      </c>
      <c r="E240" s="2"/>
      <c r="F240" s="2"/>
      <c r="G240" s="14"/>
      <c r="H240" s="14"/>
      <c r="I240" s="14"/>
      <c r="J240" s="14"/>
      <c r="K240" s="14"/>
      <c r="L240" s="1"/>
      <c r="M240" s="1"/>
      <c r="N240" s="1"/>
      <c r="O240" s="1"/>
      <c r="P240" s="1"/>
      <c r="Q240" s="1"/>
      <c r="R240" s="1"/>
      <c r="S240" s="1"/>
      <c r="T240" s="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140" t="s">
        <v>312</v>
      </c>
      <c r="AG240" s="33">
        <v>0.024</v>
      </c>
      <c r="AH240" s="33">
        <v>0.021</v>
      </c>
      <c r="AI240" s="33">
        <v>0.0241</v>
      </c>
      <c r="AJ240" s="33">
        <v>0.0218</v>
      </c>
      <c r="AK240" s="33">
        <v>0.0204</v>
      </c>
      <c r="AL240" s="33">
        <v>0.022</v>
      </c>
      <c r="AM240" s="33">
        <v>0.0214</v>
      </c>
      <c r="AN240" s="33">
        <v>0.024</v>
      </c>
      <c r="AO240" s="33">
        <v>0.0219</v>
      </c>
      <c r="AP240" s="33">
        <v>0.0226</v>
      </c>
      <c r="AQ240" s="33">
        <v>0.0218</v>
      </c>
      <c r="AR240" s="33">
        <v>0.0246</v>
      </c>
      <c r="AS240" s="33">
        <v>0.0232</v>
      </c>
      <c r="AT240" s="33">
        <v>0.0309</v>
      </c>
      <c r="AU240" s="33">
        <v>0.0781</v>
      </c>
      <c r="AV240" s="33">
        <v>0.0396</v>
      </c>
      <c r="AW240" s="33">
        <v>0.0249</v>
      </c>
      <c r="AX240" s="33">
        <v>0.0238</v>
      </c>
      <c r="AY240" s="33">
        <v>0.0289</v>
      </c>
      <c r="AZ240" s="33">
        <v>0.0151</v>
      </c>
      <c r="BA240" s="33">
        <v>0.0042</v>
      </c>
      <c r="BB240" s="33">
        <v>0.0036</v>
      </c>
      <c r="BC240" s="33">
        <v>0.0031</v>
      </c>
      <c r="BD240" s="33">
        <v>0.0037</v>
      </c>
      <c r="BE240" s="33">
        <v>0.0046</v>
      </c>
      <c r="BF240" s="33">
        <v>0.0044</v>
      </c>
      <c r="BG240" s="33">
        <v>0.0124</v>
      </c>
      <c r="BH240" s="33">
        <v>0.0088</v>
      </c>
      <c r="BI240" s="33">
        <v>0.0115</v>
      </c>
      <c r="BJ240" s="33">
        <v>0.0036</v>
      </c>
      <c r="BK240" s="33">
        <v>0.0096</v>
      </c>
      <c r="BL240" s="33"/>
      <c r="BM240" s="33"/>
      <c r="BN240" s="33"/>
      <c r="BO240" s="33"/>
      <c r="BP240" s="33"/>
      <c r="BQ240" s="33"/>
      <c r="BR240" s="33"/>
      <c r="BS240" s="1"/>
      <c r="BT240" s="9"/>
      <c r="BU240" s="9"/>
      <c r="BV240" s="1"/>
      <c r="BW240" s="1"/>
      <c r="BX240" s="1"/>
      <c r="BY240" s="1"/>
      <c r="BZ240" s="1"/>
    </row>
    <row r="241">
      <c r="A241" s="3"/>
      <c r="B241" s="141"/>
      <c r="C241" s="146"/>
      <c r="D241" s="146"/>
      <c r="E241" s="2"/>
      <c r="F241" s="2"/>
      <c r="G241" s="14"/>
      <c r="H241" s="14"/>
      <c r="I241" s="14"/>
      <c r="J241" s="14"/>
      <c r="K241" s="14"/>
      <c r="L241" s="1"/>
      <c r="M241" s="1"/>
      <c r="N241" s="1"/>
      <c r="O241" s="1"/>
      <c r="P241" s="1"/>
      <c r="Q241" s="1"/>
      <c r="R241" s="1"/>
      <c r="S241" s="1"/>
      <c r="T241" s="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1"/>
      <c r="BT241" s="9"/>
      <c r="BU241" s="9"/>
      <c r="BV241" s="1"/>
      <c r="BW241" s="1"/>
      <c r="BX241" s="1"/>
      <c r="BY241" s="1"/>
      <c r="BZ241" s="1"/>
    </row>
    <row r="242">
      <c r="A242" s="3"/>
      <c r="B242" s="141"/>
      <c r="C242" s="122"/>
      <c r="D242" s="122" t="s">
        <v>313</v>
      </c>
      <c r="E242" s="2"/>
      <c r="F242" s="2"/>
      <c r="G242" s="14"/>
      <c r="H242" s="14"/>
      <c r="I242" s="14"/>
      <c r="J242" s="14"/>
      <c r="K242" s="14"/>
      <c r="L242" s="1"/>
      <c r="M242" s="1"/>
      <c r="N242" s="1"/>
      <c r="O242" s="1"/>
      <c r="P242" s="1"/>
      <c r="Q242" s="1"/>
      <c r="R242" s="1"/>
      <c r="S242" s="1"/>
      <c r="T242" s="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1"/>
      <c r="BT242" s="9"/>
      <c r="BU242" s="9"/>
      <c r="BV242" s="1"/>
      <c r="BW242" s="1"/>
      <c r="BX242" s="1"/>
      <c r="BY242" s="1"/>
      <c r="BZ242" s="1"/>
    </row>
    <row r="243">
      <c r="A243" s="3"/>
      <c r="B243" s="141"/>
      <c r="C243" s="133"/>
      <c r="D243" s="133" t="s">
        <v>306</v>
      </c>
      <c r="E243" s="2"/>
      <c r="F243" s="2"/>
      <c r="G243" s="14"/>
      <c r="H243" s="14"/>
      <c r="I243" s="14"/>
      <c r="J243" s="14"/>
      <c r="K243" s="14"/>
      <c r="L243" s="1"/>
      <c r="M243" s="1"/>
      <c r="N243" s="1"/>
      <c r="O243" s="1"/>
      <c r="P243" s="1"/>
      <c r="Q243" s="1"/>
      <c r="R243" s="1"/>
      <c r="S243" s="1"/>
      <c r="T243" s="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140" t="s">
        <v>306</v>
      </c>
      <c r="AG243" s="69">
        <v>140.0</v>
      </c>
      <c r="AH243" s="69">
        <v>139.0</v>
      </c>
      <c r="AI243" s="69">
        <v>134.0</v>
      </c>
      <c r="AJ243" s="69">
        <v>135.0</v>
      </c>
      <c r="AK243" s="69">
        <v>131.0</v>
      </c>
      <c r="AL243" s="69">
        <v>133.0</v>
      </c>
      <c r="AM243" s="69">
        <v>132.0</v>
      </c>
      <c r="AN243" s="69">
        <v>141.0</v>
      </c>
      <c r="AO243" s="69">
        <v>139.0</v>
      </c>
      <c r="AP243" s="69">
        <v>144.0</v>
      </c>
      <c r="AQ243" s="69">
        <v>139.0</v>
      </c>
      <c r="AR243" s="69">
        <v>135.0</v>
      </c>
      <c r="AS243" s="69">
        <v>137.0</v>
      </c>
      <c r="AT243" s="69">
        <v>140.0</v>
      </c>
      <c r="AU243" s="69">
        <v>116.0</v>
      </c>
      <c r="AV243" s="69">
        <v>128.0</v>
      </c>
      <c r="AW243" s="69">
        <v>125.0</v>
      </c>
      <c r="AX243" s="69">
        <v>125.0</v>
      </c>
      <c r="AY243" s="69">
        <v>131.0</v>
      </c>
      <c r="AZ243" s="69">
        <v>173.0</v>
      </c>
      <c r="BA243" s="69">
        <v>166.0</v>
      </c>
      <c r="BB243" s="69">
        <v>165.0</v>
      </c>
      <c r="BC243" s="69">
        <v>120.0</v>
      </c>
      <c r="BD243" s="69">
        <v>159.0</v>
      </c>
      <c r="BE243" s="69">
        <v>64.0</v>
      </c>
      <c r="BF243" s="69">
        <v>62.0</v>
      </c>
      <c r="BG243" s="69">
        <v>157.0</v>
      </c>
      <c r="BH243" s="69">
        <v>153.0</v>
      </c>
      <c r="BI243" s="69">
        <v>133.0</v>
      </c>
      <c r="BJ243" s="69">
        <v>122.0</v>
      </c>
      <c r="BK243" s="69">
        <v>129.0</v>
      </c>
      <c r="BL243" s="69"/>
      <c r="BM243" s="69"/>
      <c r="BN243" s="69"/>
      <c r="BO243" s="69"/>
      <c r="BP243" s="69"/>
      <c r="BQ243" s="69"/>
      <c r="BR243" s="69"/>
      <c r="BS243" s="1"/>
      <c r="BT243" s="9"/>
      <c r="BU243" s="9"/>
      <c r="BV243" s="1"/>
      <c r="BW243" s="1"/>
      <c r="BX243" s="1"/>
      <c r="BY243" s="1"/>
      <c r="BZ243" s="1"/>
    </row>
    <row r="244">
      <c r="A244" s="3"/>
      <c r="B244" s="141"/>
      <c r="C244" s="133"/>
      <c r="D244" s="133" t="s">
        <v>307</v>
      </c>
      <c r="E244" s="2"/>
      <c r="F244" s="2"/>
      <c r="G244" s="14"/>
      <c r="H244" s="14"/>
      <c r="I244" s="14"/>
      <c r="J244" s="14"/>
      <c r="K244" s="14"/>
      <c r="L244" s="1"/>
      <c r="M244" s="1"/>
      <c r="N244" s="1"/>
      <c r="O244" s="1"/>
      <c r="P244" s="1"/>
      <c r="Q244" s="1"/>
      <c r="R244" s="1"/>
      <c r="S244" s="1"/>
      <c r="T244" s="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140" t="s">
        <v>307</v>
      </c>
      <c r="AG244" s="69">
        <v>21.0</v>
      </c>
      <c r="AH244" s="69">
        <v>22.0</v>
      </c>
      <c r="AI244" s="69">
        <v>20.0</v>
      </c>
      <c r="AJ244" s="69">
        <v>21.0</v>
      </c>
      <c r="AK244" s="69">
        <v>20.0</v>
      </c>
      <c r="AL244" s="69">
        <v>20.0</v>
      </c>
      <c r="AM244" s="69">
        <v>20.0</v>
      </c>
      <c r="AN244" s="69">
        <v>23.0</v>
      </c>
      <c r="AO244" s="69">
        <v>24.0</v>
      </c>
      <c r="AP244" s="69">
        <v>23.0</v>
      </c>
      <c r="AQ244" s="69">
        <v>22.0</v>
      </c>
      <c r="AR244" s="69">
        <v>20.0</v>
      </c>
      <c r="AS244" s="69">
        <v>21.0</v>
      </c>
      <c r="AT244" s="69">
        <v>9.0</v>
      </c>
      <c r="AU244" s="69">
        <v>11.0</v>
      </c>
      <c r="AV244" s="69">
        <v>11.0</v>
      </c>
      <c r="AW244" s="69">
        <v>10.0</v>
      </c>
      <c r="AX244" s="69">
        <v>10.0</v>
      </c>
      <c r="AY244" s="69">
        <v>11.0</v>
      </c>
      <c r="AZ244" s="69">
        <v>13.0</v>
      </c>
      <c r="BA244" s="69">
        <v>22.0</v>
      </c>
      <c r="BB244" s="69">
        <v>20.0</v>
      </c>
      <c r="BC244" s="69">
        <v>50.0</v>
      </c>
      <c r="BD244" s="69">
        <v>22.0</v>
      </c>
      <c r="BE244" s="69">
        <v>113.0</v>
      </c>
      <c r="BF244" s="69">
        <v>110.0</v>
      </c>
      <c r="BG244" s="69">
        <v>21.0</v>
      </c>
      <c r="BH244" s="69">
        <v>23.0</v>
      </c>
      <c r="BI244" s="69">
        <v>24.0</v>
      </c>
      <c r="BJ244" s="69">
        <v>49.0</v>
      </c>
      <c r="BK244" s="69">
        <v>37.0</v>
      </c>
      <c r="BL244" s="69"/>
      <c r="BM244" s="69"/>
      <c r="BN244" s="69"/>
      <c r="BO244" s="69"/>
      <c r="BP244" s="69"/>
      <c r="BQ244" s="69"/>
      <c r="BR244" s="69"/>
      <c r="BS244" s="1"/>
      <c r="BT244" s="9"/>
      <c r="BU244" s="9"/>
      <c r="BV244" s="1"/>
      <c r="BW244" s="1"/>
      <c r="BX244" s="1"/>
      <c r="BY244" s="1"/>
      <c r="BZ244" s="1"/>
    </row>
    <row r="245">
      <c r="A245" s="3"/>
      <c r="B245" s="141"/>
      <c r="C245" s="133"/>
      <c r="D245" s="133" t="s">
        <v>308</v>
      </c>
      <c r="E245" s="2"/>
      <c r="F245" s="2"/>
      <c r="G245" s="14"/>
      <c r="H245" s="14"/>
      <c r="I245" s="14"/>
      <c r="J245" s="14"/>
      <c r="K245" s="14"/>
      <c r="L245" s="1"/>
      <c r="M245" s="1"/>
      <c r="N245" s="1"/>
      <c r="O245" s="1"/>
      <c r="P245" s="1"/>
      <c r="Q245" s="1"/>
      <c r="R245" s="1"/>
      <c r="S245" s="1"/>
      <c r="T245" s="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140" t="s">
        <v>308</v>
      </c>
      <c r="AG245" s="69">
        <v>1.0</v>
      </c>
      <c r="AH245" s="69">
        <v>1.0</v>
      </c>
      <c r="AI245" s="69">
        <v>1.0</v>
      </c>
      <c r="AJ245" s="69">
        <v>1.0</v>
      </c>
      <c r="AK245" s="69">
        <v>1.0</v>
      </c>
      <c r="AL245" s="69">
        <v>1.0</v>
      </c>
      <c r="AM245" s="69">
        <v>1.0</v>
      </c>
      <c r="AN245" s="69">
        <v>1.0</v>
      </c>
      <c r="AO245" s="69">
        <v>2.0</v>
      </c>
      <c r="AP245" s="69">
        <v>1.0</v>
      </c>
      <c r="AQ245" s="69">
        <v>1.0</v>
      </c>
      <c r="AR245" s="69">
        <v>1.0</v>
      </c>
      <c r="AS245" s="69">
        <v>1.0</v>
      </c>
      <c r="AT245" s="69">
        <v>10.0</v>
      </c>
      <c r="AU245" s="69">
        <v>17.0</v>
      </c>
      <c r="AV245" s="69">
        <v>18.0</v>
      </c>
      <c r="AW245" s="69">
        <v>18.0</v>
      </c>
      <c r="AX245" s="69">
        <v>17.0</v>
      </c>
      <c r="AY245" s="69">
        <v>17.0</v>
      </c>
      <c r="AZ245" s="69">
        <v>3.0</v>
      </c>
      <c r="BA245" s="69">
        <v>6.0</v>
      </c>
      <c r="BB245" s="69">
        <v>6.0</v>
      </c>
      <c r="BC245" s="69">
        <v>31.0</v>
      </c>
      <c r="BD245" s="69">
        <v>8.0</v>
      </c>
      <c r="BE245" s="69">
        <v>15.0</v>
      </c>
      <c r="BF245" s="69">
        <v>15.0</v>
      </c>
      <c r="BG245" s="69">
        <v>11.0</v>
      </c>
      <c r="BH245" s="69">
        <v>10.0</v>
      </c>
      <c r="BI245" s="69">
        <v>18.0</v>
      </c>
      <c r="BJ245" s="69">
        <v>7.0</v>
      </c>
      <c r="BK245" s="69">
        <v>8.0</v>
      </c>
      <c r="BL245" s="69"/>
      <c r="BM245" s="69"/>
      <c r="BN245" s="69"/>
      <c r="BO245" s="69"/>
      <c r="BP245" s="69"/>
      <c r="BQ245" s="69"/>
      <c r="BR245" s="69"/>
      <c r="BS245" s="1"/>
      <c r="BT245" s="9"/>
      <c r="BU245" s="9"/>
      <c r="BV245" s="1"/>
      <c r="BW245" s="1"/>
      <c r="BX245" s="1"/>
      <c r="BY245" s="1"/>
      <c r="BZ245" s="1"/>
    </row>
    <row r="246">
      <c r="A246" s="3"/>
      <c r="B246" s="141"/>
      <c r="C246" s="133"/>
      <c r="D246" s="133" t="s">
        <v>314</v>
      </c>
      <c r="E246" s="2"/>
      <c r="F246" s="2"/>
      <c r="G246" s="14"/>
      <c r="H246" s="14"/>
      <c r="I246" s="14"/>
      <c r="J246" s="14"/>
      <c r="K246" s="14"/>
      <c r="L246" s="1"/>
      <c r="M246" s="1"/>
      <c r="N246" s="1"/>
      <c r="O246" s="1"/>
      <c r="P246" s="1"/>
      <c r="Q246" s="1"/>
      <c r="R246" s="1"/>
      <c r="S246" s="1"/>
      <c r="T246" s="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140" t="s">
        <v>314</v>
      </c>
      <c r="AG246" s="69">
        <v>26.0</v>
      </c>
      <c r="AH246" s="69">
        <v>31.0</v>
      </c>
      <c r="AI246" s="69">
        <v>29.0</v>
      </c>
      <c r="AJ246" s="69">
        <v>29.0</v>
      </c>
      <c r="AK246" s="69">
        <v>23.0</v>
      </c>
      <c r="AL246" s="69">
        <v>24.0</v>
      </c>
      <c r="AM246" s="69">
        <v>26.0</v>
      </c>
      <c r="AN246" s="69">
        <v>28.0</v>
      </c>
      <c r="AO246" s="69">
        <v>28.0</v>
      </c>
      <c r="AP246" s="69">
        <v>27.0</v>
      </c>
      <c r="AQ246" s="69">
        <v>35.0</v>
      </c>
      <c r="AR246" s="69">
        <v>34.0</v>
      </c>
      <c r="AS246" s="69">
        <v>34.0</v>
      </c>
      <c r="AT246" s="69">
        <v>34.0</v>
      </c>
      <c r="AU246" s="69">
        <v>51.0</v>
      </c>
      <c r="AV246" s="69">
        <v>38.0</v>
      </c>
      <c r="AW246" s="69">
        <v>33.0</v>
      </c>
      <c r="AX246" s="69">
        <v>33.0</v>
      </c>
      <c r="AY246" s="69">
        <v>34.0</v>
      </c>
      <c r="AZ246" s="69">
        <v>14.0</v>
      </c>
      <c r="BA246" s="69">
        <v>6.0</v>
      </c>
      <c r="BB246" s="69">
        <v>7.0</v>
      </c>
      <c r="BC246" s="69">
        <v>8.0</v>
      </c>
      <c r="BD246" s="69">
        <v>4.0</v>
      </c>
      <c r="BE246" s="69">
        <v>4.0</v>
      </c>
      <c r="BF246" s="69">
        <v>4.0</v>
      </c>
      <c r="BG246" s="69">
        <v>7.0</v>
      </c>
      <c r="BH246" s="69">
        <v>6.0</v>
      </c>
      <c r="BI246" s="69">
        <v>6.0</v>
      </c>
      <c r="BJ246" s="69">
        <v>4.0</v>
      </c>
      <c r="BK246" s="69">
        <v>4.0</v>
      </c>
      <c r="BL246" s="69"/>
      <c r="BM246" s="69"/>
      <c r="BN246" s="69"/>
      <c r="BO246" s="69"/>
      <c r="BP246" s="69"/>
      <c r="BQ246" s="69"/>
      <c r="BR246" s="69"/>
      <c r="BS246" s="1"/>
      <c r="BT246" s="9"/>
      <c r="BU246" s="9"/>
      <c r="BV246" s="1"/>
      <c r="BW246" s="1"/>
      <c r="BX246" s="1"/>
      <c r="BY246" s="1"/>
      <c r="BZ246" s="1"/>
    </row>
    <row r="247">
      <c r="A247" s="3"/>
      <c r="B247" s="141"/>
      <c r="C247" s="5"/>
      <c r="D247" s="5"/>
      <c r="E247" s="2"/>
      <c r="F247" s="2"/>
      <c r="G247" s="14"/>
      <c r="H247" s="14"/>
      <c r="I247" s="14"/>
      <c r="J247" s="14"/>
      <c r="K247" s="14"/>
      <c r="L247" s="1"/>
      <c r="M247" s="1"/>
      <c r="N247" s="1"/>
      <c r="O247" s="1"/>
      <c r="P247" s="1"/>
      <c r="Q247" s="1"/>
      <c r="R247" s="1"/>
      <c r="S247" s="1"/>
      <c r="T247" s="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1"/>
      <c r="BT247" s="9"/>
      <c r="BU247" s="9"/>
      <c r="BV247" s="1"/>
      <c r="BW247" s="1"/>
      <c r="BX247" s="1"/>
      <c r="BY247" s="1"/>
      <c r="BZ247" s="1"/>
    </row>
    <row r="248">
      <c r="A248" s="3"/>
      <c r="B248" s="33"/>
      <c r="C248" s="122"/>
      <c r="D248" s="122" t="s">
        <v>315</v>
      </c>
      <c r="E248" s="134"/>
      <c r="F248" s="134"/>
      <c r="G248" s="14"/>
      <c r="H248" s="14"/>
      <c r="I248" s="14"/>
      <c r="J248" s="14"/>
      <c r="K248" s="1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9"/>
      <c r="BU248" s="9"/>
      <c r="BV248" s="1"/>
      <c r="BW248" s="1"/>
      <c r="BX248" s="1"/>
      <c r="BY248" s="1"/>
      <c r="BZ248" s="1"/>
    </row>
    <row r="249">
      <c r="A249" s="3"/>
      <c r="B249" s="33"/>
      <c r="C249" s="147"/>
      <c r="D249" s="147" t="s">
        <v>316</v>
      </c>
      <c r="E249" s="2"/>
      <c r="F249" s="2"/>
      <c r="G249" s="14"/>
      <c r="H249" s="14"/>
      <c r="I249" s="14"/>
      <c r="J249" s="14"/>
      <c r="K249" s="14"/>
      <c r="L249" s="1"/>
      <c r="M249" s="1"/>
      <c r="N249" s="1"/>
      <c r="O249" s="1"/>
      <c r="P249" s="1"/>
      <c r="Q249" s="1"/>
      <c r="R249" s="1"/>
      <c r="S249" s="18">
        <v>1.1653264E7</v>
      </c>
      <c r="T249" s="18">
        <v>1.2708802E7</v>
      </c>
      <c r="U249" s="18">
        <v>1.2830582E7</v>
      </c>
      <c r="V249" s="18">
        <v>1.3134979E7</v>
      </c>
      <c r="W249" s="18">
        <v>1.2200734E7</v>
      </c>
      <c r="X249" s="18">
        <v>1.378792E7</v>
      </c>
      <c r="Y249" s="18">
        <v>1.4589816E7</v>
      </c>
      <c r="Z249" s="18">
        <v>1.3937744E7</v>
      </c>
      <c r="AA249" s="18">
        <v>1.3635033E7</v>
      </c>
      <c r="AB249" s="18">
        <v>1.1854833E7</v>
      </c>
      <c r="AC249" s="18">
        <v>1.2721884E7</v>
      </c>
      <c r="AD249" s="18">
        <v>1.3264241E7</v>
      </c>
      <c r="AE249" s="18">
        <v>1.388837E7</v>
      </c>
      <c r="AF249" s="148">
        <v>1.3191902E7</v>
      </c>
      <c r="AG249" s="74">
        <v>1.4144142E7</v>
      </c>
      <c r="AH249" s="74">
        <v>1.6297785E7</v>
      </c>
      <c r="AI249" s="74">
        <v>1.4518205E7</v>
      </c>
      <c r="AJ249" s="74">
        <v>1.4799455E7</v>
      </c>
      <c r="AK249" s="74">
        <v>1.5926721E7</v>
      </c>
      <c r="AL249" s="148">
        <v>1.6202761E7</v>
      </c>
      <c r="AM249" s="148">
        <v>1.5062539E7</v>
      </c>
      <c r="AN249" s="74">
        <v>1.5505407E7</v>
      </c>
      <c r="AO249" s="74">
        <v>1.8675093E7</v>
      </c>
      <c r="AP249" s="74">
        <v>1.9026843E7</v>
      </c>
      <c r="AQ249" s="74">
        <v>1.940862E7</v>
      </c>
      <c r="AR249" s="74">
        <v>2.0074382E7</v>
      </c>
      <c r="AS249" s="74">
        <v>2.0596403E7</v>
      </c>
      <c r="AT249" s="74">
        <v>1.901984E7</v>
      </c>
      <c r="AU249" s="74">
        <v>1.9912148E7</v>
      </c>
      <c r="AV249" s="74">
        <v>1.9325235E7</v>
      </c>
      <c r="AW249" s="74">
        <v>1.4956571E7</v>
      </c>
      <c r="AX249" s="74">
        <v>1.6178094E7</v>
      </c>
      <c r="AY249" s="74">
        <v>1.6638887E7</v>
      </c>
      <c r="AZ249" s="74">
        <v>1.6661525E7</v>
      </c>
      <c r="BA249" s="74">
        <v>1.6599245E7</v>
      </c>
      <c r="BB249" s="74">
        <v>1.5315727E7</v>
      </c>
      <c r="BC249" s="74">
        <v>1.576476E7</v>
      </c>
      <c r="BD249" s="74">
        <v>1.7661413E7</v>
      </c>
      <c r="BE249" s="74">
        <v>1.5234265E7</v>
      </c>
      <c r="BF249" s="74">
        <v>1.3964152E7</v>
      </c>
      <c r="BG249" s="74">
        <v>1.6238225E7</v>
      </c>
      <c r="BH249" s="74">
        <v>1.7992939E7</v>
      </c>
      <c r="BI249" s="74">
        <v>1.6412279E7</v>
      </c>
      <c r="BJ249" s="74">
        <v>1.5269098E7</v>
      </c>
      <c r="BK249" s="74">
        <v>1.6906423E7</v>
      </c>
      <c r="BL249" s="74"/>
      <c r="BM249" s="74"/>
      <c r="BN249" s="74"/>
      <c r="BO249" s="74"/>
      <c r="BP249" s="74"/>
      <c r="BQ249" s="74"/>
      <c r="BR249" s="74"/>
      <c r="BS249" s="1"/>
      <c r="BT249" s="9"/>
      <c r="BU249" s="9"/>
      <c r="BV249" s="1"/>
      <c r="BW249" s="1"/>
      <c r="BX249" s="1"/>
      <c r="BY249" s="1"/>
      <c r="BZ249" s="1"/>
    </row>
    <row r="250">
      <c r="A250" s="3"/>
      <c r="B250" s="33"/>
      <c r="C250" s="147"/>
      <c r="D250" s="147" t="s">
        <v>317</v>
      </c>
      <c r="E250" s="2"/>
      <c r="F250" s="2"/>
      <c r="G250" s="14"/>
      <c r="H250" s="14"/>
      <c r="I250" s="14"/>
      <c r="J250" s="14"/>
      <c r="K250" s="14"/>
      <c r="L250" s="1"/>
      <c r="M250" s="1"/>
      <c r="N250" s="1"/>
      <c r="O250" s="1"/>
      <c r="P250" s="1"/>
      <c r="Q250" s="1"/>
      <c r="R250" s="1"/>
      <c r="S250" s="74">
        <v>7067.0</v>
      </c>
      <c r="T250" s="74">
        <v>8714.0</v>
      </c>
      <c r="U250" s="74">
        <v>10102.0</v>
      </c>
      <c r="V250" s="74">
        <v>10922.0</v>
      </c>
      <c r="W250" s="74">
        <v>8742.0</v>
      </c>
      <c r="X250" s="74">
        <v>8807.0</v>
      </c>
      <c r="Y250" s="74">
        <v>9438.0</v>
      </c>
      <c r="Z250" s="74">
        <v>9015.0</v>
      </c>
      <c r="AA250" s="74">
        <v>8704.0</v>
      </c>
      <c r="AB250" s="74">
        <v>7665.0</v>
      </c>
      <c r="AC250" s="74">
        <v>8379.0</v>
      </c>
      <c r="AD250" s="74">
        <v>9238.0</v>
      </c>
      <c r="AE250" s="74">
        <v>9653.0</v>
      </c>
      <c r="AF250" s="149">
        <v>8572.0</v>
      </c>
      <c r="AG250" s="74">
        <v>9298.0</v>
      </c>
      <c r="AH250" s="74">
        <v>10888.0</v>
      </c>
      <c r="AI250" s="74">
        <v>9450.0</v>
      </c>
      <c r="AJ250" s="74">
        <v>9269.0</v>
      </c>
      <c r="AK250" s="74">
        <v>11767.0</v>
      </c>
      <c r="AL250" s="150">
        <v>11190.0</v>
      </c>
      <c r="AM250" s="150">
        <v>10016.0</v>
      </c>
      <c r="AN250" s="74">
        <v>10272.0</v>
      </c>
      <c r="AO250" s="74">
        <v>12371.0</v>
      </c>
      <c r="AP250" s="74">
        <v>12695.0</v>
      </c>
      <c r="AQ250" s="74">
        <v>13443.0</v>
      </c>
      <c r="AR250" s="74">
        <v>14781.0</v>
      </c>
      <c r="AS250" s="74">
        <v>15786.0</v>
      </c>
      <c r="AT250" s="74">
        <v>13055.0</v>
      </c>
      <c r="AU250" s="74">
        <v>12962.0</v>
      </c>
      <c r="AV250" s="74">
        <v>12753.0</v>
      </c>
      <c r="AW250" s="74">
        <v>9703.0</v>
      </c>
      <c r="AX250" s="74">
        <v>11324.0</v>
      </c>
      <c r="AY250" s="74">
        <v>11413.0</v>
      </c>
      <c r="AZ250" s="74">
        <v>10791.0</v>
      </c>
      <c r="BA250" s="74">
        <v>11276.0</v>
      </c>
      <c r="BB250" s="74">
        <v>10660.0</v>
      </c>
      <c r="BC250" s="74">
        <v>10778.0</v>
      </c>
      <c r="BD250" s="74">
        <v>12145.0</v>
      </c>
      <c r="BE250" s="74">
        <v>10265.0</v>
      </c>
      <c r="BF250" s="74">
        <v>12505.0</v>
      </c>
      <c r="BG250" s="74">
        <v>11740.0</v>
      </c>
      <c r="BH250" s="74">
        <v>14022.0</v>
      </c>
      <c r="BI250" s="74">
        <v>11034.0</v>
      </c>
      <c r="BJ250" s="74">
        <v>10251.0</v>
      </c>
      <c r="BK250" s="74">
        <v>11174.0</v>
      </c>
      <c r="BL250" s="74"/>
      <c r="BM250" s="74"/>
      <c r="BN250" s="74"/>
      <c r="BO250" s="74"/>
      <c r="BP250" s="74"/>
      <c r="BQ250" s="74"/>
      <c r="BR250" s="74"/>
      <c r="BS250" s="1"/>
      <c r="BT250" s="8"/>
      <c r="BU250" s="8"/>
      <c r="BV250" s="1"/>
      <c r="BW250" s="1"/>
      <c r="BX250" s="1"/>
      <c r="BY250" s="1"/>
      <c r="BZ250" s="1"/>
    </row>
    <row r="251">
      <c r="A251" s="3"/>
      <c r="B251" s="33"/>
      <c r="C251" s="151"/>
      <c r="D251" s="151" t="s">
        <v>318</v>
      </c>
      <c r="E251" s="2"/>
      <c r="F251" s="2"/>
      <c r="G251" s="14"/>
      <c r="H251" s="14"/>
      <c r="I251" s="14"/>
      <c r="J251" s="14"/>
      <c r="K251" s="14"/>
      <c r="L251" s="1"/>
      <c r="M251" s="1"/>
      <c r="N251" s="1"/>
      <c r="O251" s="1"/>
      <c r="P251" s="1"/>
      <c r="Q251" s="1"/>
      <c r="R251" s="1"/>
      <c r="S251" s="74">
        <v>1.0954068E7</v>
      </c>
      <c r="T251" s="74">
        <v>1.1946274E7</v>
      </c>
      <c r="U251" s="74">
        <v>1.2060747E7</v>
      </c>
      <c r="V251" s="74">
        <v>1.234688E7</v>
      </c>
      <c r="W251" s="74">
        <v>1.146869E7</v>
      </c>
      <c r="X251" s="74">
        <v>1.2960645E7</v>
      </c>
      <c r="Y251" s="74">
        <v>1.3714427E7</v>
      </c>
      <c r="Z251" s="74">
        <v>1.3101479E7</v>
      </c>
      <c r="AA251" s="74">
        <v>1.2816931E7</v>
      </c>
      <c r="AB251" s="74">
        <v>1.1143543E7</v>
      </c>
      <c r="AC251" s="74">
        <v>1.1958571E7</v>
      </c>
      <c r="AD251" s="74">
        <v>1.2468387E7</v>
      </c>
      <c r="AE251" s="74">
        <v>1.3055068E7</v>
      </c>
      <c r="AF251" s="152">
        <v>1.2400388E7</v>
      </c>
      <c r="AG251" s="74">
        <v>1.3295493E7</v>
      </c>
      <c r="AH251" s="74">
        <v>1.5319918E7</v>
      </c>
      <c r="AI251" s="74">
        <v>1.3647113E7</v>
      </c>
      <c r="AJ251" s="74">
        <v>1.3911488E7</v>
      </c>
      <c r="AK251" s="74">
        <v>1.4971118E7</v>
      </c>
      <c r="AL251" s="152">
        <v>1.5230595E7</v>
      </c>
      <c r="AM251" s="152">
        <v>1.4158787E7</v>
      </c>
      <c r="AN251" s="74">
        <v>1.4575083E7</v>
      </c>
      <c r="AO251" s="74">
        <v>1.7554587E7</v>
      </c>
      <c r="AP251" s="74">
        <v>1.7885232E7</v>
      </c>
      <c r="AQ251" s="74">
        <v>1.8244103E7</v>
      </c>
      <c r="AR251" s="74">
        <v>1.8869919E7</v>
      </c>
      <c r="AS251" s="74">
        <v>1.9360619E7</v>
      </c>
      <c r="AT251" s="74">
        <v>1.787865E7</v>
      </c>
      <c r="AU251" s="74">
        <v>1.8717419E7</v>
      </c>
      <c r="AV251" s="74">
        <v>1.8165721E7</v>
      </c>
      <c r="AW251" s="74">
        <v>1.4059177E7</v>
      </c>
      <c r="AX251" s="74">
        <v>1.5207408E7</v>
      </c>
      <c r="AY251" s="74">
        <v>1.5640554E7</v>
      </c>
      <c r="AZ251" s="74">
        <v>1.5661834E7</v>
      </c>
      <c r="BA251" s="74">
        <v>1.560329E7</v>
      </c>
      <c r="BB251" s="74">
        <v>1.4396783E7</v>
      </c>
      <c r="BC251" s="74">
        <v>1.4818874E7</v>
      </c>
      <c r="BD251" s="74">
        <v>1.6601728E7</v>
      </c>
      <c r="BE251" s="74">
        <v>1.4320209E7</v>
      </c>
      <c r="BF251" s="74">
        <v>1.3126303E7</v>
      </c>
      <c r="BG251" s="74">
        <v>1.5263932E7</v>
      </c>
      <c r="BH251" s="74">
        <v>1.6913363E7</v>
      </c>
      <c r="BI251" s="74">
        <v>1.5427542E7</v>
      </c>
      <c r="BJ251" s="74">
        <v>1.4352952E7</v>
      </c>
      <c r="BK251" s="74">
        <v>1.5892038E7</v>
      </c>
      <c r="BL251" s="74"/>
      <c r="BM251" s="74"/>
      <c r="BN251" s="74"/>
      <c r="BO251" s="74"/>
      <c r="BP251" s="74"/>
      <c r="BQ251" s="74"/>
      <c r="BR251" s="74"/>
      <c r="BS251" s="1"/>
      <c r="BT251" s="9"/>
      <c r="BU251" s="9"/>
      <c r="BV251" s="1"/>
      <c r="BW251" s="1"/>
      <c r="BX251" s="1"/>
      <c r="BY251" s="1"/>
      <c r="BZ251" s="1"/>
    </row>
    <row r="252">
      <c r="A252" s="3"/>
      <c r="B252" s="33"/>
      <c r="C252" s="151"/>
      <c r="D252" s="151" t="s">
        <v>319</v>
      </c>
      <c r="E252" s="2"/>
      <c r="F252" s="2"/>
      <c r="G252" s="14"/>
      <c r="H252" s="14"/>
      <c r="I252" s="14"/>
      <c r="J252" s="14"/>
      <c r="K252" s="14"/>
      <c r="L252" s="1"/>
      <c r="M252" s="1"/>
      <c r="N252" s="1"/>
      <c r="O252" s="1"/>
      <c r="P252" s="1"/>
      <c r="Q252" s="1"/>
      <c r="R252" s="1"/>
      <c r="S252" s="74">
        <v>699196.0</v>
      </c>
      <c r="T252" s="74">
        <v>762528.0</v>
      </c>
      <c r="U252" s="74">
        <v>769835.0</v>
      </c>
      <c r="V252" s="74">
        <v>788099.0</v>
      </c>
      <c r="W252" s="74">
        <v>732044.0</v>
      </c>
      <c r="X252" s="74">
        <v>827275.0</v>
      </c>
      <c r="Y252" s="74">
        <v>875389.0</v>
      </c>
      <c r="Z252" s="74">
        <v>836265.0</v>
      </c>
      <c r="AA252" s="74">
        <v>818102.0</v>
      </c>
      <c r="AB252" s="74">
        <v>711290.0</v>
      </c>
      <c r="AC252" s="74">
        <v>763313.0</v>
      </c>
      <c r="AD252" s="74">
        <v>795854.0</v>
      </c>
      <c r="AE252" s="74">
        <v>833302.0</v>
      </c>
      <c r="AF252" s="152">
        <v>791514.0</v>
      </c>
      <c r="AG252" s="74">
        <v>848649.0</v>
      </c>
      <c r="AH252" s="74">
        <v>977867.0</v>
      </c>
      <c r="AI252" s="74">
        <v>871092.0</v>
      </c>
      <c r="AJ252" s="74">
        <v>887967.0</v>
      </c>
      <c r="AK252" s="74">
        <v>955603.0</v>
      </c>
      <c r="AL252" s="152">
        <v>972166.0</v>
      </c>
      <c r="AM252" s="152">
        <v>903752.0</v>
      </c>
      <c r="AN252" s="74">
        <v>930324.0</v>
      </c>
      <c r="AO252" s="74">
        <v>1120506.0</v>
      </c>
      <c r="AP252" s="74">
        <v>1141611.0</v>
      </c>
      <c r="AQ252" s="74">
        <v>1164517.0</v>
      </c>
      <c r="AR252" s="74">
        <v>1204463.0</v>
      </c>
      <c r="AS252" s="74">
        <v>1235784.0</v>
      </c>
      <c r="AT252" s="74">
        <v>1141190.0</v>
      </c>
      <c r="AU252" s="74">
        <v>1194729.0</v>
      </c>
      <c r="AV252" s="74">
        <v>1159514.0</v>
      </c>
      <c r="AW252" s="74">
        <v>897394.0</v>
      </c>
      <c r="AX252" s="74">
        <v>970686.0</v>
      </c>
      <c r="AY252" s="74">
        <v>998333.0</v>
      </c>
      <c r="AZ252" s="74">
        <v>999692.0</v>
      </c>
      <c r="BA252" s="74">
        <v>995955.0</v>
      </c>
      <c r="BB252" s="74">
        <v>918944.0</v>
      </c>
      <c r="BC252" s="74">
        <v>945886.0</v>
      </c>
      <c r="BD252" s="74">
        <v>1059685.0</v>
      </c>
      <c r="BE252" s="74">
        <v>914056.0</v>
      </c>
      <c r="BF252" s="74">
        <v>837849.0</v>
      </c>
      <c r="BG252" s="74">
        <v>974294.0</v>
      </c>
      <c r="BH252" s="74">
        <v>1079576.0</v>
      </c>
      <c r="BI252" s="74">
        <v>984737.0</v>
      </c>
      <c r="BJ252" s="74">
        <v>916146.0</v>
      </c>
      <c r="BK252" s="74">
        <v>1014385.0</v>
      </c>
      <c r="BL252" s="74"/>
      <c r="BM252" s="74"/>
      <c r="BN252" s="74"/>
      <c r="BO252" s="74"/>
      <c r="BP252" s="74"/>
      <c r="BQ252" s="74"/>
      <c r="BR252" s="74"/>
      <c r="BS252" s="1"/>
      <c r="BT252" s="9"/>
      <c r="BU252" s="9"/>
      <c r="BV252" s="1"/>
      <c r="BW252" s="1"/>
      <c r="BX252" s="1"/>
      <c r="BY252" s="1"/>
      <c r="BZ252" s="1"/>
    </row>
    <row r="253">
      <c r="A253" s="3"/>
      <c r="B253" s="33"/>
      <c r="C253" s="153"/>
      <c r="D253" s="153" t="s">
        <v>320</v>
      </c>
      <c r="E253" s="2"/>
      <c r="F253" s="2"/>
      <c r="G253" s="14"/>
      <c r="H253" s="14"/>
      <c r="I253" s="14"/>
      <c r="J253" s="14"/>
      <c r="K253" s="14"/>
      <c r="L253" s="1"/>
      <c r="M253" s="1"/>
      <c r="N253" s="1"/>
      <c r="O253" s="1"/>
      <c r="P253" s="1"/>
      <c r="Q253" s="1"/>
      <c r="R253" s="1"/>
      <c r="S253" s="33">
        <v>1.0</v>
      </c>
      <c r="T253" s="33">
        <v>1.0</v>
      </c>
      <c r="U253" s="33">
        <v>1.0</v>
      </c>
      <c r="V253" s="33">
        <v>1.0</v>
      </c>
      <c r="W253" s="33">
        <v>1.0</v>
      </c>
      <c r="X253" s="33">
        <v>1.0</v>
      </c>
      <c r="Y253" s="33">
        <v>1.0</v>
      </c>
      <c r="Z253" s="33">
        <v>1.0</v>
      </c>
      <c r="AA253" s="33">
        <v>1.0</v>
      </c>
      <c r="AB253" s="33">
        <v>1.0</v>
      </c>
      <c r="AC253" s="33">
        <v>1.0</v>
      </c>
      <c r="AD253" s="33">
        <v>1.0</v>
      </c>
      <c r="AE253" s="33">
        <v>1.0</v>
      </c>
      <c r="AF253" s="127">
        <v>1.0</v>
      </c>
      <c r="AG253" s="33">
        <v>1.0</v>
      </c>
      <c r="AH253" s="33">
        <v>1.0</v>
      </c>
      <c r="AI253" s="33">
        <v>1.0</v>
      </c>
      <c r="AJ253" s="33">
        <v>1.0</v>
      </c>
      <c r="AK253" s="33">
        <v>1.0</v>
      </c>
      <c r="AL253" s="127">
        <v>1.0</v>
      </c>
      <c r="AM253" s="127">
        <v>1.0</v>
      </c>
      <c r="AN253" s="33">
        <v>1.0</v>
      </c>
      <c r="AO253" s="33">
        <v>1.0</v>
      </c>
      <c r="AP253" s="33">
        <v>1.0</v>
      </c>
      <c r="AQ253" s="33">
        <v>1.0</v>
      </c>
      <c r="AR253" s="33">
        <v>1.0</v>
      </c>
      <c r="AS253" s="33">
        <v>1.0</v>
      </c>
      <c r="AT253" s="33">
        <v>1.0</v>
      </c>
      <c r="AU253" s="33">
        <v>1.0</v>
      </c>
      <c r="AV253" s="33">
        <v>1.0</v>
      </c>
      <c r="AW253" s="33">
        <v>1.0</v>
      </c>
      <c r="AX253" s="33">
        <v>1.0</v>
      </c>
      <c r="AY253" s="33">
        <v>1.0</v>
      </c>
      <c r="AZ253" s="33">
        <v>1.0</v>
      </c>
      <c r="BA253" s="33">
        <v>1.0</v>
      </c>
      <c r="BB253" s="33">
        <v>1.0</v>
      </c>
      <c r="BC253" s="33">
        <v>1.0</v>
      </c>
      <c r="BD253" s="33">
        <v>1.0</v>
      </c>
      <c r="BE253" s="33">
        <v>1.0</v>
      </c>
      <c r="BF253" s="33">
        <v>1.0</v>
      </c>
      <c r="BG253" s="33">
        <v>1.0</v>
      </c>
      <c r="BH253" s="33">
        <v>1.0</v>
      </c>
      <c r="BI253" s="33">
        <v>1.0</v>
      </c>
      <c r="BJ253" s="33">
        <v>1.0</v>
      </c>
      <c r="BK253" s="33">
        <v>1.0</v>
      </c>
      <c r="BL253" s="33"/>
      <c r="BM253" s="33"/>
      <c r="BN253" s="33"/>
      <c r="BO253" s="33"/>
      <c r="BP253" s="33"/>
      <c r="BQ253" s="33"/>
      <c r="BR253" s="33"/>
      <c r="BS253" s="1"/>
      <c r="BT253" s="9"/>
      <c r="BU253" s="9"/>
      <c r="BV253" s="1"/>
      <c r="BW253" s="1"/>
      <c r="BX253" s="1"/>
      <c r="BY253" s="1"/>
      <c r="BZ253" s="1"/>
    </row>
    <row r="254">
      <c r="A254" s="3"/>
      <c r="B254" s="33"/>
      <c r="C254" s="146"/>
      <c r="D254" s="146"/>
      <c r="E254" s="2"/>
      <c r="F254" s="2"/>
      <c r="G254" s="14"/>
      <c r="H254" s="14"/>
      <c r="I254" s="14"/>
      <c r="J254" s="14"/>
      <c r="K254" s="1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25"/>
      <c r="AG254" s="3"/>
      <c r="AH254" s="3"/>
      <c r="AI254" s="74"/>
      <c r="AJ254" s="74"/>
      <c r="AK254" s="74"/>
      <c r="AL254" s="152"/>
      <c r="AM254" s="152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1"/>
      <c r="BT254" s="9"/>
      <c r="BU254" s="9"/>
      <c r="BV254" s="1"/>
      <c r="BW254" s="1"/>
      <c r="BX254" s="1"/>
      <c r="BY254" s="1"/>
      <c r="BZ254" s="1"/>
    </row>
    <row r="255">
      <c r="A255" s="3"/>
      <c r="B255" s="33"/>
      <c r="C255" s="147"/>
      <c r="D255" s="147" t="s">
        <v>246</v>
      </c>
      <c r="E255" s="2"/>
      <c r="F255" s="2"/>
      <c r="G255" s="14"/>
      <c r="H255" s="14"/>
      <c r="I255" s="14"/>
      <c r="J255" s="14"/>
      <c r="K255" s="14"/>
      <c r="L255" s="1"/>
      <c r="M255" s="1"/>
      <c r="N255" s="1"/>
      <c r="O255" s="1"/>
      <c r="P255" s="1"/>
      <c r="Q255" s="1"/>
      <c r="R255" s="1"/>
      <c r="S255" s="3">
        <v>3306920.0</v>
      </c>
      <c r="T255" s="3">
        <v>4108000.0</v>
      </c>
      <c r="U255" s="3">
        <v>4635956.0</v>
      </c>
      <c r="V255" s="3">
        <v>5091430.0</v>
      </c>
      <c r="W255" s="3">
        <v>3910699.0</v>
      </c>
      <c r="X255" s="3">
        <v>3700281.0</v>
      </c>
      <c r="Y255" s="3">
        <v>4071189.0</v>
      </c>
      <c r="Z255" s="3">
        <v>4012054.0</v>
      </c>
      <c r="AA255" s="3">
        <v>4042774.0</v>
      </c>
      <c r="AB255" s="3">
        <v>3634751.0</v>
      </c>
      <c r="AC255" s="3">
        <v>4053961.0</v>
      </c>
      <c r="AD255" s="3">
        <v>4274937.0</v>
      </c>
      <c r="AE255" s="3">
        <v>4461090.0</v>
      </c>
      <c r="AF255" s="125">
        <v>4116949.0</v>
      </c>
      <c r="AG255" s="3">
        <v>4472484.0</v>
      </c>
      <c r="AH255" s="3">
        <v>4996715.0</v>
      </c>
      <c r="AI255" s="74">
        <v>4249638.0</v>
      </c>
      <c r="AJ255" s="74">
        <v>4135452.0</v>
      </c>
      <c r="AK255" s="74">
        <v>4696570.0</v>
      </c>
      <c r="AL255" s="152">
        <v>4990927.0</v>
      </c>
      <c r="AM255" s="152">
        <v>4473827.0</v>
      </c>
      <c r="AN255" s="74">
        <v>4763319.0</v>
      </c>
      <c r="AO255" s="74">
        <v>5622700.0</v>
      </c>
      <c r="AP255" s="74">
        <v>5350074.0</v>
      </c>
      <c r="AQ255" s="74">
        <v>5643771.0</v>
      </c>
      <c r="AR255" s="74">
        <v>5877650.0</v>
      </c>
      <c r="AS255" s="74">
        <v>6835018.0</v>
      </c>
      <c r="AT255" s="74">
        <v>5949875.0</v>
      </c>
      <c r="AU255" s="74">
        <v>5853537.0</v>
      </c>
      <c r="AV255" s="74">
        <v>5941535.0</v>
      </c>
      <c r="AW255" s="74">
        <v>4366363.0</v>
      </c>
      <c r="AX255" s="74">
        <v>5059308.0</v>
      </c>
      <c r="AY255" s="74">
        <v>5586801.0</v>
      </c>
      <c r="AZ255" s="74">
        <v>5316143.0</v>
      </c>
      <c r="BA255" s="74">
        <v>5182778.0</v>
      </c>
      <c r="BB255" s="74">
        <v>4974819.0</v>
      </c>
      <c r="BC255" s="74">
        <v>4737021.0</v>
      </c>
      <c r="BD255" s="74">
        <v>5680287.0</v>
      </c>
      <c r="BE255" s="74">
        <v>5339461.0</v>
      </c>
      <c r="BF255" s="74">
        <v>5017341.0</v>
      </c>
      <c r="BG255" s="74">
        <v>5718880.0</v>
      </c>
      <c r="BH255" s="74">
        <v>6057816.0</v>
      </c>
      <c r="BI255" s="74">
        <v>5168691.0</v>
      </c>
      <c r="BJ255" s="74">
        <v>4974671.0</v>
      </c>
      <c r="BK255" s="74">
        <v>5418966.0</v>
      </c>
      <c r="BL255" s="74"/>
      <c r="BM255" s="74"/>
      <c r="BN255" s="74"/>
      <c r="BO255" s="74"/>
      <c r="BP255" s="74"/>
      <c r="BQ255" s="74"/>
      <c r="BR255" s="74"/>
      <c r="BS255" s="1"/>
      <c r="BT255" s="9"/>
      <c r="BU255" s="9"/>
      <c r="BV255" s="1"/>
      <c r="BW255" s="1"/>
      <c r="BX255" s="1"/>
      <c r="BY255" s="1"/>
      <c r="BZ255" s="1"/>
    </row>
    <row r="256">
      <c r="A256" s="3"/>
      <c r="B256" s="33"/>
      <c r="C256" s="147"/>
      <c r="D256" s="147" t="s">
        <v>248</v>
      </c>
      <c r="E256" s="2"/>
      <c r="F256" s="2"/>
      <c r="G256" s="14"/>
      <c r="H256" s="14"/>
      <c r="I256" s="14"/>
      <c r="J256" s="14"/>
      <c r="K256" s="14"/>
      <c r="L256" s="1"/>
      <c r="M256" s="1"/>
      <c r="N256" s="1"/>
      <c r="O256" s="1"/>
      <c r="P256" s="1"/>
      <c r="Q256" s="1"/>
      <c r="R256" s="1"/>
      <c r="S256" s="3">
        <v>6418804.0</v>
      </c>
      <c r="T256" s="3">
        <v>6598098.0</v>
      </c>
      <c r="U256" s="3">
        <v>6217627.0</v>
      </c>
      <c r="V256" s="3">
        <v>6166918.0</v>
      </c>
      <c r="W256" s="3">
        <v>6373852.0</v>
      </c>
      <c r="X256" s="3">
        <v>7833280.0</v>
      </c>
      <c r="Y256" s="3">
        <v>8186067.0</v>
      </c>
      <c r="Z256" s="3">
        <v>7818064.0</v>
      </c>
      <c r="AA256" s="3">
        <v>7451423.0</v>
      </c>
      <c r="AB256" s="3">
        <v>6211504.0</v>
      </c>
      <c r="AC256" s="3">
        <v>6273265.0</v>
      </c>
      <c r="AD256" s="3">
        <v>6761539.0</v>
      </c>
      <c r="AE256" s="3">
        <v>7227248.0</v>
      </c>
      <c r="AF256" s="125">
        <v>7015708.0</v>
      </c>
      <c r="AG256" s="3">
        <v>7090219.0</v>
      </c>
      <c r="AH256" s="3">
        <v>8874149.0</v>
      </c>
      <c r="AI256" s="74">
        <v>8011787.0</v>
      </c>
      <c r="AJ256" s="74">
        <v>8290416.0</v>
      </c>
      <c r="AK256" s="74">
        <v>8498759.0</v>
      </c>
      <c r="AL256" s="152">
        <v>8227067.0</v>
      </c>
      <c r="AM256" s="152">
        <v>8159652.0</v>
      </c>
      <c r="AN256" s="74">
        <v>8030347.0</v>
      </c>
      <c r="AO256" s="74">
        <v>1.0000374E7</v>
      </c>
      <c r="AP256" s="74">
        <v>1.0697219E7</v>
      </c>
      <c r="AQ256" s="74">
        <v>1.0759991E7</v>
      </c>
      <c r="AR256" s="74">
        <v>1.0856719E7</v>
      </c>
      <c r="AS256" s="74">
        <v>1.0162093E7</v>
      </c>
      <c r="AT256" s="74">
        <v>9529184.0</v>
      </c>
      <c r="AU256" s="74">
        <v>9985171.0</v>
      </c>
      <c r="AV256" s="74">
        <v>9338252.0</v>
      </c>
      <c r="AW256" s="74">
        <v>7793543.0</v>
      </c>
      <c r="AX256" s="74">
        <v>8019673.0</v>
      </c>
      <c r="AY256" s="74">
        <v>7546348.0</v>
      </c>
      <c r="AZ256" s="74">
        <v>7800483.0</v>
      </c>
      <c r="BA256" s="74">
        <v>7781535.0</v>
      </c>
      <c r="BB256" s="74">
        <v>6752120.0</v>
      </c>
      <c r="BC256" s="74">
        <v>7745032.0</v>
      </c>
      <c r="BD256" s="74">
        <v>8505052.0</v>
      </c>
      <c r="BE256" s="74">
        <v>6315586.0</v>
      </c>
      <c r="BF256" s="74">
        <v>5404176.0</v>
      </c>
      <c r="BG256" s="74">
        <v>7406174.0</v>
      </c>
      <c r="BH256" s="74">
        <v>9058747.0</v>
      </c>
      <c r="BI256" s="74">
        <v>8599229.0</v>
      </c>
      <c r="BJ256" s="74">
        <v>6922584.0</v>
      </c>
      <c r="BK256" s="74">
        <v>7271777.0</v>
      </c>
      <c r="BL256" s="74"/>
      <c r="BM256" s="74"/>
      <c r="BN256" s="74"/>
      <c r="BO256" s="74"/>
      <c r="BP256" s="74"/>
      <c r="BQ256" s="74"/>
      <c r="BR256" s="74"/>
      <c r="BS256" s="1"/>
      <c r="BT256" s="9"/>
      <c r="BU256" s="9"/>
      <c r="BV256" s="1"/>
      <c r="BW256" s="1"/>
      <c r="BX256" s="1"/>
      <c r="BY256" s="1"/>
      <c r="BZ256" s="1"/>
    </row>
    <row r="257">
      <c r="A257" s="3"/>
      <c r="B257" s="33"/>
      <c r="C257" s="147"/>
      <c r="D257" s="147" t="s">
        <v>251</v>
      </c>
      <c r="E257" s="2"/>
      <c r="F257" s="2"/>
      <c r="G257" s="14"/>
      <c r="H257" s="14"/>
      <c r="I257" s="14"/>
      <c r="J257" s="14"/>
      <c r="K257" s="14"/>
      <c r="L257" s="1"/>
      <c r="M257" s="1"/>
      <c r="N257" s="1"/>
      <c r="O257" s="1"/>
      <c r="P257" s="1"/>
      <c r="Q257" s="1"/>
      <c r="R257" s="1"/>
      <c r="S257" s="3">
        <v>925532.0</v>
      </c>
      <c r="T257" s="3">
        <v>808264.0</v>
      </c>
      <c r="U257" s="3">
        <v>892362.0</v>
      </c>
      <c r="V257" s="3">
        <v>768500.0</v>
      </c>
      <c r="W257" s="3">
        <v>913087.0</v>
      </c>
      <c r="X257" s="3">
        <v>1121875.0</v>
      </c>
      <c r="Y257" s="3">
        <v>1014554.0</v>
      </c>
      <c r="Z257" s="3">
        <v>1016037.0</v>
      </c>
      <c r="AA257" s="3">
        <v>1050111.0</v>
      </c>
      <c r="AB257" s="3">
        <v>879661.0</v>
      </c>
      <c r="AC257" s="3">
        <v>1198721.0</v>
      </c>
      <c r="AD257" s="3">
        <v>1024478.0</v>
      </c>
      <c r="AE257" s="3">
        <v>981055.0</v>
      </c>
      <c r="AF257" s="125">
        <v>973016.0</v>
      </c>
      <c r="AG257" s="3">
        <v>1327326.0</v>
      </c>
      <c r="AH257" s="3">
        <v>1168296.0</v>
      </c>
      <c r="AI257" s="74">
        <v>991919.0</v>
      </c>
      <c r="AJ257" s="74">
        <v>1039434.0</v>
      </c>
      <c r="AK257" s="74">
        <v>1162972.0</v>
      </c>
      <c r="AL257" s="152">
        <v>1319509.0</v>
      </c>
      <c r="AM257" s="152">
        <v>1087439.0</v>
      </c>
      <c r="AN257" s="74">
        <v>1335130.0</v>
      </c>
      <c r="AO257" s="74">
        <v>1435793.0</v>
      </c>
      <c r="AP257" s="74">
        <v>1301546.0</v>
      </c>
      <c r="AQ257" s="74">
        <v>1319302.0</v>
      </c>
      <c r="AR257" s="74">
        <v>1493186.0</v>
      </c>
      <c r="AS257" s="74">
        <v>1573504.0</v>
      </c>
      <c r="AT257" s="74">
        <v>1702442.0</v>
      </c>
      <c r="AU257" s="74">
        <v>2282580.0</v>
      </c>
      <c r="AV257" s="74">
        <v>1944806.0</v>
      </c>
      <c r="AW257" s="74">
        <v>1210381.0</v>
      </c>
      <c r="AX257" s="74">
        <v>1208538.0</v>
      </c>
      <c r="AY257" s="74">
        <v>1393660.0</v>
      </c>
      <c r="AZ257" s="74">
        <v>1424894.0</v>
      </c>
      <c r="BA257" s="74">
        <v>1355847.0</v>
      </c>
      <c r="BB257" s="74">
        <v>1389022.0</v>
      </c>
      <c r="BC257" s="74">
        <v>1309387.0</v>
      </c>
      <c r="BD257" s="74">
        <v>1347085.0</v>
      </c>
      <c r="BE257" s="74">
        <v>1456237.0</v>
      </c>
      <c r="BF257" s="74">
        <v>1421353.0</v>
      </c>
      <c r="BG257" s="74">
        <v>1233280.0</v>
      </c>
      <c r="BH257" s="74">
        <v>1093775.0</v>
      </c>
      <c r="BI257" s="74">
        <v>1007392.0</v>
      </c>
      <c r="BJ257" s="74">
        <v>1167178.0</v>
      </c>
      <c r="BK257" s="74">
        <v>1327208.0</v>
      </c>
      <c r="BL257" s="74"/>
      <c r="BM257" s="74"/>
      <c r="BN257" s="74"/>
      <c r="BO257" s="74"/>
      <c r="BP257" s="74"/>
      <c r="BQ257" s="74"/>
      <c r="BR257" s="74"/>
      <c r="BS257" s="1"/>
      <c r="BT257" s="9"/>
      <c r="BU257" s="9"/>
      <c r="BV257" s="1"/>
      <c r="BW257" s="1"/>
      <c r="BX257" s="1"/>
      <c r="BY257" s="1"/>
      <c r="BZ257" s="1"/>
    </row>
    <row r="258">
      <c r="A258" s="3"/>
      <c r="B258" s="33"/>
      <c r="C258" s="147"/>
      <c r="D258" s="147" t="s">
        <v>253</v>
      </c>
      <c r="E258" s="2"/>
      <c r="F258" s="2"/>
      <c r="G258" s="14"/>
      <c r="H258" s="14"/>
      <c r="I258" s="14"/>
      <c r="J258" s="14"/>
      <c r="K258" s="14"/>
      <c r="L258" s="1"/>
      <c r="M258" s="1"/>
      <c r="N258" s="1"/>
      <c r="O258" s="1"/>
      <c r="P258" s="1"/>
      <c r="Q258" s="1"/>
      <c r="R258" s="1"/>
      <c r="S258" s="3">
        <v>573871.0</v>
      </c>
      <c r="T258" s="3">
        <v>652279.0</v>
      </c>
      <c r="U258" s="3">
        <v>600969.0</v>
      </c>
      <c r="V258" s="3">
        <v>610174.0</v>
      </c>
      <c r="W258" s="3">
        <v>541902.0</v>
      </c>
      <c r="X258" s="3">
        <v>583263.0</v>
      </c>
      <c r="Y258" s="3">
        <v>742037.0</v>
      </c>
      <c r="Z258" s="3">
        <v>641531.0</v>
      </c>
      <c r="AA258" s="3">
        <v>597057.0</v>
      </c>
      <c r="AB258" s="3">
        <v>608148.0</v>
      </c>
      <c r="AC258" s="3">
        <v>680766.0</v>
      </c>
      <c r="AD258" s="3">
        <v>643301.0</v>
      </c>
      <c r="AE258" s="3">
        <v>610184.0</v>
      </c>
      <c r="AF258" s="125">
        <v>534631.0</v>
      </c>
      <c r="AG258" s="3">
        <v>586609.0</v>
      </c>
      <c r="AH258" s="3">
        <v>616173.0</v>
      </c>
      <c r="AI258" s="74">
        <v>629724.0</v>
      </c>
      <c r="AJ258" s="74">
        <v>654969.0</v>
      </c>
      <c r="AK258" s="74">
        <v>644337.0</v>
      </c>
      <c r="AL258" s="152">
        <v>772984.0</v>
      </c>
      <c r="AM258" s="152">
        <v>551557.0</v>
      </c>
      <c r="AN258" s="74">
        <v>626979.0</v>
      </c>
      <c r="AO258" s="74">
        <v>797958.0</v>
      </c>
      <c r="AP258" s="74">
        <v>796807.0</v>
      </c>
      <c r="AQ258" s="74">
        <v>813166.0</v>
      </c>
      <c r="AR258" s="74">
        <v>892539.0</v>
      </c>
      <c r="AS258" s="74">
        <v>1000017.0</v>
      </c>
      <c r="AT258" s="74">
        <v>810869.0</v>
      </c>
      <c r="AU258" s="74">
        <v>783998.0</v>
      </c>
      <c r="AV258" s="74">
        <v>998899.0</v>
      </c>
      <c r="AW258" s="74">
        <v>786909.0</v>
      </c>
      <c r="AX258" s="74">
        <v>930151.0</v>
      </c>
      <c r="AY258" s="74">
        <v>914121.0</v>
      </c>
      <c r="AZ258" s="74">
        <v>882501.0</v>
      </c>
      <c r="BA258" s="74">
        <v>916163.0</v>
      </c>
      <c r="BB258" s="74">
        <v>852888.0</v>
      </c>
      <c r="BC258" s="74">
        <v>854449.0</v>
      </c>
      <c r="BD258" s="74">
        <v>892176.0</v>
      </c>
      <c r="BE258" s="74">
        <v>906683.0</v>
      </c>
      <c r="BF258" s="74">
        <v>831530.0</v>
      </c>
      <c r="BG258" s="74">
        <v>752149.0</v>
      </c>
      <c r="BH258" s="74">
        <v>744495.0</v>
      </c>
      <c r="BI258" s="74">
        <v>587710.0</v>
      </c>
      <c r="BJ258" s="74">
        <v>679335.0</v>
      </c>
      <c r="BK258" s="74">
        <v>1079667.0</v>
      </c>
      <c r="BL258" s="74"/>
      <c r="BM258" s="74"/>
      <c r="BN258" s="74"/>
      <c r="BO258" s="74"/>
      <c r="BP258" s="74"/>
      <c r="BQ258" s="74"/>
      <c r="BR258" s="74"/>
      <c r="BS258" s="1"/>
      <c r="BT258" s="9"/>
      <c r="BU258" s="9"/>
      <c r="BV258" s="1"/>
      <c r="BW258" s="1"/>
      <c r="BX258" s="1"/>
      <c r="BY258" s="1"/>
      <c r="BZ258" s="1"/>
    </row>
    <row r="259">
      <c r="A259" s="3"/>
      <c r="B259" s="33"/>
      <c r="C259" s="147"/>
      <c r="D259" s="147" t="s">
        <v>255</v>
      </c>
      <c r="E259" s="2"/>
      <c r="F259" s="2"/>
      <c r="G259" s="14"/>
      <c r="H259" s="14"/>
      <c r="I259" s="14"/>
      <c r="J259" s="14"/>
      <c r="K259" s="14"/>
      <c r="L259" s="1"/>
      <c r="M259" s="1"/>
      <c r="N259" s="1"/>
      <c r="O259" s="1"/>
      <c r="P259" s="1"/>
      <c r="Q259" s="1"/>
      <c r="R259" s="1"/>
      <c r="S259" s="3">
        <v>292674.0</v>
      </c>
      <c r="T259" s="3">
        <v>393077.0</v>
      </c>
      <c r="U259" s="3">
        <v>355819.0</v>
      </c>
      <c r="V259" s="3">
        <v>333161.0</v>
      </c>
      <c r="W259" s="3">
        <v>344088.0</v>
      </c>
      <c r="X259" s="3">
        <v>391640.0</v>
      </c>
      <c r="Y259" s="3">
        <v>384645.0</v>
      </c>
      <c r="Z259" s="3">
        <v>309256.0</v>
      </c>
      <c r="AA259" s="3">
        <v>325676.0</v>
      </c>
      <c r="AB259" s="3">
        <v>363040.0</v>
      </c>
      <c r="AC259" s="3">
        <v>346189.0</v>
      </c>
      <c r="AD259" s="3">
        <v>334976.0</v>
      </c>
      <c r="AE259" s="3">
        <v>329034.0</v>
      </c>
      <c r="AF259" s="3">
        <v>346655.0</v>
      </c>
      <c r="AG259" s="3">
        <v>370993.0</v>
      </c>
      <c r="AH259" s="3">
        <v>366175.0</v>
      </c>
      <c r="AI259" s="3">
        <v>386459.0</v>
      </c>
      <c r="AJ259" s="3">
        <v>424077.0</v>
      </c>
      <c r="AK259" s="3">
        <v>535528.0</v>
      </c>
      <c r="AL259" s="3">
        <v>581943.0</v>
      </c>
      <c r="AM259" s="154">
        <v>462780.0</v>
      </c>
      <c r="AN259" s="74">
        <v>502694.0</v>
      </c>
      <c r="AO259" s="74">
        <v>547738.0</v>
      </c>
      <c r="AP259" s="3">
        <v>609323.0</v>
      </c>
      <c r="AQ259" s="3">
        <v>602652.0</v>
      </c>
      <c r="AR259" s="3">
        <v>636538.0</v>
      </c>
      <c r="AS259" s="3">
        <v>619522.0</v>
      </c>
      <c r="AT259" s="3">
        <v>563263.0</v>
      </c>
      <c r="AU259" s="3">
        <v>563405.0</v>
      </c>
      <c r="AV259" s="3">
        <v>575484.0</v>
      </c>
      <c r="AW259" s="3">
        <v>460431.0</v>
      </c>
      <c r="AX259" s="3">
        <v>565059.0</v>
      </c>
      <c r="AY259" s="3">
        <v>675678.0</v>
      </c>
      <c r="AZ259" s="3">
        <v>681728.0</v>
      </c>
      <c r="BA259" s="3">
        <v>677115.0</v>
      </c>
      <c r="BB259" s="3">
        <v>589954.0</v>
      </c>
      <c r="BC259" s="3">
        <v>615398.0</v>
      </c>
      <c r="BD259" s="3">
        <v>683047.0</v>
      </c>
      <c r="BE259" s="3">
        <v>575790.0</v>
      </c>
      <c r="BF259" s="3">
        <v>585927.0</v>
      </c>
      <c r="BG259" s="3">
        <v>555551.0</v>
      </c>
      <c r="BH259" s="3">
        <v>613485.0</v>
      </c>
      <c r="BI259" s="3">
        <v>571932.0</v>
      </c>
      <c r="BJ259" s="3">
        <v>514066.0</v>
      </c>
      <c r="BK259" s="3">
        <v>516655.0</v>
      </c>
      <c r="BL259" s="3"/>
      <c r="BM259" s="3"/>
      <c r="BN259" s="3"/>
      <c r="BO259" s="3"/>
      <c r="BP259" s="3"/>
      <c r="BQ259" s="3"/>
      <c r="BR259" s="3"/>
      <c r="BS259" s="1"/>
      <c r="BT259" s="8"/>
      <c r="BU259" s="8"/>
      <c r="BV259" s="1"/>
      <c r="BW259" s="1"/>
      <c r="BX259" s="1"/>
      <c r="BY259" s="1"/>
      <c r="BZ259" s="1"/>
    </row>
    <row r="260">
      <c r="A260" s="3"/>
      <c r="B260" s="33"/>
      <c r="C260" s="155"/>
      <c r="D260" s="155" t="s">
        <v>257</v>
      </c>
      <c r="E260" s="2"/>
      <c r="F260" s="2"/>
      <c r="G260" s="14"/>
      <c r="H260" s="14"/>
      <c r="I260" s="14"/>
      <c r="J260" s="14"/>
      <c r="K260" s="14"/>
      <c r="L260" s="1"/>
      <c r="M260" s="1"/>
      <c r="N260" s="1"/>
      <c r="O260" s="1"/>
      <c r="P260" s="1"/>
      <c r="Q260" s="1"/>
      <c r="R260" s="1"/>
      <c r="S260" s="3">
        <v>132863.0</v>
      </c>
      <c r="T260" s="3">
        <v>143822.0</v>
      </c>
      <c r="U260" s="3">
        <v>94673.0</v>
      </c>
      <c r="V260" s="3">
        <v>68299.0</v>
      </c>
      <c r="W260" s="3">
        <v>71861.0</v>
      </c>
      <c r="X260" s="3">
        <v>93222.0</v>
      </c>
      <c r="Y260" s="3">
        <v>130057.0</v>
      </c>
      <c r="Z260" s="3">
        <v>82921.0</v>
      </c>
      <c r="AA260" s="3">
        <v>117637.0</v>
      </c>
      <c r="AB260" s="3">
        <v>87804.0</v>
      </c>
      <c r="AC260" s="3">
        <v>94980.0</v>
      </c>
      <c r="AD260" s="3">
        <v>115146.0</v>
      </c>
      <c r="AE260" s="3">
        <v>168658.0</v>
      </c>
      <c r="AF260" s="3">
        <v>113607.0</v>
      </c>
      <c r="AG260" s="3">
        <v>146846.0</v>
      </c>
      <c r="AH260" s="3">
        <v>157914.0</v>
      </c>
      <c r="AI260" s="74">
        <v>131558.0</v>
      </c>
      <c r="AJ260" s="74">
        <v>137538.0</v>
      </c>
      <c r="AK260" s="74">
        <v>190301.0</v>
      </c>
      <c r="AL260" s="74">
        <v>181898.0</v>
      </c>
      <c r="AM260" s="152">
        <v>170020.0</v>
      </c>
      <c r="AN260" s="74">
        <v>104718.0</v>
      </c>
      <c r="AO260" s="74">
        <v>104689.0</v>
      </c>
      <c r="AP260" s="74">
        <v>118617.0</v>
      </c>
      <c r="AQ260" s="74">
        <v>85155.0</v>
      </c>
      <c r="AR260" s="74">
        <v>134035.0</v>
      </c>
      <c r="AS260" s="74">
        <v>165175.0</v>
      </c>
      <c r="AT260" s="74">
        <v>203264.0</v>
      </c>
      <c r="AU260" s="74">
        <v>225400.0</v>
      </c>
      <c r="AV260" s="74">
        <v>244561.0</v>
      </c>
      <c r="AW260" s="74">
        <v>90311.0</v>
      </c>
      <c r="AX260" s="74">
        <v>104315.0</v>
      </c>
      <c r="AY260" s="74">
        <v>129616.0</v>
      </c>
      <c r="AZ260" s="74">
        <v>142490.0</v>
      </c>
      <c r="BA260" s="74">
        <v>143235.0</v>
      </c>
      <c r="BB260" s="74">
        <v>76507.0</v>
      </c>
      <c r="BC260" s="74">
        <v>88779.0</v>
      </c>
      <c r="BD260" s="74">
        <v>98178.0</v>
      </c>
      <c r="BE260" s="74">
        <v>130884.0</v>
      </c>
      <c r="BF260" s="74">
        <v>141890.0</v>
      </c>
      <c r="BG260" s="74">
        <v>97162.0</v>
      </c>
      <c r="BH260" s="74">
        <v>82893.0</v>
      </c>
      <c r="BI260" s="74">
        <v>86727.0</v>
      </c>
      <c r="BJ260" s="74">
        <v>46174.0</v>
      </c>
      <c r="BK260" s="74">
        <v>80338.0</v>
      </c>
      <c r="BL260" s="74"/>
      <c r="BM260" s="74"/>
      <c r="BN260" s="74"/>
      <c r="BO260" s="74"/>
      <c r="BP260" s="74"/>
      <c r="BQ260" s="74"/>
      <c r="BR260" s="74"/>
      <c r="BS260" s="1"/>
      <c r="BT260" s="9"/>
      <c r="BU260" s="9"/>
      <c r="BV260" s="1"/>
      <c r="BW260" s="1"/>
      <c r="BX260" s="1"/>
      <c r="BY260" s="1"/>
      <c r="BZ260" s="1"/>
    </row>
    <row r="261">
      <c r="A261" s="3"/>
      <c r="B261" s="33"/>
      <c r="C261" s="151"/>
      <c r="D261" s="151" t="s">
        <v>261</v>
      </c>
      <c r="E261" s="2"/>
      <c r="F261" s="2"/>
      <c r="G261" s="14"/>
      <c r="H261" s="14"/>
      <c r="I261" s="14"/>
      <c r="J261" s="14"/>
      <c r="K261" s="14"/>
      <c r="L261" s="1"/>
      <c r="M261" s="1"/>
      <c r="N261" s="1"/>
      <c r="O261" s="1"/>
      <c r="P261" s="1"/>
      <c r="Q261" s="1"/>
      <c r="R261" s="1"/>
      <c r="S261" s="3">
        <v>0.0</v>
      </c>
      <c r="T261" s="3">
        <v>0.0</v>
      </c>
      <c r="U261" s="3">
        <v>10033.0</v>
      </c>
      <c r="V261" s="3">
        <v>28439.0</v>
      </c>
      <c r="W261" s="3">
        <v>12118.0</v>
      </c>
      <c r="X261" s="3">
        <v>28512.0</v>
      </c>
      <c r="Y261" s="3">
        <v>37871.0</v>
      </c>
      <c r="Z261" s="3">
        <v>42071.0</v>
      </c>
      <c r="AA261" s="3">
        <v>32048.0</v>
      </c>
      <c r="AB261" s="3">
        <v>46989.0</v>
      </c>
      <c r="AC261" s="3">
        <v>53579.0</v>
      </c>
      <c r="AD261" s="3">
        <v>82527.0</v>
      </c>
      <c r="AE261" s="3">
        <v>77327.0</v>
      </c>
      <c r="AF261" s="3">
        <v>56522.0</v>
      </c>
      <c r="AG261" s="3">
        <v>124760.0</v>
      </c>
      <c r="AH261" s="3">
        <v>85476.0</v>
      </c>
      <c r="AI261" s="74">
        <v>84449.0</v>
      </c>
      <c r="AJ261" s="74">
        <v>67073.0</v>
      </c>
      <c r="AK261" s="74">
        <v>88132.0</v>
      </c>
      <c r="AL261" s="74">
        <v>79104.0</v>
      </c>
      <c r="AM261" s="152">
        <v>69679.0</v>
      </c>
      <c r="AN261" s="74">
        <v>86959.0</v>
      </c>
      <c r="AO261" s="74">
        <v>91929.0</v>
      </c>
      <c r="AP261" s="74">
        <v>79466.0</v>
      </c>
      <c r="AQ261" s="74">
        <v>87813.0</v>
      </c>
      <c r="AR261" s="74">
        <v>85212.0</v>
      </c>
      <c r="AS261" s="74">
        <v>139639.0</v>
      </c>
      <c r="AT261" s="74">
        <v>144466.0</v>
      </c>
      <c r="AU261" s="74">
        <v>137338.0</v>
      </c>
      <c r="AV261" s="74">
        <v>140588.0</v>
      </c>
      <c r="AW261" s="74">
        <v>125734.0</v>
      </c>
      <c r="AX261" s="74">
        <v>106966.0</v>
      </c>
      <c r="AY261" s="74">
        <v>119770.0</v>
      </c>
      <c r="AZ261" s="74">
        <v>91467.0</v>
      </c>
      <c r="BA261" s="74">
        <v>90196.0</v>
      </c>
      <c r="BB261" s="74">
        <v>85823.0</v>
      </c>
      <c r="BC261" s="74">
        <v>77935.0</v>
      </c>
      <c r="BD261" s="74">
        <v>83473.0</v>
      </c>
      <c r="BE261" s="74">
        <v>91124.0</v>
      </c>
      <c r="BF261" s="74">
        <v>116064.0</v>
      </c>
      <c r="BG261" s="74">
        <v>75308.0</v>
      </c>
      <c r="BH261" s="74">
        <v>81955.0</v>
      </c>
      <c r="BI261" s="74">
        <v>86493.0</v>
      </c>
      <c r="BJ261" s="74">
        <v>96396.0</v>
      </c>
      <c r="BK261" s="74">
        <v>57366.0</v>
      </c>
      <c r="BL261" s="74"/>
      <c r="BM261" s="74"/>
      <c r="BN261" s="74"/>
      <c r="BO261" s="74"/>
      <c r="BP261" s="74"/>
      <c r="BQ261" s="74"/>
      <c r="BR261" s="74"/>
      <c r="BS261" s="1"/>
      <c r="BT261" s="9"/>
      <c r="BU261" s="9"/>
      <c r="BV261" s="1"/>
      <c r="BW261" s="1"/>
      <c r="BX261" s="1"/>
      <c r="BY261" s="1"/>
      <c r="BZ261" s="1"/>
    </row>
    <row r="262">
      <c r="A262" s="3"/>
      <c r="B262" s="33"/>
      <c r="C262" s="146"/>
      <c r="D262" s="146"/>
      <c r="E262" s="2"/>
      <c r="F262" s="2"/>
      <c r="G262" s="14"/>
      <c r="H262" s="14"/>
      <c r="I262" s="14"/>
      <c r="J262" s="14"/>
      <c r="K262" s="14"/>
      <c r="L262" s="1"/>
      <c r="M262" s="1"/>
      <c r="N262" s="1"/>
      <c r="O262" s="1"/>
      <c r="P262" s="1"/>
      <c r="Q262" s="1"/>
      <c r="R262" s="1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1"/>
      <c r="BT262" s="9"/>
      <c r="BU262" s="9"/>
      <c r="BV262" s="1"/>
      <c r="BW262" s="1"/>
      <c r="BX262" s="1"/>
      <c r="BY262" s="1"/>
      <c r="BZ262" s="1"/>
    </row>
    <row r="263">
      <c r="A263" s="3"/>
      <c r="B263" s="33"/>
      <c r="C263" s="156"/>
      <c r="D263" s="156"/>
      <c r="E263" s="2"/>
      <c r="F263" s="2"/>
      <c r="G263" s="14"/>
      <c r="H263" s="14"/>
      <c r="I263" s="14"/>
      <c r="J263" s="14"/>
      <c r="K263" s="14"/>
      <c r="L263" s="1"/>
      <c r="M263" s="1"/>
      <c r="N263" s="1"/>
      <c r="O263" s="1"/>
      <c r="P263" s="1"/>
      <c r="Q263" s="1"/>
      <c r="R263" s="1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1"/>
      <c r="BT263" s="9"/>
      <c r="BU263" s="9"/>
      <c r="BV263" s="1"/>
      <c r="BW263" s="1"/>
      <c r="BX263" s="1"/>
      <c r="BY263" s="1"/>
      <c r="BZ263" s="1"/>
    </row>
    <row r="264">
      <c r="A264" s="3"/>
      <c r="B264" s="33"/>
      <c r="C264" s="157"/>
      <c r="D264" s="157"/>
      <c r="E264" s="2"/>
      <c r="F264" s="2"/>
      <c r="G264" s="14"/>
      <c r="H264" s="14"/>
      <c r="I264" s="14"/>
      <c r="J264" s="14"/>
      <c r="K264" s="14"/>
      <c r="L264" s="1"/>
      <c r="M264" s="1"/>
      <c r="N264" s="1"/>
      <c r="O264" s="1"/>
      <c r="P264" s="1"/>
      <c r="Q264" s="1"/>
      <c r="R264" s="1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1"/>
      <c r="BT264" s="9"/>
      <c r="BU264" s="9"/>
      <c r="BV264" s="1"/>
      <c r="BW264" s="1"/>
      <c r="BX264" s="1"/>
      <c r="BY264" s="1"/>
      <c r="BZ264" s="1"/>
    </row>
    <row r="265">
      <c r="A265" s="3"/>
      <c r="B265" s="33"/>
      <c r="C265" s="147"/>
      <c r="D265" s="147" t="s">
        <v>247</v>
      </c>
      <c r="E265" s="2"/>
      <c r="F265" s="2"/>
      <c r="G265" s="14"/>
      <c r="H265" s="14"/>
      <c r="I265" s="14"/>
      <c r="J265" s="14"/>
      <c r="K265" s="14"/>
      <c r="L265" s="1"/>
      <c r="M265" s="1"/>
      <c r="N265" s="1"/>
      <c r="O265" s="1"/>
      <c r="P265" s="1"/>
      <c r="Q265" s="1"/>
      <c r="R265" s="1"/>
      <c r="S265" s="33">
        <v>0.2838</v>
      </c>
      <c r="T265" s="33">
        <v>0.3232</v>
      </c>
      <c r="U265" s="33">
        <v>0.3613</v>
      </c>
      <c r="V265" s="33">
        <v>0.3876</v>
      </c>
      <c r="W265" s="33">
        <v>0.3205</v>
      </c>
      <c r="X265" s="33">
        <v>0.2684</v>
      </c>
      <c r="Y265" s="33">
        <v>0.279</v>
      </c>
      <c r="Z265" s="33">
        <v>0.2879</v>
      </c>
      <c r="AA265" s="33">
        <v>0.2965</v>
      </c>
      <c r="AB265" s="33">
        <v>0.3066</v>
      </c>
      <c r="AC265" s="33">
        <v>0.3187</v>
      </c>
      <c r="AD265" s="33">
        <v>0.3223</v>
      </c>
      <c r="AE265" s="33">
        <v>0.3212</v>
      </c>
      <c r="AF265" s="33">
        <v>0.3121</v>
      </c>
      <c r="AG265" s="33">
        <v>0.3162</v>
      </c>
      <c r="AH265" s="33">
        <v>0.3066</v>
      </c>
      <c r="AI265" s="33">
        <v>0.2927</v>
      </c>
      <c r="AJ265" s="33">
        <v>0.2794</v>
      </c>
      <c r="AK265" s="33">
        <v>0.2949</v>
      </c>
      <c r="AL265" s="33">
        <v>0.308</v>
      </c>
      <c r="AM265" s="33">
        <v>0.297</v>
      </c>
      <c r="AN265" s="33">
        <v>0.3072</v>
      </c>
      <c r="AO265" s="33">
        <v>0.3011</v>
      </c>
      <c r="AP265" s="33">
        <v>0.2812</v>
      </c>
      <c r="AQ265" s="33">
        <v>0.2908</v>
      </c>
      <c r="AR265" s="33">
        <v>0.2928</v>
      </c>
      <c r="AS265" s="33">
        <v>0.3319</v>
      </c>
      <c r="AT265" s="33">
        <v>0.3128</v>
      </c>
      <c r="AU265" s="33">
        <v>0.294</v>
      </c>
      <c r="AV265" s="33">
        <v>0.3074</v>
      </c>
      <c r="AW265" s="33">
        <v>0.2919</v>
      </c>
      <c r="AX265" s="33">
        <v>0.3127</v>
      </c>
      <c r="AY265" s="33">
        <v>0.3358</v>
      </c>
      <c r="AZ265" s="33">
        <v>0.3191</v>
      </c>
      <c r="BA265" s="33">
        <v>0.3122</v>
      </c>
      <c r="BB265" s="33">
        <v>0.3248</v>
      </c>
      <c r="BC265" s="33">
        <v>0.3005</v>
      </c>
      <c r="BD265" s="33">
        <v>0.3216</v>
      </c>
      <c r="BE265" s="33">
        <v>0.3505</v>
      </c>
      <c r="BF265" s="33">
        <v>0.3593</v>
      </c>
      <c r="BG265" s="33">
        <v>0.3522</v>
      </c>
      <c r="BH265" s="33">
        <v>0.3367</v>
      </c>
      <c r="BI265" s="33">
        <v>0.3149</v>
      </c>
      <c r="BJ265" s="33">
        <v>0.3258</v>
      </c>
      <c r="BK265" s="33">
        <v>0.3205</v>
      </c>
      <c r="BL265" s="33"/>
      <c r="BM265" s="33"/>
      <c r="BN265" s="33"/>
      <c r="BO265" s="33"/>
      <c r="BP265" s="33"/>
      <c r="BQ265" s="33"/>
      <c r="BR265" s="33"/>
      <c r="BS265" s="1"/>
      <c r="BT265" s="9"/>
      <c r="BU265" s="9"/>
      <c r="BV265" s="1"/>
      <c r="BW265" s="1"/>
      <c r="BX265" s="1"/>
      <c r="BY265" s="1"/>
      <c r="BZ265" s="1"/>
    </row>
    <row r="266">
      <c r="A266" s="3"/>
      <c r="B266" s="33"/>
      <c r="C266" s="147"/>
      <c r="D266" s="147" t="s">
        <v>250</v>
      </c>
      <c r="E266" s="2"/>
      <c r="F266" s="2"/>
      <c r="G266" s="14"/>
      <c r="H266" s="14"/>
      <c r="I266" s="14"/>
      <c r="J266" s="14"/>
      <c r="K266" s="14"/>
      <c r="L266" s="1"/>
      <c r="M266" s="1"/>
      <c r="N266" s="1"/>
      <c r="O266" s="1"/>
      <c r="P266" s="1"/>
      <c r="Q266" s="1"/>
      <c r="R266" s="1"/>
      <c r="S266" s="33">
        <v>0.5508</v>
      </c>
      <c r="T266" s="33">
        <v>0.5192</v>
      </c>
      <c r="U266" s="33">
        <v>0.4846</v>
      </c>
      <c r="V266" s="33">
        <v>0.4695</v>
      </c>
      <c r="W266" s="33">
        <v>0.5224</v>
      </c>
      <c r="X266" s="33">
        <v>0.5681</v>
      </c>
      <c r="Y266" s="33">
        <v>0.5611</v>
      </c>
      <c r="Z266" s="33">
        <v>0.5609</v>
      </c>
      <c r="AA266" s="33">
        <v>0.5465</v>
      </c>
      <c r="AB266" s="33">
        <v>0.524</v>
      </c>
      <c r="AC266" s="33">
        <v>0.4931</v>
      </c>
      <c r="AD266" s="33">
        <v>0.5098</v>
      </c>
      <c r="AE266" s="33">
        <v>0.5204</v>
      </c>
      <c r="AF266" s="33">
        <v>0.5318</v>
      </c>
      <c r="AG266" s="33">
        <v>0.5013</v>
      </c>
      <c r="AH266" s="33">
        <v>0.5445</v>
      </c>
      <c r="AI266" s="33">
        <v>0.5518</v>
      </c>
      <c r="AJ266" s="33">
        <v>0.5602</v>
      </c>
      <c r="AK266" s="33">
        <v>0.5336</v>
      </c>
      <c r="AL266" s="33">
        <v>0.5078</v>
      </c>
      <c r="AM266" s="33">
        <v>0.5417</v>
      </c>
      <c r="AN266" s="33">
        <v>0.5179</v>
      </c>
      <c r="AO266" s="33">
        <v>0.5355</v>
      </c>
      <c r="AP266" s="33">
        <v>0.5622</v>
      </c>
      <c r="AQ266" s="33">
        <v>0.5544</v>
      </c>
      <c r="AR266" s="33">
        <v>0.5408</v>
      </c>
      <c r="AS266" s="33">
        <v>0.4934</v>
      </c>
      <c r="AT266" s="33">
        <v>0.501</v>
      </c>
      <c r="AU266" s="33">
        <v>0.5015</v>
      </c>
      <c r="AV266" s="33">
        <v>0.4832</v>
      </c>
      <c r="AW266" s="33">
        <v>0.5211</v>
      </c>
      <c r="AX266" s="33">
        <v>0.4957</v>
      </c>
      <c r="AY266" s="33">
        <v>0.4535</v>
      </c>
      <c r="AZ266" s="33">
        <v>0.4682</v>
      </c>
      <c r="BA266" s="33">
        <v>0.4688</v>
      </c>
      <c r="BB266" s="33">
        <v>0.4409</v>
      </c>
      <c r="BC266" s="33">
        <v>0.4913</v>
      </c>
      <c r="BD266" s="33">
        <v>0.4816</v>
      </c>
      <c r="BE266" s="33">
        <v>0.4146</v>
      </c>
      <c r="BF266" s="33">
        <v>0.387</v>
      </c>
      <c r="BG266" s="33">
        <v>0.4561</v>
      </c>
      <c r="BH266" s="33">
        <v>0.5035</v>
      </c>
      <c r="BI266" s="33">
        <v>0.524</v>
      </c>
      <c r="BJ266" s="33">
        <v>0.4534</v>
      </c>
      <c r="BK266" s="33">
        <v>0.4301</v>
      </c>
      <c r="BL266" s="33"/>
      <c r="BM266" s="33"/>
      <c r="BN266" s="33"/>
      <c r="BO266" s="33"/>
      <c r="BP266" s="33"/>
      <c r="BQ266" s="33"/>
      <c r="BR266" s="33"/>
      <c r="BS266" s="1"/>
      <c r="BT266" s="9"/>
      <c r="BU266" s="9"/>
      <c r="BV266" s="1"/>
      <c r="BW266" s="1"/>
      <c r="BX266" s="1"/>
      <c r="BY266" s="1"/>
      <c r="BZ266" s="1"/>
    </row>
    <row r="267">
      <c r="A267" s="3"/>
      <c r="B267" s="33"/>
      <c r="C267" s="147"/>
      <c r="D267" s="147" t="s">
        <v>252</v>
      </c>
      <c r="E267" s="2"/>
      <c r="F267" s="2"/>
      <c r="G267" s="14"/>
      <c r="H267" s="14"/>
      <c r="I267" s="14"/>
      <c r="J267" s="14"/>
      <c r="K267" s="14"/>
      <c r="L267" s="1"/>
      <c r="M267" s="1"/>
      <c r="N267" s="1"/>
      <c r="O267" s="1"/>
      <c r="P267" s="1"/>
      <c r="Q267" s="1"/>
      <c r="R267" s="1"/>
      <c r="S267" s="33">
        <v>0.0794</v>
      </c>
      <c r="T267" s="33">
        <v>0.0636</v>
      </c>
      <c r="U267" s="33">
        <v>0.0695</v>
      </c>
      <c r="V267" s="33">
        <v>0.0585</v>
      </c>
      <c r="W267" s="33">
        <v>0.0748</v>
      </c>
      <c r="X267" s="33">
        <v>0.0814</v>
      </c>
      <c r="Y267" s="33">
        <v>0.0695</v>
      </c>
      <c r="Z267" s="33">
        <v>0.0729</v>
      </c>
      <c r="AA267" s="33">
        <v>0.077</v>
      </c>
      <c r="AB267" s="33">
        <v>0.0742</v>
      </c>
      <c r="AC267" s="33">
        <v>0.0942</v>
      </c>
      <c r="AD267" s="33">
        <v>0.0772</v>
      </c>
      <c r="AE267" s="33">
        <v>0.0706</v>
      </c>
      <c r="AF267" s="33">
        <v>0.0738</v>
      </c>
      <c r="AG267" s="33">
        <v>0.0938</v>
      </c>
      <c r="AH267" s="33">
        <v>0.0717</v>
      </c>
      <c r="AI267" s="33">
        <v>0.0683</v>
      </c>
      <c r="AJ267" s="33">
        <v>0.0702</v>
      </c>
      <c r="AK267" s="33">
        <v>0.073</v>
      </c>
      <c r="AL267" s="33">
        <v>0.0814</v>
      </c>
      <c r="AM267" s="33">
        <v>0.0722</v>
      </c>
      <c r="AN267" s="33">
        <v>0.0861</v>
      </c>
      <c r="AO267" s="33">
        <v>0.0769</v>
      </c>
      <c r="AP267" s="33">
        <v>0.0684</v>
      </c>
      <c r="AQ267" s="33">
        <v>0.068</v>
      </c>
      <c r="AR267" s="33">
        <v>0.0744</v>
      </c>
      <c r="AS267" s="33">
        <v>0.0764</v>
      </c>
      <c r="AT267" s="33">
        <v>0.0895</v>
      </c>
      <c r="AU267" s="33">
        <v>0.1146</v>
      </c>
      <c r="AV267" s="33">
        <v>0.1006</v>
      </c>
      <c r="AW267" s="33">
        <v>0.0809</v>
      </c>
      <c r="AX267" s="33">
        <v>0.0747</v>
      </c>
      <c r="AY267" s="33">
        <v>0.0838</v>
      </c>
      <c r="AZ267" s="33">
        <v>0.0855</v>
      </c>
      <c r="BA267" s="33">
        <v>0.0817</v>
      </c>
      <c r="BB267" s="33">
        <v>0.0907</v>
      </c>
      <c r="BC267" s="33">
        <v>0.0831</v>
      </c>
      <c r="BD267" s="33">
        <v>0.0763</v>
      </c>
      <c r="BE267" s="33">
        <v>0.0956</v>
      </c>
      <c r="BF267" s="33">
        <v>0.1018</v>
      </c>
      <c r="BG267" s="33">
        <v>0.0759</v>
      </c>
      <c r="BH267" s="33">
        <v>0.0608</v>
      </c>
      <c r="BI267" s="33">
        <v>0.0614</v>
      </c>
      <c r="BJ267" s="33">
        <v>0.0764</v>
      </c>
      <c r="BK267" s="33">
        <v>0.0785</v>
      </c>
      <c r="BL267" s="33"/>
      <c r="BM267" s="33"/>
      <c r="BN267" s="33"/>
      <c r="BO267" s="33"/>
      <c r="BP267" s="33"/>
      <c r="BQ267" s="33"/>
      <c r="BR267" s="33"/>
      <c r="BS267" s="1"/>
      <c r="BT267" s="9"/>
      <c r="BU267" s="9"/>
      <c r="BV267" s="1"/>
      <c r="BW267" s="1"/>
      <c r="BX267" s="1"/>
      <c r="BY267" s="1"/>
      <c r="BZ267" s="1"/>
    </row>
    <row r="268">
      <c r="A268" s="3"/>
      <c r="B268" s="33"/>
      <c r="C268" s="147"/>
      <c r="D268" s="147" t="s">
        <v>254</v>
      </c>
      <c r="E268" s="2"/>
      <c r="F268" s="2"/>
      <c r="G268" s="14"/>
      <c r="H268" s="14"/>
      <c r="I268" s="14"/>
      <c r="J268" s="14"/>
      <c r="K268" s="14"/>
      <c r="L268" s="1"/>
      <c r="M268" s="1"/>
      <c r="N268" s="1"/>
      <c r="O268" s="1"/>
      <c r="P268" s="1"/>
      <c r="Q268" s="1"/>
      <c r="R268" s="1"/>
      <c r="S268" s="33">
        <v>0.0492</v>
      </c>
      <c r="T268" s="33">
        <v>0.0513</v>
      </c>
      <c r="U268" s="33">
        <v>0.0468</v>
      </c>
      <c r="V268" s="33">
        <v>0.0465</v>
      </c>
      <c r="W268" s="33">
        <v>0.0444</v>
      </c>
      <c r="X268" s="33">
        <v>0.0423</v>
      </c>
      <c r="Y268" s="33">
        <v>0.0509</v>
      </c>
      <c r="Z268" s="33">
        <v>0.046</v>
      </c>
      <c r="AA268" s="33">
        <v>0.0438</v>
      </c>
      <c r="AB268" s="33">
        <v>0.0513</v>
      </c>
      <c r="AC268" s="33">
        <v>0.0535</v>
      </c>
      <c r="AD268" s="33">
        <v>0.0485</v>
      </c>
      <c r="AE268" s="33">
        <v>0.0439</v>
      </c>
      <c r="AF268" s="33">
        <v>0.0405</v>
      </c>
      <c r="AG268" s="33">
        <v>0.0415</v>
      </c>
      <c r="AH268" s="33">
        <v>0.0378</v>
      </c>
      <c r="AI268" s="33">
        <v>0.0434</v>
      </c>
      <c r="AJ268" s="33">
        <v>0.0443</v>
      </c>
      <c r="AK268" s="33">
        <v>0.0405</v>
      </c>
      <c r="AL268" s="33">
        <v>0.0477</v>
      </c>
      <c r="AM268" s="33">
        <v>0.0366</v>
      </c>
      <c r="AN268" s="33">
        <v>0.0404</v>
      </c>
      <c r="AO268" s="33">
        <v>0.0427</v>
      </c>
      <c r="AP268" s="33">
        <v>0.0419</v>
      </c>
      <c r="AQ268" s="33">
        <v>0.0419</v>
      </c>
      <c r="AR268" s="33">
        <v>0.0445</v>
      </c>
      <c r="AS268" s="33">
        <v>0.0486</v>
      </c>
      <c r="AT268" s="33">
        <v>0.0426</v>
      </c>
      <c r="AU268" s="33">
        <v>0.0394</v>
      </c>
      <c r="AV268" s="33">
        <v>0.0517</v>
      </c>
      <c r="AW268" s="33">
        <v>0.0526</v>
      </c>
      <c r="AX268" s="33">
        <v>0.0575</v>
      </c>
      <c r="AY268" s="33">
        <v>0.0549</v>
      </c>
      <c r="AZ268" s="33">
        <v>0.053</v>
      </c>
      <c r="BA268" s="33">
        <v>0.0552</v>
      </c>
      <c r="BB268" s="33">
        <v>0.0557</v>
      </c>
      <c r="BC268" s="33">
        <v>0.0542</v>
      </c>
      <c r="BD268" s="33">
        <v>0.0505</v>
      </c>
      <c r="BE268" s="33">
        <v>0.0595</v>
      </c>
      <c r="BF268" s="33">
        <v>0.0595</v>
      </c>
      <c r="BG268" s="33">
        <v>0.0463</v>
      </c>
      <c r="BH268" s="33">
        <v>0.0414</v>
      </c>
      <c r="BI268" s="33">
        <v>0.0358</v>
      </c>
      <c r="BJ268" s="33">
        <v>0.0445</v>
      </c>
      <c r="BK268" s="33">
        <v>0.0639</v>
      </c>
      <c r="BL268" s="33"/>
      <c r="BM268" s="33"/>
      <c r="BN268" s="33"/>
      <c r="BO268" s="33"/>
      <c r="BP268" s="33"/>
      <c r="BQ268" s="33"/>
      <c r="BR268" s="33"/>
      <c r="BS268" s="1"/>
      <c r="BT268" s="8"/>
      <c r="BU268" s="8"/>
      <c r="BV268" s="1"/>
      <c r="BW268" s="1"/>
      <c r="BX268" s="1"/>
      <c r="BY268" s="1"/>
      <c r="BZ268" s="1"/>
    </row>
    <row r="269">
      <c r="A269" s="3"/>
      <c r="B269" s="33"/>
      <c r="C269" s="147"/>
      <c r="D269" s="147" t="s">
        <v>256</v>
      </c>
      <c r="E269" s="2"/>
      <c r="F269" s="2"/>
      <c r="G269" s="14"/>
      <c r="H269" s="14"/>
      <c r="I269" s="14"/>
      <c r="J269" s="14"/>
      <c r="K269" s="14"/>
      <c r="L269" s="1"/>
      <c r="M269" s="1"/>
      <c r="N269" s="1"/>
      <c r="O269" s="1"/>
      <c r="P269" s="1"/>
      <c r="Q269" s="1"/>
      <c r="R269" s="1"/>
      <c r="S269" s="33">
        <v>0.0251</v>
      </c>
      <c r="T269" s="33">
        <v>0.0309</v>
      </c>
      <c r="U269" s="33">
        <v>0.0277</v>
      </c>
      <c r="V269" s="33">
        <v>0.0254</v>
      </c>
      <c r="W269" s="33">
        <v>0.0282</v>
      </c>
      <c r="X269" s="33">
        <v>0.0284</v>
      </c>
      <c r="Y269" s="33">
        <v>0.0264</v>
      </c>
      <c r="Z269" s="33">
        <v>0.0222</v>
      </c>
      <c r="AA269" s="33">
        <v>0.0239</v>
      </c>
      <c r="AB269" s="33">
        <v>0.0306</v>
      </c>
      <c r="AC269" s="33">
        <v>0.0272</v>
      </c>
      <c r="AD269" s="33">
        <v>0.0253</v>
      </c>
      <c r="AE269" s="33">
        <v>0.0237</v>
      </c>
      <c r="AF269" s="33">
        <v>0.0263</v>
      </c>
      <c r="AG269" s="33">
        <v>0.0262</v>
      </c>
      <c r="AH269" s="33">
        <v>0.0225</v>
      </c>
      <c r="AI269" s="33">
        <v>0.0266</v>
      </c>
      <c r="AJ269" s="33">
        <v>0.0287</v>
      </c>
      <c r="AK269" s="33">
        <v>0.0336</v>
      </c>
      <c r="AL269" s="33">
        <v>0.0359</v>
      </c>
      <c r="AM269" s="33">
        <v>0.0307</v>
      </c>
      <c r="AN269" s="33">
        <v>0.0324</v>
      </c>
      <c r="AO269" s="33">
        <v>0.0293</v>
      </c>
      <c r="AP269" s="33">
        <v>0.032</v>
      </c>
      <c r="AQ269" s="33">
        <v>0.0311</v>
      </c>
      <c r="AR269" s="33">
        <v>0.0317</v>
      </c>
      <c r="AS269" s="33">
        <v>0.0301</v>
      </c>
      <c r="AT269" s="33">
        <v>0.0296</v>
      </c>
      <c r="AU269" s="33">
        <v>0.0283</v>
      </c>
      <c r="AV269" s="33">
        <v>0.0298</v>
      </c>
      <c r="AW269" s="33">
        <v>0.0308</v>
      </c>
      <c r="AX269" s="33">
        <v>0.0349</v>
      </c>
      <c r="AY269" s="33">
        <v>0.0406</v>
      </c>
      <c r="AZ269" s="33">
        <v>0.0409</v>
      </c>
      <c r="BA269" s="33">
        <v>0.0408</v>
      </c>
      <c r="BB269" s="33">
        <v>0.0385</v>
      </c>
      <c r="BC269" s="33">
        <v>0.039</v>
      </c>
      <c r="BD269" s="33">
        <v>0.0387</v>
      </c>
      <c r="BE269" s="33">
        <v>0.0378</v>
      </c>
      <c r="BF269" s="33">
        <v>0.042</v>
      </c>
      <c r="BG269" s="33">
        <v>0.0342</v>
      </c>
      <c r="BH269" s="33">
        <v>0.0341</v>
      </c>
      <c r="BI269" s="33">
        <v>0.0348</v>
      </c>
      <c r="BJ269" s="33">
        <v>0.0337</v>
      </c>
      <c r="BK269" s="33">
        <v>0.0306</v>
      </c>
      <c r="BL269" s="33"/>
      <c r="BM269" s="33"/>
      <c r="BN269" s="33"/>
      <c r="BO269" s="33"/>
      <c r="BP269" s="33"/>
      <c r="BQ269" s="33"/>
      <c r="BR269" s="33"/>
      <c r="BS269" s="1"/>
      <c r="BT269" s="9"/>
      <c r="BU269" s="9"/>
      <c r="BV269" s="1"/>
      <c r="BW269" s="1"/>
      <c r="BX269" s="1"/>
      <c r="BY269" s="1"/>
      <c r="BZ269" s="1"/>
    </row>
    <row r="270">
      <c r="A270" s="3"/>
      <c r="B270" s="33"/>
      <c r="C270" s="155"/>
      <c r="D270" s="155" t="s">
        <v>259</v>
      </c>
      <c r="E270" s="2"/>
      <c r="F270" s="2"/>
      <c r="G270" s="14"/>
      <c r="H270" s="14"/>
      <c r="I270" s="14"/>
      <c r="J270" s="14"/>
      <c r="K270" s="14"/>
      <c r="L270" s="1"/>
      <c r="M270" s="1"/>
      <c r="N270" s="1"/>
      <c r="O270" s="1"/>
      <c r="P270" s="1"/>
      <c r="Q270" s="1"/>
      <c r="R270" s="1"/>
      <c r="S270" s="33">
        <v>0.0114</v>
      </c>
      <c r="T270" s="33">
        <v>0.0113</v>
      </c>
      <c r="U270" s="33">
        <v>0.0074</v>
      </c>
      <c r="V270" s="33">
        <v>0.0052</v>
      </c>
      <c r="W270" s="33">
        <v>0.0059</v>
      </c>
      <c r="X270" s="33">
        <v>0.0068</v>
      </c>
      <c r="Y270" s="33">
        <v>0.0089</v>
      </c>
      <c r="Z270" s="33">
        <v>0.0059</v>
      </c>
      <c r="AA270" s="33">
        <v>0.0086</v>
      </c>
      <c r="AB270" s="33">
        <v>0.0074</v>
      </c>
      <c r="AC270" s="33">
        <v>0.0075</v>
      </c>
      <c r="AD270" s="33">
        <v>0.0087</v>
      </c>
      <c r="AE270" s="33">
        <v>0.0121</v>
      </c>
      <c r="AF270" s="33">
        <v>0.0086</v>
      </c>
      <c r="AG270" s="33">
        <v>0.0104</v>
      </c>
      <c r="AH270" s="33">
        <v>0.0097</v>
      </c>
      <c r="AI270" s="33">
        <v>0.0091</v>
      </c>
      <c r="AJ270" s="33">
        <v>0.0093</v>
      </c>
      <c r="AK270" s="33">
        <v>0.0119</v>
      </c>
      <c r="AL270" s="33">
        <v>0.0112</v>
      </c>
      <c r="AM270" s="33">
        <v>0.0113</v>
      </c>
      <c r="AN270" s="33">
        <v>0.0068</v>
      </c>
      <c r="AO270" s="33">
        <v>0.0056</v>
      </c>
      <c r="AP270" s="33">
        <v>0.0062</v>
      </c>
      <c r="AQ270" s="33">
        <v>0.0044</v>
      </c>
      <c r="AR270" s="33">
        <v>0.0067</v>
      </c>
      <c r="AS270" s="33">
        <v>0.008</v>
      </c>
      <c r="AT270" s="33">
        <v>0.0107</v>
      </c>
      <c r="AU270" s="33">
        <v>0.0113</v>
      </c>
      <c r="AV270" s="33">
        <v>0.0127</v>
      </c>
      <c r="AW270" s="33">
        <v>0.006</v>
      </c>
      <c r="AX270" s="33">
        <v>0.0064</v>
      </c>
      <c r="AY270" s="33">
        <v>0.0078</v>
      </c>
      <c r="AZ270" s="33">
        <v>0.0086</v>
      </c>
      <c r="BA270" s="33">
        <v>0.0086</v>
      </c>
      <c r="BB270" s="33">
        <v>0.005</v>
      </c>
      <c r="BC270" s="33">
        <v>0.0056</v>
      </c>
      <c r="BD270" s="33">
        <v>0.0056</v>
      </c>
      <c r="BE270" s="33">
        <v>0.0086</v>
      </c>
      <c r="BF270" s="33">
        <v>0.0102</v>
      </c>
      <c r="BG270" s="33">
        <v>0.006</v>
      </c>
      <c r="BH270" s="33">
        <v>0.0046</v>
      </c>
      <c r="BI270" s="33">
        <v>0.0053</v>
      </c>
      <c r="BJ270" s="33">
        <v>0.003</v>
      </c>
      <c r="BK270" s="33">
        <v>0.0048</v>
      </c>
      <c r="BL270" s="33"/>
      <c r="BM270" s="33"/>
      <c r="BN270" s="33"/>
      <c r="BO270" s="33"/>
      <c r="BP270" s="33"/>
      <c r="BQ270" s="33"/>
      <c r="BR270" s="33"/>
      <c r="BS270" s="1"/>
      <c r="BT270" s="9"/>
      <c r="BU270" s="9"/>
      <c r="BV270" s="1"/>
      <c r="BW270" s="1"/>
      <c r="BX270" s="1"/>
      <c r="BY270" s="1"/>
      <c r="BZ270" s="1"/>
    </row>
    <row r="271">
      <c r="A271" s="3"/>
      <c r="B271" s="33"/>
      <c r="C271" s="147"/>
      <c r="D271" s="147" t="s">
        <v>262</v>
      </c>
      <c r="E271" s="2"/>
      <c r="F271" s="2"/>
      <c r="G271" s="14"/>
      <c r="H271" s="14"/>
      <c r="I271" s="14"/>
      <c r="J271" s="14"/>
      <c r="K271" s="14"/>
      <c r="L271" s="1"/>
      <c r="M271" s="1"/>
      <c r="N271" s="1"/>
      <c r="O271" s="1"/>
      <c r="P271" s="1"/>
      <c r="Q271" s="1"/>
      <c r="R271" s="1"/>
      <c r="S271" s="33">
        <v>0.0</v>
      </c>
      <c r="T271" s="33">
        <v>0.0</v>
      </c>
      <c r="U271" s="33">
        <v>8.0E-4</v>
      </c>
      <c r="V271" s="33">
        <v>0.0022</v>
      </c>
      <c r="W271" s="33">
        <v>0.001</v>
      </c>
      <c r="X271" s="33">
        <v>0.0021</v>
      </c>
      <c r="Y271" s="33">
        <v>0.0026</v>
      </c>
      <c r="Z271" s="33">
        <v>0.003</v>
      </c>
      <c r="AA271" s="33">
        <v>0.0024</v>
      </c>
      <c r="AB271" s="33">
        <v>0.004</v>
      </c>
      <c r="AC271" s="33">
        <v>0.0042</v>
      </c>
      <c r="AD271" s="33">
        <v>0.0062</v>
      </c>
      <c r="AE271" s="33">
        <v>0.0056</v>
      </c>
      <c r="AF271" s="33">
        <v>0.0043</v>
      </c>
      <c r="AG271" s="33">
        <v>0.0088</v>
      </c>
      <c r="AH271" s="33">
        <v>0.0052</v>
      </c>
      <c r="AI271" s="33">
        <v>0.0058</v>
      </c>
      <c r="AJ271" s="33">
        <v>0.0045</v>
      </c>
      <c r="AK271" s="33">
        <v>0.0055</v>
      </c>
      <c r="AL271" s="33">
        <v>0.0049</v>
      </c>
      <c r="AM271" s="33">
        <v>0.0046</v>
      </c>
      <c r="AN271" s="33">
        <v>0.0056</v>
      </c>
      <c r="AO271" s="33">
        <v>0.0049</v>
      </c>
      <c r="AP271" s="33">
        <v>0.0042</v>
      </c>
      <c r="AQ271" s="33">
        <v>0.0045</v>
      </c>
      <c r="AR271" s="33">
        <v>0.0042</v>
      </c>
      <c r="AS271" s="33">
        <v>0.0068</v>
      </c>
      <c r="AT271" s="33">
        <v>0.0076</v>
      </c>
      <c r="AU271" s="33">
        <v>0.0069</v>
      </c>
      <c r="AV271" s="33">
        <v>0.0073</v>
      </c>
      <c r="AW271" s="33">
        <v>0.0084</v>
      </c>
      <c r="AX271" s="33">
        <v>0.0066</v>
      </c>
      <c r="AY271" s="33">
        <v>0.0072</v>
      </c>
      <c r="AZ271" s="33">
        <v>0.0055</v>
      </c>
      <c r="BA271" s="33">
        <v>0.0054</v>
      </c>
      <c r="BB271" s="33">
        <v>0.0056</v>
      </c>
      <c r="BC271" s="33">
        <v>0.0049</v>
      </c>
      <c r="BD271" s="33">
        <v>0.0047</v>
      </c>
      <c r="BE271" s="33">
        <v>0.006</v>
      </c>
      <c r="BF271" s="33">
        <v>0.0083</v>
      </c>
      <c r="BG271" s="33">
        <v>0.0046</v>
      </c>
      <c r="BH271" s="33">
        <v>0.0046</v>
      </c>
      <c r="BI271" s="33">
        <v>0.0053</v>
      </c>
      <c r="BJ271" s="33">
        <v>0.0063</v>
      </c>
      <c r="BK271" s="33">
        <v>0.0034</v>
      </c>
      <c r="BL271" s="33"/>
      <c r="BM271" s="33"/>
      <c r="BN271" s="33"/>
      <c r="BO271" s="33"/>
      <c r="BP271" s="33"/>
      <c r="BQ271" s="33"/>
      <c r="BR271" s="33"/>
      <c r="BS271" s="1"/>
      <c r="BT271" s="8"/>
      <c r="BU271" s="8"/>
      <c r="BV271" s="1"/>
      <c r="BW271" s="1"/>
      <c r="BX271" s="1"/>
      <c r="BY271" s="1"/>
      <c r="BZ271" s="1"/>
    </row>
    <row r="272">
      <c r="A272" s="3"/>
      <c r="B272" s="33"/>
      <c r="C272" s="146"/>
      <c r="D272" s="146"/>
      <c r="E272" s="2"/>
      <c r="F272" s="2"/>
      <c r="G272" s="14"/>
      <c r="H272" s="14"/>
      <c r="I272" s="14"/>
      <c r="J272" s="14"/>
      <c r="K272" s="14"/>
      <c r="L272" s="1"/>
      <c r="M272" s="1"/>
      <c r="N272" s="1"/>
      <c r="O272" s="1"/>
      <c r="P272" s="1"/>
      <c r="Q272" s="1"/>
      <c r="R272" s="1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1"/>
      <c r="BT272" s="9"/>
      <c r="BU272" s="9"/>
      <c r="BV272" s="1"/>
      <c r="BW272" s="1"/>
      <c r="BX272" s="1"/>
      <c r="BY272" s="1"/>
      <c r="BZ272" s="1"/>
    </row>
    <row r="273">
      <c r="A273" s="3"/>
      <c r="B273" s="33"/>
      <c r="C273" s="156"/>
      <c r="D273" s="156"/>
      <c r="E273" s="2"/>
      <c r="F273" s="2"/>
      <c r="G273" s="14"/>
      <c r="H273" s="14"/>
      <c r="I273" s="14"/>
      <c r="J273" s="14"/>
      <c r="K273" s="14"/>
      <c r="L273" s="1"/>
      <c r="M273" s="1"/>
      <c r="N273" s="1"/>
      <c r="O273" s="1"/>
      <c r="P273" s="1"/>
      <c r="Q273" s="1"/>
      <c r="R273" s="1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1"/>
      <c r="BT273" s="9"/>
      <c r="BU273" s="9"/>
      <c r="BV273" s="1"/>
      <c r="BW273" s="1"/>
      <c r="BX273" s="1"/>
      <c r="BY273" s="1"/>
      <c r="BZ273" s="1"/>
    </row>
    <row r="274">
      <c r="A274" s="3"/>
      <c r="B274" s="33"/>
      <c r="C274" s="122"/>
      <c r="D274" s="122" t="s">
        <v>321</v>
      </c>
      <c r="E274" s="2"/>
      <c r="F274" s="2"/>
      <c r="G274" s="14"/>
      <c r="H274" s="14"/>
      <c r="I274" s="14"/>
      <c r="J274" s="14"/>
      <c r="K274" s="1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8"/>
      <c r="BU274" s="8"/>
      <c r="BV274" s="1"/>
      <c r="BW274" s="1"/>
      <c r="BX274" s="1"/>
      <c r="BY274" s="1"/>
      <c r="BZ274" s="1"/>
    </row>
    <row r="275">
      <c r="A275" s="3"/>
      <c r="B275" s="33"/>
      <c r="C275" s="147"/>
      <c r="D275" s="147" t="s">
        <v>289</v>
      </c>
      <c r="E275" s="2"/>
      <c r="F275" s="2"/>
      <c r="G275" s="14"/>
      <c r="H275" s="14"/>
      <c r="I275" s="14"/>
      <c r="J275" s="14"/>
      <c r="K275" s="14"/>
      <c r="L275" s="1"/>
      <c r="M275" s="1"/>
      <c r="N275" s="1"/>
      <c r="O275" s="1"/>
      <c r="P275" s="1"/>
      <c r="Q275" s="1"/>
      <c r="R275" s="1"/>
      <c r="S275" s="18">
        <v>7067.0</v>
      </c>
      <c r="T275" s="18">
        <v>8714.0</v>
      </c>
      <c r="U275" s="18">
        <v>10102.0</v>
      </c>
      <c r="V275" s="18">
        <v>10922.0</v>
      </c>
      <c r="W275" s="18">
        <v>8742.0</v>
      </c>
      <c r="X275" s="18">
        <v>8807.0</v>
      </c>
      <c r="Y275" s="18">
        <v>9438.0</v>
      </c>
      <c r="Z275" s="18">
        <v>9015.0</v>
      </c>
      <c r="AA275" s="18">
        <v>8704.0</v>
      </c>
      <c r="AB275" s="18">
        <v>7665.0</v>
      </c>
      <c r="AC275" s="18">
        <v>8379.0</v>
      </c>
      <c r="AD275" s="18">
        <v>9238.0</v>
      </c>
      <c r="AE275" s="18">
        <v>9653.0</v>
      </c>
      <c r="AF275" s="74">
        <v>8572.0</v>
      </c>
      <c r="AG275" s="74">
        <v>9298.0</v>
      </c>
      <c r="AH275" s="74">
        <v>10888.0</v>
      </c>
      <c r="AI275" s="74">
        <v>9450.0</v>
      </c>
      <c r="AJ275" s="74">
        <v>9269.0</v>
      </c>
      <c r="AK275" s="74">
        <v>11767.0</v>
      </c>
      <c r="AL275" s="74">
        <v>11190.0</v>
      </c>
      <c r="AM275" s="74">
        <v>10016.0</v>
      </c>
      <c r="AN275" s="74">
        <v>10272.0</v>
      </c>
      <c r="AO275" s="74">
        <v>12371.0</v>
      </c>
      <c r="AP275" s="74">
        <v>12695.0</v>
      </c>
      <c r="AQ275" s="74">
        <v>13443.0</v>
      </c>
      <c r="AR275" s="74">
        <v>14781.0</v>
      </c>
      <c r="AS275" s="74">
        <v>15786.0</v>
      </c>
      <c r="AT275" s="74">
        <v>13055.0</v>
      </c>
      <c r="AU275" s="74">
        <v>12962.0</v>
      </c>
      <c r="AV275" s="74">
        <v>12753.0</v>
      </c>
      <c r="AW275" s="74">
        <v>9703.0</v>
      </c>
      <c r="AX275" s="74">
        <v>11324.0</v>
      </c>
      <c r="AY275" s="74">
        <v>11413.0</v>
      </c>
      <c r="AZ275" s="74">
        <v>10791.0</v>
      </c>
      <c r="BA275" s="74">
        <v>11276.0</v>
      </c>
      <c r="BB275" s="74">
        <v>10660.0</v>
      </c>
      <c r="BC275" s="74">
        <v>10778.0</v>
      </c>
      <c r="BD275" s="74">
        <v>12145.0</v>
      </c>
      <c r="BE275" s="74">
        <v>10265.0</v>
      </c>
      <c r="BF275" s="74">
        <v>12505.0</v>
      </c>
      <c r="BG275" s="74">
        <v>11740.0</v>
      </c>
      <c r="BH275" s="74">
        <v>14022.0</v>
      </c>
      <c r="BI275" s="74">
        <v>11034.0</v>
      </c>
      <c r="BJ275" s="74">
        <v>10251.0</v>
      </c>
      <c r="BK275" s="74">
        <v>11174.0</v>
      </c>
      <c r="BL275" s="74"/>
      <c r="BM275" s="74"/>
      <c r="BN275" s="74"/>
      <c r="BO275" s="74"/>
      <c r="BP275" s="74"/>
      <c r="BQ275" s="74"/>
      <c r="BR275" s="74"/>
      <c r="BS275" s="1"/>
      <c r="BT275" s="9"/>
      <c r="BU275" s="9"/>
      <c r="BV275" s="1"/>
      <c r="BW275" s="1"/>
      <c r="BX275" s="1"/>
      <c r="BY275" s="1"/>
      <c r="BZ275" s="1"/>
    </row>
    <row r="276">
      <c r="A276" s="3"/>
      <c r="B276" s="33"/>
      <c r="C276" s="158"/>
      <c r="D276" s="158" t="s">
        <v>320</v>
      </c>
      <c r="E276" s="2"/>
      <c r="F276" s="2"/>
      <c r="G276" s="14"/>
      <c r="H276" s="14"/>
      <c r="I276" s="14"/>
      <c r="J276" s="14"/>
      <c r="K276" s="14"/>
      <c r="L276" s="1"/>
      <c r="M276" s="1"/>
      <c r="N276" s="1"/>
      <c r="O276" s="1"/>
      <c r="P276" s="1"/>
      <c r="Q276" s="1"/>
      <c r="R276" s="1"/>
      <c r="S276" s="33">
        <v>1.0</v>
      </c>
      <c r="T276" s="33">
        <v>1.2331</v>
      </c>
      <c r="U276" s="33">
        <v>1.1593</v>
      </c>
      <c r="V276" s="33">
        <v>1.0812</v>
      </c>
      <c r="W276" s="33">
        <v>0.8004</v>
      </c>
      <c r="X276" s="33">
        <v>1.0074</v>
      </c>
      <c r="Y276" s="33">
        <v>1.0716</v>
      </c>
      <c r="Z276" s="33">
        <v>0.9552</v>
      </c>
      <c r="AA276" s="33">
        <v>0.9655</v>
      </c>
      <c r="AB276" s="33">
        <v>0.8806</v>
      </c>
      <c r="AC276" s="33">
        <v>1.0932</v>
      </c>
      <c r="AD276" s="33">
        <v>1.1025</v>
      </c>
      <c r="AE276" s="33">
        <v>1.0449</v>
      </c>
      <c r="AF276" s="33">
        <v>0.888</v>
      </c>
      <c r="AG276" s="33">
        <v>1.0847</v>
      </c>
      <c r="AH276" s="33">
        <v>1.171</v>
      </c>
      <c r="AI276" s="33">
        <v>0.8679</v>
      </c>
      <c r="AJ276" s="33">
        <v>0.9808</v>
      </c>
      <c r="AK276" s="33">
        <v>1.2695</v>
      </c>
      <c r="AL276" s="33">
        <v>0.951</v>
      </c>
      <c r="AM276" s="33">
        <v>0.8951</v>
      </c>
      <c r="AN276" s="33">
        <v>1.0256</v>
      </c>
      <c r="AO276" s="33">
        <v>1.2043</v>
      </c>
      <c r="AP276" s="33">
        <v>1.0262</v>
      </c>
      <c r="AQ276" s="33">
        <v>1.0589</v>
      </c>
      <c r="AR276" s="33">
        <v>1.0995</v>
      </c>
      <c r="AS276" s="33">
        <v>1.068</v>
      </c>
      <c r="AT276" s="33">
        <v>0.827</v>
      </c>
      <c r="AU276" s="33">
        <v>0.9929</v>
      </c>
      <c r="AV276" s="33">
        <v>0.9839</v>
      </c>
      <c r="AW276" s="33">
        <v>0.7608</v>
      </c>
      <c r="AX276" s="33">
        <v>1.1671</v>
      </c>
      <c r="AY276" s="33">
        <v>1.0079</v>
      </c>
      <c r="AZ276" s="33">
        <v>0.9455</v>
      </c>
      <c r="BA276" s="33">
        <v>1.0449</v>
      </c>
      <c r="BB276" s="33">
        <v>0.9454</v>
      </c>
      <c r="BC276" s="33">
        <v>1.0111</v>
      </c>
      <c r="BD276" s="33">
        <v>1.1268</v>
      </c>
      <c r="BE276" s="33">
        <v>0.8452</v>
      </c>
      <c r="BF276" s="33">
        <v>1.2182</v>
      </c>
      <c r="BG276" s="33">
        <v>0.9388</v>
      </c>
      <c r="BH276" s="33">
        <v>1.1944</v>
      </c>
      <c r="BI276" s="33">
        <v>0.7869</v>
      </c>
      <c r="BJ276" s="33">
        <v>0.929</v>
      </c>
      <c r="BK276" s="33">
        <v>1.09</v>
      </c>
      <c r="BL276" s="33"/>
      <c r="BM276" s="33"/>
      <c r="BN276" s="33"/>
      <c r="BO276" s="33"/>
      <c r="BP276" s="33"/>
      <c r="BQ276" s="33"/>
      <c r="BR276" s="33"/>
      <c r="BS276" s="1"/>
      <c r="BT276" s="8"/>
      <c r="BU276" s="8"/>
      <c r="BV276" s="1"/>
      <c r="BW276" s="1"/>
      <c r="BX276" s="1"/>
      <c r="BY276" s="1"/>
      <c r="BZ276" s="1"/>
    </row>
    <row r="277">
      <c r="A277" s="3"/>
      <c r="B277" s="33"/>
      <c r="C277" s="159"/>
      <c r="D277" s="159"/>
      <c r="E277" s="2"/>
      <c r="F277" s="2"/>
      <c r="G277" s="14"/>
      <c r="H277" s="14"/>
      <c r="I277" s="14"/>
      <c r="J277" s="14"/>
      <c r="K277" s="1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4"/>
      <c r="AG277" s="3"/>
      <c r="AH277" s="3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1"/>
      <c r="BT277" s="9"/>
      <c r="BU277" s="9"/>
      <c r="BV277" s="1"/>
      <c r="BW277" s="1"/>
      <c r="BX277" s="1"/>
      <c r="BY277" s="1"/>
      <c r="BZ277" s="1"/>
    </row>
    <row r="278">
      <c r="A278" s="3"/>
      <c r="B278" s="33"/>
      <c r="C278" s="147"/>
      <c r="D278" s="147" t="s">
        <v>246</v>
      </c>
      <c r="E278" s="2"/>
      <c r="F278" s="2"/>
      <c r="G278" s="14"/>
      <c r="H278" s="14"/>
      <c r="I278" s="14"/>
      <c r="J278" s="14"/>
      <c r="K278" s="14"/>
      <c r="L278" s="1"/>
      <c r="M278" s="1"/>
      <c r="N278" s="1"/>
      <c r="O278" s="1"/>
      <c r="P278" s="1"/>
      <c r="Q278" s="1"/>
      <c r="R278" s="1"/>
      <c r="S278" s="3">
        <v>3677.0</v>
      </c>
      <c r="T278" s="3">
        <v>4903.0</v>
      </c>
      <c r="U278" s="3">
        <v>6483.0</v>
      </c>
      <c r="V278" s="3">
        <v>7465.0</v>
      </c>
      <c r="W278" s="3">
        <v>5299.0</v>
      </c>
      <c r="X278" s="3">
        <v>4446.0</v>
      </c>
      <c r="Y278" s="3">
        <v>4825.0</v>
      </c>
      <c r="Z278" s="3">
        <v>4893.0</v>
      </c>
      <c r="AA278" s="3">
        <v>4769.0</v>
      </c>
      <c r="AB278" s="3">
        <v>4063.0</v>
      </c>
      <c r="AC278" s="3">
        <v>4639.0</v>
      </c>
      <c r="AD278" s="3">
        <v>5381.0</v>
      </c>
      <c r="AE278" s="3">
        <v>5606.0</v>
      </c>
      <c r="AF278" s="74">
        <v>1832.0</v>
      </c>
      <c r="AG278" s="3">
        <v>2142.0</v>
      </c>
      <c r="AH278" s="3">
        <v>2529.0</v>
      </c>
      <c r="AI278" s="74">
        <v>2150.0</v>
      </c>
      <c r="AJ278" s="74">
        <v>2183.0</v>
      </c>
      <c r="AK278" s="74">
        <v>2183.0</v>
      </c>
      <c r="AL278" s="74">
        <v>2183.0</v>
      </c>
      <c r="AM278" s="74">
        <v>2183.0</v>
      </c>
      <c r="AN278" s="74">
        <v>2183.0</v>
      </c>
      <c r="AO278" s="74">
        <v>2183.0</v>
      </c>
      <c r="AP278" s="74">
        <v>2183.0</v>
      </c>
      <c r="AQ278" s="74">
        <v>2183.0</v>
      </c>
      <c r="AR278" s="74">
        <v>2183.0</v>
      </c>
      <c r="AS278" s="74">
        <v>2183.0</v>
      </c>
      <c r="AT278" s="74">
        <v>2183.0</v>
      </c>
      <c r="AU278" s="74">
        <v>2183.0</v>
      </c>
      <c r="AV278" s="74">
        <v>2183.0</v>
      </c>
      <c r="AW278" s="74">
        <v>2183.0</v>
      </c>
      <c r="AX278" s="74">
        <v>2183.0</v>
      </c>
      <c r="AY278" s="74">
        <v>2183.0</v>
      </c>
      <c r="AZ278" s="74">
        <v>2183.0</v>
      </c>
      <c r="BA278" s="74">
        <v>2183.0</v>
      </c>
      <c r="BB278" s="74">
        <v>2183.0</v>
      </c>
      <c r="BC278" s="74">
        <v>2183.0</v>
      </c>
      <c r="BD278" s="74">
        <v>2183.0</v>
      </c>
      <c r="BE278" s="74">
        <v>2183.0</v>
      </c>
      <c r="BF278" s="74">
        <v>2183.0</v>
      </c>
      <c r="BG278" s="74">
        <v>2183.0</v>
      </c>
      <c r="BH278" s="74">
        <v>2183.0</v>
      </c>
      <c r="BI278" s="74">
        <v>2183.0</v>
      </c>
      <c r="BJ278" s="74">
        <v>2183.0</v>
      </c>
      <c r="BK278" s="74">
        <v>2183.0</v>
      </c>
      <c r="BL278" s="74"/>
      <c r="BM278" s="74"/>
      <c r="BN278" s="74"/>
      <c r="BO278" s="74"/>
      <c r="BP278" s="74"/>
      <c r="BQ278" s="74"/>
      <c r="BR278" s="74"/>
      <c r="BS278" s="1"/>
      <c r="BT278" s="9"/>
      <c r="BU278" s="9"/>
      <c r="BV278" s="1"/>
      <c r="BW278" s="1"/>
      <c r="BX278" s="1"/>
      <c r="BY278" s="1"/>
      <c r="BZ278" s="1"/>
    </row>
    <row r="279">
      <c r="A279" s="3"/>
      <c r="B279" s="33"/>
      <c r="C279" s="147"/>
      <c r="D279" s="147" t="s">
        <v>248</v>
      </c>
      <c r="E279" s="2"/>
      <c r="F279" s="2"/>
      <c r="G279" s="14"/>
      <c r="H279" s="14"/>
      <c r="I279" s="14"/>
      <c r="J279" s="14"/>
      <c r="K279" s="14"/>
      <c r="L279" s="1"/>
      <c r="M279" s="1"/>
      <c r="N279" s="1"/>
      <c r="O279" s="1"/>
      <c r="P279" s="1"/>
      <c r="Q279" s="1"/>
      <c r="R279" s="1"/>
      <c r="S279" s="3">
        <v>1328.0</v>
      </c>
      <c r="T279" s="3">
        <v>1344.0</v>
      </c>
      <c r="U279" s="3">
        <v>1279.0</v>
      </c>
      <c r="V279" s="3">
        <v>1233.0</v>
      </c>
      <c r="W279" s="3">
        <v>1296.0</v>
      </c>
      <c r="X279" s="3">
        <v>1706.0</v>
      </c>
      <c r="Y279" s="3">
        <v>1780.0</v>
      </c>
      <c r="Z279" s="3">
        <v>1765.0</v>
      </c>
      <c r="AA279" s="3">
        <v>1648.0</v>
      </c>
      <c r="AB279" s="3">
        <v>1275.0</v>
      </c>
      <c r="AC279" s="3">
        <v>1263.0</v>
      </c>
      <c r="AD279" s="3">
        <v>1409.0</v>
      </c>
      <c r="AE279" s="3">
        <v>1515.0</v>
      </c>
      <c r="AF279" s="74">
        <v>1423.0</v>
      </c>
      <c r="AG279" s="3">
        <v>1455.0</v>
      </c>
      <c r="AH279" s="3">
        <v>2020.0</v>
      </c>
      <c r="AI279" s="74">
        <v>1752.0</v>
      </c>
      <c r="AJ279" s="74">
        <v>1745.0</v>
      </c>
      <c r="AK279" s="74">
        <v>1776.0</v>
      </c>
      <c r="AL279" s="74">
        <v>1677.0</v>
      </c>
      <c r="AM279" s="74">
        <v>1737.0</v>
      </c>
      <c r="AN279" s="74">
        <v>1652.0</v>
      </c>
      <c r="AO279" s="74">
        <v>2118.0</v>
      </c>
      <c r="AP279" s="74">
        <v>2428.0</v>
      </c>
      <c r="AQ279" s="74">
        <v>2500.0</v>
      </c>
      <c r="AR279" s="74">
        <v>2594.0</v>
      </c>
      <c r="AS279" s="74">
        <v>2292.0</v>
      </c>
      <c r="AT279" s="74">
        <v>2013.0</v>
      </c>
      <c r="AU279" s="74">
        <v>2111.0</v>
      </c>
      <c r="AV279" s="74">
        <v>1862.0</v>
      </c>
      <c r="AW279" s="74">
        <v>1573.0</v>
      </c>
      <c r="AX279" s="74">
        <v>1596.0</v>
      </c>
      <c r="AY279" s="74">
        <v>1416.0</v>
      </c>
      <c r="AZ279" s="74">
        <v>1444.0</v>
      </c>
      <c r="BA279" s="74">
        <v>1493.0</v>
      </c>
      <c r="BB279" s="74">
        <v>1277.0</v>
      </c>
      <c r="BC279" s="74">
        <v>1442.0</v>
      </c>
      <c r="BD279" s="74">
        <v>1570.0</v>
      </c>
      <c r="BE279" s="74">
        <v>1084.0</v>
      </c>
      <c r="BF279" s="74">
        <v>1156.0</v>
      </c>
      <c r="BG279" s="74">
        <v>1507.0</v>
      </c>
      <c r="BH279" s="74">
        <v>2112.0</v>
      </c>
      <c r="BI279" s="74">
        <v>1780.0</v>
      </c>
      <c r="BJ279" s="74">
        <v>1381.0</v>
      </c>
      <c r="BK279" s="74">
        <v>1396.0</v>
      </c>
      <c r="BL279" s="74"/>
      <c r="BM279" s="74"/>
      <c r="BN279" s="74"/>
      <c r="BO279" s="74"/>
      <c r="BP279" s="74"/>
      <c r="BQ279" s="74"/>
      <c r="BR279" s="74"/>
      <c r="BS279" s="1"/>
      <c r="BT279" s="9"/>
      <c r="BU279" s="9"/>
      <c r="BV279" s="1"/>
      <c r="BW279" s="1"/>
      <c r="BX279" s="1"/>
      <c r="BY279" s="1"/>
      <c r="BZ279" s="1"/>
    </row>
    <row r="280">
      <c r="A280" s="3"/>
      <c r="B280" s="33"/>
      <c r="C280" s="147"/>
      <c r="D280" s="147" t="s">
        <v>251</v>
      </c>
      <c r="E280" s="2"/>
      <c r="F280" s="2"/>
      <c r="G280" s="14"/>
      <c r="H280" s="14"/>
      <c r="I280" s="14"/>
      <c r="J280" s="14"/>
      <c r="K280" s="14"/>
      <c r="L280" s="1"/>
      <c r="M280" s="1"/>
      <c r="N280" s="1"/>
      <c r="O280" s="1"/>
      <c r="P280" s="1"/>
      <c r="Q280" s="1"/>
      <c r="R280" s="1"/>
      <c r="S280" s="3">
        <v>271.0</v>
      </c>
      <c r="T280" s="3">
        <v>238.0</v>
      </c>
      <c r="U280" s="3">
        <v>265.0</v>
      </c>
      <c r="V280" s="3">
        <v>220.0</v>
      </c>
      <c r="W280" s="3">
        <v>265.0</v>
      </c>
      <c r="X280" s="3">
        <v>347.0</v>
      </c>
      <c r="Y280" s="3">
        <v>303.0</v>
      </c>
      <c r="Z280" s="3">
        <v>309.0</v>
      </c>
      <c r="AA280" s="3">
        <v>306.0</v>
      </c>
      <c r="AB280" s="3">
        <v>254.0</v>
      </c>
      <c r="AC280" s="3">
        <v>337.0</v>
      </c>
      <c r="AD280" s="3">
        <v>299.0</v>
      </c>
      <c r="AE280" s="3">
        <v>306.0</v>
      </c>
      <c r="AF280" s="74">
        <v>295.0</v>
      </c>
      <c r="AG280" s="3">
        <v>522.0</v>
      </c>
      <c r="AH280" s="3">
        <v>362.0</v>
      </c>
      <c r="AI280" s="74">
        <v>272.0</v>
      </c>
      <c r="AJ280" s="74">
        <v>291.0</v>
      </c>
      <c r="AK280" s="74">
        <v>323.0</v>
      </c>
      <c r="AL280" s="74">
        <v>365.0</v>
      </c>
      <c r="AM280" s="74">
        <v>301.0</v>
      </c>
      <c r="AN280" s="74">
        <v>359.0</v>
      </c>
      <c r="AO280" s="74">
        <v>382.0</v>
      </c>
      <c r="AP280" s="74">
        <v>350.0</v>
      </c>
      <c r="AQ280" s="74">
        <v>360.0</v>
      </c>
      <c r="AR280" s="74">
        <v>422.0</v>
      </c>
      <c r="AS280" s="74">
        <v>437.0</v>
      </c>
      <c r="AT280" s="74">
        <v>475.0</v>
      </c>
      <c r="AU280" s="74">
        <v>717.0</v>
      </c>
      <c r="AV280" s="74">
        <v>558.0</v>
      </c>
      <c r="AW280" s="74">
        <v>337.0</v>
      </c>
      <c r="AX280" s="74">
        <v>322.0</v>
      </c>
      <c r="AY280" s="74">
        <v>365.0</v>
      </c>
      <c r="AZ280" s="74">
        <v>367.0</v>
      </c>
      <c r="BA280" s="74">
        <v>348.0</v>
      </c>
      <c r="BB280" s="74">
        <v>362.0</v>
      </c>
      <c r="BC280" s="74">
        <v>332.0</v>
      </c>
      <c r="BD280" s="74">
        <v>333.0</v>
      </c>
      <c r="BE280" s="74">
        <v>346.0</v>
      </c>
      <c r="BF280" s="74">
        <v>587.0</v>
      </c>
      <c r="BG280" s="74">
        <v>445.0</v>
      </c>
      <c r="BH280" s="74">
        <v>327.0</v>
      </c>
      <c r="BI280" s="74">
        <v>242.0</v>
      </c>
      <c r="BJ280" s="74">
        <v>264.0</v>
      </c>
      <c r="BK280" s="74">
        <v>337.0</v>
      </c>
      <c r="BL280" s="74"/>
      <c r="BM280" s="74"/>
      <c r="BN280" s="74"/>
      <c r="BO280" s="74"/>
      <c r="BP280" s="74"/>
      <c r="BQ280" s="74"/>
      <c r="BR280" s="74"/>
      <c r="BS280" s="1"/>
      <c r="BT280" s="9"/>
      <c r="BU280" s="9"/>
      <c r="BV280" s="1"/>
      <c r="BW280" s="1"/>
      <c r="BX280" s="1"/>
      <c r="BY280" s="1"/>
      <c r="BZ280" s="1"/>
    </row>
    <row r="281">
      <c r="A281" s="3"/>
      <c r="B281" s="33"/>
      <c r="C281" s="151"/>
      <c r="D281" s="151" t="s">
        <v>253</v>
      </c>
      <c r="E281" s="2"/>
      <c r="F281" s="2"/>
      <c r="G281" s="14"/>
      <c r="H281" s="14"/>
      <c r="I281" s="14"/>
      <c r="J281" s="14"/>
      <c r="K281" s="14"/>
      <c r="L281" s="1"/>
      <c r="M281" s="1"/>
      <c r="N281" s="1"/>
      <c r="O281" s="1"/>
      <c r="P281" s="1"/>
      <c r="Q281" s="1"/>
      <c r="R281" s="1"/>
      <c r="S281" s="3">
        <v>684.0</v>
      </c>
      <c r="T281" s="3">
        <v>774.0</v>
      </c>
      <c r="U281" s="3">
        <v>729.0</v>
      </c>
      <c r="V281" s="3">
        <v>751.0</v>
      </c>
      <c r="W281" s="3">
        <v>658.0</v>
      </c>
      <c r="X281" s="3">
        <v>757.0</v>
      </c>
      <c r="Y281" s="3">
        <v>969.0</v>
      </c>
      <c r="Z281" s="3">
        <v>848.0</v>
      </c>
      <c r="AA281" s="3">
        <v>763.0</v>
      </c>
      <c r="AB281" s="3">
        <v>788.0</v>
      </c>
      <c r="AC281" s="3">
        <v>896.0</v>
      </c>
      <c r="AD281" s="3">
        <v>875.0</v>
      </c>
      <c r="AE281" s="3">
        <v>856.0</v>
      </c>
      <c r="AF281" s="74">
        <v>718.0</v>
      </c>
      <c r="AG281" s="3">
        <v>746.0</v>
      </c>
      <c r="AH281" s="3">
        <v>789.0</v>
      </c>
      <c r="AI281" s="74">
        <v>835.0</v>
      </c>
      <c r="AJ281" s="74">
        <v>901.0</v>
      </c>
      <c r="AK281" s="74">
        <v>846.0</v>
      </c>
      <c r="AL281" s="74">
        <v>1007.0</v>
      </c>
      <c r="AM281" s="74">
        <v>721.0</v>
      </c>
      <c r="AN281" s="74">
        <v>816.0</v>
      </c>
      <c r="AO281" s="74">
        <v>1064.0</v>
      </c>
      <c r="AP281" s="74">
        <v>1131.0</v>
      </c>
      <c r="AQ281" s="74">
        <v>1193.0</v>
      </c>
      <c r="AR281" s="74">
        <v>1311.0</v>
      </c>
      <c r="AS281" s="74">
        <v>1440.0</v>
      </c>
      <c r="AT281" s="74">
        <v>1051.0</v>
      </c>
      <c r="AU281" s="74">
        <v>996.0</v>
      </c>
      <c r="AV281" s="74">
        <v>1345.0</v>
      </c>
      <c r="AW281" s="74">
        <v>1168.0</v>
      </c>
      <c r="AX281" s="74">
        <v>1396.0</v>
      </c>
      <c r="AY281" s="74">
        <v>1211.0</v>
      </c>
      <c r="AZ281" s="74">
        <v>1129.0</v>
      </c>
      <c r="BA281" s="74">
        <v>1173.0</v>
      </c>
      <c r="BB281" s="74">
        <v>1105.0</v>
      </c>
      <c r="BC281" s="74">
        <v>1057.0</v>
      </c>
      <c r="BD281" s="74">
        <v>1064.0</v>
      </c>
      <c r="BE281" s="74">
        <v>1091.0</v>
      </c>
      <c r="BF281" s="74">
        <v>958.0</v>
      </c>
      <c r="BG281" s="74">
        <v>816.0</v>
      </c>
      <c r="BH281" s="74">
        <v>842.0</v>
      </c>
      <c r="BI281" s="74">
        <v>686.0</v>
      </c>
      <c r="BJ281" s="74">
        <v>791.0</v>
      </c>
      <c r="BK281" s="74">
        <v>1369.0</v>
      </c>
      <c r="BL281" s="74"/>
      <c r="BM281" s="74"/>
      <c r="BN281" s="74"/>
      <c r="BO281" s="74"/>
      <c r="BP281" s="74"/>
      <c r="BQ281" s="74"/>
      <c r="BR281" s="74"/>
      <c r="BS281" s="1"/>
      <c r="BT281" s="9"/>
      <c r="BU281" s="9"/>
      <c r="BV281" s="1"/>
      <c r="BW281" s="1"/>
      <c r="BX281" s="1"/>
      <c r="BY281" s="1"/>
      <c r="BZ281" s="1"/>
    </row>
    <row r="282">
      <c r="A282" s="3"/>
      <c r="B282" s="33"/>
      <c r="C282" s="147"/>
      <c r="D282" s="147" t="s">
        <v>255</v>
      </c>
      <c r="E282" s="2"/>
      <c r="F282" s="2"/>
      <c r="G282" s="14"/>
      <c r="H282" s="14"/>
      <c r="I282" s="14"/>
      <c r="J282" s="14"/>
      <c r="K282" s="14"/>
      <c r="L282" s="1"/>
      <c r="M282" s="1"/>
      <c r="N282" s="1"/>
      <c r="O282" s="1"/>
      <c r="P282" s="1"/>
      <c r="Q282" s="1"/>
      <c r="R282" s="1"/>
      <c r="S282" s="3">
        <v>931.0</v>
      </c>
      <c r="T282" s="3">
        <v>1244.0</v>
      </c>
      <c r="U282" s="3">
        <v>1181.0</v>
      </c>
      <c r="V282" s="3">
        <v>1041.0</v>
      </c>
      <c r="W282" s="3">
        <v>1101.0</v>
      </c>
      <c r="X282" s="3">
        <v>1378.0</v>
      </c>
      <c r="Y282" s="3">
        <v>1353.0</v>
      </c>
      <c r="Z282" s="3">
        <v>1045.0</v>
      </c>
      <c r="AA282" s="3">
        <v>1038.0</v>
      </c>
      <c r="AB282" s="3">
        <v>1126.0</v>
      </c>
      <c r="AC282" s="3">
        <v>1086.0</v>
      </c>
      <c r="AD282" s="3">
        <v>1049.0</v>
      </c>
      <c r="AE282" s="3">
        <v>1047.0</v>
      </c>
      <c r="AF282" s="74">
        <v>1059.0</v>
      </c>
      <c r="AG282" s="3">
        <v>1117.0</v>
      </c>
      <c r="AH282" s="3">
        <v>1116.0</v>
      </c>
      <c r="AI282" s="74">
        <v>1159.0</v>
      </c>
      <c r="AJ282" s="74">
        <v>1339.0</v>
      </c>
      <c r="AK282" s="74">
        <v>1716.0</v>
      </c>
      <c r="AL282" s="74">
        <v>1840.0</v>
      </c>
      <c r="AM282" s="74">
        <v>1415.0</v>
      </c>
      <c r="AN282" s="74">
        <v>1572.0</v>
      </c>
      <c r="AO282" s="74">
        <v>1740.0</v>
      </c>
      <c r="AP282" s="74">
        <v>1934.0</v>
      </c>
      <c r="AQ282" s="74">
        <v>1923.0</v>
      </c>
      <c r="AR282" s="74">
        <v>2128.0</v>
      </c>
      <c r="AS282" s="74">
        <v>2035.0</v>
      </c>
      <c r="AT282" s="74">
        <v>1724.0</v>
      </c>
      <c r="AU282" s="74">
        <v>1679.0</v>
      </c>
      <c r="AV282" s="74">
        <v>1714.0</v>
      </c>
      <c r="AW282" s="74">
        <v>1364.0</v>
      </c>
      <c r="AX282" s="74">
        <v>1699.0</v>
      </c>
      <c r="AY282" s="74">
        <v>2026.0</v>
      </c>
      <c r="AZ282" s="74">
        <v>2060.0</v>
      </c>
      <c r="BA282" s="74">
        <v>2132.0</v>
      </c>
      <c r="BB282" s="74">
        <v>1909.0</v>
      </c>
      <c r="BC282" s="74">
        <v>2009.0</v>
      </c>
      <c r="BD282" s="74">
        <v>2176.0</v>
      </c>
      <c r="BE282" s="74">
        <v>1785.0</v>
      </c>
      <c r="BF282" s="74">
        <v>1779.0</v>
      </c>
      <c r="BG282" s="74">
        <v>1712.0</v>
      </c>
      <c r="BH282" s="74">
        <v>2168.0</v>
      </c>
      <c r="BI282" s="74">
        <v>1921.0</v>
      </c>
      <c r="BJ282" s="74">
        <v>1684.0</v>
      </c>
      <c r="BK282" s="74">
        <v>1581.0</v>
      </c>
      <c r="BL282" s="74"/>
      <c r="BM282" s="74"/>
      <c r="BN282" s="74"/>
      <c r="BO282" s="74"/>
      <c r="BP282" s="74"/>
      <c r="BQ282" s="74"/>
      <c r="BR282" s="74"/>
      <c r="BS282" s="1"/>
      <c r="BT282" s="9"/>
      <c r="BU282" s="9"/>
      <c r="BV282" s="1"/>
      <c r="BW282" s="1"/>
      <c r="BX282" s="1"/>
      <c r="BY282" s="1"/>
      <c r="BZ282" s="1"/>
    </row>
    <row r="283">
      <c r="A283" s="3"/>
      <c r="B283" s="33"/>
      <c r="C283" s="155"/>
      <c r="D283" s="155" t="s">
        <v>257</v>
      </c>
      <c r="E283" s="2"/>
      <c r="F283" s="2"/>
      <c r="G283" s="14"/>
      <c r="H283" s="14"/>
      <c r="I283" s="14"/>
      <c r="J283" s="14"/>
      <c r="K283" s="14"/>
      <c r="L283" s="1"/>
      <c r="M283" s="1"/>
      <c r="N283" s="1"/>
      <c r="O283" s="1"/>
      <c r="P283" s="1"/>
      <c r="Q283" s="1"/>
      <c r="R283" s="1"/>
      <c r="S283" s="3">
        <v>175.0</v>
      </c>
      <c r="T283" s="3">
        <v>203.0</v>
      </c>
      <c r="U283" s="3">
        <v>126.0</v>
      </c>
      <c r="V283" s="3">
        <v>72.0</v>
      </c>
      <c r="W283" s="3">
        <v>67.0</v>
      </c>
      <c r="X283" s="3">
        <v>105.0</v>
      </c>
      <c r="Y283" s="3">
        <v>150.0</v>
      </c>
      <c r="Z283" s="3">
        <v>106.0</v>
      </c>
      <c r="AA283" s="3">
        <v>134.0</v>
      </c>
      <c r="AB283" s="3">
        <v>99.0</v>
      </c>
      <c r="AC283" s="3">
        <v>100.0</v>
      </c>
      <c r="AD283" s="3">
        <v>134.0</v>
      </c>
      <c r="AE283" s="3">
        <v>222.0</v>
      </c>
      <c r="AF283" s="74">
        <v>121.0</v>
      </c>
      <c r="AG283" s="3">
        <v>165.0</v>
      </c>
      <c r="AH283" s="3">
        <v>147.0</v>
      </c>
      <c r="AI283" s="74">
        <v>126.0</v>
      </c>
      <c r="AJ283" s="74">
        <v>147.0</v>
      </c>
      <c r="AK283" s="74">
        <v>195.0</v>
      </c>
      <c r="AL283" s="74">
        <v>170.0</v>
      </c>
      <c r="AM283" s="74">
        <v>158.0</v>
      </c>
      <c r="AN283" s="74">
        <v>101.0</v>
      </c>
      <c r="AO283" s="74">
        <v>115.0</v>
      </c>
      <c r="AP283" s="74">
        <v>128.0</v>
      </c>
      <c r="AQ283" s="74">
        <v>90.0</v>
      </c>
      <c r="AR283" s="74">
        <v>154.0</v>
      </c>
      <c r="AS283" s="74">
        <v>180.0</v>
      </c>
      <c r="AT283" s="74">
        <v>243.0</v>
      </c>
      <c r="AU283" s="74">
        <v>324.0</v>
      </c>
      <c r="AV283" s="74">
        <v>336.0</v>
      </c>
      <c r="AW283" s="74">
        <v>94.0</v>
      </c>
      <c r="AX283" s="74">
        <v>85.0</v>
      </c>
      <c r="AY283" s="74">
        <v>119.0</v>
      </c>
      <c r="AZ283" s="74">
        <v>185.0</v>
      </c>
      <c r="BA283" s="74">
        <v>192.0</v>
      </c>
      <c r="BB283" s="74">
        <v>77.0</v>
      </c>
      <c r="BC283" s="74">
        <v>84.0</v>
      </c>
      <c r="BD283" s="74">
        <v>89.0</v>
      </c>
      <c r="BE283" s="74">
        <v>124.0</v>
      </c>
      <c r="BF283" s="74">
        <v>173.0</v>
      </c>
      <c r="BG283" s="74">
        <v>110.0</v>
      </c>
      <c r="BH283" s="74">
        <v>78.0</v>
      </c>
      <c r="BI283" s="74">
        <v>82.0</v>
      </c>
      <c r="BJ283" s="74">
        <v>44.0</v>
      </c>
      <c r="BK283" s="74">
        <v>67.0</v>
      </c>
      <c r="BL283" s="74"/>
      <c r="BM283" s="74"/>
      <c r="BN283" s="74"/>
      <c r="BO283" s="74"/>
      <c r="BP283" s="74"/>
      <c r="BQ283" s="74"/>
      <c r="BR283" s="74"/>
      <c r="BS283" s="1"/>
      <c r="BT283" s="9"/>
      <c r="BU283" s="9"/>
      <c r="BV283" s="1"/>
      <c r="BW283" s="1"/>
      <c r="BX283" s="1"/>
      <c r="BY283" s="1"/>
      <c r="BZ283" s="1"/>
    </row>
    <row r="284">
      <c r="A284" s="3"/>
      <c r="B284" s="33"/>
      <c r="C284" s="147"/>
      <c r="D284" s="147" t="s">
        <v>261</v>
      </c>
      <c r="E284" s="2"/>
      <c r="F284" s="2"/>
      <c r="G284" s="14"/>
      <c r="H284" s="14"/>
      <c r="I284" s="14"/>
      <c r="J284" s="14"/>
      <c r="K284" s="14"/>
      <c r="L284" s="1"/>
      <c r="M284" s="1"/>
      <c r="N284" s="1"/>
      <c r="O284" s="1"/>
      <c r="P284" s="1"/>
      <c r="Q284" s="1"/>
      <c r="R284" s="1"/>
      <c r="S284" s="3">
        <v>0.0</v>
      </c>
      <c r="T284" s="3">
        <v>0.0</v>
      </c>
      <c r="U284" s="3">
        <v>5.0</v>
      </c>
      <c r="V284" s="3">
        <v>20.0</v>
      </c>
      <c r="W284" s="3">
        <v>7.0</v>
      </c>
      <c r="X284" s="3">
        <v>16.0</v>
      </c>
      <c r="Y284" s="3">
        <v>23.0</v>
      </c>
      <c r="Z284" s="3">
        <v>26.0</v>
      </c>
      <c r="AA284" s="3">
        <v>21.0</v>
      </c>
      <c r="AB284" s="3">
        <v>30.0</v>
      </c>
      <c r="AC284" s="3">
        <v>33.0</v>
      </c>
      <c r="AD284" s="3">
        <v>55.0</v>
      </c>
      <c r="AE284" s="3">
        <v>56.0</v>
      </c>
      <c r="AF284" s="3">
        <v>43.0</v>
      </c>
      <c r="AG284" s="3">
        <v>115.0</v>
      </c>
      <c r="AH284" s="3">
        <v>67.0</v>
      </c>
      <c r="AI284" s="3">
        <v>60.0</v>
      </c>
      <c r="AJ284" s="3">
        <v>42.0</v>
      </c>
      <c r="AK284" s="3">
        <v>54.0</v>
      </c>
      <c r="AL284" s="3">
        <v>49.0</v>
      </c>
      <c r="AM284" s="3">
        <v>39.0</v>
      </c>
      <c r="AN284" s="3">
        <v>49.0</v>
      </c>
      <c r="AO284" s="3">
        <v>58.0</v>
      </c>
      <c r="AP284" s="3">
        <v>51.0</v>
      </c>
      <c r="AQ284" s="3">
        <v>58.0</v>
      </c>
      <c r="AR284" s="3">
        <v>58.0</v>
      </c>
      <c r="AS284" s="3">
        <v>93.0</v>
      </c>
      <c r="AT284" s="3">
        <v>94.0</v>
      </c>
      <c r="AU284" s="3">
        <v>91.0</v>
      </c>
      <c r="AV284" s="3">
        <v>84.0</v>
      </c>
      <c r="AW284" s="3">
        <v>86.0</v>
      </c>
      <c r="AX284" s="3">
        <v>66.0</v>
      </c>
      <c r="AY284" s="3">
        <v>66.0</v>
      </c>
      <c r="AZ284" s="3">
        <v>50.0</v>
      </c>
      <c r="BA284" s="3">
        <v>48.0</v>
      </c>
      <c r="BB284" s="3">
        <v>48.0</v>
      </c>
      <c r="BC284" s="3">
        <v>41.0</v>
      </c>
      <c r="BD284" s="3">
        <v>41.0</v>
      </c>
      <c r="BE284" s="3">
        <v>45.0</v>
      </c>
      <c r="BF284" s="3">
        <v>124.0</v>
      </c>
      <c r="BG284" s="3">
        <v>116.0</v>
      </c>
      <c r="BH284" s="3">
        <v>48.0</v>
      </c>
      <c r="BI284" s="3">
        <v>39.0</v>
      </c>
      <c r="BJ284" s="3">
        <v>41.0</v>
      </c>
      <c r="BK284" s="3">
        <v>24.0</v>
      </c>
      <c r="BL284" s="3"/>
      <c r="BM284" s="3"/>
      <c r="BN284" s="3"/>
      <c r="BO284" s="3"/>
      <c r="BP284" s="3"/>
      <c r="BQ284" s="3"/>
      <c r="BR284" s="3"/>
      <c r="BS284" s="1"/>
      <c r="BT284" s="9"/>
      <c r="BU284" s="9"/>
      <c r="BV284" s="1"/>
      <c r="BW284" s="1"/>
      <c r="BX284" s="1"/>
      <c r="BY284" s="1"/>
      <c r="BZ284" s="1"/>
    </row>
    <row r="285">
      <c r="A285" s="3"/>
      <c r="B285" s="33"/>
      <c r="C285" s="156"/>
      <c r="D285" s="156"/>
      <c r="E285" s="2"/>
      <c r="F285" s="2"/>
      <c r="G285" s="14"/>
      <c r="H285" s="14"/>
      <c r="I285" s="14"/>
      <c r="J285" s="14"/>
      <c r="K285" s="14"/>
      <c r="L285" s="1"/>
      <c r="M285" s="1"/>
      <c r="N285" s="1"/>
      <c r="O285" s="1"/>
      <c r="P285" s="1"/>
      <c r="Q285" s="1"/>
      <c r="R285" s="1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1"/>
      <c r="BT285" s="9"/>
      <c r="BU285" s="9"/>
      <c r="BV285" s="1"/>
      <c r="BW285" s="1"/>
      <c r="BX285" s="1"/>
      <c r="BY285" s="1"/>
      <c r="BZ285" s="1"/>
    </row>
    <row r="286">
      <c r="A286" s="3"/>
      <c r="B286" s="33"/>
      <c r="C286" s="146"/>
      <c r="D286" s="146"/>
      <c r="E286" s="2"/>
      <c r="F286" s="2"/>
      <c r="G286" s="14"/>
      <c r="H286" s="14"/>
      <c r="I286" s="14"/>
      <c r="J286" s="14"/>
      <c r="K286" s="14"/>
      <c r="L286" s="1"/>
      <c r="M286" s="1"/>
      <c r="N286" s="1"/>
      <c r="O286" s="1"/>
      <c r="P286" s="1"/>
      <c r="Q286" s="1"/>
      <c r="R286" s="1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8"/>
      <c r="BU286" s="8"/>
      <c r="BV286" s="1"/>
      <c r="BW286" s="1"/>
      <c r="BX286" s="1"/>
      <c r="BY286" s="1"/>
      <c r="BZ286" s="1"/>
    </row>
    <row r="287">
      <c r="A287" s="3"/>
      <c r="B287" s="33"/>
      <c r="C287" s="122"/>
      <c r="D287" s="122" t="s">
        <v>322</v>
      </c>
      <c r="E287" s="2"/>
      <c r="F287" s="2"/>
      <c r="G287" s="14"/>
      <c r="H287" s="14"/>
      <c r="I287" s="14"/>
      <c r="J287" s="14"/>
      <c r="K287" s="14"/>
      <c r="L287" s="1"/>
      <c r="M287" s="1"/>
      <c r="N287" s="1"/>
      <c r="O287" s="1"/>
      <c r="P287" s="1"/>
      <c r="Q287" s="1"/>
      <c r="R287" s="1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1"/>
      <c r="BT287" s="9"/>
      <c r="BU287" s="9"/>
      <c r="BV287" s="1"/>
      <c r="BW287" s="1"/>
      <c r="BX287" s="1"/>
      <c r="BY287" s="1"/>
      <c r="BZ287" s="1"/>
    </row>
    <row r="288">
      <c r="A288" s="3"/>
      <c r="B288" s="33"/>
      <c r="C288" s="160"/>
      <c r="D288" s="160" t="s">
        <v>289</v>
      </c>
      <c r="E288" s="2"/>
      <c r="F288" s="2"/>
      <c r="G288" s="14"/>
      <c r="H288" s="14"/>
      <c r="I288" s="14"/>
      <c r="J288" s="14"/>
      <c r="K288" s="14"/>
      <c r="L288" s="1"/>
      <c r="M288" s="1"/>
      <c r="N288" s="1"/>
      <c r="O288" s="1"/>
      <c r="P288" s="1"/>
      <c r="Q288" s="1"/>
      <c r="R288" s="1"/>
      <c r="S288" s="3">
        <v>915280.0</v>
      </c>
      <c r="T288" s="3">
        <v>941010.0</v>
      </c>
      <c r="U288" s="3">
        <v>912699.0</v>
      </c>
      <c r="V288" s="3">
        <v>958859.0</v>
      </c>
      <c r="W288" s="3">
        <v>1081984.0</v>
      </c>
      <c r="X288" s="3">
        <v>1306670.0</v>
      </c>
      <c r="Y288" s="3">
        <v>1384542.0</v>
      </c>
      <c r="Z288" s="3">
        <v>1227415.0</v>
      </c>
      <c r="AA288" s="3">
        <v>1183547.52</v>
      </c>
      <c r="AB288" s="3">
        <v>1139767.0</v>
      </c>
      <c r="AC288" s="3">
        <v>1250993.98</v>
      </c>
      <c r="AD288" s="3">
        <v>1324022.49</v>
      </c>
      <c r="AE288" s="3">
        <v>1388552.17</v>
      </c>
      <c r="AF288" s="74">
        <v>1319318.0</v>
      </c>
      <c r="AG288" s="74">
        <v>1414548.0</v>
      </c>
      <c r="AH288" s="74">
        <v>1630127.0</v>
      </c>
      <c r="AI288" s="74">
        <v>1451994.0</v>
      </c>
      <c r="AJ288" s="74">
        <v>1480099.0</v>
      </c>
      <c r="AK288" s="74">
        <v>1592769.0</v>
      </c>
      <c r="AL288" s="74">
        <v>1621109.0</v>
      </c>
      <c r="AM288" s="74">
        <v>1508564.0</v>
      </c>
      <c r="AN288" s="74">
        <v>1551662.0</v>
      </c>
      <c r="AO288" s="74">
        <v>1868073.0</v>
      </c>
      <c r="AP288" s="74">
        <v>1903957.0</v>
      </c>
      <c r="AQ288" s="74">
        <v>1318382.0</v>
      </c>
      <c r="AR288" s="74">
        <v>1111426.0</v>
      </c>
      <c r="AS288" s="74">
        <v>1922243.0</v>
      </c>
      <c r="AT288" s="74">
        <v>2127635.0</v>
      </c>
      <c r="AU288" s="74">
        <v>2379622.0</v>
      </c>
      <c r="AV288" s="74">
        <v>2318058.0</v>
      </c>
      <c r="AW288" s="74">
        <v>1793904.0</v>
      </c>
      <c r="AX288" s="74">
        <v>1940956.0</v>
      </c>
      <c r="AY288" s="74">
        <v>1998837.36</v>
      </c>
      <c r="AZ288" s="74">
        <v>1998833.0</v>
      </c>
      <c r="BA288" s="74">
        <v>1991909.0</v>
      </c>
      <c r="BB288" s="74">
        <v>1837887.0</v>
      </c>
      <c r="BC288" s="74">
        <v>1891771.0</v>
      </c>
      <c r="BD288" s="74">
        <v>2119370.0</v>
      </c>
      <c r="BE288" s="74">
        <v>1828261.0</v>
      </c>
      <c r="BF288" s="74">
        <v>1675994.0</v>
      </c>
      <c r="BG288" s="74">
        <v>1377048.0</v>
      </c>
      <c r="BH288" s="74">
        <v>933070.0</v>
      </c>
      <c r="BI288" s="74">
        <v>822611.0</v>
      </c>
      <c r="BJ288" s="74">
        <v>763542.0</v>
      </c>
      <c r="BK288" s="74">
        <v>845322.0</v>
      </c>
      <c r="BL288" s="74"/>
      <c r="BM288" s="74"/>
      <c r="BN288" s="74"/>
      <c r="BO288" s="74"/>
      <c r="BP288" s="74"/>
      <c r="BQ288" s="74"/>
      <c r="BR288" s="74"/>
      <c r="BS288" s="1"/>
      <c r="BT288" s="9"/>
      <c r="BU288" s="9"/>
      <c r="BV288" s="1"/>
      <c r="BW288" s="1"/>
      <c r="BX288" s="1"/>
      <c r="BY288" s="1"/>
      <c r="BZ288" s="1"/>
    </row>
    <row r="289">
      <c r="A289" s="3"/>
      <c r="B289" s="33"/>
      <c r="C289" s="151"/>
      <c r="D289" s="151" t="s">
        <v>246</v>
      </c>
      <c r="E289" s="2"/>
      <c r="F289" s="2"/>
      <c r="G289" s="14"/>
      <c r="H289" s="14"/>
      <c r="I289" s="14"/>
      <c r="J289" s="14"/>
      <c r="K289" s="14"/>
      <c r="L289" s="1"/>
      <c r="M289" s="1"/>
      <c r="N289" s="1"/>
      <c r="O289" s="1"/>
      <c r="P289" s="1"/>
      <c r="Q289" s="1"/>
      <c r="R289" s="1"/>
      <c r="S289" s="3">
        <v>276446.0</v>
      </c>
      <c r="T289" s="3">
        <v>309254.0</v>
      </c>
      <c r="U289" s="3">
        <v>332670.0</v>
      </c>
      <c r="V289" s="3">
        <v>370750.0</v>
      </c>
      <c r="W289" s="3">
        <v>340251.0</v>
      </c>
      <c r="X289" s="3">
        <v>346736.0</v>
      </c>
      <c r="Y289" s="3">
        <v>389521.0</v>
      </c>
      <c r="Z289" s="3">
        <v>365406.0</v>
      </c>
      <c r="AA289" s="3">
        <v>351689.22</v>
      </c>
      <c r="AB289" s="3">
        <v>351794.0</v>
      </c>
      <c r="AC289" s="3">
        <v>404429.78</v>
      </c>
      <c r="AD289" s="3">
        <v>427541.73</v>
      </c>
      <c r="AE289" s="3">
        <v>446189.18</v>
      </c>
      <c r="AF289" s="74">
        <v>411712.0</v>
      </c>
      <c r="AG289" s="74">
        <v>447261.0</v>
      </c>
      <c r="AH289" s="74">
        <v>499807.0</v>
      </c>
      <c r="AI289" s="74">
        <v>424988.0</v>
      </c>
      <c r="AJ289" s="74">
        <v>413579.0</v>
      </c>
      <c r="AK289" s="74">
        <v>469675.0</v>
      </c>
      <c r="AL289" s="74">
        <v>499178.0</v>
      </c>
      <c r="AM289" s="74">
        <v>447474.0</v>
      </c>
      <c r="AN289" s="74">
        <v>476596.0</v>
      </c>
      <c r="AO289" s="74">
        <v>562398.0</v>
      </c>
      <c r="AP289" s="74">
        <v>535218.0</v>
      </c>
      <c r="AQ289" s="74">
        <v>382206.0</v>
      </c>
      <c r="AR289" s="74">
        <v>323831.0</v>
      </c>
      <c r="AS289" s="74">
        <v>643293.0</v>
      </c>
      <c r="AT289" s="74">
        <v>667095.0</v>
      </c>
      <c r="AU289" s="74">
        <v>699527.0</v>
      </c>
      <c r="AV289" s="74">
        <v>712439.0</v>
      </c>
      <c r="AW289" s="74">
        <v>523747.0</v>
      </c>
      <c r="AX289" s="74">
        <v>607030.0</v>
      </c>
      <c r="AY289" s="74">
        <v>670416.0</v>
      </c>
      <c r="AZ289" s="74">
        <v>637816.0</v>
      </c>
      <c r="BA289" s="74">
        <v>621934.0</v>
      </c>
      <c r="BB289" s="74">
        <v>596978.0</v>
      </c>
      <c r="BC289" s="74">
        <v>568442.0</v>
      </c>
      <c r="BD289" s="74">
        <v>681634.0</v>
      </c>
      <c r="BE289" s="74">
        <v>640739.0</v>
      </c>
      <c r="BF289" s="74">
        <v>602121.0</v>
      </c>
      <c r="BG289" s="74">
        <v>480791.0</v>
      </c>
      <c r="BH289" s="74">
        <v>313763.0</v>
      </c>
      <c r="BI289" s="74">
        <v>259108.0</v>
      </c>
      <c r="BJ289" s="74">
        <v>248814.0</v>
      </c>
      <c r="BK289" s="74">
        <v>270948.0</v>
      </c>
      <c r="BL289" s="74"/>
      <c r="BM289" s="74"/>
      <c r="BN289" s="74"/>
      <c r="BO289" s="74"/>
      <c r="BP289" s="74"/>
      <c r="BQ289" s="74"/>
      <c r="BR289" s="74"/>
      <c r="BS289" s="1"/>
      <c r="BT289" s="9"/>
      <c r="BU289" s="9"/>
      <c r="BV289" s="1"/>
      <c r="BW289" s="1"/>
      <c r="BX289" s="1"/>
      <c r="BY289" s="1"/>
      <c r="BZ289" s="1"/>
    </row>
    <row r="290">
      <c r="A290" s="3"/>
      <c r="B290" s="33"/>
      <c r="C290" s="151"/>
      <c r="D290" s="151" t="s">
        <v>248</v>
      </c>
      <c r="E290" s="2"/>
      <c r="F290" s="2"/>
      <c r="G290" s="14"/>
      <c r="H290" s="14"/>
      <c r="I290" s="14"/>
      <c r="J290" s="14"/>
      <c r="K290" s="14"/>
      <c r="L290" s="1"/>
      <c r="M290" s="1"/>
      <c r="N290" s="1"/>
      <c r="O290" s="1"/>
      <c r="P290" s="1"/>
      <c r="Q290" s="1"/>
      <c r="R290" s="1"/>
      <c r="S290" s="3">
        <v>476739.0</v>
      </c>
      <c r="T290" s="3">
        <v>460964.0</v>
      </c>
      <c r="U290" s="3">
        <v>412959.0</v>
      </c>
      <c r="V290" s="3">
        <v>425950.0</v>
      </c>
      <c r="W290" s="3">
        <v>558526.0</v>
      </c>
      <c r="X290" s="3">
        <v>739473.0</v>
      </c>
      <c r="Y290" s="3">
        <v>769311.0</v>
      </c>
      <c r="Z290" s="3">
        <v>674246.0</v>
      </c>
      <c r="AA290" s="3">
        <v>635346.58</v>
      </c>
      <c r="AB290" s="3">
        <v>593784.0</v>
      </c>
      <c r="AC290" s="3">
        <v>624859.32</v>
      </c>
      <c r="AD290" s="3">
        <v>675753.2</v>
      </c>
      <c r="AE290" s="3">
        <v>722779.87</v>
      </c>
      <c r="AF290" s="74">
        <v>701571.0</v>
      </c>
      <c r="AG290" s="74">
        <v>709104.0</v>
      </c>
      <c r="AH290" s="74">
        <v>887504.0</v>
      </c>
      <c r="AI290" s="74">
        <v>801210.0</v>
      </c>
      <c r="AJ290" s="74">
        <v>829042.0</v>
      </c>
      <c r="AK290" s="74">
        <v>849942.0</v>
      </c>
      <c r="AL290" s="74">
        <v>823278.0</v>
      </c>
      <c r="AM290" s="74">
        <v>818181.0</v>
      </c>
      <c r="AN290" s="74">
        <v>803846.0</v>
      </c>
      <c r="AO290" s="74">
        <v>1000452.0</v>
      </c>
      <c r="AP290" s="74">
        <v>1070434.0</v>
      </c>
      <c r="AQ290" s="74">
        <v>733797.0</v>
      </c>
      <c r="AR290" s="74">
        <v>601297.0</v>
      </c>
      <c r="AS290" s="74">
        <v>939530.0</v>
      </c>
      <c r="AT290" s="74">
        <v>1063744.0</v>
      </c>
      <c r="AU290" s="74">
        <v>1193507.0</v>
      </c>
      <c r="AV290" s="74">
        <v>1120359.0</v>
      </c>
      <c r="AW290" s="74">
        <v>935133.0</v>
      </c>
      <c r="AX290" s="74">
        <v>962280.0</v>
      </c>
      <c r="AY290" s="74">
        <v>907732.81</v>
      </c>
      <c r="AZ290" s="74">
        <v>936058.0</v>
      </c>
      <c r="BA290" s="74">
        <v>933784.0</v>
      </c>
      <c r="BB290" s="74">
        <v>810254.0</v>
      </c>
      <c r="BC290" s="74">
        <v>929404.0</v>
      </c>
      <c r="BD290" s="74">
        <v>1020606.0</v>
      </c>
      <c r="BE290" s="74">
        <v>757983.0</v>
      </c>
      <c r="BF290" s="74">
        <v>648657.0</v>
      </c>
      <c r="BG290" s="74">
        <v>624861.0</v>
      </c>
      <c r="BH290" s="74">
        <v>467047.0</v>
      </c>
      <c r="BI290" s="74">
        <v>430942.0</v>
      </c>
      <c r="BJ290" s="74">
        <v>346131.0</v>
      </c>
      <c r="BK290" s="74">
        <v>363589.0</v>
      </c>
      <c r="BL290" s="74"/>
      <c r="BM290" s="74"/>
      <c r="BN290" s="74"/>
      <c r="BO290" s="74"/>
      <c r="BP290" s="74"/>
      <c r="BQ290" s="74"/>
      <c r="BR290" s="74"/>
      <c r="BS290" s="1"/>
      <c r="BT290" s="9"/>
      <c r="BU290" s="9"/>
      <c r="BV290" s="1"/>
      <c r="BW290" s="1"/>
      <c r="BX290" s="1"/>
      <c r="BY290" s="1"/>
      <c r="BZ290" s="1"/>
    </row>
    <row r="291">
      <c r="A291" s="3"/>
      <c r="B291" s="33"/>
      <c r="C291" s="151"/>
      <c r="D291" s="151" t="s">
        <v>251</v>
      </c>
      <c r="E291" s="2"/>
      <c r="F291" s="2"/>
      <c r="G291" s="14"/>
      <c r="H291" s="14"/>
      <c r="I291" s="14"/>
      <c r="J291" s="14"/>
      <c r="K291" s="14"/>
      <c r="L291" s="1"/>
      <c r="M291" s="1"/>
      <c r="N291" s="1"/>
      <c r="O291" s="1"/>
      <c r="P291" s="1"/>
      <c r="Q291" s="1"/>
      <c r="R291" s="1"/>
      <c r="S291" s="3">
        <v>70065.0</v>
      </c>
      <c r="T291" s="3">
        <v>60901.0</v>
      </c>
      <c r="U291" s="3">
        <v>67159.0</v>
      </c>
      <c r="V291" s="3">
        <v>59183.0</v>
      </c>
      <c r="W291" s="3">
        <v>84710.0</v>
      </c>
      <c r="X291" s="3">
        <v>108281.0</v>
      </c>
      <c r="Y291" s="3">
        <v>94848.0</v>
      </c>
      <c r="Z291" s="3">
        <v>80412.0</v>
      </c>
      <c r="AA291" s="3">
        <v>89994.48</v>
      </c>
      <c r="AB291" s="3">
        <v>82206.0</v>
      </c>
      <c r="AC291" s="3">
        <v>101938.05</v>
      </c>
      <c r="AD291" s="3">
        <v>100352.65</v>
      </c>
      <c r="AE291" s="3">
        <v>97566.3</v>
      </c>
      <c r="AF291" s="74">
        <v>97302.0</v>
      </c>
      <c r="AG291" s="74">
        <v>132733.0</v>
      </c>
      <c r="AH291" s="74">
        <v>116830.0</v>
      </c>
      <c r="AI291" s="74">
        <v>99192.0</v>
      </c>
      <c r="AJ291" s="74">
        <v>103943.0</v>
      </c>
      <c r="AK291" s="74">
        <v>116297.0</v>
      </c>
      <c r="AL291" s="74">
        <v>131984.0</v>
      </c>
      <c r="AM291" s="74">
        <v>108744.0</v>
      </c>
      <c r="AN291" s="74">
        <v>133552.0</v>
      </c>
      <c r="AO291" s="74">
        <v>143727.0</v>
      </c>
      <c r="AP291" s="74">
        <v>130303.0</v>
      </c>
      <c r="AQ291" s="74">
        <v>87958.0</v>
      </c>
      <c r="AR291" s="74">
        <v>83914.0</v>
      </c>
      <c r="AS291" s="74">
        <v>149488.0</v>
      </c>
      <c r="AT291" s="74">
        <v>190970.0</v>
      </c>
      <c r="AU291" s="74">
        <v>272701.0</v>
      </c>
      <c r="AV291" s="74">
        <v>233315.0</v>
      </c>
      <c r="AW291" s="74">
        <v>145246.0</v>
      </c>
      <c r="AX291" s="74">
        <v>145025.0</v>
      </c>
      <c r="AY291" s="74">
        <v>167239.0</v>
      </c>
      <c r="AZ291" s="74">
        <v>170987.0</v>
      </c>
      <c r="BA291" s="74">
        <v>162702.0</v>
      </c>
      <c r="BB291" s="74">
        <v>166683.0</v>
      </c>
      <c r="BC291" s="74">
        <v>157126.0</v>
      </c>
      <c r="BD291" s="74">
        <v>161650.0</v>
      </c>
      <c r="BE291" s="74">
        <v>174748.0</v>
      </c>
      <c r="BF291" s="74">
        <v>170562.0</v>
      </c>
      <c r="BG291" s="74">
        <v>102479.0</v>
      </c>
      <c r="BH291" s="74">
        <v>59637.0</v>
      </c>
      <c r="BI291" s="74">
        <v>50395.0</v>
      </c>
      <c r="BJ291" s="74">
        <v>58361.0</v>
      </c>
      <c r="BK291" s="74">
        <v>66360.0</v>
      </c>
      <c r="BL291" s="74"/>
      <c r="BM291" s="74"/>
      <c r="BN291" s="74"/>
      <c r="BO291" s="74"/>
      <c r="BP291" s="74"/>
      <c r="BQ291" s="74"/>
      <c r="BR291" s="74"/>
      <c r="BS291" s="1"/>
      <c r="BT291" s="9"/>
      <c r="BU291" s="9"/>
      <c r="BV291" s="1"/>
      <c r="BW291" s="1"/>
      <c r="BX291" s="1"/>
      <c r="BY291" s="1"/>
      <c r="BZ291" s="1"/>
    </row>
    <row r="292">
      <c r="A292" s="3"/>
      <c r="B292" s="33"/>
      <c r="C292" s="151"/>
      <c r="D292" s="151" t="s">
        <v>253</v>
      </c>
      <c r="E292" s="2"/>
      <c r="F292" s="2"/>
      <c r="G292" s="14"/>
      <c r="H292" s="14"/>
      <c r="I292" s="14"/>
      <c r="J292" s="14"/>
      <c r="K292" s="14"/>
      <c r="L292" s="1"/>
      <c r="M292" s="1"/>
      <c r="N292" s="1"/>
      <c r="O292" s="1"/>
      <c r="P292" s="1"/>
      <c r="Q292" s="1"/>
      <c r="R292" s="1"/>
      <c r="S292" s="3">
        <v>51214.0</v>
      </c>
      <c r="T292" s="3">
        <v>58209.0</v>
      </c>
      <c r="U292" s="3">
        <v>54224.0</v>
      </c>
      <c r="V292" s="3">
        <v>56126.0</v>
      </c>
      <c r="W292" s="3">
        <v>52999.0</v>
      </c>
      <c r="X292" s="3">
        <v>57680.0</v>
      </c>
      <c r="Y292" s="3">
        <v>73773.0</v>
      </c>
      <c r="Z292" s="3">
        <v>63082.0</v>
      </c>
      <c r="AA292" s="3">
        <v>57660.97</v>
      </c>
      <c r="AB292" s="3">
        <v>60618.0</v>
      </c>
      <c r="AC292" s="3">
        <v>68083.66</v>
      </c>
      <c r="AD292" s="3">
        <v>64337.53</v>
      </c>
      <c r="AE292" s="3">
        <v>61025.28</v>
      </c>
      <c r="AF292" s="74">
        <v>53463.0</v>
      </c>
      <c r="AG292" s="74">
        <v>58696.0</v>
      </c>
      <c r="AH292" s="74">
        <v>61632.0</v>
      </c>
      <c r="AI292" s="74">
        <v>62980.0</v>
      </c>
      <c r="AJ292" s="74">
        <v>65512.0</v>
      </c>
      <c r="AK292" s="74">
        <v>64434.0</v>
      </c>
      <c r="AL292" s="74">
        <v>77381.0</v>
      </c>
      <c r="AM292" s="74">
        <v>55155.0</v>
      </c>
      <c r="AN292" s="74">
        <v>62705.0</v>
      </c>
      <c r="AO292" s="74">
        <v>79810.0</v>
      </c>
      <c r="AP292" s="74">
        <v>79692.0</v>
      </c>
      <c r="AQ292" s="74">
        <v>53959.0</v>
      </c>
      <c r="AR292" s="74">
        <v>48630.0</v>
      </c>
      <c r="AS292" s="74">
        <v>93650.0</v>
      </c>
      <c r="AT292" s="74">
        <v>91141.0</v>
      </c>
      <c r="AU292" s="74">
        <v>93706.0</v>
      </c>
      <c r="AV292" s="74">
        <v>119868.0</v>
      </c>
      <c r="AW292" s="74">
        <v>94395.0</v>
      </c>
      <c r="AX292" s="74">
        <v>111618.0</v>
      </c>
      <c r="AY292" s="74">
        <v>109694.0</v>
      </c>
      <c r="AZ292" s="74">
        <v>105900.0</v>
      </c>
      <c r="BA292" s="74">
        <v>109939.0</v>
      </c>
      <c r="BB292" s="74">
        <v>102347.0</v>
      </c>
      <c r="BC292" s="74">
        <v>102534.0</v>
      </c>
      <c r="BD292" s="74">
        <v>107061.0</v>
      </c>
      <c r="BE292" s="74">
        <v>108802.0</v>
      </c>
      <c r="BF292" s="74">
        <v>99784.0</v>
      </c>
      <c r="BG292" s="74">
        <v>64566.0</v>
      </c>
      <c r="BH292" s="74">
        <v>37927.0</v>
      </c>
      <c r="BI292" s="74">
        <v>29385.0</v>
      </c>
      <c r="BJ292" s="74">
        <v>33967.0</v>
      </c>
      <c r="BK292" s="74">
        <v>53983.0</v>
      </c>
      <c r="BL292" s="74"/>
      <c r="BM292" s="74"/>
      <c r="BN292" s="74"/>
      <c r="BO292" s="74"/>
      <c r="BP292" s="74"/>
      <c r="BQ292" s="74"/>
      <c r="BR292" s="74"/>
      <c r="BS292" s="1"/>
      <c r="BT292" s="9"/>
      <c r="BU292" s="9"/>
      <c r="BV292" s="1"/>
      <c r="BW292" s="1"/>
      <c r="BX292" s="1"/>
      <c r="BY292" s="1"/>
      <c r="BZ292" s="1"/>
    </row>
    <row r="293">
      <c r="A293" s="3"/>
      <c r="B293" s="33"/>
      <c r="C293" s="151"/>
      <c r="D293" s="151" t="s">
        <v>255</v>
      </c>
      <c r="E293" s="2"/>
      <c r="F293" s="2"/>
      <c r="G293" s="14"/>
      <c r="H293" s="14"/>
      <c r="I293" s="14"/>
      <c r="J293" s="14"/>
      <c r="K293" s="14"/>
      <c r="L293" s="1"/>
      <c r="M293" s="1"/>
      <c r="N293" s="1"/>
      <c r="O293" s="1"/>
      <c r="P293" s="1"/>
      <c r="Q293" s="1"/>
      <c r="R293" s="1"/>
      <c r="S293" s="3">
        <v>27809.0</v>
      </c>
      <c r="T293" s="3">
        <v>37344.0</v>
      </c>
      <c r="U293" s="3">
        <v>33805.0</v>
      </c>
      <c r="V293" s="3">
        <v>32112.0</v>
      </c>
      <c r="W293" s="3">
        <v>34282.0</v>
      </c>
      <c r="X293" s="3">
        <v>39144.0</v>
      </c>
      <c r="Y293" s="3">
        <v>38458.0</v>
      </c>
      <c r="Z293" s="3">
        <v>30944.0</v>
      </c>
      <c r="AA293" s="3">
        <v>32808.72</v>
      </c>
      <c r="AB293" s="3">
        <v>36431.0</v>
      </c>
      <c r="AC293" s="3">
        <v>34676.13</v>
      </c>
      <c r="AD293" s="3">
        <v>33524.76</v>
      </c>
      <c r="AE293" s="3">
        <v>32919.14</v>
      </c>
      <c r="AF293" s="74">
        <v>34668.0</v>
      </c>
      <c r="AG293" s="74">
        <v>37102.0</v>
      </c>
      <c r="AH293" s="74">
        <v>36620.0</v>
      </c>
      <c r="AI293" s="74">
        <v>38646.0</v>
      </c>
      <c r="AJ293" s="74">
        <v>42408.0</v>
      </c>
      <c r="AK293" s="74">
        <v>53553.0</v>
      </c>
      <c r="AL293" s="74">
        <v>58196.0</v>
      </c>
      <c r="AM293" s="74">
        <v>46281.0</v>
      </c>
      <c r="AN293" s="74">
        <v>50269.0</v>
      </c>
      <c r="AO293" s="74">
        <v>54633.0</v>
      </c>
      <c r="AP293" s="74">
        <v>60935.0</v>
      </c>
      <c r="AQ293" s="74">
        <v>41670.0</v>
      </c>
      <c r="AR293" s="74">
        <v>35192.0</v>
      </c>
      <c r="AS293" s="74">
        <v>58317.0</v>
      </c>
      <c r="AT293" s="74">
        <v>62536.0</v>
      </c>
      <c r="AU293" s="74">
        <v>67311.0</v>
      </c>
      <c r="AV293" s="74">
        <v>68925.0</v>
      </c>
      <c r="AW293" s="74">
        <v>54710.0</v>
      </c>
      <c r="AX293" s="74">
        <v>67561.0</v>
      </c>
      <c r="AY293" s="74">
        <v>81081.0</v>
      </c>
      <c r="AZ293" s="74">
        <v>81378.0</v>
      </c>
      <c r="BA293" s="74">
        <v>81254.0</v>
      </c>
      <c r="BB293" s="74">
        <v>70794.0</v>
      </c>
      <c r="BC293" s="74">
        <v>73848.0</v>
      </c>
      <c r="BD293" s="74">
        <v>81966.0</v>
      </c>
      <c r="BE293" s="74">
        <v>69095.0</v>
      </c>
      <c r="BF293" s="74">
        <v>70315.0</v>
      </c>
      <c r="BG293" s="74">
        <v>48965.0</v>
      </c>
      <c r="BH293" s="74">
        <v>32316.0</v>
      </c>
      <c r="BI293" s="74">
        <v>28752.0</v>
      </c>
      <c r="BJ293" s="74">
        <v>25704.0</v>
      </c>
      <c r="BK293" s="74">
        <v>25833.0</v>
      </c>
      <c r="BL293" s="74"/>
      <c r="BM293" s="74"/>
      <c r="BN293" s="74"/>
      <c r="BO293" s="74"/>
      <c r="BP293" s="74"/>
      <c r="BQ293" s="74"/>
      <c r="BR293" s="74"/>
      <c r="BS293" s="1"/>
      <c r="BT293" s="9"/>
      <c r="BU293" s="9"/>
      <c r="BV293" s="1"/>
      <c r="BW293" s="1"/>
      <c r="BX293" s="1"/>
      <c r="BY293" s="1"/>
      <c r="BZ293" s="1"/>
    </row>
    <row r="294">
      <c r="A294" s="3"/>
      <c r="B294" s="33"/>
      <c r="C294" s="161"/>
      <c r="D294" s="161" t="s">
        <v>257</v>
      </c>
      <c r="E294" s="2"/>
      <c r="F294" s="2"/>
      <c r="G294" s="14"/>
      <c r="H294" s="14"/>
      <c r="I294" s="14"/>
      <c r="J294" s="14"/>
      <c r="K294" s="14"/>
      <c r="L294" s="1"/>
      <c r="M294" s="1"/>
      <c r="N294" s="1"/>
      <c r="O294" s="1"/>
      <c r="P294" s="1"/>
      <c r="Q294" s="1"/>
      <c r="R294" s="1"/>
      <c r="S294" s="3">
        <v>12656.0</v>
      </c>
      <c r="T294" s="3">
        <v>13838.0</v>
      </c>
      <c r="U294" s="3">
        <v>8764.0</v>
      </c>
      <c r="V294" s="3">
        <v>5884.0</v>
      </c>
      <c r="W294" s="3">
        <v>6799.0</v>
      </c>
      <c r="X294" s="3">
        <v>9153.0</v>
      </c>
      <c r="Y294" s="3">
        <v>12683.0</v>
      </c>
      <c r="Z294" s="3">
        <v>7947.0</v>
      </c>
      <c r="AA294" s="3">
        <v>11288.01</v>
      </c>
      <c r="AB294" s="3">
        <v>8576.0</v>
      </c>
      <c r="AC294" s="3">
        <v>9498.0</v>
      </c>
      <c r="AD294" s="3">
        <v>11514.52</v>
      </c>
      <c r="AE294" s="3">
        <v>16865.79</v>
      </c>
      <c r="AF294" s="74">
        <v>11361.0</v>
      </c>
      <c r="AG294" s="74">
        <v>14685.0</v>
      </c>
      <c r="AH294" s="74">
        <v>15791.0</v>
      </c>
      <c r="AI294" s="74">
        <v>13156.0</v>
      </c>
      <c r="AJ294" s="74">
        <v>13754.0</v>
      </c>
      <c r="AK294" s="74">
        <v>19030.0</v>
      </c>
      <c r="AL294" s="74">
        <v>18248.0</v>
      </c>
      <c r="AM294" s="74">
        <v>17002.0</v>
      </c>
      <c r="AN294" s="74">
        <v>10472.0</v>
      </c>
      <c r="AO294" s="74">
        <v>10469.0</v>
      </c>
      <c r="AP294" s="74">
        <v>11922.0</v>
      </c>
      <c r="AQ294" s="74">
        <v>5904.0</v>
      </c>
      <c r="AR294" s="74">
        <v>8210.0</v>
      </c>
      <c r="AS294" s="74">
        <v>15215.0</v>
      </c>
      <c r="AT294" s="74">
        <v>23119.0</v>
      </c>
      <c r="AU294" s="74">
        <v>26923.0</v>
      </c>
      <c r="AV294" s="74">
        <v>29347.0</v>
      </c>
      <c r="AW294" s="74">
        <v>10837.0</v>
      </c>
      <c r="AX294" s="74">
        <v>12518.0</v>
      </c>
      <c r="AY294" s="74">
        <v>15554.0</v>
      </c>
      <c r="AZ294" s="74">
        <v>17099.0</v>
      </c>
      <c r="BA294" s="74">
        <v>17188.0</v>
      </c>
      <c r="BB294" s="74">
        <v>9181.0</v>
      </c>
      <c r="BC294" s="74">
        <v>10653.0</v>
      </c>
      <c r="BD294" s="74">
        <v>11781.0</v>
      </c>
      <c r="BE294" s="74">
        <v>15706.0</v>
      </c>
      <c r="BF294" s="74">
        <v>17027.0</v>
      </c>
      <c r="BG294" s="74">
        <v>8478.0</v>
      </c>
      <c r="BH294" s="74">
        <v>4456.0</v>
      </c>
      <c r="BI294" s="74">
        <v>4337.0</v>
      </c>
      <c r="BJ294" s="74">
        <v>2311.0</v>
      </c>
      <c r="BK294" s="74">
        <v>4017.0</v>
      </c>
      <c r="BL294" s="74"/>
      <c r="BM294" s="74"/>
      <c r="BN294" s="74"/>
      <c r="BO294" s="74"/>
      <c r="BP294" s="74"/>
      <c r="BQ294" s="74"/>
      <c r="BR294" s="74"/>
      <c r="BS294" s="1"/>
      <c r="BT294" s="9"/>
      <c r="BU294" s="9"/>
      <c r="BV294" s="1"/>
      <c r="BW294" s="1"/>
      <c r="BX294" s="1"/>
      <c r="BY294" s="1"/>
      <c r="BZ294" s="1"/>
    </row>
    <row r="295">
      <c r="A295" s="3"/>
      <c r="B295" s="33"/>
      <c r="C295" s="151"/>
      <c r="D295" s="151" t="s">
        <v>261</v>
      </c>
      <c r="E295" s="2"/>
      <c r="F295" s="2"/>
      <c r="G295" s="14"/>
      <c r="H295" s="14"/>
      <c r="I295" s="14"/>
      <c r="J295" s="14"/>
      <c r="K295" s="14"/>
      <c r="L295" s="1"/>
      <c r="M295" s="1"/>
      <c r="N295" s="1"/>
      <c r="O295" s="1"/>
      <c r="P295" s="1"/>
      <c r="Q295" s="1"/>
      <c r="R295" s="1"/>
      <c r="S295" s="3">
        <v>0.0</v>
      </c>
      <c r="T295" s="3">
        <v>0.0</v>
      </c>
      <c r="U295" s="3">
        <v>919.0</v>
      </c>
      <c r="V295" s="3">
        <v>2330.0</v>
      </c>
      <c r="W295" s="3">
        <v>1143.0</v>
      </c>
      <c r="X295" s="3">
        <v>2501.0</v>
      </c>
      <c r="Y295" s="3">
        <v>3611.0</v>
      </c>
      <c r="Z295" s="3">
        <v>3756.0</v>
      </c>
      <c r="AA295" s="3">
        <v>2928.8</v>
      </c>
      <c r="AB295" s="3">
        <v>4064.0</v>
      </c>
      <c r="AC295" s="3">
        <v>5357.9</v>
      </c>
      <c r="AD295" s="3">
        <v>8264.44</v>
      </c>
      <c r="AE295" s="3">
        <v>7732.73</v>
      </c>
      <c r="AF295" s="74">
        <v>5652.0</v>
      </c>
      <c r="AG295" s="74">
        <v>12476.0</v>
      </c>
      <c r="AH295" s="74">
        <v>8548.0</v>
      </c>
      <c r="AI295" s="74">
        <v>8445.0</v>
      </c>
      <c r="AJ295" s="74">
        <v>6707.0</v>
      </c>
      <c r="AK295" s="74">
        <v>8813.0</v>
      </c>
      <c r="AL295" s="74">
        <v>7910.0</v>
      </c>
      <c r="AM295" s="74">
        <v>6968.0</v>
      </c>
      <c r="AN295" s="74">
        <v>8696.0</v>
      </c>
      <c r="AO295" s="74">
        <v>9193.0</v>
      </c>
      <c r="AP295" s="74">
        <v>8073.0</v>
      </c>
      <c r="AQ295" s="74">
        <v>6399.0</v>
      </c>
      <c r="AR295" s="74">
        <v>4850.0</v>
      </c>
      <c r="AS295" s="74">
        <v>13325.0</v>
      </c>
      <c r="AT295" s="74">
        <v>16203.0</v>
      </c>
      <c r="AU295" s="74">
        <v>16416.0</v>
      </c>
      <c r="AV295" s="74">
        <v>16871.0</v>
      </c>
      <c r="AW295" s="74">
        <v>15088.0</v>
      </c>
      <c r="AX295" s="74">
        <v>12836.0</v>
      </c>
      <c r="AY295" s="74">
        <v>14372.0</v>
      </c>
      <c r="AZ295" s="74">
        <v>10976.0</v>
      </c>
      <c r="BA295" s="74">
        <v>10824.0</v>
      </c>
      <c r="BB295" s="74">
        <v>10299.0</v>
      </c>
      <c r="BC295" s="74">
        <v>9352.0</v>
      </c>
      <c r="BD295" s="74">
        <v>10017.0</v>
      </c>
      <c r="BE295" s="74">
        <v>10935.0</v>
      </c>
      <c r="BF295" s="74">
        <v>13928.0</v>
      </c>
      <c r="BG295" s="74">
        <v>8447.0</v>
      </c>
      <c r="BH295" s="74">
        <v>4365.0</v>
      </c>
      <c r="BI295" s="74">
        <v>4486.0</v>
      </c>
      <c r="BJ295" s="74">
        <v>4820.0</v>
      </c>
      <c r="BK295" s="74">
        <v>2868.0</v>
      </c>
      <c r="BL295" s="74"/>
      <c r="BM295" s="74"/>
      <c r="BN295" s="74"/>
      <c r="BO295" s="74"/>
      <c r="BP295" s="74"/>
      <c r="BQ295" s="74"/>
      <c r="BR295" s="74"/>
      <c r="BS295" s="1"/>
      <c r="BT295" s="9"/>
      <c r="BU295" s="9"/>
      <c r="BV295" s="1"/>
      <c r="BW295" s="1"/>
      <c r="BX295" s="1"/>
      <c r="BY295" s="1"/>
      <c r="BZ295" s="1"/>
    </row>
    <row r="296">
      <c r="A296" s="3"/>
      <c r="B296" s="33"/>
      <c r="C296" s="156"/>
      <c r="D296" s="156"/>
      <c r="E296" s="2"/>
      <c r="F296" s="2"/>
      <c r="G296" s="14"/>
      <c r="H296" s="14"/>
      <c r="I296" s="14"/>
      <c r="J296" s="14"/>
      <c r="K296" s="14"/>
      <c r="L296" s="1"/>
      <c r="M296" s="1"/>
      <c r="N296" s="1"/>
      <c r="O296" s="1"/>
      <c r="P296" s="1"/>
      <c r="Q296" s="1"/>
      <c r="R296" s="1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1"/>
      <c r="BT296" s="9"/>
      <c r="BU296" s="9"/>
      <c r="BV296" s="1"/>
      <c r="BW296" s="1"/>
      <c r="BX296" s="1"/>
      <c r="BY296" s="1"/>
      <c r="BZ296" s="1"/>
    </row>
    <row r="297">
      <c r="A297" s="3"/>
      <c r="B297" s="33"/>
      <c r="C297" s="156"/>
      <c r="D297" s="156"/>
      <c r="E297" s="2"/>
      <c r="F297" s="2"/>
      <c r="G297" s="14"/>
      <c r="H297" s="14"/>
      <c r="I297" s="14"/>
      <c r="J297" s="14"/>
      <c r="K297" s="14"/>
      <c r="L297" s="1"/>
      <c r="M297" s="1"/>
      <c r="N297" s="1"/>
      <c r="O297" s="1"/>
      <c r="P297" s="1"/>
      <c r="Q297" s="1"/>
      <c r="R297" s="1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1"/>
      <c r="BT297" s="9"/>
      <c r="BU297" s="9"/>
      <c r="BV297" s="1"/>
      <c r="BW297" s="1"/>
      <c r="BX297" s="1"/>
      <c r="BY297" s="1"/>
      <c r="BZ297" s="1"/>
    </row>
    <row r="298">
      <c r="A298" s="3"/>
      <c r="B298" s="33"/>
      <c r="C298" s="162"/>
      <c r="D298" s="162" t="s">
        <v>323</v>
      </c>
      <c r="E298" s="2"/>
      <c r="F298" s="2"/>
      <c r="G298" s="14"/>
      <c r="H298" s="14"/>
      <c r="I298" s="14"/>
      <c r="J298" s="14"/>
      <c r="K298" s="14"/>
      <c r="L298" s="1"/>
      <c r="M298" s="1"/>
      <c r="N298" s="1"/>
      <c r="O298" s="1"/>
      <c r="P298" s="1"/>
      <c r="Q298" s="1"/>
      <c r="R298" s="1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1"/>
      <c r="BT298" s="9"/>
      <c r="BU298" s="9"/>
      <c r="BV298" s="1"/>
      <c r="BW298" s="1"/>
      <c r="BX298" s="1"/>
      <c r="BY298" s="1"/>
      <c r="BZ298" s="1"/>
    </row>
    <row r="299">
      <c r="A299" s="3"/>
      <c r="B299" s="33"/>
      <c r="C299" s="151"/>
      <c r="D299" s="151" t="s">
        <v>247</v>
      </c>
      <c r="E299" s="2"/>
      <c r="F299" s="2"/>
      <c r="G299" s="14"/>
      <c r="H299" s="14"/>
      <c r="I299" s="14"/>
      <c r="J299" s="14"/>
      <c r="K299" s="14"/>
      <c r="L299" s="1"/>
      <c r="M299" s="1"/>
      <c r="N299" s="1"/>
      <c r="O299" s="1"/>
      <c r="P299" s="1"/>
      <c r="Q299" s="1"/>
      <c r="R299" s="1"/>
      <c r="S299" s="33">
        <v>0.0836</v>
      </c>
      <c r="T299" s="33">
        <v>0.0753</v>
      </c>
      <c r="U299" s="33">
        <v>0.0718</v>
      </c>
      <c r="V299" s="33">
        <v>0.0728</v>
      </c>
      <c r="W299" s="33">
        <v>0.087</v>
      </c>
      <c r="X299" s="33">
        <v>0.0937</v>
      </c>
      <c r="Y299" s="33">
        <v>0.0957</v>
      </c>
      <c r="Z299" s="33">
        <v>0.0911</v>
      </c>
      <c r="AA299" s="33">
        <v>0.087</v>
      </c>
      <c r="AB299" s="33">
        <v>0.0968</v>
      </c>
      <c r="AC299" s="33">
        <v>0.0998</v>
      </c>
      <c r="AD299" s="33">
        <v>0.1</v>
      </c>
      <c r="AE299" s="33">
        <v>0.1</v>
      </c>
      <c r="AF299" s="33">
        <v>0.1</v>
      </c>
      <c r="AG299" s="33">
        <v>0.1</v>
      </c>
      <c r="AH299" s="33">
        <v>0.1</v>
      </c>
      <c r="AI299" s="33">
        <v>0.1</v>
      </c>
      <c r="AJ299" s="33">
        <v>0.1</v>
      </c>
      <c r="AK299" s="33">
        <v>0.1</v>
      </c>
      <c r="AL299" s="33">
        <v>0.1</v>
      </c>
      <c r="AM299" s="33">
        <v>0.1</v>
      </c>
      <c r="AN299" s="33">
        <v>0.1001</v>
      </c>
      <c r="AO299" s="33">
        <v>0.1</v>
      </c>
      <c r="AP299" s="33">
        <v>0.1</v>
      </c>
      <c r="AQ299" s="33">
        <v>0.0677</v>
      </c>
      <c r="AR299" s="33">
        <v>0.0551</v>
      </c>
      <c r="AS299" s="33">
        <v>0.0941</v>
      </c>
      <c r="AT299" s="33">
        <v>0.1121</v>
      </c>
      <c r="AU299" s="33">
        <v>0.1195</v>
      </c>
      <c r="AV299" s="33">
        <v>0.1199</v>
      </c>
      <c r="AW299" s="33">
        <v>0.12</v>
      </c>
      <c r="AX299" s="33">
        <v>0.12</v>
      </c>
      <c r="AY299" s="33">
        <v>0.12</v>
      </c>
      <c r="AZ299" s="33">
        <v>0.12</v>
      </c>
      <c r="BA299" s="33">
        <v>0.12</v>
      </c>
      <c r="BB299" s="33">
        <v>0.12</v>
      </c>
      <c r="BC299" s="33">
        <v>0.12</v>
      </c>
      <c r="BD299" s="33">
        <v>0.12</v>
      </c>
      <c r="BE299" s="33">
        <v>0.12</v>
      </c>
      <c r="BF299" s="33">
        <v>0.12</v>
      </c>
      <c r="BG299" s="33">
        <v>0.0841</v>
      </c>
      <c r="BH299" s="33">
        <v>0.0518</v>
      </c>
      <c r="BI299" s="33">
        <v>0.0501</v>
      </c>
      <c r="BJ299" s="33">
        <v>0.05</v>
      </c>
      <c r="BK299" s="33">
        <v>0.05</v>
      </c>
      <c r="BL299" s="33"/>
      <c r="BM299" s="33"/>
      <c r="BN299" s="33"/>
      <c r="BO299" s="33"/>
      <c r="BP299" s="33"/>
      <c r="BQ299" s="33"/>
      <c r="BR299" s="33"/>
      <c r="BS299" s="1"/>
      <c r="BT299" s="9"/>
      <c r="BU299" s="9"/>
      <c r="BV299" s="1"/>
      <c r="BW299" s="1"/>
      <c r="BX299" s="1"/>
      <c r="BY299" s="1"/>
      <c r="BZ299" s="1"/>
    </row>
    <row r="300">
      <c r="A300" s="3"/>
      <c r="B300" s="33"/>
      <c r="C300" s="151"/>
      <c r="D300" s="151" t="s">
        <v>250</v>
      </c>
      <c r="E300" s="2"/>
      <c r="F300" s="2"/>
      <c r="G300" s="14"/>
      <c r="H300" s="14"/>
      <c r="I300" s="14"/>
      <c r="J300" s="14"/>
      <c r="K300" s="14"/>
      <c r="L300" s="1"/>
      <c r="M300" s="1"/>
      <c r="N300" s="1"/>
      <c r="O300" s="1"/>
      <c r="P300" s="1"/>
      <c r="Q300" s="1"/>
      <c r="R300" s="1"/>
      <c r="S300" s="33">
        <v>0.0743</v>
      </c>
      <c r="T300" s="33">
        <v>0.0699</v>
      </c>
      <c r="U300" s="33">
        <v>0.0664</v>
      </c>
      <c r="V300" s="33">
        <v>0.0691</v>
      </c>
      <c r="W300" s="33">
        <v>0.0876</v>
      </c>
      <c r="X300" s="33">
        <v>0.0944</v>
      </c>
      <c r="Y300" s="33">
        <v>0.094</v>
      </c>
      <c r="Z300" s="33">
        <v>0.0862</v>
      </c>
      <c r="AA300" s="33">
        <v>0.0853</v>
      </c>
      <c r="AB300" s="33">
        <v>0.0956</v>
      </c>
      <c r="AC300" s="33">
        <v>0.0996</v>
      </c>
      <c r="AD300" s="33">
        <v>0.0999</v>
      </c>
      <c r="AE300" s="33">
        <v>0.1</v>
      </c>
      <c r="AF300" s="33">
        <v>0.1</v>
      </c>
      <c r="AG300" s="33">
        <v>0.1</v>
      </c>
      <c r="AH300" s="33">
        <v>0.1</v>
      </c>
      <c r="AI300" s="33">
        <v>0.1</v>
      </c>
      <c r="AJ300" s="33">
        <v>0.1</v>
      </c>
      <c r="AK300" s="33">
        <v>0.1</v>
      </c>
      <c r="AL300" s="33">
        <v>0.1001</v>
      </c>
      <c r="AM300" s="33">
        <v>0.1003</v>
      </c>
      <c r="AN300" s="33">
        <v>0.1001</v>
      </c>
      <c r="AO300" s="33">
        <v>0.1</v>
      </c>
      <c r="AP300" s="33">
        <v>0.1001</v>
      </c>
      <c r="AQ300" s="33">
        <v>0.0682</v>
      </c>
      <c r="AR300" s="33">
        <v>0.0554</v>
      </c>
      <c r="AS300" s="33">
        <v>0.0925</v>
      </c>
      <c r="AT300" s="33">
        <v>0.1116</v>
      </c>
      <c r="AU300" s="33">
        <v>0.1195</v>
      </c>
      <c r="AV300" s="33">
        <v>0.12</v>
      </c>
      <c r="AW300" s="33">
        <v>0.12</v>
      </c>
      <c r="AX300" s="33">
        <v>0.12</v>
      </c>
      <c r="AY300" s="33">
        <v>0.1203</v>
      </c>
      <c r="AZ300" s="33">
        <v>0.12</v>
      </c>
      <c r="BA300" s="33">
        <v>0.12</v>
      </c>
      <c r="BB300" s="33">
        <v>0.12</v>
      </c>
      <c r="BC300" s="33">
        <v>0.12</v>
      </c>
      <c r="BD300" s="33">
        <v>0.12</v>
      </c>
      <c r="BE300" s="33">
        <v>0.12</v>
      </c>
      <c r="BF300" s="33">
        <v>0.12</v>
      </c>
      <c r="BG300" s="33">
        <v>0.0844</v>
      </c>
      <c r="BH300" s="33">
        <v>0.0516</v>
      </c>
      <c r="BI300" s="33">
        <v>0.0501</v>
      </c>
      <c r="BJ300" s="33">
        <v>0.05</v>
      </c>
      <c r="BK300" s="33">
        <v>0.05</v>
      </c>
      <c r="BL300" s="33"/>
      <c r="BM300" s="33"/>
      <c r="BN300" s="33"/>
      <c r="BO300" s="33"/>
      <c r="BP300" s="33"/>
      <c r="BQ300" s="33"/>
      <c r="BR300" s="33"/>
      <c r="BS300" s="1"/>
      <c r="BT300" s="9"/>
      <c r="BU300" s="9"/>
      <c r="BV300" s="1"/>
      <c r="BW300" s="1"/>
      <c r="BX300" s="1"/>
      <c r="BY300" s="1"/>
      <c r="BZ300" s="1"/>
    </row>
    <row r="301">
      <c r="A301" s="3"/>
      <c r="B301" s="33"/>
      <c r="C301" s="151"/>
      <c r="D301" s="151" t="s">
        <v>252</v>
      </c>
      <c r="E301" s="2"/>
      <c r="F301" s="2"/>
      <c r="G301" s="14"/>
      <c r="H301" s="14"/>
      <c r="I301" s="14"/>
      <c r="J301" s="14"/>
      <c r="K301" s="14"/>
      <c r="L301" s="1"/>
      <c r="M301" s="1"/>
      <c r="N301" s="1"/>
      <c r="O301" s="1"/>
      <c r="P301" s="1"/>
      <c r="Q301" s="1"/>
      <c r="R301" s="1"/>
      <c r="S301" s="33">
        <v>0.0757</v>
      </c>
      <c r="T301" s="33">
        <v>0.0753</v>
      </c>
      <c r="U301" s="33">
        <v>0.0753</v>
      </c>
      <c r="V301" s="33">
        <v>0.077</v>
      </c>
      <c r="W301" s="33">
        <v>0.0928</v>
      </c>
      <c r="X301" s="33">
        <v>0.0965</v>
      </c>
      <c r="Y301" s="33">
        <v>0.0935</v>
      </c>
      <c r="Z301" s="33">
        <v>0.0791</v>
      </c>
      <c r="AA301" s="33">
        <v>0.0857</v>
      </c>
      <c r="AB301" s="33">
        <v>0.0935</v>
      </c>
      <c r="AC301" s="33">
        <v>0.085</v>
      </c>
      <c r="AD301" s="33">
        <v>0.098</v>
      </c>
      <c r="AE301" s="33">
        <v>0.0995</v>
      </c>
      <c r="AF301" s="33">
        <v>0.1</v>
      </c>
      <c r="AG301" s="33">
        <v>0.1</v>
      </c>
      <c r="AH301" s="33">
        <v>0.1</v>
      </c>
      <c r="AI301" s="33">
        <v>0.1</v>
      </c>
      <c r="AJ301" s="33">
        <v>0.1</v>
      </c>
      <c r="AK301" s="33">
        <v>0.1</v>
      </c>
      <c r="AL301" s="33">
        <v>0.1</v>
      </c>
      <c r="AM301" s="33">
        <v>0.1</v>
      </c>
      <c r="AN301" s="33">
        <v>0.1</v>
      </c>
      <c r="AO301" s="33">
        <v>0.1001</v>
      </c>
      <c r="AP301" s="33">
        <v>0.1001</v>
      </c>
      <c r="AQ301" s="33">
        <v>0.0667</v>
      </c>
      <c r="AR301" s="33">
        <v>0.0562</v>
      </c>
      <c r="AS301" s="33">
        <v>0.095</v>
      </c>
      <c r="AT301" s="33">
        <v>0.1122</v>
      </c>
      <c r="AU301" s="33">
        <v>0.1195</v>
      </c>
      <c r="AV301" s="33">
        <v>0.12</v>
      </c>
      <c r="AW301" s="33">
        <v>0.12</v>
      </c>
      <c r="AX301" s="33">
        <v>0.12</v>
      </c>
      <c r="AY301" s="33">
        <v>0.12</v>
      </c>
      <c r="AZ301" s="33">
        <v>0.12</v>
      </c>
      <c r="BA301" s="33">
        <v>0.12</v>
      </c>
      <c r="BB301" s="33">
        <v>0.12</v>
      </c>
      <c r="BC301" s="33">
        <v>0.12</v>
      </c>
      <c r="BD301" s="33">
        <v>0.12</v>
      </c>
      <c r="BE301" s="33">
        <v>0.12</v>
      </c>
      <c r="BF301" s="33">
        <v>0.12</v>
      </c>
      <c r="BG301" s="33">
        <v>0.0831</v>
      </c>
      <c r="BH301" s="33">
        <v>0.0545</v>
      </c>
      <c r="BI301" s="33">
        <v>0.05</v>
      </c>
      <c r="BJ301" s="33">
        <v>0.05</v>
      </c>
      <c r="BK301" s="33">
        <v>0.05</v>
      </c>
      <c r="BL301" s="33"/>
      <c r="BM301" s="33"/>
      <c r="BN301" s="33"/>
      <c r="BO301" s="33"/>
      <c r="BP301" s="33"/>
      <c r="BQ301" s="33"/>
      <c r="BR301" s="33"/>
      <c r="BS301" s="1"/>
      <c r="BT301" s="9"/>
      <c r="BU301" s="9"/>
      <c r="BV301" s="1"/>
      <c r="BW301" s="1"/>
      <c r="BX301" s="1"/>
      <c r="BY301" s="1"/>
      <c r="BZ301" s="1"/>
    </row>
    <row r="302">
      <c r="A302" s="3"/>
      <c r="B302" s="33"/>
      <c r="C302" s="151"/>
      <c r="D302" s="151" t="s">
        <v>254</v>
      </c>
      <c r="E302" s="2"/>
      <c r="F302" s="2"/>
      <c r="G302" s="14"/>
      <c r="H302" s="14"/>
      <c r="I302" s="14"/>
      <c r="J302" s="14"/>
      <c r="K302" s="14"/>
      <c r="L302" s="1"/>
      <c r="M302" s="1"/>
      <c r="N302" s="1"/>
      <c r="O302" s="1"/>
      <c r="P302" s="1"/>
      <c r="Q302" s="1"/>
      <c r="R302" s="1"/>
      <c r="S302" s="33">
        <v>0.0892</v>
      </c>
      <c r="T302" s="33">
        <v>0.0892</v>
      </c>
      <c r="U302" s="33">
        <v>0.0902</v>
      </c>
      <c r="V302" s="33">
        <v>0.092</v>
      </c>
      <c r="W302" s="33">
        <v>0.0978</v>
      </c>
      <c r="X302" s="33">
        <v>0.0989</v>
      </c>
      <c r="Y302" s="33">
        <v>0.0994</v>
      </c>
      <c r="Z302" s="33">
        <v>0.0983</v>
      </c>
      <c r="AA302" s="33">
        <v>0.0966</v>
      </c>
      <c r="AB302" s="33">
        <v>0.0997</v>
      </c>
      <c r="AC302" s="33">
        <v>0.1</v>
      </c>
      <c r="AD302" s="33">
        <v>0.1</v>
      </c>
      <c r="AE302" s="33">
        <v>0.1</v>
      </c>
      <c r="AF302" s="33">
        <v>0.1</v>
      </c>
      <c r="AG302" s="33">
        <v>0.1001</v>
      </c>
      <c r="AH302" s="33">
        <v>0.1</v>
      </c>
      <c r="AI302" s="33">
        <v>0.1</v>
      </c>
      <c r="AJ302" s="33">
        <v>0.1</v>
      </c>
      <c r="AK302" s="33">
        <v>0.1</v>
      </c>
      <c r="AL302" s="33">
        <v>0.1001</v>
      </c>
      <c r="AM302" s="33">
        <v>0.1</v>
      </c>
      <c r="AN302" s="33">
        <v>0.1</v>
      </c>
      <c r="AO302" s="33">
        <v>0.1</v>
      </c>
      <c r="AP302" s="33">
        <v>0.1</v>
      </c>
      <c r="AQ302" s="33">
        <v>0.0664</v>
      </c>
      <c r="AR302" s="33">
        <v>0.0545</v>
      </c>
      <c r="AS302" s="33">
        <v>0.0936</v>
      </c>
      <c r="AT302" s="33">
        <v>0.1124</v>
      </c>
      <c r="AU302" s="33">
        <v>0.1195</v>
      </c>
      <c r="AV302" s="33">
        <v>0.12</v>
      </c>
      <c r="AW302" s="33">
        <v>0.12</v>
      </c>
      <c r="AX302" s="33">
        <v>0.12</v>
      </c>
      <c r="AY302" s="33">
        <v>0.12</v>
      </c>
      <c r="AZ302" s="33">
        <v>0.12</v>
      </c>
      <c r="BA302" s="33">
        <v>0.12</v>
      </c>
      <c r="BB302" s="33">
        <v>0.12</v>
      </c>
      <c r="BC302" s="33">
        <v>0.12</v>
      </c>
      <c r="BD302" s="33">
        <v>0.12</v>
      </c>
      <c r="BE302" s="33">
        <v>0.12</v>
      </c>
      <c r="BF302" s="33">
        <v>0.12</v>
      </c>
      <c r="BG302" s="33">
        <v>0.0858</v>
      </c>
      <c r="BH302" s="33">
        <v>0.0509</v>
      </c>
      <c r="BI302" s="33">
        <v>0.05</v>
      </c>
      <c r="BJ302" s="33">
        <v>0.05</v>
      </c>
      <c r="BK302" s="33">
        <v>0.05</v>
      </c>
      <c r="BL302" s="33"/>
      <c r="BM302" s="33"/>
      <c r="BN302" s="33"/>
      <c r="BO302" s="33"/>
      <c r="BP302" s="33"/>
      <c r="BQ302" s="33"/>
      <c r="BR302" s="33"/>
      <c r="BS302" s="1"/>
      <c r="BT302" s="9"/>
      <c r="BU302" s="9"/>
      <c r="BV302" s="1"/>
      <c r="BW302" s="1"/>
      <c r="BX302" s="1"/>
      <c r="BY302" s="1"/>
      <c r="BZ302" s="1"/>
    </row>
    <row r="303">
      <c r="A303" s="3"/>
      <c r="B303" s="33"/>
      <c r="C303" s="151"/>
      <c r="D303" s="151" t="s">
        <v>256</v>
      </c>
      <c r="E303" s="2"/>
      <c r="F303" s="2"/>
      <c r="G303" s="14"/>
      <c r="H303" s="14"/>
      <c r="I303" s="14"/>
      <c r="J303" s="14"/>
      <c r="K303" s="14"/>
      <c r="L303" s="1"/>
      <c r="M303" s="1"/>
      <c r="N303" s="1"/>
      <c r="O303" s="1"/>
      <c r="P303" s="1"/>
      <c r="Q303" s="1"/>
      <c r="R303" s="1"/>
      <c r="S303" s="33">
        <v>0.095</v>
      </c>
      <c r="T303" s="33">
        <v>0.095</v>
      </c>
      <c r="U303" s="33">
        <v>0.095</v>
      </c>
      <c r="V303" s="33">
        <v>0.0964</v>
      </c>
      <c r="W303" s="33">
        <v>0.0996</v>
      </c>
      <c r="X303" s="33">
        <v>0.0999</v>
      </c>
      <c r="Y303" s="33">
        <v>0.1</v>
      </c>
      <c r="Z303" s="33">
        <v>0.1001</v>
      </c>
      <c r="AA303" s="33">
        <v>0.1007</v>
      </c>
      <c r="AB303" s="33">
        <v>0.1003</v>
      </c>
      <c r="AC303" s="33">
        <v>0.1002</v>
      </c>
      <c r="AD303" s="33">
        <v>0.1001</v>
      </c>
      <c r="AE303" s="33">
        <v>0.1</v>
      </c>
      <c r="AF303" s="33">
        <v>0.1</v>
      </c>
      <c r="AG303" s="33">
        <v>0.1</v>
      </c>
      <c r="AH303" s="33">
        <v>0.1</v>
      </c>
      <c r="AI303" s="33">
        <v>0.1</v>
      </c>
      <c r="AJ303" s="33">
        <v>0.1</v>
      </c>
      <c r="AK303" s="33">
        <v>0.1</v>
      </c>
      <c r="AL303" s="33">
        <v>0.1</v>
      </c>
      <c r="AM303" s="33">
        <v>0.1</v>
      </c>
      <c r="AN303" s="33">
        <v>0.1</v>
      </c>
      <c r="AO303" s="33">
        <v>0.0997</v>
      </c>
      <c r="AP303" s="33">
        <v>0.1</v>
      </c>
      <c r="AQ303" s="33">
        <v>0.0691</v>
      </c>
      <c r="AR303" s="33">
        <v>0.0553</v>
      </c>
      <c r="AS303" s="33">
        <v>0.0941</v>
      </c>
      <c r="AT303" s="33">
        <v>0.111</v>
      </c>
      <c r="AU303" s="33">
        <v>0.1195</v>
      </c>
      <c r="AV303" s="33">
        <v>0.1198</v>
      </c>
      <c r="AW303" s="33">
        <v>0.1188</v>
      </c>
      <c r="AX303" s="33">
        <v>0.1196</v>
      </c>
      <c r="AY303" s="33">
        <v>0.12</v>
      </c>
      <c r="AZ303" s="33">
        <v>0.1194</v>
      </c>
      <c r="BA303" s="33">
        <v>0.12</v>
      </c>
      <c r="BB303" s="33">
        <v>0.12</v>
      </c>
      <c r="BC303" s="33">
        <v>0.12</v>
      </c>
      <c r="BD303" s="33">
        <v>0.12</v>
      </c>
      <c r="BE303" s="33">
        <v>0.12</v>
      </c>
      <c r="BF303" s="33">
        <v>0.12</v>
      </c>
      <c r="BG303" s="33">
        <v>0.0881</v>
      </c>
      <c r="BH303" s="33">
        <v>0.0527</v>
      </c>
      <c r="BI303" s="33">
        <v>0.0503</v>
      </c>
      <c r="BJ303" s="33">
        <v>0.05</v>
      </c>
      <c r="BK303" s="33">
        <v>0.05</v>
      </c>
      <c r="BL303" s="33"/>
      <c r="BM303" s="33"/>
      <c r="BN303" s="33"/>
      <c r="BO303" s="33"/>
      <c r="BP303" s="33"/>
      <c r="BQ303" s="33"/>
      <c r="BR303" s="33"/>
      <c r="BS303" s="1"/>
      <c r="BT303" s="9"/>
      <c r="BU303" s="9"/>
      <c r="BV303" s="1"/>
      <c r="BW303" s="1"/>
      <c r="BX303" s="1"/>
      <c r="BY303" s="1"/>
      <c r="BZ303" s="1"/>
    </row>
    <row r="304">
      <c r="A304" s="3"/>
      <c r="B304" s="33"/>
      <c r="C304" s="161"/>
      <c r="D304" s="161" t="s">
        <v>259</v>
      </c>
      <c r="E304" s="2"/>
      <c r="F304" s="2"/>
      <c r="G304" s="14"/>
      <c r="H304" s="14"/>
      <c r="I304" s="14"/>
      <c r="J304" s="14"/>
      <c r="K304" s="14"/>
      <c r="L304" s="1"/>
      <c r="M304" s="1"/>
      <c r="N304" s="1"/>
      <c r="O304" s="1"/>
      <c r="P304" s="1"/>
      <c r="Q304" s="1"/>
      <c r="R304" s="1"/>
      <c r="S304" s="33">
        <v>0.0953</v>
      </c>
      <c r="T304" s="33">
        <v>0.0962</v>
      </c>
      <c r="U304" s="33">
        <v>0.0926</v>
      </c>
      <c r="V304" s="33">
        <v>0.0862</v>
      </c>
      <c r="W304" s="33">
        <v>0.0946</v>
      </c>
      <c r="X304" s="33">
        <v>0.0982</v>
      </c>
      <c r="Y304" s="33">
        <v>0.0975</v>
      </c>
      <c r="Z304" s="33">
        <v>0.0958</v>
      </c>
      <c r="AA304" s="33">
        <v>0.096</v>
      </c>
      <c r="AB304" s="33">
        <v>0.0977</v>
      </c>
      <c r="AC304" s="33">
        <v>0.1</v>
      </c>
      <c r="AD304" s="33">
        <v>0.1</v>
      </c>
      <c r="AE304" s="33">
        <v>0.1</v>
      </c>
      <c r="AF304" s="33">
        <v>0.1</v>
      </c>
      <c r="AG304" s="33">
        <v>0.1</v>
      </c>
      <c r="AH304" s="33">
        <v>0.1</v>
      </c>
      <c r="AI304" s="33">
        <v>0.1</v>
      </c>
      <c r="AJ304" s="33">
        <v>0.1</v>
      </c>
      <c r="AK304" s="33">
        <v>0.1</v>
      </c>
      <c r="AL304" s="33">
        <v>0.1003</v>
      </c>
      <c r="AM304" s="33">
        <v>0.1</v>
      </c>
      <c r="AN304" s="33">
        <v>0.1</v>
      </c>
      <c r="AO304" s="33">
        <v>0.1</v>
      </c>
      <c r="AP304" s="33">
        <v>0.1005</v>
      </c>
      <c r="AQ304" s="33">
        <v>0.0693</v>
      </c>
      <c r="AR304" s="33">
        <v>0.0613</v>
      </c>
      <c r="AS304" s="33">
        <v>0.0921</v>
      </c>
      <c r="AT304" s="33">
        <v>0.1137</v>
      </c>
      <c r="AU304" s="33">
        <v>0.1194</v>
      </c>
      <c r="AV304" s="33">
        <v>0.12</v>
      </c>
      <c r="AW304" s="33">
        <v>0.12</v>
      </c>
      <c r="AX304" s="33">
        <v>0.12</v>
      </c>
      <c r="AY304" s="33">
        <v>0.12</v>
      </c>
      <c r="AZ304" s="33">
        <v>0.12</v>
      </c>
      <c r="BA304" s="33">
        <v>0.12</v>
      </c>
      <c r="BB304" s="33">
        <v>0.12</v>
      </c>
      <c r="BC304" s="33">
        <v>0.12</v>
      </c>
      <c r="BD304" s="33">
        <v>0.12</v>
      </c>
      <c r="BE304" s="33">
        <v>0.12</v>
      </c>
      <c r="BF304" s="33">
        <v>0.12</v>
      </c>
      <c r="BG304" s="33">
        <v>0.0873</v>
      </c>
      <c r="BH304" s="33">
        <v>0.0538</v>
      </c>
      <c r="BI304" s="33">
        <v>0.05</v>
      </c>
      <c r="BJ304" s="33">
        <v>0.05</v>
      </c>
      <c r="BK304" s="33">
        <v>0.05</v>
      </c>
      <c r="BL304" s="33"/>
      <c r="BM304" s="33"/>
      <c r="BN304" s="33"/>
      <c r="BO304" s="33"/>
      <c r="BP304" s="33"/>
      <c r="BQ304" s="33"/>
      <c r="BR304" s="33"/>
      <c r="BS304" s="1"/>
      <c r="BT304" s="9"/>
      <c r="BU304" s="9"/>
      <c r="BV304" s="1"/>
      <c r="BW304" s="1"/>
      <c r="BX304" s="1"/>
      <c r="BY304" s="1"/>
      <c r="BZ304" s="1"/>
    </row>
    <row r="305">
      <c r="A305" s="3"/>
      <c r="B305" s="33"/>
      <c r="C305" s="151"/>
      <c r="D305" s="151" t="s">
        <v>262</v>
      </c>
      <c r="E305" s="2"/>
      <c r="F305" s="2"/>
      <c r="G305" s="14"/>
      <c r="H305" s="14"/>
      <c r="I305" s="14"/>
      <c r="J305" s="14"/>
      <c r="K305" s="14"/>
      <c r="L305" s="1"/>
      <c r="M305" s="1"/>
      <c r="N305" s="1"/>
      <c r="O305" s="1"/>
      <c r="P305" s="1"/>
      <c r="Q305" s="1"/>
      <c r="R305" s="1"/>
      <c r="S305" s="3" t="e">
        <v>#DIV/0!</v>
      </c>
      <c r="T305" s="3" t="e">
        <v>#DIV/0!</v>
      </c>
      <c r="U305" s="33">
        <v>0.0916</v>
      </c>
      <c r="V305" s="33">
        <v>0.0819</v>
      </c>
      <c r="W305" s="33">
        <v>0.0943</v>
      </c>
      <c r="X305" s="33">
        <v>0.0877</v>
      </c>
      <c r="Y305" s="33">
        <v>0.0954</v>
      </c>
      <c r="Z305" s="33">
        <v>0.0893</v>
      </c>
      <c r="AA305" s="33">
        <v>0.0914</v>
      </c>
      <c r="AB305" s="33">
        <v>0.0865</v>
      </c>
      <c r="AC305" s="33">
        <v>0.1</v>
      </c>
      <c r="AD305" s="33">
        <v>0.1001</v>
      </c>
      <c r="AE305" s="33">
        <v>0.1</v>
      </c>
      <c r="AF305" s="33">
        <v>0.1</v>
      </c>
      <c r="AG305" s="33">
        <v>0.1</v>
      </c>
      <c r="AH305" s="33">
        <v>0.1</v>
      </c>
      <c r="AI305" s="33">
        <v>0.1</v>
      </c>
      <c r="AJ305" s="33">
        <v>0.1</v>
      </c>
      <c r="AK305" s="33">
        <v>0.1</v>
      </c>
      <c r="AL305" s="33">
        <v>0.1</v>
      </c>
      <c r="AM305" s="33">
        <v>0.1</v>
      </c>
      <c r="AN305" s="33">
        <v>0.1</v>
      </c>
      <c r="AO305" s="33">
        <v>0.1</v>
      </c>
      <c r="AP305" s="33">
        <v>0.1016</v>
      </c>
      <c r="AQ305" s="33">
        <v>0.0729</v>
      </c>
      <c r="AR305" s="33">
        <v>0.0569</v>
      </c>
      <c r="AS305" s="33">
        <v>0.0954</v>
      </c>
      <c r="AT305" s="33">
        <v>0.1122</v>
      </c>
      <c r="AU305" s="33">
        <v>0.1195</v>
      </c>
      <c r="AV305" s="33">
        <v>0.12</v>
      </c>
      <c r="AW305" s="33">
        <v>0.12</v>
      </c>
      <c r="AX305" s="33">
        <v>0.12</v>
      </c>
      <c r="AY305" s="33">
        <v>0.12</v>
      </c>
      <c r="AZ305" s="33">
        <v>0.12</v>
      </c>
      <c r="BA305" s="33">
        <v>0.12</v>
      </c>
      <c r="BB305" s="33">
        <v>0.12</v>
      </c>
      <c r="BC305" s="33">
        <v>0.12</v>
      </c>
      <c r="BD305" s="33">
        <v>0.12</v>
      </c>
      <c r="BE305" s="33">
        <v>0.12</v>
      </c>
      <c r="BF305" s="33">
        <v>0.12</v>
      </c>
      <c r="BG305" s="33">
        <v>0.1122</v>
      </c>
      <c r="BH305" s="33">
        <v>0.0533</v>
      </c>
      <c r="BI305" s="33">
        <v>0.0519</v>
      </c>
      <c r="BJ305" s="33">
        <v>0.05</v>
      </c>
      <c r="BK305" s="33">
        <v>0.05</v>
      </c>
      <c r="BL305" s="33"/>
      <c r="BM305" s="33"/>
      <c r="BN305" s="33"/>
      <c r="BO305" s="33"/>
      <c r="BP305" s="33"/>
      <c r="BQ305" s="33"/>
      <c r="BR305" s="33"/>
      <c r="BS305" s="1"/>
      <c r="BT305" s="9"/>
      <c r="BU305" s="9"/>
      <c r="BV305" s="1"/>
      <c r="BW305" s="1"/>
      <c r="BX305" s="1"/>
      <c r="BY305" s="1"/>
      <c r="BZ305" s="1"/>
    </row>
    <row r="306">
      <c r="A306" s="3"/>
      <c r="B306" s="33"/>
      <c r="C306" s="156"/>
      <c r="D306" s="156"/>
      <c r="E306" s="2"/>
      <c r="F306" s="2"/>
      <c r="G306" s="14"/>
      <c r="H306" s="14"/>
      <c r="I306" s="14"/>
      <c r="J306" s="14"/>
      <c r="K306" s="14"/>
      <c r="L306" s="1"/>
      <c r="M306" s="1"/>
      <c r="N306" s="1"/>
      <c r="O306" s="1"/>
      <c r="P306" s="1"/>
      <c r="Q306" s="1"/>
      <c r="R306" s="1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1"/>
      <c r="BT306" s="9"/>
      <c r="BU306" s="9"/>
      <c r="BV306" s="1"/>
      <c r="BW306" s="1"/>
      <c r="BX306" s="1"/>
      <c r="BY306" s="1"/>
      <c r="BZ306" s="1"/>
    </row>
    <row r="307">
      <c r="A307" s="3"/>
      <c r="B307" s="33"/>
      <c r="C307" s="156"/>
      <c r="D307" s="156"/>
      <c r="E307" s="2"/>
      <c r="F307" s="2"/>
      <c r="G307" s="14"/>
      <c r="H307" s="14"/>
      <c r="I307" s="14"/>
      <c r="J307" s="14"/>
      <c r="K307" s="14"/>
      <c r="L307" s="1"/>
      <c r="M307" s="1"/>
      <c r="N307" s="1"/>
      <c r="O307" s="1"/>
      <c r="P307" s="1"/>
      <c r="Q307" s="1"/>
      <c r="R307" s="1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1"/>
      <c r="BT307" s="9"/>
      <c r="BU307" s="9"/>
      <c r="BV307" s="1"/>
      <c r="BW307" s="1"/>
      <c r="BX307" s="1"/>
      <c r="BY307" s="1"/>
      <c r="BZ307" s="1"/>
    </row>
    <row r="308">
      <c r="A308" s="3"/>
      <c r="B308" s="33"/>
      <c r="C308" s="162"/>
      <c r="D308" s="162" t="s">
        <v>324</v>
      </c>
      <c r="E308" s="2"/>
      <c r="F308" s="2"/>
      <c r="G308" s="14"/>
      <c r="H308" s="14"/>
      <c r="I308" s="14"/>
      <c r="J308" s="14"/>
      <c r="K308" s="14"/>
      <c r="L308" s="1"/>
      <c r="M308" s="1"/>
      <c r="N308" s="1"/>
      <c r="O308" s="1"/>
      <c r="P308" s="1"/>
      <c r="Q308" s="1"/>
      <c r="R308" s="1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1"/>
      <c r="BT308" s="9"/>
      <c r="BU308" s="9"/>
      <c r="BV308" s="1"/>
      <c r="BW308" s="1"/>
      <c r="BX308" s="1"/>
      <c r="BY308" s="1"/>
      <c r="BZ308" s="1"/>
    </row>
    <row r="309">
      <c r="A309" s="3"/>
      <c r="B309" s="33"/>
      <c r="C309" s="163"/>
      <c r="D309" s="163" t="s">
        <v>289</v>
      </c>
      <c r="E309" s="2"/>
      <c r="F309" s="2"/>
      <c r="G309" s="14"/>
      <c r="H309" s="14"/>
      <c r="I309" s="14"/>
      <c r="J309" s="14"/>
      <c r="K309" s="14"/>
      <c r="L309" s="1"/>
      <c r="M309" s="1"/>
      <c r="N309" s="1"/>
      <c r="O309" s="1"/>
      <c r="P309" s="1"/>
      <c r="Q309" s="1"/>
      <c r="R309" s="1"/>
      <c r="S309" s="3">
        <v>1242802.0</v>
      </c>
      <c r="T309" s="3">
        <v>1367449.0</v>
      </c>
      <c r="U309" s="3">
        <v>1428341.0</v>
      </c>
      <c r="V309" s="3">
        <v>1627211.0</v>
      </c>
      <c r="W309" s="3">
        <v>1793321.0</v>
      </c>
      <c r="X309" s="3">
        <v>1982577.0</v>
      </c>
      <c r="Y309" s="3">
        <v>2101808.0</v>
      </c>
      <c r="Z309" s="3">
        <v>2050242.0</v>
      </c>
      <c r="AA309" s="3">
        <v>1931068.0</v>
      </c>
      <c r="AB309" s="3">
        <v>1600355.0</v>
      </c>
      <c r="AC309" s="3">
        <v>1740302.0</v>
      </c>
      <c r="AD309" s="3">
        <v>1947088.0</v>
      </c>
      <c r="AE309" s="3">
        <v>1995035.0</v>
      </c>
      <c r="AF309" s="74">
        <v>1814784.0</v>
      </c>
      <c r="AG309" s="74">
        <v>2032940.0</v>
      </c>
      <c r="AH309" s="74">
        <v>2430782.0</v>
      </c>
      <c r="AI309" s="74">
        <v>2101974.0</v>
      </c>
      <c r="AJ309" s="74">
        <v>1962298.0</v>
      </c>
      <c r="AK309" s="74">
        <v>2212018.0</v>
      </c>
      <c r="AL309" s="74">
        <v>2388251.0</v>
      </c>
      <c r="AM309" s="74">
        <v>2223595.0</v>
      </c>
      <c r="AN309" s="74">
        <v>2155248.0</v>
      </c>
      <c r="AO309" s="74">
        <v>2088270.0</v>
      </c>
      <c r="AP309" s="74">
        <v>2086307.0</v>
      </c>
      <c r="AQ309" s="74">
        <v>2186934.0</v>
      </c>
      <c r="AR309" s="74">
        <v>2339314.0</v>
      </c>
      <c r="AS309" s="74">
        <v>2369187.0</v>
      </c>
      <c r="AT309" s="74">
        <v>2068991.0</v>
      </c>
      <c r="AU309" s="74">
        <v>2292244.0</v>
      </c>
      <c r="AV309" s="74">
        <v>2613103.0</v>
      </c>
      <c r="AW309" s="74">
        <v>2044490.0</v>
      </c>
      <c r="AX309" s="74">
        <v>2326113.0</v>
      </c>
      <c r="AY309" s="74">
        <v>2507384.0</v>
      </c>
      <c r="AZ309" s="74">
        <v>2296274.0</v>
      </c>
      <c r="BA309" s="74">
        <v>2453542.0</v>
      </c>
      <c r="BB309" s="74">
        <v>2219183.0</v>
      </c>
      <c r="BC309" s="74">
        <v>2228325.0</v>
      </c>
      <c r="BD309" s="74">
        <v>2492185.0</v>
      </c>
      <c r="BE309" s="74">
        <v>2100215.0</v>
      </c>
      <c r="BF309" s="74">
        <v>2395673.0</v>
      </c>
      <c r="BG309" s="74">
        <v>2591871.0</v>
      </c>
      <c r="BH309" s="74">
        <v>3092039.0</v>
      </c>
      <c r="BI309" s="74">
        <v>2495691.0</v>
      </c>
      <c r="BJ309" s="74">
        <v>2281284.0</v>
      </c>
      <c r="BK309" s="74">
        <v>2821814.0</v>
      </c>
      <c r="BL309" s="74"/>
      <c r="BM309" s="74"/>
      <c r="BN309" s="74"/>
      <c r="BO309" s="74"/>
      <c r="BP309" s="74"/>
      <c r="BQ309" s="74"/>
      <c r="BR309" s="74"/>
      <c r="BS309" s="1"/>
      <c r="BT309" s="9"/>
      <c r="BU309" s="9"/>
      <c r="BV309" s="1"/>
      <c r="BW309" s="1"/>
      <c r="BX309" s="1"/>
      <c r="BY309" s="1"/>
      <c r="BZ309" s="1"/>
    </row>
    <row r="310">
      <c r="A310" s="3"/>
      <c r="B310" s="33"/>
      <c r="C310" s="151"/>
      <c r="D310" s="151" t="s">
        <v>246</v>
      </c>
      <c r="E310" s="2"/>
      <c r="F310" s="2"/>
      <c r="G310" s="14"/>
      <c r="H310" s="14"/>
      <c r="I310" s="14"/>
      <c r="J310" s="14"/>
      <c r="K310" s="14"/>
      <c r="L310" s="1"/>
      <c r="M310" s="1"/>
      <c r="N310" s="1"/>
      <c r="O310" s="1"/>
      <c r="P310" s="1"/>
      <c r="Q310" s="1"/>
      <c r="R310" s="1"/>
      <c r="S310" s="3">
        <v>411736.0</v>
      </c>
      <c r="T310" s="3">
        <v>527335.0</v>
      </c>
      <c r="U310" s="3">
        <v>640280.0</v>
      </c>
      <c r="V310" s="3">
        <v>814078.0</v>
      </c>
      <c r="W310" s="3">
        <v>758406.0</v>
      </c>
      <c r="X310" s="3">
        <v>656696.0</v>
      </c>
      <c r="Y310" s="3">
        <v>721356.0</v>
      </c>
      <c r="Z310" s="3">
        <v>727373.0</v>
      </c>
      <c r="AA310" s="3">
        <v>694473.0</v>
      </c>
      <c r="AB310" s="3">
        <v>583187.0</v>
      </c>
      <c r="AC310" s="3">
        <v>658375.0</v>
      </c>
      <c r="AD310" s="3">
        <v>785250.0</v>
      </c>
      <c r="AE310" s="3">
        <v>789503.0</v>
      </c>
      <c r="AF310" s="74">
        <v>690019.0</v>
      </c>
      <c r="AG310" s="74">
        <v>742831.0</v>
      </c>
      <c r="AH310" s="74">
        <v>902717.0</v>
      </c>
      <c r="AI310" s="74">
        <v>748457.0</v>
      </c>
      <c r="AJ310" s="74">
        <v>647154.0</v>
      </c>
      <c r="AK310" s="74">
        <v>842411.0</v>
      </c>
      <c r="AL310" s="74">
        <v>885341.0</v>
      </c>
      <c r="AM310" s="74">
        <v>787908.0</v>
      </c>
      <c r="AN310" s="74">
        <v>775414.0</v>
      </c>
      <c r="AO310" s="74">
        <v>755793.0</v>
      </c>
      <c r="AP310" s="74">
        <v>698238.0</v>
      </c>
      <c r="AQ310" s="74">
        <v>750786.0</v>
      </c>
      <c r="AR310" s="74">
        <v>822017.0</v>
      </c>
      <c r="AS310" s="74">
        <v>951184.0</v>
      </c>
      <c r="AT310" s="74">
        <v>762881.0</v>
      </c>
      <c r="AU310" s="74">
        <v>774841.0</v>
      </c>
      <c r="AV310" s="74">
        <v>919122.0</v>
      </c>
      <c r="AW310" s="74">
        <v>683185.0</v>
      </c>
      <c r="AX310" s="74">
        <v>867570.0</v>
      </c>
      <c r="AY310" s="74">
        <v>918454.0</v>
      </c>
      <c r="AZ310" s="74">
        <v>858777.0</v>
      </c>
      <c r="BA310" s="74">
        <v>900741.0</v>
      </c>
      <c r="BB310" s="74">
        <v>853504.0</v>
      </c>
      <c r="BC310" s="74">
        <v>822974.0</v>
      </c>
      <c r="BD310" s="74">
        <v>976245.0</v>
      </c>
      <c r="BE310" s="74">
        <v>886628.0</v>
      </c>
      <c r="BF310" s="74">
        <v>1124788.0</v>
      </c>
      <c r="BG310" s="74">
        <v>1107680.0</v>
      </c>
      <c r="BH310" s="74">
        <v>1277781.0</v>
      </c>
      <c r="BI310" s="74">
        <v>965165.0</v>
      </c>
      <c r="BJ310" s="74">
        <v>905091.0</v>
      </c>
      <c r="BK310" s="74">
        <v>1065487.0</v>
      </c>
      <c r="BL310" s="74"/>
      <c r="BM310" s="74"/>
      <c r="BN310" s="74"/>
      <c r="BO310" s="74"/>
      <c r="BP310" s="74"/>
      <c r="BQ310" s="74"/>
      <c r="BR310" s="74"/>
      <c r="BS310" s="1"/>
      <c r="BT310" s="9"/>
      <c r="BU310" s="9"/>
      <c r="BV310" s="1"/>
      <c r="BW310" s="1"/>
      <c r="BX310" s="1"/>
      <c r="BY310" s="1"/>
      <c r="BZ310" s="1"/>
    </row>
    <row r="311">
      <c r="A311" s="3"/>
      <c r="B311" s="33"/>
      <c r="C311" s="151"/>
      <c r="D311" s="151" t="s">
        <v>248</v>
      </c>
      <c r="E311" s="2"/>
      <c r="F311" s="2"/>
      <c r="G311" s="14"/>
      <c r="H311" s="14"/>
      <c r="I311" s="14"/>
      <c r="J311" s="14"/>
      <c r="K311" s="14"/>
      <c r="L311" s="1"/>
      <c r="M311" s="1"/>
      <c r="N311" s="1"/>
      <c r="O311" s="1"/>
      <c r="P311" s="1"/>
      <c r="Q311" s="1"/>
      <c r="R311" s="1"/>
      <c r="S311" s="3">
        <v>568122.0</v>
      </c>
      <c r="T311" s="3">
        <v>567929.0</v>
      </c>
      <c r="U311" s="3">
        <v>528542.0</v>
      </c>
      <c r="V311" s="3">
        <v>549934.0</v>
      </c>
      <c r="W311" s="3">
        <v>711712.0</v>
      </c>
      <c r="X311" s="3">
        <v>927740.0</v>
      </c>
      <c r="Y311" s="3">
        <v>968285.0</v>
      </c>
      <c r="Z311" s="3">
        <v>953702.0</v>
      </c>
      <c r="AA311" s="3">
        <v>876207.0</v>
      </c>
      <c r="AB311" s="3">
        <v>685076.0</v>
      </c>
      <c r="AC311" s="3">
        <v>685458.0</v>
      </c>
      <c r="AD311" s="3">
        <v>777620.0</v>
      </c>
      <c r="AE311" s="3">
        <v>822782.0</v>
      </c>
      <c r="AF311" s="74">
        <v>775956.0</v>
      </c>
      <c r="AG311" s="74">
        <v>807690.0</v>
      </c>
      <c r="AH311" s="74">
        <v>1114027.0</v>
      </c>
      <c r="AI311" s="74">
        <v>980019.0</v>
      </c>
      <c r="AJ311" s="74">
        <v>941610.0</v>
      </c>
      <c r="AK311" s="74">
        <v>947007.0</v>
      </c>
      <c r="AL311" s="74">
        <v>986236.0</v>
      </c>
      <c r="AM311" s="74">
        <v>1022387.0</v>
      </c>
      <c r="AN311" s="74">
        <v>939945.0</v>
      </c>
      <c r="AO311" s="74">
        <v>943250.0</v>
      </c>
      <c r="AP311" s="74">
        <v>1011686.0</v>
      </c>
      <c r="AQ311" s="74">
        <v>1058286.0</v>
      </c>
      <c r="AR311" s="74">
        <v>1093714.0</v>
      </c>
      <c r="AS311" s="74">
        <v>976039.0</v>
      </c>
      <c r="AT311" s="74">
        <v>888378.0</v>
      </c>
      <c r="AU311" s="74">
        <v>974446.0</v>
      </c>
      <c r="AV311" s="74">
        <v>1053143.0</v>
      </c>
      <c r="AW311" s="74">
        <v>903846.0</v>
      </c>
      <c r="AX311" s="74">
        <v>929345.0</v>
      </c>
      <c r="AY311" s="74">
        <v>1020682.0</v>
      </c>
      <c r="AZ311" s="74">
        <v>856243.0</v>
      </c>
      <c r="BA311" s="74">
        <v>913008.0</v>
      </c>
      <c r="BB311" s="74">
        <v>768346.0</v>
      </c>
      <c r="BC311" s="74">
        <v>859660.0</v>
      </c>
      <c r="BD311" s="74">
        <v>951251.0</v>
      </c>
      <c r="BE311" s="74">
        <v>660557.0</v>
      </c>
      <c r="BF311" s="74">
        <v>629567.0</v>
      </c>
      <c r="BG311" s="74">
        <v>910309.0</v>
      </c>
      <c r="BH311" s="74">
        <v>1267715.0</v>
      </c>
      <c r="BI311" s="74">
        <v>1070188.0</v>
      </c>
      <c r="BJ311" s="74">
        <v>843117.0</v>
      </c>
      <c r="BK311" s="74">
        <v>987576.0</v>
      </c>
      <c r="BL311" s="74"/>
      <c r="BM311" s="74"/>
      <c r="BN311" s="74"/>
      <c r="BO311" s="74"/>
      <c r="BP311" s="74"/>
      <c r="BQ311" s="74"/>
      <c r="BR311" s="74"/>
      <c r="BS311" s="1"/>
      <c r="BT311" s="9"/>
      <c r="BU311" s="9"/>
      <c r="BV311" s="1"/>
      <c r="BW311" s="1"/>
      <c r="BX311" s="1"/>
      <c r="BY311" s="1"/>
      <c r="BZ311" s="1"/>
    </row>
    <row r="312">
      <c r="A312" s="3"/>
      <c r="B312" s="33"/>
      <c r="C312" s="151"/>
      <c r="D312" s="151" t="s">
        <v>251</v>
      </c>
      <c r="E312" s="2"/>
      <c r="F312" s="2"/>
      <c r="G312" s="14"/>
      <c r="H312" s="14"/>
      <c r="I312" s="14"/>
      <c r="J312" s="14"/>
      <c r="K312" s="14"/>
      <c r="L312" s="1"/>
      <c r="M312" s="1"/>
      <c r="N312" s="1"/>
      <c r="O312" s="1"/>
      <c r="P312" s="1"/>
      <c r="Q312" s="1"/>
      <c r="R312" s="1"/>
      <c r="S312" s="3">
        <v>107195.0</v>
      </c>
      <c r="T312" s="3">
        <v>91077.0</v>
      </c>
      <c r="U312" s="3">
        <v>97492.0</v>
      </c>
      <c r="V312" s="3">
        <v>94796.0</v>
      </c>
      <c r="W312" s="3">
        <v>136848.0</v>
      </c>
      <c r="X312" s="3">
        <v>171581.0</v>
      </c>
      <c r="Y312" s="3">
        <v>157741.0</v>
      </c>
      <c r="Z312" s="3">
        <v>161578.0</v>
      </c>
      <c r="AA312" s="3">
        <v>156905.0</v>
      </c>
      <c r="AB312" s="3">
        <v>127905.0</v>
      </c>
      <c r="AC312" s="3">
        <v>183897.0</v>
      </c>
      <c r="AD312" s="3">
        <v>162680.0</v>
      </c>
      <c r="AE312" s="3">
        <v>155270.0</v>
      </c>
      <c r="AF312" s="74">
        <v>150981.0</v>
      </c>
      <c r="AG312" s="74">
        <v>254826.0</v>
      </c>
      <c r="AH312" s="74">
        <v>188717.0</v>
      </c>
      <c r="AI312" s="74">
        <v>146792.0</v>
      </c>
      <c r="AJ312" s="74">
        <v>140032.0</v>
      </c>
      <c r="AK312" s="74">
        <v>151191.0</v>
      </c>
      <c r="AL312" s="74">
        <v>200276.0</v>
      </c>
      <c r="AM312" s="74">
        <v>163862.0</v>
      </c>
      <c r="AN312" s="74">
        <v>188808.0</v>
      </c>
      <c r="AO312" s="74">
        <v>159454.0</v>
      </c>
      <c r="AP312" s="74">
        <v>141757.0</v>
      </c>
      <c r="AQ312" s="74">
        <v>143924.0</v>
      </c>
      <c r="AR312" s="74">
        <v>164508.0</v>
      </c>
      <c r="AS312" s="74">
        <v>170642.0</v>
      </c>
      <c r="AT312" s="74">
        <v>183289.0</v>
      </c>
      <c r="AU312" s="74">
        <v>293403.0</v>
      </c>
      <c r="AV312" s="74">
        <v>286565.0</v>
      </c>
      <c r="AW312" s="74">
        <v>176356.0</v>
      </c>
      <c r="AX312" s="74">
        <v>177456.0</v>
      </c>
      <c r="AY312" s="74">
        <v>195528.0</v>
      </c>
      <c r="AZ312" s="74">
        <v>199634.0</v>
      </c>
      <c r="BA312" s="74">
        <v>199828.0</v>
      </c>
      <c r="BB312" s="74">
        <v>196260.0</v>
      </c>
      <c r="BC312" s="74">
        <v>179525.0</v>
      </c>
      <c r="BD312" s="74">
        <v>182842.0</v>
      </c>
      <c r="BE312" s="74">
        <v>189668.0</v>
      </c>
      <c r="BF312" s="74">
        <v>276928.0</v>
      </c>
      <c r="BG312" s="74">
        <v>225260.0</v>
      </c>
      <c r="BH312" s="74">
        <v>183424.0</v>
      </c>
      <c r="BI312" s="74">
        <v>142334.0</v>
      </c>
      <c r="BJ312" s="74">
        <v>159026.0</v>
      </c>
      <c r="BK312" s="74">
        <v>236589.0</v>
      </c>
      <c r="BL312" s="74"/>
      <c r="BM312" s="74"/>
      <c r="BN312" s="74"/>
      <c r="BO312" s="74"/>
      <c r="BP312" s="74"/>
      <c r="BQ312" s="74"/>
      <c r="BR312" s="74"/>
      <c r="BS312" s="1"/>
      <c r="BT312" s="9"/>
      <c r="BU312" s="9"/>
      <c r="BV312" s="1"/>
      <c r="BW312" s="1"/>
      <c r="BX312" s="1"/>
      <c r="BY312" s="1"/>
      <c r="BZ312" s="1"/>
    </row>
    <row r="313">
      <c r="A313" s="3"/>
      <c r="B313" s="33"/>
      <c r="C313" s="151"/>
      <c r="D313" s="151" t="s">
        <v>253</v>
      </c>
      <c r="E313" s="2"/>
      <c r="F313" s="2"/>
      <c r="G313" s="14"/>
      <c r="H313" s="14"/>
      <c r="I313" s="14"/>
      <c r="J313" s="14"/>
      <c r="K313" s="14"/>
      <c r="L313" s="1"/>
      <c r="M313" s="1"/>
      <c r="N313" s="1"/>
      <c r="O313" s="1"/>
      <c r="P313" s="1"/>
      <c r="Q313" s="1"/>
      <c r="R313" s="1"/>
      <c r="S313" s="3">
        <v>66259.0</v>
      </c>
      <c r="T313" s="3">
        <v>72729.0</v>
      </c>
      <c r="U313" s="3">
        <v>66335.0</v>
      </c>
      <c r="V313" s="3">
        <v>72125.0</v>
      </c>
      <c r="W313" s="3">
        <v>77728.0</v>
      </c>
      <c r="X313" s="3">
        <v>87259.0</v>
      </c>
      <c r="Y313" s="3">
        <v>112520.0</v>
      </c>
      <c r="Z313" s="3">
        <v>97542.0</v>
      </c>
      <c r="AA313" s="3">
        <v>87266.0</v>
      </c>
      <c r="AB313" s="3">
        <v>86672.0</v>
      </c>
      <c r="AC313" s="3">
        <v>96973.0</v>
      </c>
      <c r="AD313" s="3">
        <v>97537.0</v>
      </c>
      <c r="AE313" s="3">
        <v>93488.0</v>
      </c>
      <c r="AF313" s="74">
        <v>79895.0</v>
      </c>
      <c r="AG313" s="74">
        <v>84794.0</v>
      </c>
      <c r="AH313" s="74">
        <v>87995.0</v>
      </c>
      <c r="AI313" s="74">
        <v>91459.0</v>
      </c>
      <c r="AJ313" s="74">
        <v>93824.0</v>
      </c>
      <c r="AK313" s="74">
        <v>86933.0</v>
      </c>
      <c r="AL313" s="74">
        <v>115508.0</v>
      </c>
      <c r="AM313" s="74">
        <v>81720.0</v>
      </c>
      <c r="AN313" s="74">
        <v>90159.0</v>
      </c>
      <c r="AO313" s="74">
        <v>92351.0</v>
      </c>
      <c r="AP313" s="74">
        <v>92216.0</v>
      </c>
      <c r="AQ313" s="74">
        <v>98114.0</v>
      </c>
      <c r="AR313" s="74">
        <v>107140.0</v>
      </c>
      <c r="AS313" s="74">
        <v>115810.0</v>
      </c>
      <c r="AT313" s="74">
        <v>86447.0</v>
      </c>
      <c r="AU313" s="74">
        <v>89159.0</v>
      </c>
      <c r="AV313" s="74">
        <v>140834.0</v>
      </c>
      <c r="AW313" s="74">
        <v>126504.0</v>
      </c>
      <c r="AX313" s="74">
        <v>164046.0</v>
      </c>
      <c r="AY313" s="74">
        <v>137770.0</v>
      </c>
      <c r="AZ313" s="74">
        <v>129550.0</v>
      </c>
      <c r="BA313" s="74">
        <v>148757.0</v>
      </c>
      <c r="BB313" s="74">
        <v>137425.0</v>
      </c>
      <c r="BC313" s="74">
        <v>132854.0</v>
      </c>
      <c r="BD313" s="74">
        <v>132044.0</v>
      </c>
      <c r="BE313" s="74">
        <v>137696.0</v>
      </c>
      <c r="BF313" s="74">
        <v>120530.0</v>
      </c>
      <c r="BG313" s="74">
        <v>111451.0</v>
      </c>
      <c r="BH313" s="74">
        <v>112925.0</v>
      </c>
      <c r="BI313" s="74">
        <v>90584.0</v>
      </c>
      <c r="BJ313" s="74">
        <v>102683.0</v>
      </c>
      <c r="BK313" s="74">
        <v>193197.0</v>
      </c>
      <c r="BL313" s="74"/>
      <c r="BM313" s="74"/>
      <c r="BN313" s="74"/>
      <c r="BO313" s="74"/>
      <c r="BP313" s="74"/>
      <c r="BQ313" s="74"/>
      <c r="BR313" s="74"/>
      <c r="BS313" s="1"/>
      <c r="BT313" s="9"/>
      <c r="BU313" s="9"/>
      <c r="BV313" s="1"/>
      <c r="BW313" s="1"/>
      <c r="BX313" s="1"/>
      <c r="BY313" s="1"/>
      <c r="BZ313" s="1"/>
    </row>
    <row r="314">
      <c r="A314" s="3"/>
      <c r="B314" s="33"/>
      <c r="C314" s="151"/>
      <c r="D314" s="151" t="s">
        <v>255</v>
      </c>
      <c r="E314" s="2"/>
      <c r="F314" s="2"/>
      <c r="G314" s="14"/>
      <c r="H314" s="14"/>
      <c r="I314" s="14"/>
      <c r="J314" s="14"/>
      <c r="K314" s="14"/>
      <c r="L314" s="1"/>
      <c r="M314" s="1"/>
      <c r="N314" s="1"/>
      <c r="O314" s="1"/>
      <c r="P314" s="1"/>
      <c r="Q314" s="1"/>
      <c r="R314" s="1"/>
      <c r="S314" s="3">
        <v>68797.0</v>
      </c>
      <c r="T314" s="3">
        <v>86760.0</v>
      </c>
      <c r="U314" s="3">
        <v>78381.0</v>
      </c>
      <c r="V314" s="3">
        <v>73948.0</v>
      </c>
      <c r="W314" s="3">
        <v>91272.0</v>
      </c>
      <c r="X314" s="3">
        <v>112895.0</v>
      </c>
      <c r="Y314" s="3">
        <v>110623.0</v>
      </c>
      <c r="Z314" s="3">
        <v>86076.0</v>
      </c>
      <c r="AA314" s="3">
        <v>89342.0</v>
      </c>
      <c r="AB314" s="3">
        <v>93703.0</v>
      </c>
      <c r="AC314" s="3">
        <v>90395.0</v>
      </c>
      <c r="AD314" s="3">
        <v>89335.0</v>
      </c>
      <c r="AE314" s="3">
        <v>85399.0</v>
      </c>
      <c r="AF314" s="74">
        <v>86256.0</v>
      </c>
      <c r="AG314" s="74">
        <v>94221.0</v>
      </c>
      <c r="AH314" s="74">
        <v>93782.0</v>
      </c>
      <c r="AI314" s="74">
        <v>97668.0</v>
      </c>
      <c r="AJ314" s="74">
        <v>103322.0</v>
      </c>
      <c r="AK314" s="74">
        <v>131083.0</v>
      </c>
      <c r="AL314" s="74">
        <v>156356.0</v>
      </c>
      <c r="AM314" s="74">
        <v>120527.0</v>
      </c>
      <c r="AN314" s="74">
        <v>127443.0</v>
      </c>
      <c r="AO314" s="74">
        <v>106932.0</v>
      </c>
      <c r="AP314" s="74">
        <v>112204.0</v>
      </c>
      <c r="AQ314" s="74">
        <v>105125.0</v>
      </c>
      <c r="AR314" s="74">
        <v>114615.0</v>
      </c>
      <c r="AS314" s="74">
        <v>110288.0</v>
      </c>
      <c r="AT314" s="74">
        <v>94363.0</v>
      </c>
      <c r="AU314" s="74">
        <v>100278.0</v>
      </c>
      <c r="AV314" s="74">
        <v>132630.0</v>
      </c>
      <c r="AW314" s="74">
        <v>107111.0</v>
      </c>
      <c r="AX314" s="74">
        <v>135017.0</v>
      </c>
      <c r="AY314" s="74">
        <v>166261.0</v>
      </c>
      <c r="AZ314" s="74">
        <v>173801.0</v>
      </c>
      <c r="BA314" s="74">
        <v>187904.0</v>
      </c>
      <c r="BB314" s="74">
        <v>161315.0</v>
      </c>
      <c r="BC314" s="74">
        <v>167052.0</v>
      </c>
      <c r="BD314" s="74">
        <v>175305.0</v>
      </c>
      <c r="BE314" s="74">
        <v>143831.0</v>
      </c>
      <c r="BF314" s="74">
        <v>145597.0</v>
      </c>
      <c r="BG314" s="74">
        <v>147298.0</v>
      </c>
      <c r="BH314" s="74">
        <v>187363.0</v>
      </c>
      <c r="BI314" s="74">
        <v>166471.0</v>
      </c>
      <c r="BJ314" s="74">
        <v>145473.0</v>
      </c>
      <c r="BK314" s="74">
        <v>146225.0</v>
      </c>
      <c r="BL314" s="74"/>
      <c r="BM314" s="74"/>
      <c r="BN314" s="74"/>
      <c r="BO314" s="74"/>
      <c r="BP314" s="74"/>
      <c r="BQ314" s="74"/>
      <c r="BR314" s="74"/>
      <c r="BS314" s="1"/>
      <c r="BT314" s="9"/>
      <c r="BU314" s="9"/>
      <c r="BV314" s="1"/>
      <c r="BW314" s="1"/>
      <c r="BX314" s="1"/>
      <c r="BY314" s="1"/>
      <c r="BZ314" s="1"/>
    </row>
    <row r="315">
      <c r="A315" s="3"/>
      <c r="B315" s="33"/>
      <c r="C315" s="161"/>
      <c r="D315" s="161" t="s">
        <v>257</v>
      </c>
      <c r="E315" s="2"/>
      <c r="F315" s="2"/>
      <c r="G315" s="14"/>
      <c r="H315" s="14"/>
      <c r="I315" s="14"/>
      <c r="J315" s="14"/>
      <c r="K315" s="14"/>
      <c r="L315" s="1"/>
      <c r="M315" s="1"/>
      <c r="N315" s="1"/>
      <c r="O315" s="1"/>
      <c r="P315" s="1"/>
      <c r="Q315" s="1"/>
      <c r="R315" s="1"/>
      <c r="S315" s="3">
        <v>19782.0</v>
      </c>
      <c r="T315" s="3">
        <v>20936.0</v>
      </c>
      <c r="U315" s="3">
        <v>13762.0</v>
      </c>
      <c r="V315" s="3">
        <v>9384.0</v>
      </c>
      <c r="W315" s="3">
        <v>11167.0</v>
      </c>
      <c r="X315" s="3">
        <v>16817.0</v>
      </c>
      <c r="Y315" s="3">
        <v>23400.0</v>
      </c>
      <c r="Z315" s="3">
        <v>16494.0</v>
      </c>
      <c r="AA315" s="3">
        <v>20403.0</v>
      </c>
      <c r="AB315" s="3">
        <v>15402.0</v>
      </c>
      <c r="AC315" s="3">
        <v>15528.0</v>
      </c>
      <c r="AD315" s="3">
        <v>20561.0</v>
      </c>
      <c r="AE315" s="3">
        <v>32721.0</v>
      </c>
      <c r="AF315" s="74">
        <v>18492.0</v>
      </c>
      <c r="AG315" s="74">
        <v>26166.0</v>
      </c>
      <c r="AH315" s="74">
        <v>25354.0</v>
      </c>
      <c r="AI315" s="74">
        <v>21378.0</v>
      </c>
      <c r="AJ315" s="74">
        <v>20797.0</v>
      </c>
      <c r="AK315" s="74">
        <v>28630.0</v>
      </c>
      <c r="AL315" s="74">
        <v>27498.0</v>
      </c>
      <c r="AM315" s="74">
        <v>25808.0</v>
      </c>
      <c r="AN315" s="74">
        <v>16036.0</v>
      </c>
      <c r="AO315" s="74">
        <v>13413.0</v>
      </c>
      <c r="AP315" s="74">
        <v>14453.0</v>
      </c>
      <c r="AQ315" s="74">
        <v>10234.0</v>
      </c>
      <c r="AR315" s="74">
        <v>16911.0</v>
      </c>
      <c r="AS315" s="74">
        <v>20179.0</v>
      </c>
      <c r="AT315" s="74">
        <v>26140.0</v>
      </c>
      <c r="AU315" s="74">
        <v>37551.0</v>
      </c>
      <c r="AV315" s="74">
        <v>48035.0</v>
      </c>
      <c r="AW315" s="74">
        <v>14884.0</v>
      </c>
      <c r="AX315" s="74">
        <v>14428.0</v>
      </c>
      <c r="AY315" s="74">
        <v>19288.0</v>
      </c>
      <c r="AZ315" s="74">
        <v>29590.0</v>
      </c>
      <c r="BA315" s="74">
        <v>32343.0</v>
      </c>
      <c r="BB315" s="74">
        <v>13027.0</v>
      </c>
      <c r="BC315" s="74">
        <v>13492.0</v>
      </c>
      <c r="BD315" s="74">
        <v>14009.0</v>
      </c>
      <c r="BE315" s="74">
        <v>19181.0</v>
      </c>
      <c r="BF315" s="74">
        <v>26153.0</v>
      </c>
      <c r="BG315" s="74">
        <v>18259.0</v>
      </c>
      <c r="BH315" s="74">
        <v>15476.0</v>
      </c>
      <c r="BI315" s="74">
        <v>14913.0</v>
      </c>
      <c r="BJ315" s="74">
        <v>7694.0</v>
      </c>
      <c r="BK315" s="74">
        <v>12833.0</v>
      </c>
      <c r="BL315" s="74"/>
      <c r="BM315" s="74"/>
      <c r="BN315" s="74"/>
      <c r="BO315" s="74"/>
      <c r="BP315" s="74"/>
      <c r="BQ315" s="74"/>
      <c r="BR315" s="74"/>
      <c r="BS315" s="1"/>
      <c r="BT315" s="9"/>
      <c r="BU315" s="9"/>
      <c r="BV315" s="1"/>
      <c r="BW315" s="1"/>
      <c r="BX315" s="1"/>
      <c r="BY315" s="1"/>
      <c r="BZ315" s="1"/>
    </row>
    <row r="316">
      <c r="A316" s="3"/>
      <c r="B316" s="33"/>
      <c r="C316" s="151"/>
      <c r="D316" s="151" t="s">
        <v>261</v>
      </c>
      <c r="E316" s="2"/>
      <c r="F316" s="2"/>
      <c r="G316" s="14"/>
      <c r="H316" s="14"/>
      <c r="I316" s="14"/>
      <c r="J316" s="14"/>
      <c r="K316" s="14"/>
      <c r="L316" s="1"/>
      <c r="M316" s="1"/>
      <c r="N316" s="1"/>
      <c r="O316" s="1"/>
      <c r="P316" s="1"/>
      <c r="Q316" s="1"/>
      <c r="R316" s="1"/>
      <c r="S316" s="3">
        <v>0.0</v>
      </c>
      <c r="T316" s="3">
        <v>0.0</v>
      </c>
      <c r="U316" s="3">
        <v>811.0</v>
      </c>
      <c r="V316" s="3">
        <v>3092.0</v>
      </c>
      <c r="W316" s="3">
        <v>1320.0</v>
      </c>
      <c r="X316" s="3">
        <v>2972.0</v>
      </c>
      <c r="Y316" s="3">
        <v>4337.0</v>
      </c>
      <c r="Z316" s="3">
        <v>4801.0</v>
      </c>
      <c r="AA316" s="3">
        <v>3891.0</v>
      </c>
      <c r="AB316" s="3">
        <v>5380.0</v>
      </c>
      <c r="AC316" s="3">
        <v>5888.0</v>
      </c>
      <c r="AD316" s="3">
        <v>10266.0</v>
      </c>
      <c r="AE316" s="3">
        <v>9968.0</v>
      </c>
      <c r="AF316" s="74">
        <v>7380.0</v>
      </c>
      <c r="AG316" s="74">
        <v>18980.0</v>
      </c>
      <c r="AH316" s="74">
        <v>12470.0</v>
      </c>
      <c r="AI316" s="74">
        <v>10683.0</v>
      </c>
      <c r="AJ316" s="74">
        <v>7667.0</v>
      </c>
      <c r="AK316" s="74">
        <v>9559.0</v>
      </c>
      <c r="AL316" s="74">
        <v>9733.0</v>
      </c>
      <c r="AM316" s="74">
        <v>7803.0</v>
      </c>
      <c r="AN316" s="74">
        <v>9606.0</v>
      </c>
      <c r="AO316" s="74">
        <v>8606.0</v>
      </c>
      <c r="AP316" s="74">
        <v>7397.0</v>
      </c>
      <c r="AQ316" s="74">
        <v>8062.0</v>
      </c>
      <c r="AR316" s="74">
        <v>8172.0</v>
      </c>
      <c r="AS316" s="74">
        <v>12994.0</v>
      </c>
      <c r="AT316" s="74">
        <v>13222.0</v>
      </c>
      <c r="AU316" s="74">
        <v>13212.0</v>
      </c>
      <c r="AV316" s="74">
        <v>15071.0</v>
      </c>
      <c r="AW316" s="74">
        <v>15523.0</v>
      </c>
      <c r="AX316" s="74">
        <v>12390.0</v>
      </c>
      <c r="AY316" s="74">
        <v>12975.0</v>
      </c>
      <c r="AZ316" s="74">
        <v>10145.0</v>
      </c>
      <c r="BA316" s="74">
        <v>9804.0</v>
      </c>
      <c r="BB316" s="74">
        <v>9549.0</v>
      </c>
      <c r="BC316" s="74">
        <v>8288.0</v>
      </c>
      <c r="BD316" s="74">
        <v>8541.0</v>
      </c>
      <c r="BE316" s="74">
        <v>9695.0</v>
      </c>
      <c r="BF316" s="74">
        <v>19113.0</v>
      </c>
      <c r="BG316" s="74">
        <v>25724.0</v>
      </c>
      <c r="BH316" s="74">
        <v>13936.0</v>
      </c>
      <c r="BI316" s="74">
        <v>8643.0</v>
      </c>
      <c r="BJ316" s="74">
        <v>8978.0</v>
      </c>
      <c r="BK316" s="74">
        <v>6562.0</v>
      </c>
      <c r="BL316" s="74"/>
      <c r="BM316" s="74"/>
      <c r="BN316" s="74"/>
      <c r="BO316" s="74"/>
      <c r="BP316" s="74"/>
      <c r="BQ316" s="74"/>
      <c r="BR316" s="74"/>
      <c r="BS316" s="1"/>
      <c r="BT316" s="9"/>
      <c r="BU316" s="9"/>
      <c r="BV316" s="1"/>
      <c r="BW316" s="1"/>
      <c r="BX316" s="1"/>
      <c r="BY316" s="1"/>
      <c r="BZ316" s="1"/>
    </row>
    <row r="317">
      <c r="A317" s="3"/>
      <c r="B317" s="33"/>
      <c r="C317" s="156"/>
      <c r="D317" s="156"/>
      <c r="E317" s="2"/>
      <c r="F317" s="2"/>
      <c r="G317" s="14"/>
      <c r="H317" s="14"/>
      <c r="I317" s="14"/>
      <c r="J317" s="14"/>
      <c r="K317" s="14"/>
      <c r="L317" s="1"/>
      <c r="M317" s="1"/>
      <c r="N317" s="1"/>
      <c r="O317" s="1"/>
      <c r="P317" s="1"/>
      <c r="Q317" s="1"/>
      <c r="R317" s="1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1"/>
      <c r="BT317" s="9"/>
      <c r="BU317" s="9"/>
      <c r="BV317" s="1"/>
      <c r="BW317" s="1"/>
      <c r="BX317" s="1"/>
      <c r="BY317" s="1"/>
      <c r="BZ317" s="1"/>
    </row>
    <row r="318">
      <c r="A318" s="3"/>
      <c r="B318" s="33"/>
      <c r="C318" s="156"/>
      <c r="D318" s="156"/>
      <c r="E318" s="2"/>
      <c r="F318" s="2"/>
      <c r="G318" s="14"/>
      <c r="H318" s="14"/>
      <c r="I318" s="14"/>
      <c r="J318" s="14"/>
      <c r="K318" s="14"/>
      <c r="L318" s="1"/>
      <c r="M318" s="1"/>
      <c r="N318" s="1"/>
      <c r="O318" s="1"/>
      <c r="P318" s="1"/>
      <c r="Q318" s="1"/>
      <c r="R318" s="1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1"/>
      <c r="BT318" s="9"/>
      <c r="BU318" s="9"/>
      <c r="BV318" s="1"/>
      <c r="BW318" s="1"/>
      <c r="BX318" s="1"/>
      <c r="BY318" s="1"/>
      <c r="BZ318" s="1"/>
    </row>
    <row r="319">
      <c r="A319" s="3"/>
      <c r="B319" s="33"/>
      <c r="C319" s="162"/>
      <c r="D319" s="162" t="s">
        <v>325</v>
      </c>
      <c r="E319" s="2"/>
      <c r="F319" s="2"/>
      <c r="G319" s="14"/>
      <c r="H319" s="14"/>
      <c r="I319" s="14"/>
      <c r="J319" s="14"/>
      <c r="K319" s="14"/>
      <c r="L319" s="1"/>
      <c r="M319" s="1"/>
      <c r="N319" s="1"/>
      <c r="O319" s="1"/>
      <c r="P319" s="1"/>
      <c r="Q319" s="1"/>
      <c r="R319" s="1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1"/>
      <c r="BT319" s="9"/>
      <c r="BU319" s="9"/>
      <c r="BV319" s="1"/>
      <c r="BW319" s="1"/>
      <c r="BX319" s="1"/>
      <c r="BY319" s="1"/>
      <c r="BZ319" s="1"/>
    </row>
    <row r="320">
      <c r="A320" s="3"/>
      <c r="B320" s="33"/>
      <c r="C320" s="151"/>
      <c r="D320" s="151" t="s">
        <v>247</v>
      </c>
      <c r="E320" s="2"/>
      <c r="F320" s="2"/>
      <c r="G320" s="14"/>
      <c r="H320" s="14"/>
      <c r="I320" s="14"/>
      <c r="J320" s="14"/>
      <c r="K320" s="14"/>
      <c r="L320" s="1"/>
      <c r="M320" s="1"/>
      <c r="N320" s="1"/>
      <c r="O320" s="1"/>
      <c r="P320" s="1"/>
      <c r="Q320" s="1"/>
      <c r="R320" s="17" t="s">
        <v>247</v>
      </c>
      <c r="S320" s="33">
        <v>0.1245</v>
      </c>
      <c r="T320" s="33">
        <v>0.1284</v>
      </c>
      <c r="U320" s="33">
        <v>0.1381</v>
      </c>
      <c r="V320" s="33">
        <v>0.1599</v>
      </c>
      <c r="W320" s="33">
        <v>0.1939</v>
      </c>
      <c r="X320" s="33">
        <v>0.1775</v>
      </c>
      <c r="Y320" s="33">
        <v>0.1772</v>
      </c>
      <c r="Z320" s="33">
        <v>0.1813</v>
      </c>
      <c r="AA320" s="33">
        <v>0.1718</v>
      </c>
      <c r="AB320" s="33">
        <v>0.1604</v>
      </c>
      <c r="AC320" s="33">
        <v>0.1624</v>
      </c>
      <c r="AD320" s="33">
        <v>0.1837</v>
      </c>
      <c r="AE320" s="33">
        <v>0.177</v>
      </c>
      <c r="AF320" s="33">
        <v>0.1676</v>
      </c>
      <c r="AG320" s="33">
        <v>0.1661</v>
      </c>
      <c r="AH320" s="33">
        <v>0.1807</v>
      </c>
      <c r="AI320" s="33">
        <v>0.1761</v>
      </c>
      <c r="AJ320" s="33">
        <v>0.1565</v>
      </c>
      <c r="AK320" s="33">
        <v>0.1794</v>
      </c>
      <c r="AL320" s="33">
        <v>0.1774</v>
      </c>
      <c r="AM320" s="33">
        <v>0.1761</v>
      </c>
      <c r="AN320" s="33">
        <v>0.1628</v>
      </c>
      <c r="AO320" s="33">
        <v>0.1344</v>
      </c>
      <c r="AP320" s="33">
        <v>0.1305</v>
      </c>
      <c r="AQ320" s="33">
        <v>0.133</v>
      </c>
      <c r="AR320" s="33">
        <v>0.1399</v>
      </c>
      <c r="AS320" s="33">
        <v>0.1392</v>
      </c>
      <c r="AT320" s="33">
        <v>0.1282</v>
      </c>
      <c r="AU320" s="33">
        <v>0.1324</v>
      </c>
      <c r="AV320" s="33">
        <v>0.1547</v>
      </c>
      <c r="AW320" s="33">
        <v>0.1565</v>
      </c>
      <c r="AX320" s="33">
        <v>0.1715</v>
      </c>
      <c r="AY320" s="33">
        <v>0.1644</v>
      </c>
      <c r="AZ320" s="33">
        <v>0.1615</v>
      </c>
      <c r="BA320" s="33">
        <v>0.1738</v>
      </c>
      <c r="BB320" s="33">
        <v>0.1716</v>
      </c>
      <c r="BC320" s="33">
        <v>0.1737</v>
      </c>
      <c r="BD320" s="33">
        <v>0.1719</v>
      </c>
      <c r="BE320" s="33">
        <v>0.1661</v>
      </c>
      <c r="BF320" s="33">
        <v>0.2242</v>
      </c>
      <c r="BG320" s="33">
        <v>0.1937</v>
      </c>
      <c r="BH320" s="33">
        <v>0.2109</v>
      </c>
      <c r="BI320" s="33">
        <v>0.1867</v>
      </c>
      <c r="BJ320" s="33">
        <v>0.1819</v>
      </c>
      <c r="BK320" s="33">
        <v>0.1966</v>
      </c>
      <c r="BL320" s="33"/>
      <c r="BM320" s="33"/>
      <c r="BN320" s="33"/>
      <c r="BO320" s="33"/>
      <c r="BP320" s="33"/>
      <c r="BQ320" s="33"/>
      <c r="BR320" s="33"/>
      <c r="BS320" s="1"/>
      <c r="BT320" s="9"/>
      <c r="BU320" s="9"/>
      <c r="BV320" s="1"/>
      <c r="BW320" s="1"/>
      <c r="BX320" s="1"/>
      <c r="BY320" s="1"/>
      <c r="BZ320" s="1"/>
    </row>
    <row r="321">
      <c r="A321" s="3"/>
      <c r="B321" s="33"/>
      <c r="C321" s="151"/>
      <c r="D321" s="151" t="s">
        <v>250</v>
      </c>
      <c r="E321" s="2"/>
      <c r="F321" s="2"/>
      <c r="G321" s="14"/>
      <c r="H321" s="14"/>
      <c r="I321" s="14"/>
      <c r="J321" s="14"/>
      <c r="K321" s="14"/>
      <c r="L321" s="1"/>
      <c r="M321" s="1"/>
      <c r="N321" s="1"/>
      <c r="O321" s="1"/>
      <c r="P321" s="1"/>
      <c r="Q321" s="1"/>
      <c r="R321" s="17" t="s">
        <v>250</v>
      </c>
      <c r="S321" s="33">
        <v>0.0885</v>
      </c>
      <c r="T321" s="33">
        <v>0.0861</v>
      </c>
      <c r="U321" s="33">
        <v>0.085</v>
      </c>
      <c r="V321" s="33">
        <v>0.0892</v>
      </c>
      <c r="W321" s="33">
        <v>0.1117</v>
      </c>
      <c r="X321" s="33">
        <v>0.1184</v>
      </c>
      <c r="Y321" s="33">
        <v>0.1183</v>
      </c>
      <c r="Z321" s="33">
        <v>0.122</v>
      </c>
      <c r="AA321" s="33">
        <v>0.1176</v>
      </c>
      <c r="AB321" s="33">
        <v>0.1103</v>
      </c>
      <c r="AC321" s="33">
        <v>0.1093</v>
      </c>
      <c r="AD321" s="33">
        <v>0.115</v>
      </c>
      <c r="AE321" s="33">
        <v>0.1138</v>
      </c>
      <c r="AF321" s="33">
        <v>0.1106</v>
      </c>
      <c r="AG321" s="33">
        <v>0.1139</v>
      </c>
      <c r="AH321" s="33">
        <v>0.1255</v>
      </c>
      <c r="AI321" s="33">
        <v>0.1223</v>
      </c>
      <c r="AJ321" s="33">
        <v>0.1136</v>
      </c>
      <c r="AK321" s="33">
        <v>0.1114</v>
      </c>
      <c r="AL321" s="33">
        <v>0.1199</v>
      </c>
      <c r="AM321" s="33">
        <v>0.1253</v>
      </c>
      <c r="AN321" s="33">
        <v>0.117</v>
      </c>
      <c r="AO321" s="33">
        <v>0.0943</v>
      </c>
      <c r="AP321" s="33">
        <v>0.0946</v>
      </c>
      <c r="AQ321" s="33">
        <v>0.0984</v>
      </c>
      <c r="AR321" s="33">
        <v>0.1007</v>
      </c>
      <c r="AS321" s="33">
        <v>0.096</v>
      </c>
      <c r="AT321" s="33">
        <v>0.0932</v>
      </c>
      <c r="AU321" s="33">
        <v>0.0976</v>
      </c>
      <c r="AV321" s="33">
        <v>0.1128</v>
      </c>
      <c r="AW321" s="33">
        <v>0.116</v>
      </c>
      <c r="AX321" s="33">
        <v>0.1159</v>
      </c>
      <c r="AY321" s="33">
        <v>0.1353</v>
      </c>
      <c r="AZ321" s="33">
        <v>0.1098</v>
      </c>
      <c r="BA321" s="33">
        <v>0.1173</v>
      </c>
      <c r="BB321" s="33">
        <v>0.1138</v>
      </c>
      <c r="BC321" s="33">
        <v>0.111</v>
      </c>
      <c r="BD321" s="33">
        <v>0.1118</v>
      </c>
      <c r="BE321" s="33">
        <v>0.1046</v>
      </c>
      <c r="BF321" s="33">
        <v>0.1165</v>
      </c>
      <c r="BG321" s="33">
        <v>0.1229</v>
      </c>
      <c r="BH321" s="33">
        <v>0.1399</v>
      </c>
      <c r="BI321" s="33">
        <v>0.1245</v>
      </c>
      <c r="BJ321" s="33">
        <v>0.1218</v>
      </c>
      <c r="BK321" s="33">
        <v>0.1358</v>
      </c>
      <c r="BL321" s="33"/>
      <c r="BM321" s="33"/>
      <c r="BN321" s="33"/>
      <c r="BO321" s="33"/>
      <c r="BP321" s="33"/>
      <c r="BQ321" s="33"/>
      <c r="BR321" s="33"/>
      <c r="BS321" s="1"/>
      <c r="BT321" s="9"/>
      <c r="BU321" s="9"/>
      <c r="BV321" s="1"/>
      <c r="BW321" s="1"/>
      <c r="BX321" s="1"/>
      <c r="BY321" s="1"/>
      <c r="BZ321" s="1"/>
    </row>
    <row r="322">
      <c r="A322" s="3"/>
      <c r="B322" s="33"/>
      <c r="C322" s="151"/>
      <c r="D322" s="151" t="s">
        <v>252</v>
      </c>
      <c r="E322" s="2"/>
      <c r="F322" s="2"/>
      <c r="G322" s="14"/>
      <c r="H322" s="14"/>
      <c r="I322" s="14"/>
      <c r="J322" s="14"/>
      <c r="K322" s="14"/>
      <c r="L322" s="1"/>
      <c r="M322" s="1"/>
      <c r="N322" s="1"/>
      <c r="O322" s="1"/>
      <c r="P322" s="1"/>
      <c r="Q322" s="1"/>
      <c r="R322" s="17" t="s">
        <v>252</v>
      </c>
      <c r="S322" s="33">
        <v>0.1158</v>
      </c>
      <c r="T322" s="33">
        <v>0.1127</v>
      </c>
      <c r="U322" s="33">
        <v>0.1093</v>
      </c>
      <c r="V322" s="33">
        <v>0.1234</v>
      </c>
      <c r="W322" s="33">
        <v>0.1499</v>
      </c>
      <c r="X322" s="33">
        <v>0.1529</v>
      </c>
      <c r="Y322" s="33">
        <v>0.1555</v>
      </c>
      <c r="Z322" s="33">
        <v>0.159</v>
      </c>
      <c r="AA322" s="33">
        <v>0.1494</v>
      </c>
      <c r="AB322" s="33">
        <v>0.1454</v>
      </c>
      <c r="AC322" s="33">
        <v>0.1534</v>
      </c>
      <c r="AD322" s="33">
        <v>0.1588</v>
      </c>
      <c r="AE322" s="33">
        <v>0.1583</v>
      </c>
      <c r="AF322" s="33">
        <v>0.1552</v>
      </c>
      <c r="AG322" s="33">
        <v>0.192</v>
      </c>
      <c r="AH322" s="33">
        <v>0.1615</v>
      </c>
      <c r="AI322" s="33">
        <v>0.148</v>
      </c>
      <c r="AJ322" s="33">
        <v>0.1347</v>
      </c>
      <c r="AK322" s="33">
        <v>0.13</v>
      </c>
      <c r="AL322" s="33">
        <v>0.1518</v>
      </c>
      <c r="AM322" s="33">
        <v>0.1507</v>
      </c>
      <c r="AN322" s="33">
        <v>0.1414</v>
      </c>
      <c r="AO322" s="33">
        <v>0.1111</v>
      </c>
      <c r="AP322" s="33">
        <v>0.1089</v>
      </c>
      <c r="AQ322" s="33">
        <v>0.1091</v>
      </c>
      <c r="AR322" s="33">
        <v>0.1102</v>
      </c>
      <c r="AS322" s="33">
        <v>0.1084</v>
      </c>
      <c r="AT322" s="33">
        <v>0.1077</v>
      </c>
      <c r="AU322" s="33">
        <v>0.1285</v>
      </c>
      <c r="AV322" s="33">
        <v>0.1473</v>
      </c>
      <c r="AW322" s="33">
        <v>0.1457</v>
      </c>
      <c r="AX322" s="33">
        <v>0.1468</v>
      </c>
      <c r="AY322" s="33">
        <v>0.1403</v>
      </c>
      <c r="AZ322" s="33">
        <v>0.1401</v>
      </c>
      <c r="BA322" s="33">
        <v>0.1474</v>
      </c>
      <c r="BB322" s="33">
        <v>0.1413</v>
      </c>
      <c r="BC322" s="33">
        <v>0.1371</v>
      </c>
      <c r="BD322" s="33">
        <v>0.1357</v>
      </c>
      <c r="BE322" s="33">
        <v>0.1302</v>
      </c>
      <c r="BF322" s="33">
        <v>0.1948</v>
      </c>
      <c r="BG322" s="33">
        <v>0.1827</v>
      </c>
      <c r="BH322" s="33">
        <v>0.1677</v>
      </c>
      <c r="BI322" s="33">
        <v>0.1413</v>
      </c>
      <c r="BJ322" s="33">
        <v>0.1362</v>
      </c>
      <c r="BK322" s="33">
        <v>0.1783</v>
      </c>
      <c r="BL322" s="33"/>
      <c r="BM322" s="33"/>
      <c r="BN322" s="33"/>
      <c r="BO322" s="33"/>
      <c r="BP322" s="33"/>
      <c r="BQ322" s="33"/>
      <c r="BR322" s="33"/>
      <c r="BS322" s="1"/>
      <c r="BT322" s="9"/>
      <c r="BU322" s="9"/>
      <c r="BV322" s="1"/>
      <c r="BW322" s="1"/>
      <c r="BX322" s="1"/>
      <c r="BY322" s="1"/>
      <c r="BZ322" s="1"/>
    </row>
    <row r="323">
      <c r="A323" s="3"/>
      <c r="B323" s="33"/>
      <c r="C323" s="151"/>
      <c r="D323" s="151" t="s">
        <v>254</v>
      </c>
      <c r="E323" s="2"/>
      <c r="F323" s="2"/>
      <c r="G323" s="14"/>
      <c r="H323" s="14"/>
      <c r="I323" s="14"/>
      <c r="J323" s="14"/>
      <c r="K323" s="14"/>
      <c r="L323" s="1"/>
      <c r="M323" s="1"/>
      <c r="N323" s="1"/>
      <c r="O323" s="1"/>
      <c r="P323" s="1"/>
      <c r="Q323" s="1"/>
      <c r="R323" s="17" t="s">
        <v>254</v>
      </c>
      <c r="S323" s="33">
        <v>0.1155</v>
      </c>
      <c r="T323" s="33">
        <v>0.1115</v>
      </c>
      <c r="U323" s="33">
        <v>0.1104</v>
      </c>
      <c r="V323" s="33">
        <v>0.1182</v>
      </c>
      <c r="W323" s="33">
        <v>0.1434</v>
      </c>
      <c r="X323" s="33">
        <v>0.1496</v>
      </c>
      <c r="Y323" s="33">
        <v>0.1516</v>
      </c>
      <c r="Z323" s="33">
        <v>0.152</v>
      </c>
      <c r="AA323" s="33">
        <v>0.1462</v>
      </c>
      <c r="AB323" s="33">
        <v>0.1425</v>
      </c>
      <c r="AC323" s="33">
        <v>0.1424</v>
      </c>
      <c r="AD323" s="33">
        <v>0.1516</v>
      </c>
      <c r="AE323" s="33">
        <v>0.1532</v>
      </c>
      <c r="AF323" s="33">
        <v>0.1494</v>
      </c>
      <c r="AG323" s="33">
        <v>0.1445</v>
      </c>
      <c r="AH323" s="33">
        <v>0.1428</v>
      </c>
      <c r="AI323" s="33">
        <v>0.1452</v>
      </c>
      <c r="AJ323" s="33">
        <v>0.1432</v>
      </c>
      <c r="AK323" s="33">
        <v>0.1349</v>
      </c>
      <c r="AL323" s="33">
        <v>0.1494</v>
      </c>
      <c r="AM323" s="33">
        <v>0.1482</v>
      </c>
      <c r="AN323" s="33">
        <v>0.1438</v>
      </c>
      <c r="AO323" s="33">
        <v>0.1157</v>
      </c>
      <c r="AP323" s="33">
        <v>0.1157</v>
      </c>
      <c r="AQ323" s="33">
        <v>0.1207</v>
      </c>
      <c r="AR323" s="33">
        <v>0.12</v>
      </c>
      <c r="AS323" s="33">
        <v>0.1158</v>
      </c>
      <c r="AT323" s="33">
        <v>0.1066</v>
      </c>
      <c r="AU323" s="33">
        <v>0.1137</v>
      </c>
      <c r="AV323" s="33">
        <v>0.141</v>
      </c>
      <c r="AW323" s="33">
        <v>0.1608</v>
      </c>
      <c r="AX323" s="33">
        <v>0.1764</v>
      </c>
      <c r="AY323" s="33">
        <v>0.1507</v>
      </c>
      <c r="AZ323" s="33">
        <v>0.1468</v>
      </c>
      <c r="BA323" s="33">
        <v>0.1624</v>
      </c>
      <c r="BB323" s="33">
        <v>0.1611</v>
      </c>
      <c r="BC323" s="33">
        <v>0.1555</v>
      </c>
      <c r="BD323" s="33">
        <v>0.148</v>
      </c>
      <c r="BE323" s="33">
        <v>0.1519</v>
      </c>
      <c r="BF323" s="33">
        <v>0.1449</v>
      </c>
      <c r="BG323" s="33">
        <v>0.1482</v>
      </c>
      <c r="BH323" s="33">
        <v>0.1517</v>
      </c>
      <c r="BI323" s="33">
        <v>0.1541</v>
      </c>
      <c r="BJ323" s="33">
        <v>0.1512</v>
      </c>
      <c r="BK323" s="33">
        <v>0.1789</v>
      </c>
      <c r="BL323" s="33"/>
      <c r="BM323" s="33"/>
      <c r="BN323" s="33"/>
      <c r="BO323" s="33"/>
      <c r="BP323" s="33"/>
      <c r="BQ323" s="33"/>
      <c r="BR323" s="33"/>
      <c r="BS323" s="1"/>
      <c r="BT323" s="9"/>
      <c r="BU323" s="9"/>
      <c r="BV323" s="1"/>
      <c r="BW323" s="1"/>
      <c r="BX323" s="1"/>
      <c r="BY323" s="1"/>
      <c r="BZ323" s="1"/>
    </row>
    <row r="324">
      <c r="A324" s="3"/>
      <c r="B324" s="33"/>
      <c r="C324" s="151"/>
      <c r="D324" s="151" t="s">
        <v>256</v>
      </c>
      <c r="E324" s="2"/>
      <c r="F324" s="2"/>
      <c r="G324" s="14"/>
      <c r="H324" s="14"/>
      <c r="I324" s="14"/>
      <c r="J324" s="14"/>
      <c r="K324" s="14"/>
      <c r="L324" s="1"/>
      <c r="M324" s="1"/>
      <c r="N324" s="1"/>
      <c r="O324" s="1"/>
      <c r="P324" s="1"/>
      <c r="Q324" s="1"/>
      <c r="R324" s="17" t="s">
        <v>256</v>
      </c>
      <c r="S324" s="33">
        <v>0.2351</v>
      </c>
      <c r="T324" s="33">
        <v>0.2207</v>
      </c>
      <c r="U324" s="33">
        <v>0.2203</v>
      </c>
      <c r="V324" s="33">
        <v>0.222</v>
      </c>
      <c r="W324" s="33">
        <v>0.2653</v>
      </c>
      <c r="X324" s="33">
        <v>0.2883</v>
      </c>
      <c r="Y324" s="33">
        <v>0.2876</v>
      </c>
      <c r="Z324" s="33">
        <v>0.2783</v>
      </c>
      <c r="AA324" s="33">
        <v>0.2743</v>
      </c>
      <c r="AB324" s="33">
        <v>0.2581</v>
      </c>
      <c r="AC324" s="33">
        <v>0.2611</v>
      </c>
      <c r="AD324" s="33">
        <v>0.2667</v>
      </c>
      <c r="AE324" s="33">
        <v>0.2595</v>
      </c>
      <c r="AF324" s="33">
        <v>0.2488</v>
      </c>
      <c r="AG324" s="33">
        <v>0.254</v>
      </c>
      <c r="AH324" s="33">
        <v>0.2561</v>
      </c>
      <c r="AI324" s="33">
        <v>0.2527</v>
      </c>
      <c r="AJ324" s="33">
        <v>0.2436</v>
      </c>
      <c r="AK324" s="33">
        <v>0.2448</v>
      </c>
      <c r="AL324" s="33">
        <v>0.2687</v>
      </c>
      <c r="AM324" s="33">
        <v>0.2604</v>
      </c>
      <c r="AN324" s="33">
        <v>0.2535</v>
      </c>
      <c r="AO324" s="33">
        <v>0.1952</v>
      </c>
      <c r="AP324" s="33">
        <v>0.1841</v>
      </c>
      <c r="AQ324" s="33">
        <v>0.1744</v>
      </c>
      <c r="AR324" s="33">
        <v>0.1801</v>
      </c>
      <c r="AS324" s="33">
        <v>0.178</v>
      </c>
      <c r="AT324" s="33">
        <v>0.1675</v>
      </c>
      <c r="AU324" s="33">
        <v>0.178</v>
      </c>
      <c r="AV324" s="33">
        <v>0.2305</v>
      </c>
      <c r="AW324" s="33">
        <v>0.2326</v>
      </c>
      <c r="AX324" s="33">
        <v>0.2389</v>
      </c>
      <c r="AY324" s="33">
        <v>0.2461</v>
      </c>
      <c r="AZ324" s="33">
        <v>0.2549</v>
      </c>
      <c r="BA324" s="33">
        <v>0.2775</v>
      </c>
      <c r="BB324" s="33">
        <v>0.2734</v>
      </c>
      <c r="BC324" s="33">
        <v>0.2715</v>
      </c>
      <c r="BD324" s="33">
        <v>0.2567</v>
      </c>
      <c r="BE324" s="33">
        <v>0.2498</v>
      </c>
      <c r="BF324" s="33">
        <v>0.2485</v>
      </c>
      <c r="BG324" s="33">
        <v>0.2651</v>
      </c>
      <c r="BH324" s="33">
        <v>0.3054</v>
      </c>
      <c r="BI324" s="33">
        <v>0.2911</v>
      </c>
      <c r="BJ324" s="33">
        <v>0.283</v>
      </c>
      <c r="BK324" s="33">
        <v>0.283</v>
      </c>
      <c r="BL324" s="33"/>
      <c r="BM324" s="33"/>
      <c r="BN324" s="33"/>
      <c r="BO324" s="33"/>
      <c r="BP324" s="33"/>
      <c r="BQ324" s="33"/>
      <c r="BR324" s="33"/>
      <c r="BS324" s="1"/>
      <c r="BT324" s="9"/>
      <c r="BU324" s="9"/>
      <c r="BV324" s="1"/>
      <c r="BW324" s="1"/>
      <c r="BX324" s="1"/>
      <c r="BY324" s="1"/>
      <c r="BZ324" s="1"/>
    </row>
    <row r="325">
      <c r="A325" s="3"/>
      <c r="B325" s="33"/>
      <c r="C325" s="161"/>
      <c r="D325" s="161" t="s">
        <v>259</v>
      </c>
      <c r="E325" s="2"/>
      <c r="F325" s="2"/>
      <c r="G325" s="14"/>
      <c r="H325" s="14"/>
      <c r="I325" s="14"/>
      <c r="J325" s="14"/>
      <c r="K325" s="14"/>
      <c r="L325" s="1"/>
      <c r="M325" s="1"/>
      <c r="N325" s="1"/>
      <c r="O325" s="1"/>
      <c r="P325" s="1"/>
      <c r="Q325" s="1"/>
      <c r="R325" s="17" t="s">
        <v>260</v>
      </c>
      <c r="S325" s="33">
        <v>0.1489</v>
      </c>
      <c r="T325" s="33">
        <v>0.1456</v>
      </c>
      <c r="U325" s="33">
        <v>0.1454</v>
      </c>
      <c r="V325" s="33">
        <v>0.1374</v>
      </c>
      <c r="W325" s="33">
        <v>0.1554</v>
      </c>
      <c r="X325" s="33">
        <v>0.1804</v>
      </c>
      <c r="Y325" s="33">
        <v>0.1799</v>
      </c>
      <c r="Z325" s="33">
        <v>0.1989</v>
      </c>
      <c r="AA325" s="33">
        <v>0.1734</v>
      </c>
      <c r="AB325" s="33">
        <v>0.1754</v>
      </c>
      <c r="AC325" s="33">
        <v>0.1635</v>
      </c>
      <c r="AD325" s="33">
        <v>0.1786</v>
      </c>
      <c r="AE325" s="33">
        <v>0.194</v>
      </c>
      <c r="AF325" s="33">
        <v>0.1628</v>
      </c>
      <c r="AG325" s="33">
        <v>0.1782</v>
      </c>
      <c r="AH325" s="33">
        <v>0.1606</v>
      </c>
      <c r="AI325" s="33">
        <v>0.1625</v>
      </c>
      <c r="AJ325" s="33">
        <v>0.1512</v>
      </c>
      <c r="AK325" s="33">
        <v>0.1504</v>
      </c>
      <c r="AL325" s="33">
        <v>0.1512</v>
      </c>
      <c r="AM325" s="33">
        <v>0.1518</v>
      </c>
      <c r="AN325" s="33">
        <v>0.1531</v>
      </c>
      <c r="AO325" s="33">
        <v>0.1281</v>
      </c>
      <c r="AP325" s="33">
        <v>0.1218</v>
      </c>
      <c r="AQ325" s="33">
        <v>0.1202</v>
      </c>
      <c r="AR325" s="33">
        <v>0.1262</v>
      </c>
      <c r="AS325" s="33">
        <v>0.1222</v>
      </c>
      <c r="AT325" s="33">
        <v>0.1286</v>
      </c>
      <c r="AU325" s="33">
        <v>0.1666</v>
      </c>
      <c r="AV325" s="33">
        <v>0.1964</v>
      </c>
      <c r="AW325" s="33">
        <v>0.1648</v>
      </c>
      <c r="AX325" s="33">
        <v>0.1383</v>
      </c>
      <c r="AY325" s="33">
        <v>0.1488</v>
      </c>
      <c r="AZ325" s="33">
        <v>0.2077</v>
      </c>
      <c r="BA325" s="33">
        <v>0.2258</v>
      </c>
      <c r="BB325" s="33">
        <v>0.1703</v>
      </c>
      <c r="BC325" s="33">
        <v>0.152</v>
      </c>
      <c r="BD325" s="33">
        <v>0.1427</v>
      </c>
      <c r="BE325" s="33">
        <v>0.1465</v>
      </c>
      <c r="BF325" s="33">
        <v>0.1843</v>
      </c>
      <c r="BG325" s="33">
        <v>0.1879</v>
      </c>
      <c r="BH325" s="33">
        <v>0.1867</v>
      </c>
      <c r="BI325" s="33">
        <v>0.172</v>
      </c>
      <c r="BJ325" s="33">
        <v>0.1666</v>
      </c>
      <c r="BK325" s="33">
        <v>0.1597</v>
      </c>
      <c r="BL325" s="33"/>
      <c r="BM325" s="33"/>
      <c r="BN325" s="33"/>
      <c r="BO325" s="33"/>
      <c r="BP325" s="33"/>
      <c r="BQ325" s="33"/>
      <c r="BR325" s="33"/>
      <c r="BS325" s="1"/>
      <c r="BT325" s="9"/>
      <c r="BU325" s="9"/>
      <c r="BV325" s="1"/>
      <c r="BW325" s="1"/>
      <c r="BX325" s="1"/>
      <c r="BY325" s="1"/>
      <c r="BZ325" s="1"/>
    </row>
    <row r="326">
      <c r="A326" s="3"/>
      <c r="B326" s="33"/>
      <c r="C326" s="151"/>
      <c r="D326" s="151" t="s">
        <v>262</v>
      </c>
      <c r="E326" s="2"/>
      <c r="F326" s="2"/>
      <c r="G326" s="14"/>
      <c r="H326" s="14"/>
      <c r="I326" s="14"/>
      <c r="J326" s="14"/>
      <c r="K326" s="14"/>
      <c r="L326" s="1"/>
      <c r="M326" s="1"/>
      <c r="N326" s="1"/>
      <c r="O326" s="1"/>
      <c r="P326" s="1"/>
      <c r="Q326" s="1"/>
      <c r="R326" s="17" t="s">
        <v>262</v>
      </c>
      <c r="S326" s="3" t="e">
        <v>#DIV/0!</v>
      </c>
      <c r="T326" s="3" t="e">
        <v>#DIV/0!</v>
      </c>
      <c r="U326" s="33">
        <v>0.0808</v>
      </c>
      <c r="V326" s="33">
        <v>0.1087</v>
      </c>
      <c r="W326" s="33">
        <v>0.1089</v>
      </c>
      <c r="X326" s="33">
        <v>0.1042</v>
      </c>
      <c r="Y326" s="33">
        <v>0.1145</v>
      </c>
      <c r="Z326" s="33">
        <v>0.1141</v>
      </c>
      <c r="AA326" s="33">
        <v>0.1214</v>
      </c>
      <c r="AB326" s="33">
        <v>0.1145</v>
      </c>
      <c r="AC326" s="33">
        <v>0.1099</v>
      </c>
      <c r="AD326" s="33">
        <v>0.1244</v>
      </c>
      <c r="AE326" s="33">
        <v>0.1289</v>
      </c>
      <c r="AF326" s="33">
        <v>0.1306</v>
      </c>
      <c r="AG326" s="33">
        <v>0.1521</v>
      </c>
      <c r="AH326" s="33">
        <v>0.1459</v>
      </c>
      <c r="AI326" s="33">
        <v>0.1265</v>
      </c>
      <c r="AJ326" s="33">
        <v>0.1143</v>
      </c>
      <c r="AK326" s="33">
        <v>0.1085</v>
      </c>
      <c r="AL326" s="33">
        <v>0.123</v>
      </c>
      <c r="AM326" s="33">
        <v>0.112</v>
      </c>
      <c r="AN326" s="33">
        <v>0.1105</v>
      </c>
      <c r="AO326" s="33">
        <v>0.0936</v>
      </c>
      <c r="AP326" s="33">
        <v>0.0931</v>
      </c>
      <c r="AQ326" s="33">
        <v>0.0918</v>
      </c>
      <c r="AR326" s="33">
        <v>0.0959</v>
      </c>
      <c r="AS326" s="33">
        <v>0.0931</v>
      </c>
      <c r="AT326" s="33">
        <v>0.0915</v>
      </c>
      <c r="AU326" s="33">
        <v>0.0962</v>
      </c>
      <c r="AV326" s="33">
        <v>0.1072</v>
      </c>
      <c r="AW326" s="33">
        <v>0.1235</v>
      </c>
      <c r="AX326" s="33">
        <v>0.1158</v>
      </c>
      <c r="AY326" s="33">
        <v>0.1083</v>
      </c>
      <c r="AZ326" s="33">
        <v>0.1109</v>
      </c>
      <c r="BA326" s="33">
        <v>0.1087</v>
      </c>
      <c r="BB326" s="33">
        <v>0.1113</v>
      </c>
      <c r="BC326" s="33">
        <v>0.1063</v>
      </c>
      <c r="BD326" s="33">
        <v>0.1023</v>
      </c>
      <c r="BE326" s="33">
        <v>0.1064</v>
      </c>
      <c r="BF326" s="33">
        <v>0.1647</v>
      </c>
      <c r="BG326" s="33">
        <v>0.3416</v>
      </c>
      <c r="BH326" s="33">
        <v>0.17</v>
      </c>
      <c r="BI326" s="33">
        <v>0.0999</v>
      </c>
      <c r="BJ326" s="33">
        <v>0.0931</v>
      </c>
      <c r="BK326" s="33">
        <v>0.1144</v>
      </c>
      <c r="BL326" s="33"/>
      <c r="BM326" s="33"/>
      <c r="BN326" s="33"/>
      <c r="BO326" s="33"/>
      <c r="BP326" s="33"/>
      <c r="BQ326" s="33"/>
      <c r="BR326" s="33"/>
      <c r="BS326" s="1"/>
      <c r="BT326" s="9"/>
      <c r="BU326" s="9"/>
      <c r="BV326" s="1"/>
      <c r="BW326" s="1"/>
      <c r="BX326" s="1"/>
      <c r="BY326" s="1"/>
      <c r="BZ326" s="1"/>
    </row>
    <row r="327">
      <c r="A327" s="3"/>
      <c r="B327" s="33"/>
      <c r="C327" s="164"/>
      <c r="D327" s="164"/>
      <c r="E327" s="2"/>
      <c r="F327" s="2"/>
      <c r="G327" s="14"/>
      <c r="H327" s="14"/>
      <c r="I327" s="14"/>
      <c r="J327" s="14"/>
      <c r="K327" s="14"/>
      <c r="L327" s="1"/>
      <c r="M327" s="1"/>
      <c r="N327" s="1"/>
      <c r="O327" s="1"/>
      <c r="P327" s="1"/>
      <c r="Q327" s="1"/>
      <c r="R327" s="1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1"/>
      <c r="BT327" s="9"/>
      <c r="BU327" s="9"/>
      <c r="BV327" s="1"/>
      <c r="BW327" s="1"/>
      <c r="BX327" s="1"/>
      <c r="BY327" s="1"/>
      <c r="BZ327" s="1"/>
    </row>
    <row r="328">
      <c r="A328" s="3"/>
      <c r="B328" s="33"/>
      <c r="C328" s="156"/>
      <c r="D328" s="156"/>
      <c r="E328" s="2"/>
      <c r="F328" s="2"/>
      <c r="G328" s="14"/>
      <c r="H328" s="14"/>
      <c r="I328" s="14"/>
      <c r="J328" s="14"/>
      <c r="K328" s="14"/>
      <c r="L328" s="1"/>
      <c r="M328" s="1"/>
      <c r="N328" s="1"/>
      <c r="O328" s="1"/>
      <c r="P328" s="1"/>
      <c r="Q328" s="1"/>
      <c r="R328" s="1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1"/>
      <c r="BT328" s="9"/>
      <c r="BU328" s="9"/>
      <c r="BV328" s="1"/>
      <c r="BW328" s="1"/>
      <c r="BX328" s="1"/>
      <c r="BY328" s="1"/>
      <c r="BZ328" s="1"/>
    </row>
    <row r="329">
      <c r="A329" s="3"/>
      <c r="B329" s="33"/>
      <c r="C329" s="162"/>
      <c r="D329" s="162" t="s">
        <v>136</v>
      </c>
      <c r="E329" s="2"/>
      <c r="F329" s="2"/>
      <c r="G329" s="14"/>
      <c r="H329" s="14"/>
      <c r="I329" s="14"/>
      <c r="J329" s="14"/>
      <c r="K329" s="14"/>
      <c r="L329" s="1"/>
      <c r="M329" s="1"/>
      <c r="N329" s="1"/>
      <c r="O329" s="1"/>
      <c r="P329" s="1"/>
      <c r="Q329" s="1"/>
      <c r="R329" s="1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1"/>
      <c r="BT329" s="9"/>
      <c r="BU329" s="9"/>
      <c r="BV329" s="1"/>
      <c r="BW329" s="1"/>
      <c r="BX329" s="1"/>
      <c r="BY329" s="1"/>
      <c r="BZ329" s="1"/>
    </row>
    <row r="330">
      <c r="A330" s="3"/>
      <c r="B330" s="33"/>
      <c r="C330" s="151"/>
      <c r="D330" s="151" t="s">
        <v>246</v>
      </c>
      <c r="E330" s="2"/>
      <c r="F330" s="2"/>
      <c r="G330" s="14"/>
      <c r="H330" s="14"/>
      <c r="I330" s="14"/>
      <c r="J330" s="14"/>
      <c r="K330" s="14"/>
      <c r="L330" s="1"/>
      <c r="M330" s="1"/>
      <c r="N330" s="1"/>
      <c r="O330" s="1"/>
      <c r="P330" s="1"/>
      <c r="Q330" s="1"/>
      <c r="R330" s="1"/>
      <c r="S330" s="3">
        <v>0.0</v>
      </c>
      <c r="T330" s="3">
        <v>0.0</v>
      </c>
      <c r="U330" s="3">
        <v>0.0</v>
      </c>
      <c r="V330" s="3">
        <v>0.0</v>
      </c>
      <c r="W330" s="3">
        <v>0.0</v>
      </c>
      <c r="X330" s="3">
        <v>0.0</v>
      </c>
      <c r="Y330" s="3">
        <v>0.0</v>
      </c>
      <c r="Z330" s="3">
        <v>0.0</v>
      </c>
      <c r="AA330" s="3">
        <v>134666.0</v>
      </c>
      <c r="AB330" s="3">
        <v>211904.0</v>
      </c>
      <c r="AC330" s="3">
        <v>211718.0</v>
      </c>
      <c r="AD330" s="3">
        <v>202134.0</v>
      </c>
      <c r="AE330" s="3">
        <v>204476.0</v>
      </c>
      <c r="AF330" s="3">
        <v>100472.0</v>
      </c>
      <c r="AG330" s="3">
        <v>109149.0</v>
      </c>
      <c r="AH330" s="3">
        <v>121945.0</v>
      </c>
      <c r="AI330" s="3">
        <v>103713.0</v>
      </c>
      <c r="AJ330" s="3">
        <v>17657.0</v>
      </c>
      <c r="AK330" s="3">
        <v>7702.0</v>
      </c>
      <c r="AL330" s="3">
        <v>8129.0</v>
      </c>
      <c r="AM330" s="3">
        <v>9973.0</v>
      </c>
      <c r="AN330" s="3">
        <v>3382.0</v>
      </c>
      <c r="AO330" s="3">
        <v>2986.0</v>
      </c>
      <c r="AP330" s="3">
        <v>1249.0</v>
      </c>
      <c r="AQ330" s="3">
        <v>4174.0</v>
      </c>
      <c r="AR330" s="3">
        <v>12748.0</v>
      </c>
      <c r="AS330" s="3">
        <v>17993.0</v>
      </c>
      <c r="AT330" s="3">
        <v>6353.0</v>
      </c>
      <c r="AU330" s="3">
        <v>3726.0</v>
      </c>
      <c r="AV330" s="3">
        <v>1252.0</v>
      </c>
      <c r="AW330" s="3">
        <v>921.0</v>
      </c>
      <c r="AX330" s="3">
        <v>844.0</v>
      </c>
      <c r="AY330" s="3">
        <v>562.0</v>
      </c>
      <c r="AZ330" s="3">
        <v>567.0</v>
      </c>
      <c r="BA330" s="3">
        <v>393.0</v>
      </c>
      <c r="BB330" s="3">
        <v>154.0</v>
      </c>
      <c r="BC330" s="3">
        <v>9585.0</v>
      </c>
      <c r="BD330" s="3">
        <v>36492.0</v>
      </c>
      <c r="BE330" s="3">
        <v>23771.0</v>
      </c>
      <c r="BF330" s="3">
        <v>13192.0</v>
      </c>
      <c r="BG330" s="3">
        <v>49808.0</v>
      </c>
      <c r="BH330" s="3">
        <v>41826.0</v>
      </c>
      <c r="BI330" s="3">
        <v>11161.0</v>
      </c>
      <c r="BJ330" s="3">
        <v>34850.0</v>
      </c>
      <c r="BK330" s="3">
        <v>297248.0</v>
      </c>
      <c r="BL330" s="3"/>
      <c r="BM330" s="3"/>
      <c r="BN330" s="3"/>
      <c r="BO330" s="3"/>
      <c r="BP330" s="3"/>
      <c r="BQ330" s="3"/>
      <c r="BR330" s="3"/>
      <c r="BS330" s="1"/>
      <c r="BT330" s="9"/>
      <c r="BU330" s="9"/>
      <c r="BV330" s="1"/>
      <c r="BW330" s="1"/>
      <c r="BX330" s="1"/>
      <c r="BY330" s="1"/>
      <c r="BZ330" s="1"/>
    </row>
    <row r="331">
      <c r="A331" s="3"/>
      <c r="B331" s="33"/>
      <c r="C331" s="151"/>
      <c r="D331" s="151" t="s">
        <v>248</v>
      </c>
      <c r="E331" s="2"/>
      <c r="F331" s="2"/>
      <c r="G331" s="14"/>
      <c r="H331" s="14"/>
      <c r="I331" s="14"/>
      <c r="J331" s="14"/>
      <c r="K331" s="14"/>
      <c r="L331" s="1"/>
      <c r="M331" s="1"/>
      <c r="N331" s="1"/>
      <c r="O331" s="1"/>
      <c r="P331" s="1"/>
      <c r="Q331" s="1"/>
      <c r="R331" s="1"/>
      <c r="S331" s="3">
        <v>0.0</v>
      </c>
      <c r="T331" s="3">
        <v>0.0</v>
      </c>
      <c r="U331" s="3">
        <v>0.0</v>
      </c>
      <c r="V331" s="3">
        <v>0.0</v>
      </c>
      <c r="W331" s="3">
        <v>0.0</v>
      </c>
      <c r="X331" s="3">
        <v>0.0</v>
      </c>
      <c r="Y331" s="3">
        <v>0.0</v>
      </c>
      <c r="Z331" s="3">
        <v>0.0</v>
      </c>
      <c r="AA331" s="3">
        <v>229765.0</v>
      </c>
      <c r="AB331" s="3">
        <v>362133.0</v>
      </c>
      <c r="AC331" s="3">
        <v>327618.0</v>
      </c>
      <c r="AD331" s="3">
        <v>319717.0</v>
      </c>
      <c r="AE331" s="3">
        <v>330313.0</v>
      </c>
      <c r="AF331" s="3">
        <v>171215.0</v>
      </c>
      <c r="AG331" s="3">
        <v>173035.0</v>
      </c>
      <c r="AH331" s="3">
        <v>216570.0</v>
      </c>
      <c r="AI331" s="3">
        <v>195523.0</v>
      </c>
      <c r="AJ331" s="3">
        <v>36576.0</v>
      </c>
      <c r="AK331" s="3">
        <v>13946.0</v>
      </c>
      <c r="AL331" s="3">
        <v>13402.0</v>
      </c>
      <c r="AM331" s="3">
        <v>18194.0</v>
      </c>
      <c r="AN331" s="3">
        <v>61314.0</v>
      </c>
      <c r="AO331" s="3">
        <v>7533.0</v>
      </c>
      <c r="AP331" s="3">
        <v>161.0</v>
      </c>
      <c r="AQ331" s="3">
        <v>18850.0</v>
      </c>
      <c r="AR331" s="3">
        <v>56187.0</v>
      </c>
      <c r="AS331" s="3">
        <v>631189.0</v>
      </c>
      <c r="AT331" s="3">
        <v>675856.0</v>
      </c>
      <c r="AU331" s="3">
        <v>436081.0</v>
      </c>
      <c r="AV331" s="3">
        <v>340644.0</v>
      </c>
      <c r="AW331" s="3">
        <v>255648.0</v>
      </c>
      <c r="AX331" s="3">
        <v>205678.0</v>
      </c>
      <c r="AY331" s="3">
        <v>406296.0</v>
      </c>
      <c r="AZ331" s="3">
        <v>88587.0</v>
      </c>
      <c r="BA331" s="3">
        <v>85462.0</v>
      </c>
      <c r="BB331" s="3">
        <v>72626.0</v>
      </c>
      <c r="BC331" s="3">
        <v>47781.0</v>
      </c>
      <c r="BD331" s="3">
        <v>92064.0</v>
      </c>
      <c r="BE331" s="3">
        <v>254692.0</v>
      </c>
      <c r="BF331" s="3">
        <v>229766.0</v>
      </c>
      <c r="BG331" s="3">
        <v>282648.0</v>
      </c>
      <c r="BH331" s="3">
        <v>288941.0</v>
      </c>
      <c r="BI331" s="3">
        <v>135770.0</v>
      </c>
      <c r="BJ331" s="3">
        <v>155581.0</v>
      </c>
      <c r="BK331" s="3">
        <v>332379.0</v>
      </c>
      <c r="BL331" s="3"/>
      <c r="BM331" s="3"/>
      <c r="BN331" s="3"/>
      <c r="BO331" s="3"/>
      <c r="BP331" s="3"/>
      <c r="BQ331" s="3"/>
      <c r="BR331" s="3"/>
      <c r="BS331" s="1"/>
      <c r="BT331" s="9"/>
      <c r="BU331" s="9"/>
      <c r="BV331" s="1"/>
      <c r="BW331" s="1"/>
      <c r="BX331" s="1"/>
      <c r="BY331" s="1"/>
      <c r="BZ331" s="1"/>
    </row>
    <row r="332">
      <c r="A332" s="3"/>
      <c r="B332" s="33"/>
      <c r="C332" s="151"/>
      <c r="D332" s="151" t="s">
        <v>251</v>
      </c>
      <c r="E332" s="2"/>
      <c r="F332" s="2"/>
      <c r="G332" s="14"/>
      <c r="H332" s="14"/>
      <c r="I332" s="14"/>
      <c r="J332" s="14"/>
      <c r="K332" s="14"/>
      <c r="L332" s="1"/>
      <c r="M332" s="1"/>
      <c r="N332" s="1"/>
      <c r="O332" s="1"/>
      <c r="P332" s="1"/>
      <c r="Q332" s="1"/>
      <c r="R332" s="1"/>
      <c r="S332" s="3">
        <v>0.0</v>
      </c>
      <c r="T332" s="3">
        <v>0.0</v>
      </c>
      <c r="U332" s="3">
        <v>0.0</v>
      </c>
      <c r="V332" s="3">
        <v>0.0</v>
      </c>
      <c r="W332" s="3">
        <v>0.0</v>
      </c>
      <c r="X332" s="3">
        <v>0.0</v>
      </c>
      <c r="Y332" s="3">
        <v>0.0</v>
      </c>
      <c r="Z332" s="3">
        <v>0.0</v>
      </c>
      <c r="AA332" s="3">
        <v>32114.0</v>
      </c>
      <c r="AB332" s="3">
        <v>51284.0</v>
      </c>
      <c r="AC332" s="3">
        <v>62602.0</v>
      </c>
      <c r="AD332" s="3">
        <v>48441.0</v>
      </c>
      <c r="AE332" s="3">
        <v>45077.0</v>
      </c>
      <c r="AF332" s="3">
        <v>23747.0</v>
      </c>
      <c r="AG332" s="3">
        <v>32392.0</v>
      </c>
      <c r="AH332" s="3">
        <v>28511.0</v>
      </c>
      <c r="AI332" s="3">
        <v>24207.0</v>
      </c>
      <c r="AJ332" s="3">
        <v>3736.0</v>
      </c>
      <c r="AK332" s="3">
        <v>1909.0</v>
      </c>
      <c r="AL332" s="3">
        <v>2150.0</v>
      </c>
      <c r="AM332" s="3">
        <v>2424.0</v>
      </c>
      <c r="AN332" s="3">
        <v>1314.0</v>
      </c>
      <c r="AO332" s="3">
        <v>8076.0</v>
      </c>
      <c r="AP332" s="3">
        <v>2277.0</v>
      </c>
      <c r="AQ332" s="3">
        <v>8610.0</v>
      </c>
      <c r="AR332" s="3">
        <v>3645.0</v>
      </c>
      <c r="AS332" s="3">
        <v>308157.0</v>
      </c>
      <c r="AT332" s="3">
        <v>180586.0</v>
      </c>
      <c r="AU332" s="3">
        <v>81394.0</v>
      </c>
      <c r="AV332" s="3">
        <v>24249.0</v>
      </c>
      <c r="AW332" s="3">
        <v>13001.0</v>
      </c>
      <c r="AX332" s="3">
        <v>9076.0</v>
      </c>
      <c r="AY332" s="3">
        <v>4803.0</v>
      </c>
      <c r="AZ332" s="3">
        <v>1761.0</v>
      </c>
      <c r="BA332" s="3">
        <v>575.0</v>
      </c>
      <c r="BB332" s="3">
        <v>248.0</v>
      </c>
      <c r="BC332" s="3">
        <v>1531.0</v>
      </c>
      <c r="BD332" s="3">
        <v>4395.0</v>
      </c>
      <c r="BE332" s="3">
        <v>13899.0</v>
      </c>
      <c r="BF332" s="3">
        <v>7550.0</v>
      </c>
      <c r="BG332" s="3">
        <v>957.0</v>
      </c>
      <c r="BH332" s="3">
        <v>1255.0</v>
      </c>
      <c r="BI332" s="3">
        <v>1025.0</v>
      </c>
      <c r="BJ332" s="3">
        <v>2533.0</v>
      </c>
      <c r="BK332" s="3">
        <v>29132.0</v>
      </c>
      <c r="BL332" s="3"/>
      <c r="BM332" s="3"/>
      <c r="BN332" s="3"/>
      <c r="BO332" s="3"/>
      <c r="BP332" s="3"/>
      <c r="BQ332" s="3"/>
      <c r="BR332" s="3"/>
      <c r="BS332" s="1"/>
      <c r="BT332" s="9"/>
      <c r="BU332" s="9"/>
      <c r="BV332" s="1"/>
      <c r="BW332" s="1"/>
      <c r="BX332" s="1"/>
      <c r="BY332" s="1"/>
      <c r="BZ332" s="1"/>
    </row>
    <row r="333">
      <c r="A333" s="3"/>
      <c r="B333" s="33"/>
      <c r="C333" s="151"/>
      <c r="D333" s="151" t="s">
        <v>253</v>
      </c>
      <c r="E333" s="2"/>
      <c r="F333" s="2"/>
      <c r="G333" s="14"/>
      <c r="H333" s="14"/>
      <c r="I333" s="14"/>
      <c r="J333" s="14"/>
      <c r="K333" s="14"/>
      <c r="L333" s="1"/>
      <c r="M333" s="1"/>
      <c r="N333" s="1"/>
      <c r="O333" s="1"/>
      <c r="P333" s="1"/>
      <c r="Q333" s="1"/>
      <c r="R333" s="1"/>
      <c r="S333" s="3">
        <v>0.0</v>
      </c>
      <c r="T333" s="3">
        <v>0.0</v>
      </c>
      <c r="U333" s="3">
        <v>0.0</v>
      </c>
      <c r="V333" s="3">
        <v>0.0</v>
      </c>
      <c r="W333" s="3">
        <v>0.0</v>
      </c>
      <c r="X333" s="3">
        <v>0.0</v>
      </c>
      <c r="Y333" s="3">
        <v>0.0</v>
      </c>
      <c r="Z333" s="3">
        <v>0.0</v>
      </c>
      <c r="AA333" s="3">
        <v>20780.0</v>
      </c>
      <c r="AB333" s="3">
        <v>35454.0</v>
      </c>
      <c r="AC333" s="3">
        <v>35555.0</v>
      </c>
      <c r="AD333" s="3">
        <v>30417.0</v>
      </c>
      <c r="AE333" s="3">
        <v>27938.0</v>
      </c>
      <c r="AF333" s="3">
        <v>13048.0</v>
      </c>
      <c r="AG333" s="3">
        <v>14314.0</v>
      </c>
      <c r="AH333" s="3">
        <v>15038.0</v>
      </c>
      <c r="AI333" s="3">
        <v>15368.0</v>
      </c>
      <c r="AJ333" s="3">
        <v>3158.0</v>
      </c>
      <c r="AK333" s="3">
        <v>1058.0</v>
      </c>
      <c r="AL333" s="3">
        <v>1258.0</v>
      </c>
      <c r="AM333" s="3">
        <v>1229.0</v>
      </c>
      <c r="AN333" s="3">
        <v>1238.0</v>
      </c>
      <c r="AO333" s="3">
        <v>1413.0</v>
      </c>
      <c r="AP333" s="3">
        <v>575.0</v>
      </c>
      <c r="AQ333" s="3">
        <v>1879.0</v>
      </c>
      <c r="AR333" s="3">
        <v>5298.0</v>
      </c>
      <c r="AS333" s="3">
        <v>2074.0</v>
      </c>
      <c r="AT333" s="3">
        <v>1288.0</v>
      </c>
      <c r="AU333" s="3">
        <v>1498.0</v>
      </c>
      <c r="AV333" s="3">
        <v>524.0</v>
      </c>
      <c r="AW333" s="3">
        <v>390.0</v>
      </c>
      <c r="AX333" s="3">
        <v>341.0</v>
      </c>
      <c r="AY333" s="3">
        <v>218.0</v>
      </c>
      <c r="AZ333" s="3">
        <v>145.0</v>
      </c>
      <c r="BA333" s="3">
        <v>80.0</v>
      </c>
      <c r="BB333" s="3">
        <v>45.0</v>
      </c>
      <c r="BC333" s="3">
        <v>538.0</v>
      </c>
      <c r="BD333" s="3">
        <v>300.0</v>
      </c>
      <c r="BE333" s="3">
        <v>163.0</v>
      </c>
      <c r="BF333" s="3">
        <v>179.0</v>
      </c>
      <c r="BG333" s="3">
        <v>328.0</v>
      </c>
      <c r="BH333" s="3">
        <v>310.0</v>
      </c>
      <c r="BI333" s="3">
        <v>155.0</v>
      </c>
      <c r="BJ333" s="3">
        <v>582.0</v>
      </c>
      <c r="BK333" s="3">
        <v>8677.0</v>
      </c>
      <c r="BL333" s="3"/>
      <c r="BM333" s="3"/>
      <c r="BN333" s="3"/>
      <c r="BO333" s="3"/>
      <c r="BP333" s="3"/>
      <c r="BQ333" s="3"/>
      <c r="BR333" s="3"/>
      <c r="BS333" s="1"/>
      <c r="BT333" s="9"/>
      <c r="BU333" s="9"/>
      <c r="BV333" s="1"/>
      <c r="BW333" s="1"/>
      <c r="BX333" s="1"/>
      <c r="BY333" s="1"/>
      <c r="BZ333" s="1"/>
    </row>
    <row r="334">
      <c r="A334" s="3"/>
      <c r="B334" s="33"/>
      <c r="C334" s="151"/>
      <c r="D334" s="151" t="s">
        <v>255</v>
      </c>
      <c r="E334" s="2"/>
      <c r="F334" s="2"/>
      <c r="G334" s="14"/>
      <c r="H334" s="14"/>
      <c r="I334" s="14"/>
      <c r="J334" s="14"/>
      <c r="K334" s="14"/>
      <c r="L334" s="1"/>
      <c r="M334" s="1"/>
      <c r="N334" s="1"/>
      <c r="O334" s="1"/>
      <c r="P334" s="1"/>
      <c r="Q334" s="1"/>
      <c r="R334" s="1"/>
      <c r="S334" s="3">
        <v>0.0</v>
      </c>
      <c r="T334" s="3">
        <v>0.0</v>
      </c>
      <c r="U334" s="3">
        <v>0.0</v>
      </c>
      <c r="V334" s="3">
        <v>0.0</v>
      </c>
      <c r="W334" s="3">
        <v>0.0</v>
      </c>
      <c r="X334" s="3">
        <v>0.0</v>
      </c>
      <c r="Y334" s="3">
        <v>0.0</v>
      </c>
      <c r="Z334" s="3">
        <v>0.0</v>
      </c>
      <c r="AA334" s="3">
        <v>11715.0</v>
      </c>
      <c r="AB334" s="3">
        <v>21161.0</v>
      </c>
      <c r="AC334" s="3">
        <v>18081.0</v>
      </c>
      <c r="AD334" s="3">
        <v>15839.0</v>
      </c>
      <c r="AE334" s="3">
        <v>15063.0</v>
      </c>
      <c r="AF334" s="3">
        <v>8457.0</v>
      </c>
      <c r="AG334" s="3">
        <v>9055.0</v>
      </c>
      <c r="AH334" s="3">
        <v>8938.0</v>
      </c>
      <c r="AI334" s="3">
        <v>9431.0</v>
      </c>
      <c r="AJ334" s="3">
        <v>1984.0</v>
      </c>
      <c r="AK334" s="3">
        <v>881.0</v>
      </c>
      <c r="AL334" s="3">
        <v>947.0</v>
      </c>
      <c r="AM334" s="3">
        <v>1029.0</v>
      </c>
      <c r="AN334" s="3">
        <v>335.0</v>
      </c>
      <c r="AO334" s="3">
        <v>348.0</v>
      </c>
      <c r="AP334" s="3">
        <v>555.0</v>
      </c>
      <c r="AQ334" s="3">
        <v>2394.0</v>
      </c>
      <c r="AR334" s="3">
        <v>7283.0</v>
      </c>
      <c r="AS334" s="3">
        <v>2162.0</v>
      </c>
      <c r="AT334" s="3">
        <v>352.0</v>
      </c>
      <c r="AU334" s="3">
        <v>71.0</v>
      </c>
      <c r="AV334" s="3">
        <v>125.0</v>
      </c>
      <c r="AW334" s="3">
        <v>152.0</v>
      </c>
      <c r="AX334" s="3">
        <v>133.0</v>
      </c>
      <c r="AY334" s="3">
        <v>79.0</v>
      </c>
      <c r="AZ334" s="3">
        <v>15.0</v>
      </c>
      <c r="BA334" s="3">
        <v>8.0</v>
      </c>
      <c r="BB334" s="3">
        <v>188.0</v>
      </c>
      <c r="BC334" s="3">
        <v>1987.0</v>
      </c>
      <c r="BD334" s="3">
        <v>1846.0</v>
      </c>
      <c r="BE334" s="3">
        <v>1342.0</v>
      </c>
      <c r="BF334" s="3">
        <v>2484.0</v>
      </c>
      <c r="BG334" s="3">
        <v>15039.0</v>
      </c>
      <c r="BH334" s="3">
        <v>13800.0</v>
      </c>
      <c r="BI334" s="3">
        <v>5251.0</v>
      </c>
      <c r="BJ334" s="3">
        <v>9527.0</v>
      </c>
      <c r="BK334" s="3">
        <v>13123.0</v>
      </c>
      <c r="BL334" s="3"/>
      <c r="BM334" s="3"/>
      <c r="BN334" s="3"/>
      <c r="BO334" s="3"/>
      <c r="BP334" s="3"/>
      <c r="BQ334" s="3"/>
      <c r="BR334" s="3"/>
      <c r="BS334" s="1"/>
      <c r="BT334" s="9"/>
      <c r="BU334" s="9"/>
      <c r="BV334" s="1"/>
      <c r="BW334" s="1"/>
      <c r="BX334" s="1"/>
      <c r="BY334" s="1"/>
      <c r="BZ334" s="1"/>
    </row>
    <row r="335">
      <c r="A335" s="3"/>
      <c r="B335" s="33"/>
      <c r="C335" s="161"/>
      <c r="D335" s="161" t="s">
        <v>257</v>
      </c>
      <c r="E335" s="2"/>
      <c r="F335" s="2"/>
      <c r="G335" s="14"/>
      <c r="H335" s="14"/>
      <c r="I335" s="14"/>
      <c r="J335" s="14"/>
      <c r="K335" s="14"/>
      <c r="L335" s="1"/>
      <c r="M335" s="1"/>
      <c r="N335" s="1"/>
      <c r="O335" s="1"/>
      <c r="P335" s="1"/>
      <c r="Q335" s="1"/>
      <c r="R335" s="1"/>
      <c r="S335" s="3">
        <v>0.0</v>
      </c>
      <c r="T335" s="3">
        <v>0.0</v>
      </c>
      <c r="U335" s="3">
        <v>0.0</v>
      </c>
      <c r="V335" s="3">
        <v>0.0</v>
      </c>
      <c r="W335" s="3">
        <v>0.0</v>
      </c>
      <c r="X335" s="3">
        <v>0.0</v>
      </c>
      <c r="Y335" s="3">
        <v>0.0</v>
      </c>
      <c r="Z335" s="3">
        <v>0.0</v>
      </c>
      <c r="AA335" s="3">
        <v>3840.0</v>
      </c>
      <c r="AB335" s="3">
        <v>5120.0</v>
      </c>
      <c r="AC335" s="3">
        <v>4960.0</v>
      </c>
      <c r="AD335" s="3">
        <v>5444.0</v>
      </c>
      <c r="AE335" s="3">
        <v>7741.0</v>
      </c>
      <c r="AF335" s="3">
        <v>2773.0</v>
      </c>
      <c r="AG335" s="3">
        <v>3583.0</v>
      </c>
      <c r="AH335" s="3">
        <v>3855.0</v>
      </c>
      <c r="AI335" s="3">
        <v>3211.0</v>
      </c>
      <c r="AJ335" s="3">
        <v>615.0</v>
      </c>
      <c r="AK335" s="3">
        <v>313.0</v>
      </c>
      <c r="AL335" s="3">
        <v>297.0</v>
      </c>
      <c r="AM335" s="3">
        <v>378.0</v>
      </c>
      <c r="AN335" s="3">
        <v>0.0</v>
      </c>
      <c r="AO335" s="3">
        <v>0.0</v>
      </c>
      <c r="AP335" s="3">
        <v>15.0</v>
      </c>
      <c r="AQ335" s="3">
        <v>2083.0</v>
      </c>
      <c r="AR335" s="3">
        <v>4149.0</v>
      </c>
      <c r="AS335" s="3">
        <v>1392.0</v>
      </c>
      <c r="AT335" s="3">
        <v>391.0</v>
      </c>
      <c r="AU335" s="3">
        <v>326.0</v>
      </c>
      <c r="AV335" s="3">
        <v>102.0</v>
      </c>
      <c r="AW335" s="3">
        <v>75.0</v>
      </c>
      <c r="AX335" s="3">
        <v>71.0</v>
      </c>
      <c r="AY335" s="3">
        <v>47.0</v>
      </c>
      <c r="AZ335" s="3">
        <v>31.0</v>
      </c>
      <c r="BA335" s="3">
        <v>22.0</v>
      </c>
      <c r="BB335" s="3">
        <v>19.0</v>
      </c>
      <c r="BC335" s="3">
        <v>211.0</v>
      </c>
      <c r="BD335" s="3">
        <v>76.0</v>
      </c>
      <c r="BE335" s="3">
        <v>1511.0</v>
      </c>
      <c r="BF335" s="3">
        <v>91.0</v>
      </c>
      <c r="BG335" s="3">
        <v>66.0</v>
      </c>
      <c r="BH335" s="3">
        <v>70.0</v>
      </c>
      <c r="BI335" s="3">
        <v>42.0</v>
      </c>
      <c r="BJ335" s="3">
        <v>276.0</v>
      </c>
      <c r="BK335" s="3">
        <v>176.0</v>
      </c>
      <c r="BL335" s="3"/>
      <c r="BM335" s="3"/>
      <c r="BN335" s="3"/>
      <c r="BO335" s="3"/>
      <c r="BP335" s="3"/>
      <c r="BQ335" s="3"/>
      <c r="BR335" s="3"/>
      <c r="BS335" s="1"/>
      <c r="BT335" s="9"/>
      <c r="BU335" s="9"/>
      <c r="BV335" s="1"/>
      <c r="BW335" s="1"/>
      <c r="BX335" s="1"/>
      <c r="BY335" s="1"/>
      <c r="BZ335" s="1"/>
    </row>
    <row r="336">
      <c r="A336" s="3"/>
      <c r="B336" s="33"/>
      <c r="C336" s="147"/>
      <c r="D336" s="147" t="s">
        <v>261</v>
      </c>
      <c r="E336" s="2"/>
      <c r="F336" s="2"/>
      <c r="G336" s="14"/>
      <c r="H336" s="14"/>
      <c r="I336" s="14"/>
      <c r="J336" s="14"/>
      <c r="K336" s="14"/>
      <c r="L336" s="1"/>
      <c r="M336" s="1"/>
      <c r="N336" s="1"/>
      <c r="O336" s="1"/>
      <c r="P336" s="1"/>
      <c r="Q336" s="1"/>
      <c r="R336" s="1"/>
      <c r="S336" s="3">
        <v>0.0</v>
      </c>
      <c r="T336" s="3">
        <v>0.0</v>
      </c>
      <c r="U336" s="3">
        <v>0.0</v>
      </c>
      <c r="V336" s="3">
        <v>0.0</v>
      </c>
      <c r="W336" s="3">
        <v>0.0</v>
      </c>
      <c r="X336" s="3">
        <v>0.0</v>
      </c>
      <c r="Y336" s="3">
        <v>0.0</v>
      </c>
      <c r="Z336" s="3">
        <v>0.0</v>
      </c>
      <c r="AA336" s="3">
        <v>1092.0</v>
      </c>
      <c r="AB336" s="3">
        <v>2738.0</v>
      </c>
      <c r="AC336" s="3">
        <v>2798.0</v>
      </c>
      <c r="AD336" s="3">
        <v>3901.0</v>
      </c>
      <c r="AE336" s="3">
        <v>3512.0</v>
      </c>
      <c r="AF336" s="3">
        <v>1379.0</v>
      </c>
      <c r="AG336" s="3">
        <v>3046.0</v>
      </c>
      <c r="AH336" s="3">
        <v>2085.0</v>
      </c>
      <c r="AI336" s="3">
        <v>2062.0</v>
      </c>
      <c r="AJ336" s="3">
        <v>310.0</v>
      </c>
      <c r="AK336" s="3">
        <v>146.0</v>
      </c>
      <c r="AL336" s="3">
        <v>129.0</v>
      </c>
      <c r="AM336" s="3">
        <v>154.0</v>
      </c>
      <c r="AN336" s="3">
        <v>7594.0</v>
      </c>
      <c r="AO336" s="3">
        <v>7510.0</v>
      </c>
      <c r="AP336" s="3">
        <v>7658.0</v>
      </c>
      <c r="AQ336" s="3">
        <v>47446.0</v>
      </c>
      <c r="AR336" s="3">
        <v>142865.0</v>
      </c>
      <c r="AS336" s="3">
        <v>52668.0</v>
      </c>
      <c r="AT336" s="3">
        <v>34910.0</v>
      </c>
      <c r="AU336" s="3">
        <v>41935.0</v>
      </c>
      <c r="AV336" s="3">
        <v>10068.0</v>
      </c>
      <c r="AW336" s="3">
        <v>6807.0</v>
      </c>
      <c r="AX336" s="3">
        <v>6046.0</v>
      </c>
      <c r="AY336" s="3">
        <v>3637.0</v>
      </c>
      <c r="AZ336" s="3">
        <v>2938.0</v>
      </c>
      <c r="BA336" s="3">
        <v>1570.0</v>
      </c>
      <c r="BB336" s="3">
        <v>1099.0</v>
      </c>
      <c r="BC336" s="3">
        <v>13659.0</v>
      </c>
      <c r="BD336" s="3">
        <v>8097.0</v>
      </c>
      <c r="BE336" s="3">
        <v>5144.0</v>
      </c>
      <c r="BF336" s="3">
        <v>3950.0</v>
      </c>
      <c r="BG336" s="3">
        <v>8006.0</v>
      </c>
      <c r="BH336" s="3">
        <v>8737.0</v>
      </c>
      <c r="BI336" s="3">
        <v>4363.0</v>
      </c>
      <c r="BJ336" s="3">
        <v>11677.0</v>
      </c>
      <c r="BK336" s="3">
        <v>19200.0</v>
      </c>
      <c r="BL336" s="3"/>
      <c r="BM336" s="3"/>
      <c r="BN336" s="3"/>
      <c r="BO336" s="3"/>
      <c r="BP336" s="3"/>
      <c r="BQ336" s="3"/>
      <c r="BR336" s="3"/>
      <c r="BS336" s="1"/>
      <c r="BT336" s="9"/>
      <c r="BU336" s="9"/>
      <c r="BV336" s="1"/>
      <c r="BW336" s="1"/>
      <c r="BX336" s="1"/>
      <c r="BY336" s="1"/>
      <c r="BZ336" s="1"/>
    </row>
    <row r="337">
      <c r="A337" s="3"/>
      <c r="B337" s="33"/>
      <c r="C337" s="156"/>
      <c r="D337" s="156"/>
      <c r="E337" s="2"/>
      <c r="F337" s="2"/>
      <c r="G337" s="14"/>
      <c r="H337" s="14"/>
      <c r="I337" s="14"/>
      <c r="J337" s="14"/>
      <c r="K337" s="14"/>
      <c r="L337" s="1"/>
      <c r="M337" s="1"/>
      <c r="N337" s="1"/>
      <c r="O337" s="1"/>
      <c r="P337" s="1"/>
      <c r="Q337" s="1"/>
      <c r="R337" s="1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1"/>
      <c r="BT337" s="9"/>
      <c r="BU337" s="9"/>
      <c r="BV337" s="1"/>
      <c r="BW337" s="1"/>
      <c r="BX337" s="1"/>
      <c r="BY337" s="1"/>
      <c r="BZ337" s="1"/>
    </row>
    <row r="338">
      <c r="A338" s="3"/>
      <c r="B338" s="33"/>
      <c r="C338" s="146"/>
      <c r="D338" s="146"/>
      <c r="E338" s="134"/>
      <c r="F338" s="134"/>
      <c r="G338" s="14"/>
      <c r="H338" s="14"/>
      <c r="I338" s="14"/>
      <c r="J338" s="14"/>
      <c r="K338" s="1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9"/>
      <c r="BU338" s="9"/>
      <c r="BV338" s="1"/>
      <c r="BW338" s="1"/>
      <c r="BX338" s="1"/>
      <c r="BY338" s="1"/>
      <c r="BZ338" s="1"/>
    </row>
    <row r="339">
      <c r="A339" s="3"/>
      <c r="B339" s="33"/>
      <c r="C339" s="122"/>
      <c r="D339" s="122" t="s">
        <v>137</v>
      </c>
      <c r="E339" s="134"/>
      <c r="F339" s="134"/>
      <c r="G339" s="14"/>
      <c r="H339" s="14"/>
      <c r="I339" s="14"/>
      <c r="J339" s="14"/>
      <c r="K339" s="14"/>
      <c r="L339" s="1"/>
      <c r="M339" s="1"/>
      <c r="N339" s="1"/>
      <c r="O339" s="1"/>
      <c r="P339" s="1"/>
      <c r="Q339" s="1"/>
      <c r="R339" s="1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3"/>
      <c r="AI339" s="136"/>
      <c r="AJ339" s="136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1"/>
      <c r="BT339" s="9"/>
      <c r="BU339" s="9"/>
      <c r="BV339" s="1"/>
      <c r="BW339" s="1"/>
      <c r="BX339" s="1"/>
      <c r="BY339" s="1"/>
      <c r="BZ339" s="1"/>
    </row>
    <row r="340">
      <c r="A340" s="3"/>
      <c r="B340" s="33"/>
      <c r="C340" s="147"/>
      <c r="D340" s="147" t="s">
        <v>247</v>
      </c>
      <c r="E340" s="134"/>
      <c r="F340" s="134"/>
      <c r="G340" s="14"/>
      <c r="H340" s="14"/>
      <c r="I340" s="14"/>
      <c r="J340" s="14"/>
      <c r="K340" s="14"/>
      <c r="L340" s="1"/>
      <c r="M340" s="1"/>
      <c r="N340" s="1"/>
      <c r="O340" s="1"/>
      <c r="P340" s="1"/>
      <c r="Q340" s="1"/>
      <c r="R340" s="1"/>
      <c r="S340" s="33">
        <v>0.0</v>
      </c>
      <c r="T340" s="33">
        <v>0.0</v>
      </c>
      <c r="U340" s="33">
        <v>0.0</v>
      </c>
      <c r="V340" s="33">
        <v>0.0</v>
      </c>
      <c r="W340" s="33">
        <v>0.0</v>
      </c>
      <c r="X340" s="33">
        <v>0.0</v>
      </c>
      <c r="Y340" s="33">
        <v>0.0</v>
      </c>
      <c r="Z340" s="33">
        <v>0.0</v>
      </c>
      <c r="AA340" s="33">
        <v>0.0333</v>
      </c>
      <c r="AB340" s="33">
        <v>0.0583</v>
      </c>
      <c r="AC340" s="33">
        <v>0.0522</v>
      </c>
      <c r="AD340" s="33">
        <v>0.0473</v>
      </c>
      <c r="AE340" s="33">
        <v>0.0458</v>
      </c>
      <c r="AF340" s="33">
        <v>0.0244</v>
      </c>
      <c r="AG340" s="33">
        <v>0.0244</v>
      </c>
      <c r="AH340" s="33">
        <v>0.0244</v>
      </c>
      <c r="AI340" s="33">
        <v>0.0244</v>
      </c>
      <c r="AJ340" s="33">
        <v>0.0043</v>
      </c>
      <c r="AK340" s="33">
        <v>0.0016</v>
      </c>
      <c r="AL340" s="33">
        <v>0.0016</v>
      </c>
      <c r="AM340" s="33">
        <v>0.0022</v>
      </c>
      <c r="AN340" s="33">
        <v>7.0E-4</v>
      </c>
      <c r="AO340" s="33">
        <v>5.0E-4</v>
      </c>
      <c r="AP340" s="33">
        <v>2.0E-4</v>
      </c>
      <c r="AQ340" s="33">
        <v>7.0E-4</v>
      </c>
      <c r="AR340" s="33">
        <v>0.0022</v>
      </c>
      <c r="AS340" s="33">
        <v>0.0026</v>
      </c>
      <c r="AT340" s="33">
        <v>0.0011</v>
      </c>
      <c r="AU340" s="33">
        <v>6.0E-4</v>
      </c>
      <c r="AV340" s="33">
        <v>2.0E-4</v>
      </c>
      <c r="AW340" s="33">
        <v>2.0E-4</v>
      </c>
      <c r="AX340" s="33">
        <v>2.0E-4</v>
      </c>
      <c r="AY340" s="33">
        <v>1.0E-4</v>
      </c>
      <c r="AZ340" s="33">
        <v>1.0E-4</v>
      </c>
      <c r="BA340" s="33">
        <v>1.0E-4</v>
      </c>
      <c r="BB340" s="33">
        <v>0.0</v>
      </c>
      <c r="BC340" s="33">
        <v>0.002</v>
      </c>
      <c r="BD340" s="33">
        <v>0.0064</v>
      </c>
      <c r="BE340" s="33">
        <v>0.0045</v>
      </c>
      <c r="BF340" s="33">
        <v>0.0026</v>
      </c>
      <c r="BG340" s="33">
        <v>0.0087</v>
      </c>
      <c r="BH340" s="33">
        <v>0.0069</v>
      </c>
      <c r="BI340" s="33">
        <v>0.0022</v>
      </c>
      <c r="BJ340" s="33">
        <v>0.007</v>
      </c>
      <c r="BK340" s="33">
        <v>0.0549</v>
      </c>
      <c r="BL340" s="33"/>
      <c r="BM340" s="33"/>
      <c r="BN340" s="33"/>
      <c r="BO340" s="33"/>
      <c r="BP340" s="33"/>
      <c r="BQ340" s="33"/>
      <c r="BR340" s="33"/>
      <c r="BS340" s="1"/>
      <c r="BT340" s="9"/>
      <c r="BU340" s="9"/>
      <c r="BV340" s="1"/>
      <c r="BW340" s="1"/>
      <c r="BX340" s="1"/>
      <c r="BY340" s="1"/>
      <c r="BZ340" s="1"/>
    </row>
    <row r="341">
      <c r="A341" s="3"/>
      <c r="B341" s="33"/>
      <c r="C341" s="147"/>
      <c r="D341" s="147" t="s">
        <v>250</v>
      </c>
      <c r="E341" s="134"/>
      <c r="F341" s="134"/>
      <c r="G341" s="14"/>
      <c r="H341" s="14"/>
      <c r="I341" s="14"/>
      <c r="J341" s="14"/>
      <c r="K341" s="14"/>
      <c r="L341" s="1"/>
      <c r="M341" s="1"/>
      <c r="N341" s="1"/>
      <c r="O341" s="1"/>
      <c r="P341" s="1"/>
      <c r="Q341" s="1"/>
      <c r="R341" s="1"/>
      <c r="S341" s="33">
        <v>0.0</v>
      </c>
      <c r="T341" s="33">
        <v>0.0</v>
      </c>
      <c r="U341" s="33">
        <v>0.0</v>
      </c>
      <c r="V341" s="33">
        <v>0.0</v>
      </c>
      <c r="W341" s="33">
        <v>0.0</v>
      </c>
      <c r="X341" s="33">
        <v>0.0</v>
      </c>
      <c r="Y341" s="33">
        <v>0.0</v>
      </c>
      <c r="Z341" s="33">
        <v>0.0</v>
      </c>
      <c r="AA341" s="33">
        <v>0.0308</v>
      </c>
      <c r="AB341" s="33">
        <v>0.0583</v>
      </c>
      <c r="AC341" s="33">
        <v>0.0522</v>
      </c>
      <c r="AD341" s="33">
        <v>0.0473</v>
      </c>
      <c r="AE341" s="33">
        <v>0.0457</v>
      </c>
      <c r="AF341" s="33">
        <v>0.0244</v>
      </c>
      <c r="AG341" s="33">
        <v>0.0244</v>
      </c>
      <c r="AH341" s="33">
        <v>0.0244</v>
      </c>
      <c r="AI341" s="33">
        <v>0.0244</v>
      </c>
      <c r="AJ341" s="33">
        <v>0.0044</v>
      </c>
      <c r="AK341" s="33">
        <v>0.0016</v>
      </c>
      <c r="AL341" s="33">
        <v>0.0016</v>
      </c>
      <c r="AM341" s="33">
        <v>0.0022</v>
      </c>
      <c r="AN341" s="33">
        <v>0.0076</v>
      </c>
      <c r="AO341" s="33">
        <v>8.0E-4</v>
      </c>
      <c r="AP341" s="33">
        <v>0.0</v>
      </c>
      <c r="AQ341" s="33">
        <v>0.0018</v>
      </c>
      <c r="AR341" s="33">
        <v>0.0052</v>
      </c>
      <c r="AS341" s="33">
        <v>0.0621</v>
      </c>
      <c r="AT341" s="33">
        <v>0.0709</v>
      </c>
      <c r="AU341" s="33">
        <v>0.0437</v>
      </c>
      <c r="AV341" s="33">
        <v>0.0365</v>
      </c>
      <c r="AW341" s="33">
        <v>0.0328</v>
      </c>
      <c r="AX341" s="33">
        <v>0.0256</v>
      </c>
      <c r="AY341" s="33">
        <v>0.0538</v>
      </c>
      <c r="AZ341" s="33">
        <v>0.0114</v>
      </c>
      <c r="BA341" s="33">
        <v>0.011</v>
      </c>
      <c r="BB341" s="33">
        <v>0.0108</v>
      </c>
      <c r="BC341" s="33">
        <v>0.0062</v>
      </c>
      <c r="BD341" s="33">
        <v>0.0108</v>
      </c>
      <c r="BE341" s="33">
        <v>0.0403</v>
      </c>
      <c r="BF341" s="33">
        <v>0.0425</v>
      </c>
      <c r="BG341" s="33">
        <v>0.0382</v>
      </c>
      <c r="BH341" s="33">
        <v>0.0319</v>
      </c>
      <c r="BI341" s="33">
        <v>0.0158</v>
      </c>
      <c r="BJ341" s="33">
        <v>0.0225</v>
      </c>
      <c r="BK341" s="33">
        <v>0.0457</v>
      </c>
      <c r="BL341" s="33"/>
      <c r="BM341" s="33"/>
      <c r="BN341" s="33"/>
      <c r="BO341" s="33"/>
      <c r="BP341" s="33"/>
      <c r="BQ341" s="33"/>
      <c r="BR341" s="33"/>
      <c r="BS341" s="1"/>
      <c r="BT341" s="9"/>
      <c r="BU341" s="9"/>
      <c r="BV341" s="1"/>
      <c r="BW341" s="1"/>
      <c r="BX341" s="1"/>
      <c r="BY341" s="1"/>
      <c r="BZ341" s="1"/>
    </row>
    <row r="342">
      <c r="A342" s="3"/>
      <c r="B342" s="33"/>
      <c r="C342" s="147"/>
      <c r="D342" s="147" t="s">
        <v>252</v>
      </c>
      <c r="E342" s="134"/>
      <c r="F342" s="134"/>
      <c r="G342" s="14"/>
      <c r="H342" s="14"/>
      <c r="I342" s="14"/>
      <c r="J342" s="14"/>
      <c r="K342" s="14"/>
      <c r="L342" s="1"/>
      <c r="M342" s="1"/>
      <c r="N342" s="1"/>
      <c r="O342" s="1"/>
      <c r="P342" s="1"/>
      <c r="Q342" s="1"/>
      <c r="R342" s="1"/>
      <c r="S342" s="33">
        <v>0.0</v>
      </c>
      <c r="T342" s="33">
        <v>0.0</v>
      </c>
      <c r="U342" s="33">
        <v>0.0</v>
      </c>
      <c r="V342" s="33">
        <v>0.0</v>
      </c>
      <c r="W342" s="33">
        <v>0.0</v>
      </c>
      <c r="X342" s="33">
        <v>0.0</v>
      </c>
      <c r="Y342" s="33">
        <v>0.0</v>
      </c>
      <c r="Z342" s="33">
        <v>0.0</v>
      </c>
      <c r="AA342" s="33">
        <v>0.0306</v>
      </c>
      <c r="AB342" s="33">
        <v>0.0583</v>
      </c>
      <c r="AC342" s="33">
        <v>0.0522</v>
      </c>
      <c r="AD342" s="33">
        <v>0.0473</v>
      </c>
      <c r="AE342" s="33">
        <v>0.0459</v>
      </c>
      <c r="AF342" s="33">
        <v>0.0244</v>
      </c>
      <c r="AG342" s="33">
        <v>0.0244</v>
      </c>
      <c r="AH342" s="33">
        <v>0.0244</v>
      </c>
      <c r="AI342" s="33">
        <v>0.0244</v>
      </c>
      <c r="AJ342" s="33">
        <v>0.0036</v>
      </c>
      <c r="AK342" s="33">
        <v>0.0016</v>
      </c>
      <c r="AL342" s="33">
        <v>0.0016</v>
      </c>
      <c r="AM342" s="33">
        <v>0.0022</v>
      </c>
      <c r="AN342" s="33">
        <v>0.001</v>
      </c>
      <c r="AO342" s="33">
        <v>0.0056</v>
      </c>
      <c r="AP342" s="33">
        <v>0.0017</v>
      </c>
      <c r="AQ342" s="33">
        <v>0.0065</v>
      </c>
      <c r="AR342" s="33">
        <v>0.0024</v>
      </c>
      <c r="AS342" s="33">
        <v>0.1958</v>
      </c>
      <c r="AT342" s="33">
        <v>0.1061</v>
      </c>
      <c r="AU342" s="33">
        <v>0.0357</v>
      </c>
      <c r="AV342" s="33">
        <v>0.0125</v>
      </c>
      <c r="AW342" s="33">
        <v>0.0107</v>
      </c>
      <c r="AX342" s="33">
        <v>0.0075</v>
      </c>
      <c r="AY342" s="33">
        <v>0.0034</v>
      </c>
      <c r="AZ342" s="33">
        <v>0.0012</v>
      </c>
      <c r="BA342" s="33">
        <v>4.0E-4</v>
      </c>
      <c r="BB342" s="33">
        <v>2.0E-4</v>
      </c>
      <c r="BC342" s="33">
        <v>0.0012</v>
      </c>
      <c r="BD342" s="33">
        <v>0.0033</v>
      </c>
      <c r="BE342" s="33">
        <v>0.0095</v>
      </c>
      <c r="BF342" s="33">
        <v>0.0053</v>
      </c>
      <c r="BG342" s="33">
        <v>8.0E-4</v>
      </c>
      <c r="BH342" s="33">
        <v>0.0011</v>
      </c>
      <c r="BI342" s="33">
        <v>0.001</v>
      </c>
      <c r="BJ342" s="33">
        <v>0.0022</v>
      </c>
      <c r="BK342" s="33">
        <v>0.0219</v>
      </c>
      <c r="BL342" s="33"/>
      <c r="BM342" s="33"/>
      <c r="BN342" s="33"/>
      <c r="BO342" s="33"/>
      <c r="BP342" s="33"/>
      <c r="BQ342" s="33"/>
      <c r="BR342" s="33"/>
      <c r="BS342" s="1"/>
      <c r="BT342" s="9"/>
      <c r="BU342" s="9"/>
      <c r="BV342" s="1"/>
      <c r="BW342" s="1"/>
      <c r="BX342" s="1"/>
      <c r="BY342" s="1"/>
      <c r="BZ342" s="1"/>
    </row>
    <row r="343">
      <c r="A343" s="3"/>
      <c r="B343" s="33"/>
      <c r="C343" s="147"/>
      <c r="D343" s="147" t="s">
        <v>254</v>
      </c>
      <c r="E343" s="134"/>
      <c r="F343" s="134"/>
      <c r="G343" s="14"/>
      <c r="H343" s="14"/>
      <c r="I343" s="14"/>
      <c r="J343" s="14"/>
      <c r="K343" s="14"/>
      <c r="L343" s="1"/>
      <c r="M343" s="1"/>
      <c r="N343" s="1"/>
      <c r="O343" s="1"/>
      <c r="P343" s="1"/>
      <c r="Q343" s="1"/>
      <c r="R343" s="1"/>
      <c r="S343" s="33">
        <v>0.0</v>
      </c>
      <c r="T343" s="33">
        <v>0.0</v>
      </c>
      <c r="U343" s="33">
        <v>0.0</v>
      </c>
      <c r="V343" s="33">
        <v>0.0</v>
      </c>
      <c r="W343" s="33">
        <v>0.0</v>
      </c>
      <c r="X343" s="33">
        <v>0.0</v>
      </c>
      <c r="Y343" s="33">
        <v>0.0</v>
      </c>
      <c r="Z343" s="33">
        <v>0.0</v>
      </c>
      <c r="AA343" s="33">
        <v>0.0348</v>
      </c>
      <c r="AB343" s="33">
        <v>0.0583</v>
      </c>
      <c r="AC343" s="33">
        <v>0.0522</v>
      </c>
      <c r="AD343" s="33">
        <v>0.0473</v>
      </c>
      <c r="AE343" s="33">
        <v>0.0458</v>
      </c>
      <c r="AF343" s="33">
        <v>0.0244</v>
      </c>
      <c r="AG343" s="33">
        <v>0.0244</v>
      </c>
      <c r="AH343" s="33">
        <v>0.0244</v>
      </c>
      <c r="AI343" s="33">
        <v>0.0244</v>
      </c>
      <c r="AJ343" s="33">
        <v>0.0048</v>
      </c>
      <c r="AK343" s="33">
        <v>0.0016</v>
      </c>
      <c r="AL343" s="33">
        <v>0.0016</v>
      </c>
      <c r="AM343" s="33">
        <v>0.0022</v>
      </c>
      <c r="AN343" s="33">
        <v>0.002</v>
      </c>
      <c r="AO343" s="33">
        <v>0.0018</v>
      </c>
      <c r="AP343" s="33">
        <v>7.0E-4</v>
      </c>
      <c r="AQ343" s="33">
        <v>0.0023</v>
      </c>
      <c r="AR343" s="33">
        <v>0.0059</v>
      </c>
      <c r="AS343" s="33">
        <v>0.0021</v>
      </c>
      <c r="AT343" s="33">
        <v>0.0016</v>
      </c>
      <c r="AU343" s="33">
        <v>0.0019</v>
      </c>
      <c r="AV343" s="33">
        <v>5.0E-4</v>
      </c>
      <c r="AW343" s="33">
        <v>5.0E-4</v>
      </c>
      <c r="AX343" s="33">
        <v>4.0E-4</v>
      </c>
      <c r="AY343" s="33">
        <v>2.0E-4</v>
      </c>
      <c r="AZ343" s="33">
        <v>2.0E-4</v>
      </c>
      <c r="BA343" s="33">
        <v>1.0E-4</v>
      </c>
      <c r="BB343" s="33">
        <v>1.0E-4</v>
      </c>
      <c r="BC343" s="33">
        <v>6.0E-4</v>
      </c>
      <c r="BD343" s="33">
        <v>3.0E-4</v>
      </c>
      <c r="BE343" s="33">
        <v>2.0E-4</v>
      </c>
      <c r="BF343" s="33">
        <v>2.0E-4</v>
      </c>
      <c r="BG343" s="33">
        <v>4.0E-4</v>
      </c>
      <c r="BH343" s="33">
        <v>4.0E-4</v>
      </c>
      <c r="BI343" s="33">
        <v>3.0E-4</v>
      </c>
      <c r="BJ343" s="33">
        <v>9.0E-4</v>
      </c>
      <c r="BK343" s="33">
        <v>0.008</v>
      </c>
      <c r="BL343" s="33"/>
      <c r="BM343" s="33"/>
      <c r="BN343" s="33"/>
      <c r="BO343" s="33"/>
      <c r="BP343" s="33"/>
      <c r="BQ343" s="33"/>
      <c r="BR343" s="33"/>
      <c r="BS343" s="1"/>
      <c r="BT343" s="9"/>
      <c r="BU343" s="9"/>
      <c r="BV343" s="1"/>
      <c r="BW343" s="1"/>
      <c r="BX343" s="1"/>
      <c r="BY343" s="1"/>
      <c r="BZ343" s="1"/>
    </row>
    <row r="344">
      <c r="A344" s="3"/>
      <c r="B344" s="33"/>
      <c r="C344" s="147"/>
      <c r="D344" s="147" t="s">
        <v>256</v>
      </c>
      <c r="E344" s="134"/>
      <c r="F344" s="134"/>
      <c r="G344" s="14"/>
      <c r="H344" s="14"/>
      <c r="I344" s="14"/>
      <c r="J344" s="14"/>
      <c r="K344" s="14"/>
      <c r="L344" s="1"/>
      <c r="M344" s="1"/>
      <c r="N344" s="1"/>
      <c r="O344" s="1"/>
      <c r="P344" s="1"/>
      <c r="Q344" s="1"/>
      <c r="R344" s="1"/>
      <c r="S344" s="33">
        <v>0.0</v>
      </c>
      <c r="T344" s="33">
        <v>0.0</v>
      </c>
      <c r="U344" s="33">
        <v>0.0</v>
      </c>
      <c r="V344" s="33">
        <v>0.0</v>
      </c>
      <c r="W344" s="33">
        <v>0.0</v>
      </c>
      <c r="X344" s="33">
        <v>0.0</v>
      </c>
      <c r="Y344" s="33">
        <v>0.0</v>
      </c>
      <c r="Z344" s="33">
        <v>0.0</v>
      </c>
      <c r="AA344" s="33">
        <v>0.036</v>
      </c>
      <c r="AB344" s="33">
        <v>0.0583</v>
      </c>
      <c r="AC344" s="33">
        <v>0.0522</v>
      </c>
      <c r="AD344" s="33">
        <v>0.0473</v>
      </c>
      <c r="AE344" s="33">
        <v>0.0458</v>
      </c>
      <c r="AF344" s="33">
        <v>0.0244</v>
      </c>
      <c r="AG344" s="33">
        <v>0.0244</v>
      </c>
      <c r="AH344" s="33">
        <v>0.0244</v>
      </c>
      <c r="AI344" s="33">
        <v>0.0244</v>
      </c>
      <c r="AJ344" s="33">
        <v>0.0047</v>
      </c>
      <c r="AK344" s="33">
        <v>0.0016</v>
      </c>
      <c r="AL344" s="33">
        <v>0.0016</v>
      </c>
      <c r="AM344" s="33">
        <v>0.0022</v>
      </c>
      <c r="AN344" s="33">
        <v>7.0E-4</v>
      </c>
      <c r="AO344" s="33">
        <v>6.0E-4</v>
      </c>
      <c r="AP344" s="33">
        <v>9.0E-4</v>
      </c>
      <c r="AQ344" s="33">
        <v>0.004</v>
      </c>
      <c r="AR344" s="33">
        <v>0.0114</v>
      </c>
      <c r="AS344" s="33">
        <v>0.0035</v>
      </c>
      <c r="AT344" s="33">
        <v>6.0E-4</v>
      </c>
      <c r="AU344" s="33">
        <v>1.0E-4</v>
      </c>
      <c r="AV344" s="33">
        <v>2.0E-4</v>
      </c>
      <c r="AW344" s="33">
        <v>3.0E-4</v>
      </c>
      <c r="AX344" s="33">
        <v>2.0E-4</v>
      </c>
      <c r="AY344" s="33">
        <v>1.0E-4</v>
      </c>
      <c r="AZ344" s="33">
        <v>0.0</v>
      </c>
      <c r="BA344" s="33">
        <v>0.0</v>
      </c>
      <c r="BB344" s="33">
        <v>3.0E-4</v>
      </c>
      <c r="BC344" s="33">
        <v>0.0032</v>
      </c>
      <c r="BD344" s="33">
        <v>0.0027</v>
      </c>
      <c r="BE344" s="33">
        <v>0.0023</v>
      </c>
      <c r="BF344" s="33">
        <v>0.0042</v>
      </c>
      <c r="BG344" s="33">
        <v>0.0271</v>
      </c>
      <c r="BH344" s="33">
        <v>0.0225</v>
      </c>
      <c r="BI344" s="33">
        <v>0.0092</v>
      </c>
      <c r="BJ344" s="33">
        <v>0.0185</v>
      </c>
      <c r="BK344" s="33">
        <v>0.0254</v>
      </c>
      <c r="BL344" s="33"/>
      <c r="BM344" s="33"/>
      <c r="BN344" s="33"/>
      <c r="BO344" s="33"/>
      <c r="BP344" s="33"/>
      <c r="BQ344" s="33"/>
      <c r="BR344" s="33"/>
      <c r="BS344" s="1"/>
      <c r="BT344" s="9"/>
      <c r="BU344" s="9"/>
      <c r="BV344" s="1"/>
      <c r="BW344" s="1"/>
      <c r="BX344" s="1"/>
      <c r="BY344" s="1"/>
      <c r="BZ344" s="1"/>
    </row>
    <row r="345">
      <c r="A345" s="3"/>
      <c r="B345" s="33"/>
      <c r="C345" s="155"/>
      <c r="D345" s="155" t="s">
        <v>259</v>
      </c>
      <c r="E345" s="134"/>
      <c r="F345" s="134"/>
      <c r="G345" s="14"/>
      <c r="H345" s="14"/>
      <c r="I345" s="14"/>
      <c r="J345" s="14"/>
      <c r="K345" s="14"/>
      <c r="L345" s="1"/>
      <c r="M345" s="1"/>
      <c r="N345" s="1"/>
      <c r="O345" s="1"/>
      <c r="P345" s="1"/>
      <c r="Q345" s="1"/>
      <c r="R345" s="1"/>
      <c r="S345" s="33">
        <v>0.0</v>
      </c>
      <c r="T345" s="33">
        <v>0.0</v>
      </c>
      <c r="U345" s="33">
        <v>0.0</v>
      </c>
      <c r="V345" s="33">
        <v>0.0</v>
      </c>
      <c r="W345" s="33">
        <v>0.0</v>
      </c>
      <c r="X345" s="33">
        <v>0.0</v>
      </c>
      <c r="Y345" s="33">
        <v>0.0</v>
      </c>
      <c r="Z345" s="33">
        <v>0.0</v>
      </c>
      <c r="AA345" s="33">
        <v>0.0326</v>
      </c>
      <c r="AB345" s="33">
        <v>0.0583</v>
      </c>
      <c r="AC345" s="33">
        <v>0.0522</v>
      </c>
      <c r="AD345" s="33">
        <v>0.0473</v>
      </c>
      <c r="AE345" s="33">
        <v>0.0459</v>
      </c>
      <c r="AF345" s="33">
        <v>0.0244</v>
      </c>
      <c r="AG345" s="33">
        <v>0.0244</v>
      </c>
      <c r="AH345" s="33">
        <v>0.0244</v>
      </c>
      <c r="AI345" s="33">
        <v>0.0244</v>
      </c>
      <c r="AJ345" s="33">
        <v>0.0045</v>
      </c>
      <c r="AK345" s="33">
        <v>0.0016</v>
      </c>
      <c r="AL345" s="33">
        <v>0.0016</v>
      </c>
      <c r="AM345" s="33">
        <v>0.0022</v>
      </c>
      <c r="AN345" s="33">
        <v>0.0</v>
      </c>
      <c r="AO345" s="33">
        <v>0.0</v>
      </c>
      <c r="AP345" s="33">
        <v>1.0E-4</v>
      </c>
      <c r="AQ345" s="33">
        <v>0.0245</v>
      </c>
      <c r="AR345" s="33">
        <v>0.031</v>
      </c>
      <c r="AS345" s="33">
        <v>0.0084</v>
      </c>
      <c r="AT345" s="33">
        <v>0.0019</v>
      </c>
      <c r="AU345" s="33">
        <v>0.0014</v>
      </c>
      <c r="AV345" s="33">
        <v>4.0E-4</v>
      </c>
      <c r="AW345" s="33">
        <v>8.0E-4</v>
      </c>
      <c r="AX345" s="33">
        <v>7.0E-4</v>
      </c>
      <c r="AY345" s="33">
        <v>4.0E-4</v>
      </c>
      <c r="AZ345" s="33">
        <v>2.0E-4</v>
      </c>
      <c r="BA345" s="33">
        <v>2.0E-4</v>
      </c>
      <c r="BB345" s="33">
        <v>2.0E-4</v>
      </c>
      <c r="BC345" s="33">
        <v>0.0024</v>
      </c>
      <c r="BD345" s="33">
        <v>8.0E-4</v>
      </c>
      <c r="BE345" s="33">
        <v>0.0115</v>
      </c>
      <c r="BF345" s="33">
        <v>6.0E-4</v>
      </c>
      <c r="BG345" s="33">
        <v>7.0E-4</v>
      </c>
      <c r="BH345" s="33">
        <v>8.0E-4</v>
      </c>
      <c r="BI345" s="33">
        <v>5.0E-4</v>
      </c>
      <c r="BJ345" s="33">
        <v>0.006</v>
      </c>
      <c r="BK345" s="33">
        <v>0.0022</v>
      </c>
      <c r="BL345" s="33"/>
      <c r="BM345" s="33"/>
      <c r="BN345" s="33"/>
      <c r="BO345" s="33"/>
      <c r="BP345" s="33"/>
      <c r="BQ345" s="33"/>
      <c r="BR345" s="33"/>
      <c r="BS345" s="1"/>
      <c r="BT345" s="9"/>
      <c r="BU345" s="9"/>
      <c r="BV345" s="1"/>
      <c r="BW345" s="1"/>
      <c r="BX345" s="1"/>
      <c r="BY345" s="1"/>
      <c r="BZ345" s="1"/>
    </row>
    <row r="346">
      <c r="A346" s="3"/>
      <c r="B346" s="33"/>
      <c r="C346" s="147"/>
      <c r="D346" s="147" t="s">
        <v>262</v>
      </c>
      <c r="E346" s="134"/>
      <c r="F346" s="134"/>
      <c r="G346" s="14"/>
      <c r="H346" s="14"/>
      <c r="I346" s="14"/>
      <c r="J346" s="14"/>
      <c r="K346" s="14"/>
      <c r="L346" s="1"/>
      <c r="M346" s="1"/>
      <c r="N346" s="1"/>
      <c r="O346" s="1"/>
      <c r="P346" s="1"/>
      <c r="Q346" s="1"/>
      <c r="R346" s="1"/>
      <c r="S346" s="3" t="e">
        <v>#DIV/0!</v>
      </c>
      <c r="T346" s="3" t="e">
        <v>#DIV/0!</v>
      </c>
      <c r="U346" s="33">
        <v>0.0</v>
      </c>
      <c r="V346" s="33">
        <v>0.0</v>
      </c>
      <c r="W346" s="33">
        <v>0.0</v>
      </c>
      <c r="X346" s="33">
        <v>0.0</v>
      </c>
      <c r="Y346" s="33">
        <v>0.0</v>
      </c>
      <c r="Z346" s="33">
        <v>0.0</v>
      </c>
      <c r="AA346" s="33">
        <v>0.0341</v>
      </c>
      <c r="AB346" s="33">
        <v>0.0583</v>
      </c>
      <c r="AC346" s="33">
        <v>0.0522</v>
      </c>
      <c r="AD346" s="33">
        <v>0.0473</v>
      </c>
      <c r="AE346" s="33">
        <v>0.0454</v>
      </c>
      <c r="AF346" s="33">
        <v>0.0244</v>
      </c>
      <c r="AG346" s="33">
        <v>0.0244</v>
      </c>
      <c r="AH346" s="33">
        <v>0.0244</v>
      </c>
      <c r="AI346" s="33">
        <v>0.0244</v>
      </c>
      <c r="AJ346" s="33">
        <v>0.0046</v>
      </c>
      <c r="AK346" s="33">
        <v>0.0017</v>
      </c>
      <c r="AL346" s="33">
        <v>0.0016</v>
      </c>
      <c r="AM346" s="33">
        <v>0.0022</v>
      </c>
      <c r="AN346" s="33">
        <v>0.0873</v>
      </c>
      <c r="AO346" s="33">
        <v>0.0817</v>
      </c>
      <c r="AP346" s="33">
        <v>0.0964</v>
      </c>
      <c r="AQ346" s="33">
        <v>0.5403</v>
      </c>
      <c r="AR346" s="33">
        <v>1.6766</v>
      </c>
      <c r="AS346" s="33">
        <v>0.3772</v>
      </c>
      <c r="AT346" s="33">
        <v>0.2416</v>
      </c>
      <c r="AU346" s="33">
        <v>0.3053</v>
      </c>
      <c r="AV346" s="33">
        <v>0.0716</v>
      </c>
      <c r="AW346" s="33">
        <v>0.0541</v>
      </c>
      <c r="AX346" s="33">
        <v>0.0565</v>
      </c>
      <c r="AY346" s="33">
        <v>0.0304</v>
      </c>
      <c r="AZ346" s="33">
        <v>0.0321</v>
      </c>
      <c r="BA346" s="33">
        <v>0.0174</v>
      </c>
      <c r="BB346" s="33">
        <v>0.0128</v>
      </c>
      <c r="BC346" s="33">
        <v>0.1753</v>
      </c>
      <c r="BD346" s="33">
        <v>0.097</v>
      </c>
      <c r="BE346" s="33">
        <v>0.0565</v>
      </c>
      <c r="BF346" s="33">
        <v>0.034</v>
      </c>
      <c r="BG346" s="33">
        <v>0.1063</v>
      </c>
      <c r="BH346" s="33">
        <v>0.1066</v>
      </c>
      <c r="BI346" s="33">
        <v>0.0504</v>
      </c>
      <c r="BJ346" s="33">
        <v>0.1211</v>
      </c>
      <c r="BK346" s="33">
        <v>0.3347</v>
      </c>
      <c r="BL346" s="33"/>
      <c r="BM346" s="33"/>
      <c r="BN346" s="33"/>
      <c r="BO346" s="33"/>
      <c r="BP346" s="33"/>
      <c r="BQ346" s="33"/>
      <c r="BR346" s="33"/>
      <c r="BS346" s="1"/>
      <c r="BT346" s="9"/>
      <c r="BU346" s="9"/>
      <c r="BV346" s="1"/>
      <c r="BW346" s="1"/>
      <c r="BX346" s="1"/>
      <c r="BY346" s="1"/>
      <c r="BZ346" s="1"/>
    </row>
    <row r="347">
      <c r="A347" s="3"/>
      <c r="B347" s="33"/>
      <c r="C347" s="165"/>
      <c r="D347" s="165"/>
      <c r="E347" s="134"/>
      <c r="F347" s="134"/>
      <c r="G347" s="14"/>
      <c r="H347" s="14"/>
      <c r="I347" s="14"/>
      <c r="J347" s="14"/>
      <c r="K347" s="1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9"/>
      <c r="BU347" s="9"/>
      <c r="BV347" s="1"/>
      <c r="BW347" s="1"/>
      <c r="BX347" s="1"/>
      <c r="BY347" s="1"/>
      <c r="BZ347" s="1"/>
    </row>
    <row r="348">
      <c r="A348" s="3"/>
      <c r="B348" s="33"/>
      <c r="C348" s="165"/>
      <c r="D348" s="165"/>
      <c r="E348" s="134"/>
      <c r="F348" s="134"/>
      <c r="G348" s="14"/>
      <c r="H348" s="14"/>
      <c r="I348" s="14"/>
      <c r="J348" s="14"/>
      <c r="K348" s="1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9"/>
      <c r="BU348" s="9"/>
      <c r="BV348" s="1"/>
      <c r="BW348" s="1"/>
      <c r="BX348" s="1"/>
      <c r="BY348" s="1"/>
      <c r="BZ348" s="1"/>
    </row>
    <row r="349">
      <c r="A349" s="3"/>
      <c r="B349" s="33"/>
      <c r="C349" s="122"/>
      <c r="D349" s="122" t="s">
        <v>326</v>
      </c>
      <c r="E349" s="134"/>
      <c r="F349" s="134"/>
      <c r="G349" s="14"/>
      <c r="H349" s="14"/>
      <c r="I349" s="14"/>
      <c r="J349" s="14"/>
      <c r="K349" s="1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9"/>
      <c r="BU349" s="9"/>
      <c r="BV349" s="1"/>
      <c r="BW349" s="1"/>
      <c r="BX349" s="1"/>
      <c r="BY349" s="1"/>
      <c r="BZ349" s="1"/>
    </row>
    <row r="350">
      <c r="A350" s="3"/>
      <c r="B350" s="33"/>
      <c r="C350" s="122"/>
      <c r="D350" s="122" t="s">
        <v>263</v>
      </c>
      <c r="E350" s="134"/>
      <c r="F350" s="134"/>
      <c r="G350" s="14"/>
      <c r="H350" s="14"/>
      <c r="I350" s="14"/>
      <c r="J350" s="14"/>
      <c r="K350" s="14"/>
      <c r="L350" s="1"/>
      <c r="M350" s="1"/>
      <c r="N350" s="1"/>
      <c r="O350" s="1"/>
      <c r="P350" s="1"/>
      <c r="Q350" s="1"/>
      <c r="R350" s="1"/>
      <c r="S350" s="74">
        <v>4502195.0</v>
      </c>
      <c r="T350" s="74">
        <v>5041881.0</v>
      </c>
      <c r="U350" s="74">
        <v>5439380.0</v>
      </c>
      <c r="V350" s="74">
        <v>5709744.0</v>
      </c>
      <c r="W350" s="74">
        <v>5149995.0</v>
      </c>
      <c r="X350" s="74">
        <v>5895754.0</v>
      </c>
      <c r="Y350" s="74">
        <v>6203737.0</v>
      </c>
      <c r="Z350" s="74">
        <v>6061610.0</v>
      </c>
      <c r="AA350" s="74">
        <v>5807809.0</v>
      </c>
      <c r="AB350" s="74">
        <v>4739590.0</v>
      </c>
      <c r="AC350" s="74">
        <v>5101613.0</v>
      </c>
      <c r="AD350" s="74">
        <v>5439355.0</v>
      </c>
      <c r="AE350" s="74">
        <v>5749835.0</v>
      </c>
      <c r="AF350" s="74">
        <v>5225137.0</v>
      </c>
      <c r="AG350" s="74">
        <v>5846317.0</v>
      </c>
      <c r="AH350" s="74">
        <v>7175182.0</v>
      </c>
      <c r="AI350" s="74">
        <v>6103686.0</v>
      </c>
      <c r="AJ350" s="74">
        <v>6035394.0</v>
      </c>
      <c r="AK350" s="74">
        <v>6807436.0</v>
      </c>
      <c r="AL350" s="74">
        <v>6465578.0</v>
      </c>
      <c r="AM350" s="74">
        <v>6141510.0</v>
      </c>
      <c r="AN350" s="74">
        <v>6167742.0</v>
      </c>
      <c r="AO350" s="74">
        <v>7723352.0</v>
      </c>
      <c r="AP350" s="74">
        <v>8245497.0</v>
      </c>
      <c r="AQ350" s="74">
        <v>8586531.0</v>
      </c>
      <c r="AR350" s="74">
        <v>9174052.0</v>
      </c>
      <c r="AS350" s="74">
        <v>9208079.0</v>
      </c>
      <c r="AT350" s="74">
        <v>7885878.0</v>
      </c>
      <c r="AU350" s="74">
        <v>8409813.0</v>
      </c>
      <c r="AV350" s="74">
        <v>7688128.0</v>
      </c>
      <c r="AW350" s="74">
        <v>5948245.0</v>
      </c>
      <c r="AX350" s="74">
        <v>6337341.0</v>
      </c>
      <c r="AY350" s="74">
        <v>6271311.0</v>
      </c>
      <c r="AZ350" s="74">
        <v>5868041.0</v>
      </c>
      <c r="BA350" s="74">
        <v>5880411.0</v>
      </c>
      <c r="BB350" s="74">
        <v>5368846.0</v>
      </c>
      <c r="BC350" s="74">
        <v>5532622.0</v>
      </c>
      <c r="BD350" s="74">
        <v>6247401.0</v>
      </c>
      <c r="BE350" s="74">
        <v>5125828.0</v>
      </c>
      <c r="BF350" s="74">
        <v>6407737.0</v>
      </c>
      <c r="BG350" s="74">
        <v>6505765.0</v>
      </c>
      <c r="BH350" s="74">
        <v>8034699.0</v>
      </c>
      <c r="BI350" s="74">
        <v>6355959.0</v>
      </c>
      <c r="BJ350" s="74">
        <v>5478383.0</v>
      </c>
      <c r="BK350" s="74">
        <v>5941642.0</v>
      </c>
      <c r="BL350" s="74"/>
      <c r="BM350" s="74"/>
      <c r="BN350" s="74"/>
      <c r="BO350" s="74"/>
      <c r="BP350" s="74"/>
      <c r="BQ350" s="74"/>
      <c r="BR350" s="74"/>
      <c r="BS350" s="1"/>
      <c r="BT350" s="9"/>
      <c r="BU350" s="9"/>
      <c r="BV350" s="1"/>
      <c r="BW350" s="1"/>
      <c r="BX350" s="1"/>
      <c r="BY350" s="1"/>
      <c r="BZ350" s="1"/>
    </row>
    <row r="351">
      <c r="A351" s="3"/>
      <c r="B351" s="33"/>
      <c r="C351" s="147"/>
      <c r="D351" s="147" t="s">
        <v>246</v>
      </c>
      <c r="E351" s="134"/>
      <c r="F351" s="134"/>
      <c r="G351" s="14"/>
      <c r="H351" s="14"/>
      <c r="I351" s="14"/>
      <c r="J351" s="14"/>
      <c r="K351" s="14"/>
      <c r="L351" s="1"/>
      <c r="M351" s="1"/>
      <c r="N351" s="1"/>
      <c r="O351" s="1"/>
      <c r="P351" s="1"/>
      <c r="Q351" s="1"/>
      <c r="R351" s="1"/>
      <c r="S351" s="34">
        <v>1273536.01</v>
      </c>
      <c r="T351" s="34">
        <v>1742798.23</v>
      </c>
      <c r="U351" s="34">
        <v>2258763.52</v>
      </c>
      <c r="V351" s="34">
        <v>2622718.09</v>
      </c>
      <c r="W351" s="34">
        <v>1873045.6</v>
      </c>
      <c r="X351" s="34">
        <v>1566887.41</v>
      </c>
      <c r="Y351" s="34">
        <v>1729755.55</v>
      </c>
      <c r="Z351" s="34">
        <v>1760539.95</v>
      </c>
      <c r="AA351" s="34">
        <v>1732803.25</v>
      </c>
      <c r="AB351" s="34">
        <v>1451554.17</v>
      </c>
      <c r="AC351" s="34">
        <v>1620437.6</v>
      </c>
      <c r="AD351" s="34">
        <v>1817664.84</v>
      </c>
      <c r="AE351" s="34">
        <v>1917516.29</v>
      </c>
      <c r="AF351" s="34">
        <v>1662870.42</v>
      </c>
      <c r="AG351" s="34">
        <v>1824047.06</v>
      </c>
      <c r="AH351" s="34">
        <v>2308043.8</v>
      </c>
      <c r="AI351" s="34">
        <v>1833057.19</v>
      </c>
      <c r="AJ351" s="34">
        <v>1640750.63</v>
      </c>
      <c r="AK351" s="34">
        <v>2292156.33</v>
      </c>
      <c r="AL351" s="34">
        <v>2067731.39</v>
      </c>
      <c r="AM351" s="34">
        <v>1863741.62</v>
      </c>
      <c r="AN351" s="34">
        <v>1938763.04</v>
      </c>
      <c r="AO351" s="34">
        <v>2328568.64</v>
      </c>
      <c r="AP351" s="34">
        <v>2270262.9</v>
      </c>
      <c r="AQ351" s="34">
        <v>2497656.37</v>
      </c>
      <c r="AR351" s="34">
        <v>2772516.42</v>
      </c>
      <c r="AS351" s="34">
        <v>3282091.98</v>
      </c>
      <c r="AT351" s="34">
        <v>2605237.6</v>
      </c>
      <c r="AU351" s="34">
        <v>2555864.4</v>
      </c>
      <c r="AV351" s="34">
        <v>2442059.27</v>
      </c>
      <c r="AW351" s="34">
        <v>1759731.43</v>
      </c>
      <c r="AX351" s="34">
        <v>2035217.36</v>
      </c>
      <c r="AY351" s="34">
        <v>2046293.76</v>
      </c>
      <c r="AZ351" s="34">
        <v>1836263.3</v>
      </c>
      <c r="BA351" s="34">
        <v>1800034.51</v>
      </c>
      <c r="BB351" s="34">
        <v>1732363.63</v>
      </c>
      <c r="BC351" s="34">
        <v>1647858.29</v>
      </c>
      <c r="BD351" s="34">
        <v>2056756.2</v>
      </c>
      <c r="BE351" s="34">
        <v>1902085.74</v>
      </c>
      <c r="BF351" s="34">
        <v>2704802.05</v>
      </c>
      <c r="BG351" s="34">
        <v>2405486.12</v>
      </c>
      <c r="BH351" s="34">
        <v>2960227.29</v>
      </c>
      <c r="BI351" s="34">
        <v>2121911.55</v>
      </c>
      <c r="BJ351" s="34">
        <v>1975577.44</v>
      </c>
      <c r="BK351" s="34">
        <v>2151392.81</v>
      </c>
      <c r="BL351" s="34"/>
      <c r="BM351" s="34"/>
      <c r="BN351" s="34"/>
      <c r="BO351" s="34"/>
      <c r="BP351" s="34"/>
      <c r="BQ351" s="34"/>
      <c r="BR351" s="34"/>
      <c r="BS351" s="1"/>
      <c r="BT351" s="9"/>
      <c r="BU351" s="9"/>
      <c r="BV351" s="1"/>
      <c r="BW351" s="1"/>
      <c r="BX351" s="1"/>
      <c r="BY351" s="1"/>
      <c r="BZ351" s="1"/>
    </row>
    <row r="352">
      <c r="A352" s="3"/>
      <c r="B352" s="33"/>
      <c r="C352" s="147"/>
      <c r="D352" s="147" t="s">
        <v>248</v>
      </c>
      <c r="E352" s="134"/>
      <c r="F352" s="134"/>
      <c r="G352" s="14"/>
      <c r="H352" s="14"/>
      <c r="I352" s="14"/>
      <c r="J352" s="14"/>
      <c r="K352" s="14"/>
      <c r="L352" s="1"/>
      <c r="M352" s="1"/>
      <c r="N352" s="1"/>
      <c r="O352" s="1"/>
      <c r="P352" s="1"/>
      <c r="Q352" s="1"/>
      <c r="R352" s="1"/>
      <c r="S352" s="34">
        <v>2435751.22</v>
      </c>
      <c r="T352" s="34">
        <v>2494869.16</v>
      </c>
      <c r="U352" s="34">
        <v>2367843.48</v>
      </c>
      <c r="V352" s="34">
        <v>2311736.79</v>
      </c>
      <c r="W352" s="34">
        <v>2480048.57</v>
      </c>
      <c r="X352" s="34">
        <v>3316833.39</v>
      </c>
      <c r="Y352" s="34">
        <v>3446730.8</v>
      </c>
      <c r="Z352" s="34">
        <v>3350708.74</v>
      </c>
      <c r="AA352" s="34">
        <v>3146742.3</v>
      </c>
      <c r="AB352" s="34">
        <v>2450196.85</v>
      </c>
      <c r="AC352" s="34">
        <v>2420709.36</v>
      </c>
      <c r="AD352" s="34">
        <v>2657407.72</v>
      </c>
      <c r="AE352" s="34">
        <v>2862876.86</v>
      </c>
      <c r="AF352" s="34">
        <v>2689011.48</v>
      </c>
      <c r="AG352" s="34">
        <v>2746058.24</v>
      </c>
      <c r="AH352" s="34">
        <v>3815134.99</v>
      </c>
      <c r="AI352" s="34">
        <v>3356297.32</v>
      </c>
      <c r="AJ352" s="34">
        <v>3409470.49</v>
      </c>
      <c r="AK352" s="34">
        <v>3399511.18</v>
      </c>
      <c r="AL352" s="34">
        <v>3203453.74</v>
      </c>
      <c r="AM352" s="34">
        <v>3307386.41</v>
      </c>
      <c r="AN352" s="34">
        <v>3153391.38</v>
      </c>
      <c r="AO352" s="34">
        <v>4168675.99</v>
      </c>
      <c r="AP352" s="34">
        <v>4761293.16</v>
      </c>
      <c r="AQ352" s="34">
        <v>4849312.8</v>
      </c>
      <c r="AR352" s="34">
        <v>4992497.28</v>
      </c>
      <c r="AS352" s="34">
        <v>4436650.74</v>
      </c>
      <c r="AT352" s="34">
        <v>3863880.7</v>
      </c>
      <c r="AU352" s="34">
        <v>4012682.68</v>
      </c>
      <c r="AV352" s="34">
        <v>3582024.62</v>
      </c>
      <c r="AW352" s="34">
        <v>3059438.7</v>
      </c>
      <c r="AX352" s="34">
        <v>3112528.67</v>
      </c>
      <c r="AY352" s="34">
        <v>2979074.59</v>
      </c>
      <c r="AZ352" s="34">
        <v>2802683.97</v>
      </c>
      <c r="BA352" s="34">
        <v>2856727.99</v>
      </c>
      <c r="BB352" s="34">
        <v>2448851.09</v>
      </c>
      <c r="BC352" s="34">
        <v>2753724.71</v>
      </c>
      <c r="BD352" s="34">
        <v>3014733.83</v>
      </c>
      <c r="BE352" s="34">
        <v>2064338.05</v>
      </c>
      <c r="BF352" s="34">
        <v>2182059.08</v>
      </c>
      <c r="BG352" s="34">
        <v>2879703.19</v>
      </c>
      <c r="BH352" s="34">
        <v>4056182.3</v>
      </c>
      <c r="BI352" s="34">
        <v>3399418.24</v>
      </c>
      <c r="BJ352" s="34">
        <v>2617985.51</v>
      </c>
      <c r="BK352" s="34">
        <v>2598382.6</v>
      </c>
      <c r="BL352" s="34"/>
      <c r="BM352" s="34"/>
      <c r="BN352" s="34"/>
      <c r="BO352" s="34"/>
      <c r="BP352" s="34"/>
      <c r="BQ352" s="34"/>
      <c r="BR352" s="34"/>
      <c r="BS352" s="1"/>
      <c r="BT352" s="9"/>
      <c r="BU352" s="9"/>
      <c r="BV352" s="1"/>
      <c r="BW352" s="1"/>
      <c r="BX352" s="1"/>
      <c r="BY352" s="1"/>
      <c r="BZ352" s="1"/>
    </row>
    <row r="353">
      <c r="A353" s="3"/>
      <c r="B353" s="33"/>
      <c r="C353" s="147"/>
      <c r="D353" s="147" t="s">
        <v>251</v>
      </c>
      <c r="E353" s="134"/>
      <c r="F353" s="134"/>
      <c r="G353" s="14"/>
      <c r="H353" s="14"/>
      <c r="I353" s="14"/>
      <c r="J353" s="14"/>
      <c r="K353" s="14"/>
      <c r="L353" s="1"/>
      <c r="M353" s="1"/>
      <c r="N353" s="1"/>
      <c r="O353" s="1"/>
      <c r="P353" s="1"/>
      <c r="Q353" s="1"/>
      <c r="R353" s="1"/>
      <c r="S353" s="34">
        <v>418652.36</v>
      </c>
      <c r="T353" s="34">
        <v>364017.48</v>
      </c>
      <c r="U353" s="34">
        <v>409609.78</v>
      </c>
      <c r="V353" s="34">
        <v>352193.49</v>
      </c>
      <c r="W353" s="34">
        <v>433377.25</v>
      </c>
      <c r="X353" s="34">
        <v>578336.53</v>
      </c>
      <c r="Y353" s="34">
        <v>512026.1</v>
      </c>
      <c r="Z353" s="34">
        <v>524052.09</v>
      </c>
      <c r="AA353" s="34">
        <v>522448.86</v>
      </c>
      <c r="AB353" s="34">
        <v>429172.94</v>
      </c>
      <c r="AC353" s="34">
        <v>620810.14</v>
      </c>
      <c r="AD353" s="34">
        <v>512263.77</v>
      </c>
      <c r="AE353" s="34">
        <v>506148.45</v>
      </c>
      <c r="AF353" s="34">
        <v>486416.96</v>
      </c>
      <c r="AG353" s="34">
        <v>800128.93</v>
      </c>
      <c r="AH353" s="34">
        <v>594369.97</v>
      </c>
      <c r="AI353" s="34">
        <v>457820.75</v>
      </c>
      <c r="AJ353" s="34">
        <v>486681.06</v>
      </c>
      <c r="AK353" s="34">
        <v>543518.22</v>
      </c>
      <c r="AL353" s="34">
        <v>612015.29</v>
      </c>
      <c r="AM353" s="34">
        <v>499708.54</v>
      </c>
      <c r="AN353" s="34">
        <v>600139.41</v>
      </c>
      <c r="AO353" s="34">
        <v>642106.2</v>
      </c>
      <c r="AP353" s="34">
        <v>594430.0</v>
      </c>
      <c r="AQ353" s="34">
        <v>603161.7</v>
      </c>
      <c r="AR353" s="34">
        <v>706038.62</v>
      </c>
      <c r="AS353" s="34">
        <v>733310.73</v>
      </c>
      <c r="AT353" s="34">
        <v>787566.98</v>
      </c>
      <c r="AU353" s="34">
        <v>1233718.02</v>
      </c>
      <c r="AV353" s="34">
        <v>936312.22</v>
      </c>
      <c r="AW353" s="34">
        <v>555617.52</v>
      </c>
      <c r="AX353" s="34">
        <v>528821.07</v>
      </c>
      <c r="AY353" s="34">
        <v>603314.07</v>
      </c>
      <c r="AZ353" s="34">
        <v>615814.75</v>
      </c>
      <c r="BA353" s="34">
        <v>582762.92</v>
      </c>
      <c r="BB353" s="34">
        <v>605495.89</v>
      </c>
      <c r="BC353" s="34">
        <v>554928.88</v>
      </c>
      <c r="BD353" s="34">
        <v>552999.72</v>
      </c>
      <c r="BE353" s="34">
        <v>575883.96</v>
      </c>
      <c r="BF353" s="34">
        <v>895908.35</v>
      </c>
      <c r="BG353" s="34">
        <v>691065.89</v>
      </c>
      <c r="BH353" s="34">
        <v>511770.45</v>
      </c>
      <c r="BI353" s="34">
        <v>399324.53</v>
      </c>
      <c r="BJ353" s="34">
        <v>442749.29</v>
      </c>
      <c r="BK353" s="34">
        <v>575178.97</v>
      </c>
      <c r="BL353" s="34"/>
      <c r="BM353" s="34"/>
      <c r="BN353" s="34"/>
      <c r="BO353" s="34"/>
      <c r="BP353" s="34"/>
      <c r="BQ353" s="34"/>
      <c r="BR353" s="34"/>
      <c r="BS353" s="1"/>
      <c r="BT353" s="9"/>
      <c r="BU353" s="9"/>
      <c r="BV353" s="1"/>
      <c r="BW353" s="1"/>
      <c r="BX353" s="1"/>
      <c r="BY353" s="1"/>
      <c r="BZ353" s="1"/>
    </row>
    <row r="354">
      <c r="A354" s="3"/>
      <c r="B354" s="33"/>
      <c r="C354" s="147"/>
      <c r="D354" s="147" t="s">
        <v>253</v>
      </c>
      <c r="E354" s="134"/>
      <c r="F354" s="134"/>
      <c r="G354" s="14"/>
      <c r="H354" s="14"/>
      <c r="I354" s="14"/>
      <c r="J354" s="14"/>
      <c r="K354" s="14"/>
      <c r="L354" s="1"/>
      <c r="M354" s="1"/>
      <c r="N354" s="1"/>
      <c r="O354" s="1"/>
      <c r="P354" s="1"/>
      <c r="Q354" s="1"/>
      <c r="R354" s="1"/>
      <c r="S354" s="34">
        <v>257711.37</v>
      </c>
      <c r="T354" s="34">
        <v>291337.44</v>
      </c>
      <c r="U354" s="34">
        <v>265391.95</v>
      </c>
      <c r="V354" s="34">
        <v>267653.13</v>
      </c>
      <c r="W354" s="34">
        <v>236283.3</v>
      </c>
      <c r="X354" s="34">
        <v>268926.98</v>
      </c>
      <c r="Y354" s="34">
        <v>342975.78</v>
      </c>
      <c r="Z354" s="34">
        <v>297166.4</v>
      </c>
      <c r="AA354" s="34">
        <v>270087.71</v>
      </c>
      <c r="AB354" s="34">
        <v>266869.71</v>
      </c>
      <c r="AC354" s="34">
        <v>302024.27</v>
      </c>
      <c r="AD354" s="34">
        <v>290220.42</v>
      </c>
      <c r="AE354" s="34">
        <v>280338.04</v>
      </c>
      <c r="AF354" s="34">
        <v>233780.09</v>
      </c>
      <c r="AG354" s="34">
        <v>248143.96</v>
      </c>
      <c r="AH354" s="34">
        <v>261363.4</v>
      </c>
      <c r="AI354" s="34">
        <v>273315.61</v>
      </c>
      <c r="AJ354" s="34">
        <v>295539.01</v>
      </c>
      <c r="AK354" s="34">
        <v>277786.05</v>
      </c>
      <c r="AL354" s="34">
        <v>329910.37</v>
      </c>
      <c r="AM354" s="34">
        <v>236029.3</v>
      </c>
      <c r="AN354" s="34">
        <v>264426.52</v>
      </c>
      <c r="AO354" s="34">
        <v>343578.62</v>
      </c>
      <c r="AP354" s="34">
        <v>361587.24</v>
      </c>
      <c r="AQ354" s="34">
        <v>379538.4</v>
      </c>
      <c r="AR354" s="34">
        <v>420686.8</v>
      </c>
      <c r="AS354" s="34">
        <v>459099.05</v>
      </c>
      <c r="AT354" s="34">
        <v>334588.17</v>
      </c>
      <c r="AU354" s="34">
        <v>317149.31</v>
      </c>
      <c r="AV354" s="34">
        <v>430321.62</v>
      </c>
      <c r="AW354" s="34">
        <v>370180.3</v>
      </c>
      <c r="AX354" s="34">
        <v>443493.73</v>
      </c>
      <c r="AY354" s="34">
        <v>385872.07</v>
      </c>
      <c r="AZ354" s="34">
        <v>359858.83</v>
      </c>
      <c r="BA354" s="34">
        <v>373264.42</v>
      </c>
      <c r="BB354" s="34">
        <v>351872.56</v>
      </c>
      <c r="BC354" s="34">
        <v>336808.63</v>
      </c>
      <c r="BD354" s="34">
        <v>338679.99</v>
      </c>
      <c r="BE354" s="34">
        <v>347953.98</v>
      </c>
      <c r="BF354" s="34">
        <v>305334.43</v>
      </c>
      <c r="BG354" s="34">
        <v>259379.3</v>
      </c>
      <c r="BH354" s="34">
        <v>267823.48</v>
      </c>
      <c r="BI354" s="34">
        <v>218027.93</v>
      </c>
      <c r="BJ354" s="34">
        <v>251794.24</v>
      </c>
      <c r="BK354" s="34">
        <v>436272.72</v>
      </c>
      <c r="BL354" s="34"/>
      <c r="BM354" s="34"/>
      <c r="BN354" s="34"/>
      <c r="BO354" s="34"/>
      <c r="BP354" s="34"/>
      <c r="BQ354" s="34"/>
      <c r="BR354" s="34"/>
      <c r="BS354" s="1"/>
      <c r="BT354" s="9"/>
      <c r="BU354" s="9"/>
      <c r="BV354" s="1"/>
      <c r="BW354" s="1"/>
      <c r="BX354" s="1"/>
      <c r="BY354" s="1"/>
      <c r="BZ354" s="1"/>
    </row>
    <row r="355">
      <c r="A355" s="3"/>
      <c r="B355" s="33"/>
      <c r="C355" s="147"/>
      <c r="D355" s="147" t="s">
        <v>255</v>
      </c>
      <c r="E355" s="134"/>
      <c r="F355" s="134"/>
      <c r="G355" s="14"/>
      <c r="H355" s="14"/>
      <c r="I355" s="14"/>
      <c r="J355" s="14"/>
      <c r="K355" s="14"/>
      <c r="L355" s="1"/>
      <c r="M355" s="1"/>
      <c r="N355" s="1"/>
      <c r="O355" s="1"/>
      <c r="P355" s="1"/>
      <c r="Q355" s="1"/>
      <c r="R355" s="1"/>
      <c r="S355" s="34">
        <v>70083.47</v>
      </c>
      <c r="T355" s="34">
        <v>93710.0</v>
      </c>
      <c r="U355" s="34">
        <v>87308.61</v>
      </c>
      <c r="V355" s="34">
        <v>77416.92</v>
      </c>
      <c r="W355" s="34">
        <v>82782.22</v>
      </c>
      <c r="X355" s="34">
        <v>104722.12</v>
      </c>
      <c r="Y355" s="34">
        <v>101628.2</v>
      </c>
      <c r="Z355" s="34">
        <v>77189.71</v>
      </c>
      <c r="AA355" s="34">
        <v>76527.19</v>
      </c>
      <c r="AB355" s="34">
        <v>83616.59</v>
      </c>
      <c r="AC355" s="34">
        <v>78959.15</v>
      </c>
      <c r="AD355" s="34">
        <v>76852.37</v>
      </c>
      <c r="AE355" s="34">
        <v>75430.5</v>
      </c>
      <c r="AF355" s="34">
        <v>76299.88</v>
      </c>
      <c r="AG355" s="34">
        <v>83317.45</v>
      </c>
      <c r="AH355" s="34">
        <v>84644.3</v>
      </c>
      <c r="AI355" s="34">
        <v>87629.3</v>
      </c>
      <c r="AJ355" s="34">
        <v>100546.77</v>
      </c>
      <c r="AK355" s="34">
        <v>126518.31</v>
      </c>
      <c r="AL355" s="34">
        <v>136814.0</v>
      </c>
      <c r="AM355" s="34">
        <v>106098.14</v>
      </c>
      <c r="AN355" s="34">
        <v>116463.43</v>
      </c>
      <c r="AO355" s="34">
        <v>128169.8</v>
      </c>
      <c r="AP355" s="34">
        <v>142734.34</v>
      </c>
      <c r="AQ355" s="34">
        <v>143822.51</v>
      </c>
      <c r="AR355" s="34">
        <v>155412.4</v>
      </c>
      <c r="AS355" s="34">
        <v>149478.87</v>
      </c>
      <c r="AT355" s="34">
        <v>126676.49</v>
      </c>
      <c r="AU355" s="34">
        <v>126562.36</v>
      </c>
      <c r="AV355" s="34">
        <v>129016.63</v>
      </c>
      <c r="AW355" s="34">
        <v>101428.93</v>
      </c>
      <c r="AX355" s="34">
        <v>125690.56</v>
      </c>
      <c r="AY355" s="34">
        <v>151389.27</v>
      </c>
      <c r="AZ355" s="34">
        <v>153723.0</v>
      </c>
      <c r="BA355" s="34">
        <v>159107.25</v>
      </c>
      <c r="BB355" s="34">
        <v>140622.04</v>
      </c>
      <c r="BC355" s="34">
        <v>146992.67</v>
      </c>
      <c r="BD355" s="34">
        <v>155675.38</v>
      </c>
      <c r="BE355" s="34">
        <v>130366.87</v>
      </c>
      <c r="BF355" s="34">
        <v>132877.08</v>
      </c>
      <c r="BG355" s="34">
        <v>130108.99</v>
      </c>
      <c r="BH355" s="34">
        <v>155242.97</v>
      </c>
      <c r="BI355" s="34">
        <v>140888.01</v>
      </c>
      <c r="BJ355" s="34">
        <v>124058.36</v>
      </c>
      <c r="BK355" s="34">
        <v>118303.85</v>
      </c>
      <c r="BL355" s="34"/>
      <c r="BM355" s="34"/>
      <c r="BN355" s="34"/>
      <c r="BO355" s="34"/>
      <c r="BP355" s="34"/>
      <c r="BQ355" s="34"/>
      <c r="BR355" s="34"/>
      <c r="BS355" s="1"/>
      <c r="BT355" s="9"/>
      <c r="BU355" s="9"/>
      <c r="BV355" s="1"/>
      <c r="BW355" s="1"/>
      <c r="BX355" s="1"/>
      <c r="BY355" s="1"/>
      <c r="BZ355" s="1"/>
    </row>
    <row r="356">
      <c r="A356" s="3"/>
      <c r="B356" s="33"/>
      <c r="C356" s="155"/>
      <c r="D356" s="155" t="s">
        <v>257</v>
      </c>
      <c r="E356" s="134"/>
      <c r="F356" s="134"/>
      <c r="G356" s="14"/>
      <c r="H356" s="14"/>
      <c r="I356" s="14"/>
      <c r="J356" s="14"/>
      <c r="K356" s="14"/>
      <c r="L356" s="1"/>
      <c r="M356" s="1"/>
      <c r="N356" s="1"/>
      <c r="O356" s="1"/>
      <c r="P356" s="1"/>
      <c r="Q356" s="1"/>
      <c r="R356" s="1"/>
      <c r="S356" s="34">
        <v>46460.76</v>
      </c>
      <c r="T356" s="34">
        <v>52557.08</v>
      </c>
      <c r="U356" s="34">
        <v>34954.19</v>
      </c>
      <c r="V356" s="34">
        <v>22371.05</v>
      </c>
      <c r="W356" s="34">
        <v>21421.4</v>
      </c>
      <c r="X356" s="34">
        <v>29590.91</v>
      </c>
      <c r="Y356" s="34">
        <v>41660.21</v>
      </c>
      <c r="Z356" s="34">
        <v>25712.23</v>
      </c>
      <c r="AA356" s="34">
        <v>35492.35</v>
      </c>
      <c r="AB356" s="34">
        <v>26420.7</v>
      </c>
      <c r="AC356" s="34">
        <v>27474.37</v>
      </c>
      <c r="AD356" s="34">
        <v>35049.88</v>
      </c>
      <c r="AE356" s="34">
        <v>53919.18</v>
      </c>
      <c r="AF356" s="34">
        <v>32750.25</v>
      </c>
      <c r="AG356" s="34">
        <v>54064.43</v>
      </c>
      <c r="AH356" s="34">
        <v>50701.88</v>
      </c>
      <c r="AI356" s="34">
        <v>39814.04</v>
      </c>
      <c r="AJ356" s="34">
        <v>44990.11</v>
      </c>
      <c r="AK356" s="34">
        <v>60425.12</v>
      </c>
      <c r="AL356" s="34">
        <v>56802.7</v>
      </c>
      <c r="AM356" s="34">
        <v>51480.6</v>
      </c>
      <c r="AN356" s="34">
        <v>31536.6</v>
      </c>
      <c r="AO356" s="34">
        <v>32474.05</v>
      </c>
      <c r="AP356" s="34">
        <v>37439.25</v>
      </c>
      <c r="AQ356" s="34">
        <v>27707.35</v>
      </c>
      <c r="AR356" s="34">
        <v>45180.7</v>
      </c>
      <c r="AS356" s="34">
        <v>52818.38</v>
      </c>
      <c r="AT356" s="34">
        <v>65554.63</v>
      </c>
      <c r="AU356" s="34">
        <v>81864.54</v>
      </c>
      <c r="AV356" s="34">
        <v>86447.65</v>
      </c>
      <c r="AW356" s="34">
        <v>31357.38</v>
      </c>
      <c r="AX356" s="34">
        <v>32957.33</v>
      </c>
      <c r="AY356" s="34">
        <v>40311.44</v>
      </c>
      <c r="AZ356" s="34">
        <v>49172.8</v>
      </c>
      <c r="BA356" s="34">
        <v>50625.3</v>
      </c>
      <c r="BB356" s="34">
        <v>25481.13</v>
      </c>
      <c r="BC356" s="34">
        <v>30736.23</v>
      </c>
      <c r="BD356" s="34">
        <v>31829.04</v>
      </c>
      <c r="BE356" s="34">
        <v>38547.01</v>
      </c>
      <c r="BF356" s="34">
        <v>63880.89</v>
      </c>
      <c r="BG356" s="34">
        <v>40701.52</v>
      </c>
      <c r="BH356" s="34">
        <v>26580.06</v>
      </c>
      <c r="BI356" s="34">
        <v>29244.17</v>
      </c>
      <c r="BJ356" s="34">
        <v>13513.14</v>
      </c>
      <c r="BK356" s="34">
        <v>22740.11</v>
      </c>
      <c r="BL356" s="34"/>
      <c r="BM356" s="34"/>
      <c r="BN356" s="34"/>
      <c r="BO356" s="34"/>
      <c r="BP356" s="34"/>
      <c r="BQ356" s="34"/>
      <c r="BR356" s="34"/>
      <c r="BS356" s="1"/>
      <c r="BT356" s="9"/>
      <c r="BU356" s="9"/>
      <c r="BV356" s="1"/>
      <c r="BW356" s="1"/>
      <c r="BX356" s="1"/>
      <c r="BY356" s="1"/>
      <c r="BZ356" s="1"/>
    </row>
    <row r="357">
      <c r="A357" s="3"/>
      <c r="B357" s="33"/>
      <c r="C357" s="147"/>
      <c r="D357" s="147" t="s">
        <v>261</v>
      </c>
      <c r="E357" s="134"/>
      <c r="F357" s="134"/>
      <c r="G357" s="14"/>
      <c r="H357" s="14"/>
      <c r="I357" s="14"/>
      <c r="J357" s="14"/>
      <c r="K357" s="14"/>
      <c r="L357" s="1"/>
      <c r="M357" s="1"/>
      <c r="N357" s="1"/>
      <c r="O357" s="1"/>
      <c r="P357" s="1"/>
      <c r="Q357" s="1"/>
      <c r="R357" s="1"/>
      <c r="S357" s="3">
        <v>0.0</v>
      </c>
      <c r="T357" s="3">
        <v>0.0</v>
      </c>
      <c r="U357" s="34">
        <v>3400.8</v>
      </c>
      <c r="V357" s="34">
        <v>13330.2</v>
      </c>
      <c r="W357" s="34">
        <v>4641.0</v>
      </c>
      <c r="X357" s="34">
        <v>10740.6</v>
      </c>
      <c r="Y357" s="34">
        <v>15436.2</v>
      </c>
      <c r="Z357" s="34">
        <v>17433.0</v>
      </c>
      <c r="AA357" s="34">
        <v>13759.2</v>
      </c>
      <c r="AB357" s="34">
        <v>20022.6</v>
      </c>
      <c r="AC357" s="34">
        <v>21910.2</v>
      </c>
      <c r="AD357" s="34">
        <v>36972.0</v>
      </c>
      <c r="AE357" s="34">
        <v>37783.2</v>
      </c>
      <c r="AF357" s="34">
        <v>28384.2</v>
      </c>
      <c r="AG357" s="34">
        <v>78436.8</v>
      </c>
      <c r="AH357" s="34">
        <v>45887.4</v>
      </c>
      <c r="AI357" s="34">
        <v>41028.0</v>
      </c>
      <c r="AJ357" s="34">
        <v>28555.8</v>
      </c>
      <c r="AK357" s="34">
        <v>36324.6</v>
      </c>
      <c r="AL357" s="34">
        <v>32978.4</v>
      </c>
      <c r="AM357" s="34">
        <v>26449.8</v>
      </c>
      <c r="AN357" s="34">
        <v>32541.6</v>
      </c>
      <c r="AO357" s="34">
        <v>38259.0</v>
      </c>
      <c r="AP357" s="34">
        <v>33781.8</v>
      </c>
      <c r="AQ357" s="34">
        <v>38532.0</v>
      </c>
      <c r="AR357" s="34">
        <v>38532.0</v>
      </c>
      <c r="AS357" s="34">
        <v>61737.0</v>
      </c>
      <c r="AT357" s="34">
        <v>62821.2</v>
      </c>
      <c r="AU357" s="34">
        <v>61152.0</v>
      </c>
      <c r="AV357" s="34">
        <v>56565.6</v>
      </c>
      <c r="AW357" s="34">
        <v>57314.4</v>
      </c>
      <c r="AX357" s="34">
        <v>44148.0</v>
      </c>
      <c r="AY357" s="34">
        <v>44475.6</v>
      </c>
      <c r="AZ357" s="34">
        <v>33352.8</v>
      </c>
      <c r="BA357" s="34">
        <v>32112.6</v>
      </c>
      <c r="BB357" s="34">
        <v>32167.2</v>
      </c>
      <c r="BC357" s="34">
        <v>27744.6</v>
      </c>
      <c r="BD357" s="34">
        <v>27799.2</v>
      </c>
      <c r="BE357" s="34">
        <v>30388.8</v>
      </c>
      <c r="BF357" s="34">
        <v>86611.2</v>
      </c>
      <c r="BG357" s="34">
        <v>81104.4</v>
      </c>
      <c r="BH357" s="34">
        <v>33040.8</v>
      </c>
      <c r="BI357" s="34">
        <v>26504.4</v>
      </c>
      <c r="BJ357" s="34">
        <v>27744.6</v>
      </c>
      <c r="BK357" s="34">
        <v>16247.4</v>
      </c>
      <c r="BL357" s="34"/>
      <c r="BM357" s="34"/>
      <c r="BN357" s="34"/>
      <c r="BO357" s="34"/>
      <c r="BP357" s="34"/>
      <c r="BQ357" s="34"/>
      <c r="BR357" s="34"/>
      <c r="BS357" s="1"/>
      <c r="BT357" s="9"/>
      <c r="BU357" s="9"/>
      <c r="BV357" s="1"/>
      <c r="BW357" s="1"/>
      <c r="BX357" s="1"/>
      <c r="BY357" s="1"/>
      <c r="BZ357" s="1"/>
    </row>
    <row r="358">
      <c r="A358" s="3"/>
      <c r="B358" s="33"/>
      <c r="C358" s="146"/>
      <c r="D358" s="146"/>
      <c r="E358" s="134"/>
      <c r="F358" s="134"/>
      <c r="G358" s="14"/>
      <c r="H358" s="14"/>
      <c r="I358" s="14"/>
      <c r="J358" s="14"/>
      <c r="K358" s="1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9"/>
      <c r="BU358" s="9"/>
      <c r="BV358" s="1"/>
      <c r="BW358" s="1"/>
      <c r="BX358" s="1"/>
      <c r="BY358" s="1"/>
      <c r="BZ358" s="1"/>
    </row>
    <row r="359">
      <c r="A359" s="3"/>
      <c r="B359" s="33"/>
      <c r="C359" s="146"/>
      <c r="D359" s="146"/>
      <c r="E359" s="134"/>
      <c r="F359" s="134"/>
      <c r="G359" s="14"/>
      <c r="H359" s="14"/>
      <c r="I359" s="14"/>
      <c r="J359" s="14"/>
      <c r="K359" s="1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9"/>
      <c r="BU359" s="9"/>
      <c r="BV359" s="1"/>
      <c r="BW359" s="1"/>
      <c r="BX359" s="1"/>
      <c r="BY359" s="1"/>
      <c r="BZ359" s="1"/>
    </row>
    <row r="360">
      <c r="A360" s="3"/>
      <c r="B360" s="33"/>
      <c r="C360" s="122"/>
      <c r="D360" s="122" t="s">
        <v>197</v>
      </c>
      <c r="E360" s="134"/>
      <c r="F360" s="134"/>
      <c r="G360" s="14"/>
      <c r="H360" s="14"/>
      <c r="I360" s="14"/>
      <c r="J360" s="14"/>
      <c r="K360" s="14"/>
      <c r="L360" s="1"/>
      <c r="M360" s="1"/>
      <c r="N360" s="1"/>
      <c r="O360" s="1"/>
      <c r="P360" s="1"/>
      <c r="Q360" s="1"/>
      <c r="R360" s="1"/>
      <c r="S360" s="1"/>
      <c r="T360" s="140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9"/>
      <c r="BU360" s="9"/>
      <c r="BV360" s="1"/>
      <c r="BW360" s="1"/>
      <c r="BX360" s="1"/>
      <c r="BY360" s="1"/>
      <c r="BZ360" s="1"/>
    </row>
    <row r="361">
      <c r="A361" s="3"/>
      <c r="B361" s="33"/>
      <c r="C361" s="147"/>
      <c r="D361" s="147" t="s">
        <v>247</v>
      </c>
      <c r="E361" s="134"/>
      <c r="F361" s="134"/>
      <c r="G361" s="14"/>
      <c r="H361" s="14"/>
      <c r="I361" s="14"/>
      <c r="J361" s="14"/>
      <c r="K361" s="14"/>
      <c r="L361" s="1"/>
      <c r="M361" s="1"/>
      <c r="N361" s="1"/>
      <c r="O361" s="1"/>
      <c r="P361" s="1"/>
      <c r="Q361" s="1"/>
      <c r="R361" s="140"/>
      <c r="S361" s="33"/>
      <c r="T361" s="140"/>
      <c r="U361" s="140" t="s">
        <v>247</v>
      </c>
      <c r="V361" s="33">
        <v>0.5151</v>
      </c>
      <c r="W361" s="33">
        <v>0.479</v>
      </c>
      <c r="X361" s="33">
        <v>0.4235</v>
      </c>
      <c r="Y361" s="33">
        <v>0.4249</v>
      </c>
      <c r="Z361" s="33">
        <v>0.4388</v>
      </c>
      <c r="AA361" s="33">
        <v>0.4286</v>
      </c>
      <c r="AB361" s="33">
        <v>0.3994</v>
      </c>
      <c r="AC361" s="33">
        <v>0.3997</v>
      </c>
      <c r="AD361" s="33">
        <v>0.4252</v>
      </c>
      <c r="AE361" s="33">
        <v>0.4298</v>
      </c>
      <c r="AF361" s="33">
        <v>0.4039</v>
      </c>
      <c r="AG361" s="33">
        <v>0.4078</v>
      </c>
      <c r="AH361" s="33">
        <v>0.4619</v>
      </c>
      <c r="AI361" s="33">
        <v>0.4313</v>
      </c>
      <c r="AJ361" s="33">
        <v>0.3968</v>
      </c>
      <c r="AK361" s="33">
        <v>0.488</v>
      </c>
      <c r="AL361" s="33">
        <v>0.4143</v>
      </c>
      <c r="AM361" s="33">
        <v>0.4166</v>
      </c>
      <c r="AN361" s="33">
        <v>0.407</v>
      </c>
      <c r="AO361" s="33">
        <v>0.4141</v>
      </c>
      <c r="AP361" s="33">
        <v>0.4243</v>
      </c>
      <c r="AQ361" s="33">
        <v>0.4426</v>
      </c>
      <c r="AR361" s="33">
        <v>0.4717</v>
      </c>
      <c r="AS361" s="33">
        <v>0.4802</v>
      </c>
      <c r="AT361" s="33">
        <v>0.4379</v>
      </c>
      <c r="AU361" s="33">
        <v>0.4366</v>
      </c>
      <c r="AV361" s="33">
        <v>0.411</v>
      </c>
      <c r="AW361" s="33">
        <v>0.403</v>
      </c>
      <c r="AX361" s="33">
        <v>0.4023</v>
      </c>
      <c r="AY361" s="33">
        <v>0.3663</v>
      </c>
      <c r="AZ361" s="33">
        <v>0.3454</v>
      </c>
      <c r="BA361" s="33">
        <v>0.3473</v>
      </c>
      <c r="BB361" s="33">
        <v>0.3482</v>
      </c>
      <c r="BC361" s="33">
        <v>0.3479</v>
      </c>
      <c r="BD361" s="33">
        <v>0.3621</v>
      </c>
      <c r="BE361" s="33">
        <v>0.3562</v>
      </c>
      <c r="BF361" s="33">
        <v>0.5391</v>
      </c>
      <c r="BG361" s="33">
        <v>0.4206</v>
      </c>
      <c r="BH361" s="33">
        <v>0.4887</v>
      </c>
      <c r="BI361" s="33">
        <v>0.4105</v>
      </c>
      <c r="BJ361" s="33">
        <v>0.3971</v>
      </c>
      <c r="BK361" s="33">
        <v>0.397</v>
      </c>
      <c r="BL361" s="33"/>
      <c r="BM361" s="33"/>
      <c r="BN361" s="33"/>
      <c r="BO361" s="33"/>
      <c r="BP361" s="33"/>
      <c r="BQ361" s="33"/>
      <c r="BR361" s="33"/>
      <c r="BS361" s="1"/>
      <c r="BT361" s="9"/>
      <c r="BU361" s="9"/>
      <c r="BV361" s="1"/>
      <c r="BW361" s="1"/>
      <c r="BX361" s="1"/>
      <c r="BY361" s="1"/>
      <c r="BZ361" s="1"/>
    </row>
    <row r="362">
      <c r="A362" s="3"/>
      <c r="B362" s="33"/>
      <c r="C362" s="147"/>
      <c r="D362" s="147" t="s">
        <v>250</v>
      </c>
      <c r="E362" s="134"/>
      <c r="F362" s="134"/>
      <c r="G362" s="14"/>
      <c r="H362" s="14"/>
      <c r="I362" s="14"/>
      <c r="J362" s="14"/>
      <c r="K362" s="14"/>
      <c r="L362" s="1"/>
      <c r="M362" s="1"/>
      <c r="N362" s="1"/>
      <c r="O362" s="1"/>
      <c r="P362" s="1"/>
      <c r="Q362" s="1"/>
      <c r="R362" s="140"/>
      <c r="S362" s="33"/>
      <c r="T362" s="140"/>
      <c r="U362" s="140" t="s">
        <v>250</v>
      </c>
      <c r="V362" s="33">
        <v>0.3749</v>
      </c>
      <c r="W362" s="33">
        <v>0.3891</v>
      </c>
      <c r="X362" s="33">
        <v>0.4234</v>
      </c>
      <c r="Y362" s="33">
        <v>0.421</v>
      </c>
      <c r="Z362" s="33">
        <v>0.4286</v>
      </c>
      <c r="AA362" s="33">
        <v>0.4223</v>
      </c>
      <c r="AB362" s="33">
        <v>0.3945</v>
      </c>
      <c r="AC362" s="33">
        <v>0.3859</v>
      </c>
      <c r="AD362" s="33">
        <v>0.393</v>
      </c>
      <c r="AE362" s="33">
        <v>0.3961</v>
      </c>
      <c r="AF362" s="33">
        <v>0.3833</v>
      </c>
      <c r="AG362" s="33">
        <v>0.3873</v>
      </c>
      <c r="AH362" s="33">
        <v>0.4299</v>
      </c>
      <c r="AI362" s="33">
        <v>0.4189</v>
      </c>
      <c r="AJ362" s="33">
        <v>0.4113</v>
      </c>
      <c r="AK362" s="33">
        <v>0.4</v>
      </c>
      <c r="AL362" s="33">
        <v>0.3894</v>
      </c>
      <c r="AM362" s="33">
        <v>0.4053</v>
      </c>
      <c r="AN362" s="33">
        <v>0.3927</v>
      </c>
      <c r="AO362" s="33">
        <v>0.4169</v>
      </c>
      <c r="AP362" s="33">
        <v>0.4451</v>
      </c>
      <c r="AQ362" s="33">
        <v>0.4507</v>
      </c>
      <c r="AR362" s="33">
        <v>0.4599</v>
      </c>
      <c r="AS362" s="33">
        <v>0.4366</v>
      </c>
      <c r="AT362" s="33">
        <v>0.4055</v>
      </c>
      <c r="AU362" s="33">
        <v>0.4019</v>
      </c>
      <c r="AV362" s="33">
        <v>0.3836</v>
      </c>
      <c r="AW362" s="33">
        <v>0.3926</v>
      </c>
      <c r="AX362" s="33">
        <v>0.3881</v>
      </c>
      <c r="AY362" s="33">
        <v>0.3948</v>
      </c>
      <c r="AZ362" s="33">
        <v>0.3593</v>
      </c>
      <c r="BA362" s="33">
        <v>0.3671</v>
      </c>
      <c r="BB362" s="33">
        <v>0.3627</v>
      </c>
      <c r="BC362" s="33">
        <v>0.3555</v>
      </c>
      <c r="BD362" s="33">
        <v>0.3545</v>
      </c>
      <c r="BE362" s="33">
        <v>0.3269</v>
      </c>
      <c r="BF362" s="33">
        <v>0.4038</v>
      </c>
      <c r="BG362" s="33">
        <v>0.3888</v>
      </c>
      <c r="BH362" s="33">
        <v>0.4478</v>
      </c>
      <c r="BI362" s="33">
        <v>0.3953</v>
      </c>
      <c r="BJ362" s="33">
        <v>0.3782</v>
      </c>
      <c r="BK362" s="33">
        <v>0.3573</v>
      </c>
      <c r="BL362" s="33"/>
      <c r="BM362" s="33"/>
      <c r="BN362" s="33"/>
      <c r="BO362" s="33"/>
      <c r="BP362" s="33"/>
      <c r="BQ362" s="33"/>
      <c r="BR362" s="33"/>
      <c r="BS362" s="1"/>
      <c r="BT362" s="9"/>
      <c r="BU362" s="9"/>
      <c r="BV362" s="1"/>
      <c r="BW362" s="1"/>
      <c r="BX362" s="1"/>
      <c r="BY362" s="1"/>
      <c r="BZ362" s="1"/>
    </row>
    <row r="363">
      <c r="A363" s="3"/>
      <c r="B363" s="33"/>
      <c r="C363" s="147"/>
      <c r="D363" s="147" t="s">
        <v>252</v>
      </c>
      <c r="E363" s="134"/>
      <c r="F363" s="134"/>
      <c r="G363" s="14"/>
      <c r="H363" s="14"/>
      <c r="I363" s="14"/>
      <c r="J363" s="14"/>
      <c r="K363" s="14"/>
      <c r="L363" s="1"/>
      <c r="M363" s="1"/>
      <c r="N363" s="1"/>
      <c r="O363" s="1"/>
      <c r="P363" s="1"/>
      <c r="Q363" s="1"/>
      <c r="R363" s="140"/>
      <c r="S363" s="33"/>
      <c r="T363" s="140"/>
      <c r="U363" s="140" t="s">
        <v>252</v>
      </c>
      <c r="V363" s="33">
        <v>0.4583</v>
      </c>
      <c r="W363" s="33">
        <v>0.4746</v>
      </c>
      <c r="X363" s="33">
        <v>0.5155</v>
      </c>
      <c r="Y363" s="33">
        <v>0.5047</v>
      </c>
      <c r="Z363" s="33">
        <v>0.5158</v>
      </c>
      <c r="AA363" s="33">
        <v>0.4975</v>
      </c>
      <c r="AB363" s="33">
        <v>0.4879</v>
      </c>
      <c r="AC363" s="33">
        <v>0.5179</v>
      </c>
      <c r="AD363" s="33">
        <v>0.5</v>
      </c>
      <c r="AE363" s="33">
        <v>0.5159</v>
      </c>
      <c r="AF363" s="33">
        <v>0.4999</v>
      </c>
      <c r="AG363" s="33">
        <v>0.6028</v>
      </c>
      <c r="AH363" s="33">
        <v>0.5087</v>
      </c>
      <c r="AI363" s="33">
        <v>0.4616</v>
      </c>
      <c r="AJ363" s="33">
        <v>0.4682</v>
      </c>
      <c r="AK363" s="33">
        <v>0.4674</v>
      </c>
      <c r="AL363" s="33">
        <v>0.4638</v>
      </c>
      <c r="AM363" s="33">
        <v>0.4595</v>
      </c>
      <c r="AN363" s="33">
        <v>0.4495</v>
      </c>
      <c r="AO363" s="33">
        <v>0.4472</v>
      </c>
      <c r="AP363" s="33">
        <v>0.4567</v>
      </c>
      <c r="AQ363" s="33">
        <v>0.4572</v>
      </c>
      <c r="AR363" s="33">
        <v>0.4728</v>
      </c>
      <c r="AS363" s="33">
        <v>0.466</v>
      </c>
      <c r="AT363" s="33">
        <v>0.4626</v>
      </c>
      <c r="AU363" s="33">
        <v>0.5405</v>
      </c>
      <c r="AV363" s="33">
        <v>0.4814</v>
      </c>
      <c r="AW363" s="33">
        <v>0.459</v>
      </c>
      <c r="AX363" s="33">
        <v>0.4376</v>
      </c>
      <c r="AY363" s="33">
        <v>0.4329</v>
      </c>
      <c r="AZ363" s="33">
        <v>0.4322</v>
      </c>
      <c r="BA363" s="33">
        <v>0.4298</v>
      </c>
      <c r="BB363" s="33">
        <v>0.4359</v>
      </c>
      <c r="BC363" s="33">
        <v>0.4238</v>
      </c>
      <c r="BD363" s="33">
        <v>0.4105</v>
      </c>
      <c r="BE363" s="33">
        <v>0.3955</v>
      </c>
      <c r="BF363" s="33">
        <v>0.6303</v>
      </c>
      <c r="BG363" s="33">
        <v>0.5603</v>
      </c>
      <c r="BH363" s="33">
        <v>0.4679</v>
      </c>
      <c r="BI363" s="33">
        <v>0.3964</v>
      </c>
      <c r="BJ363" s="33">
        <v>0.3793</v>
      </c>
      <c r="BK363" s="33">
        <v>0.4334</v>
      </c>
      <c r="BL363" s="33"/>
      <c r="BM363" s="33"/>
      <c r="BN363" s="33"/>
      <c r="BO363" s="33"/>
      <c r="BP363" s="33"/>
      <c r="BQ363" s="33"/>
      <c r="BR363" s="33"/>
      <c r="BS363" s="1"/>
      <c r="BT363" s="9"/>
      <c r="BU363" s="9"/>
      <c r="BV363" s="1"/>
      <c r="BW363" s="1"/>
      <c r="BX363" s="1"/>
      <c r="BY363" s="1"/>
      <c r="BZ363" s="1"/>
    </row>
    <row r="364">
      <c r="A364" s="3"/>
      <c r="B364" s="33"/>
      <c r="C364" s="147"/>
      <c r="D364" s="147" t="s">
        <v>254</v>
      </c>
      <c r="E364" s="134"/>
      <c r="F364" s="134"/>
      <c r="G364" s="14"/>
      <c r="H364" s="14"/>
      <c r="I364" s="14"/>
      <c r="J364" s="14"/>
      <c r="K364" s="14"/>
      <c r="L364" s="1"/>
      <c r="M364" s="1"/>
      <c r="N364" s="1"/>
      <c r="O364" s="1"/>
      <c r="P364" s="1"/>
      <c r="Q364" s="1"/>
      <c r="R364" s="140"/>
      <c r="S364" s="33"/>
      <c r="T364" s="140"/>
      <c r="U364" s="140" t="s">
        <v>254</v>
      </c>
      <c r="V364" s="33">
        <v>0.4387</v>
      </c>
      <c r="W364" s="33">
        <v>0.436</v>
      </c>
      <c r="X364" s="33">
        <v>0.4611</v>
      </c>
      <c r="Y364" s="33">
        <v>0.4622</v>
      </c>
      <c r="Z364" s="33">
        <v>0.4632</v>
      </c>
      <c r="AA364" s="33">
        <v>0.4524</v>
      </c>
      <c r="AB364" s="33">
        <v>0.4388</v>
      </c>
      <c r="AC364" s="33">
        <v>0.4437</v>
      </c>
      <c r="AD364" s="33">
        <v>0.4511</v>
      </c>
      <c r="AE364" s="33">
        <v>0.4594</v>
      </c>
      <c r="AF364" s="33">
        <v>0.4373</v>
      </c>
      <c r="AG364" s="33">
        <v>0.423</v>
      </c>
      <c r="AH364" s="33">
        <v>0.4242</v>
      </c>
      <c r="AI364" s="33">
        <v>0.434</v>
      </c>
      <c r="AJ364" s="33">
        <v>0.4512</v>
      </c>
      <c r="AK364" s="33">
        <v>0.4311</v>
      </c>
      <c r="AL364" s="33">
        <v>0.4268</v>
      </c>
      <c r="AM364" s="33">
        <v>0.4279</v>
      </c>
      <c r="AN364" s="33">
        <v>0.4217</v>
      </c>
      <c r="AO364" s="33">
        <v>0.4306</v>
      </c>
      <c r="AP364" s="33">
        <v>0.4538</v>
      </c>
      <c r="AQ364" s="33">
        <v>0.4667</v>
      </c>
      <c r="AR364" s="33">
        <v>0.4713</v>
      </c>
      <c r="AS364" s="33">
        <v>0.4591</v>
      </c>
      <c r="AT364" s="33">
        <v>0.4126</v>
      </c>
      <c r="AU364" s="33">
        <v>0.4045</v>
      </c>
      <c r="AV364" s="33">
        <v>0.4308</v>
      </c>
      <c r="AW364" s="33">
        <v>0.4704</v>
      </c>
      <c r="AX364" s="33">
        <v>0.4768</v>
      </c>
      <c r="AY364" s="33">
        <v>0.4221</v>
      </c>
      <c r="AZ364" s="33">
        <v>0.4078</v>
      </c>
      <c r="BA364" s="33">
        <v>0.4074</v>
      </c>
      <c r="BB364" s="33">
        <v>0.4126</v>
      </c>
      <c r="BC364" s="33">
        <v>0.3942</v>
      </c>
      <c r="BD364" s="33">
        <v>0.3796</v>
      </c>
      <c r="BE364" s="33">
        <v>0.3838</v>
      </c>
      <c r="BF364" s="33">
        <v>0.3672</v>
      </c>
      <c r="BG364" s="33">
        <v>0.3449</v>
      </c>
      <c r="BH364" s="33">
        <v>0.3597</v>
      </c>
      <c r="BI364" s="33">
        <v>0.371</v>
      </c>
      <c r="BJ364" s="33">
        <v>0.3706</v>
      </c>
      <c r="BK364" s="33">
        <v>0.4041</v>
      </c>
      <c r="BL364" s="33"/>
      <c r="BM364" s="33"/>
      <c r="BN364" s="33"/>
      <c r="BO364" s="33"/>
      <c r="BP364" s="33"/>
      <c r="BQ364" s="33"/>
      <c r="BR364" s="33"/>
      <c r="BS364" s="1"/>
      <c r="BT364" s="9"/>
      <c r="BU364" s="9"/>
      <c r="BV364" s="1"/>
      <c r="BW364" s="1"/>
      <c r="BX364" s="1"/>
      <c r="BY364" s="1"/>
      <c r="BZ364" s="1"/>
    </row>
    <row r="365">
      <c r="A365" s="3"/>
      <c r="B365" s="33"/>
      <c r="C365" s="147"/>
      <c r="D365" s="147" t="s">
        <v>256</v>
      </c>
      <c r="E365" s="134"/>
      <c r="F365" s="134"/>
      <c r="G365" s="14"/>
      <c r="H365" s="14"/>
      <c r="I365" s="14"/>
      <c r="J365" s="14"/>
      <c r="K365" s="14"/>
      <c r="L365" s="1"/>
      <c r="M365" s="1"/>
      <c r="N365" s="1"/>
      <c r="O365" s="1"/>
      <c r="P365" s="1"/>
      <c r="Q365" s="1"/>
      <c r="R365" s="140"/>
      <c r="S365" s="33"/>
      <c r="T365" s="140"/>
      <c r="U365" s="140" t="s">
        <v>256</v>
      </c>
      <c r="V365" s="33">
        <v>0.2324</v>
      </c>
      <c r="W365" s="33">
        <v>0.2406</v>
      </c>
      <c r="X365" s="33">
        <v>0.2674</v>
      </c>
      <c r="Y365" s="33">
        <v>0.2642</v>
      </c>
      <c r="Z365" s="33">
        <v>0.2496</v>
      </c>
      <c r="AA365" s="33">
        <v>0.235</v>
      </c>
      <c r="AB365" s="33">
        <v>0.2303</v>
      </c>
      <c r="AC365" s="33">
        <v>0.2281</v>
      </c>
      <c r="AD365" s="33">
        <v>0.2294</v>
      </c>
      <c r="AE365" s="33">
        <v>0.2292</v>
      </c>
      <c r="AF365" s="33">
        <v>0.2201</v>
      </c>
      <c r="AG365" s="33">
        <v>0.2246</v>
      </c>
      <c r="AH365" s="33">
        <v>0.2312</v>
      </c>
      <c r="AI365" s="33">
        <v>0.2267</v>
      </c>
      <c r="AJ365" s="33">
        <v>0.2371</v>
      </c>
      <c r="AK365" s="33">
        <v>0.2362</v>
      </c>
      <c r="AL365" s="33">
        <v>0.2351</v>
      </c>
      <c r="AM365" s="33">
        <v>0.2293</v>
      </c>
      <c r="AN365" s="33">
        <v>0.2317</v>
      </c>
      <c r="AO365" s="33">
        <v>0.234</v>
      </c>
      <c r="AP365" s="33">
        <v>0.2343</v>
      </c>
      <c r="AQ365" s="33">
        <v>0.2386</v>
      </c>
      <c r="AR365" s="33">
        <v>0.2442</v>
      </c>
      <c r="AS365" s="33">
        <v>0.2413</v>
      </c>
      <c r="AT365" s="33">
        <v>0.2249</v>
      </c>
      <c r="AU365" s="33">
        <v>0.2246</v>
      </c>
      <c r="AV365" s="33">
        <v>0.2242</v>
      </c>
      <c r="AW365" s="33">
        <v>0.2203</v>
      </c>
      <c r="AX365" s="33">
        <v>0.2224</v>
      </c>
      <c r="AY365" s="33">
        <v>0.2241</v>
      </c>
      <c r="AZ365" s="33">
        <v>0.2255</v>
      </c>
      <c r="BA365" s="33">
        <v>0.235</v>
      </c>
      <c r="BB365" s="33">
        <v>0.2384</v>
      </c>
      <c r="BC365" s="33">
        <v>0.2389</v>
      </c>
      <c r="BD365" s="33">
        <v>0.2279</v>
      </c>
      <c r="BE365" s="33">
        <v>0.2264</v>
      </c>
      <c r="BF365" s="33">
        <v>0.2268</v>
      </c>
      <c r="BG365" s="33">
        <v>0.2342</v>
      </c>
      <c r="BH365" s="33">
        <v>0.2531</v>
      </c>
      <c r="BI365" s="33">
        <v>0.2463</v>
      </c>
      <c r="BJ365" s="33">
        <v>0.2413</v>
      </c>
      <c r="BK365" s="33">
        <v>0.229</v>
      </c>
      <c r="BL365" s="33"/>
      <c r="BM365" s="33"/>
      <c r="BN365" s="33"/>
      <c r="BO365" s="33"/>
      <c r="BP365" s="33"/>
      <c r="BQ365" s="33"/>
      <c r="BR365" s="33"/>
      <c r="BS365" s="1"/>
      <c r="BT365" s="9"/>
      <c r="BU365" s="9"/>
      <c r="BV365" s="1"/>
      <c r="BW365" s="1"/>
      <c r="BX365" s="1"/>
      <c r="BY365" s="1"/>
      <c r="BZ365" s="1"/>
    </row>
    <row r="366">
      <c r="A366" s="3"/>
      <c r="B366" s="33"/>
      <c r="C366" s="155"/>
      <c r="D366" s="155" t="s">
        <v>259</v>
      </c>
      <c r="E366" s="134"/>
      <c r="F366" s="134"/>
      <c r="G366" s="14"/>
      <c r="H366" s="14"/>
      <c r="I366" s="14"/>
      <c r="J366" s="14"/>
      <c r="K366" s="14"/>
      <c r="L366" s="1"/>
      <c r="M366" s="1"/>
      <c r="N366" s="1"/>
      <c r="O366" s="1"/>
      <c r="P366" s="1"/>
      <c r="Q366" s="1"/>
      <c r="R366" s="140"/>
      <c r="S366" s="33"/>
      <c r="T366" s="140"/>
      <c r="U366" s="3" t="s">
        <v>259</v>
      </c>
      <c r="V366" s="33">
        <v>0.3275</v>
      </c>
      <c r="W366" s="33">
        <v>0.2981</v>
      </c>
      <c r="X366" s="33">
        <v>0.3174</v>
      </c>
      <c r="Y366" s="33">
        <v>0.3203</v>
      </c>
      <c r="Z366" s="33">
        <v>0.3101</v>
      </c>
      <c r="AA366" s="33">
        <v>0.3017</v>
      </c>
      <c r="AB366" s="33">
        <v>0.3009</v>
      </c>
      <c r="AC366" s="33">
        <v>0.2893</v>
      </c>
      <c r="AD366" s="33">
        <v>0.3044</v>
      </c>
      <c r="AE366" s="33">
        <v>0.3197</v>
      </c>
      <c r="AF366" s="33">
        <v>0.2883</v>
      </c>
      <c r="AG366" s="33">
        <v>0.3682</v>
      </c>
      <c r="AH366" s="33">
        <v>0.3211</v>
      </c>
      <c r="AI366" s="33">
        <v>0.3026</v>
      </c>
      <c r="AJ366" s="33">
        <v>0.3271</v>
      </c>
      <c r="AK366" s="33">
        <v>0.3175</v>
      </c>
      <c r="AL366" s="33">
        <v>0.3123</v>
      </c>
      <c r="AM366" s="33">
        <v>0.3028</v>
      </c>
      <c r="AN366" s="33">
        <v>0.3012</v>
      </c>
      <c r="AO366" s="33">
        <v>0.3102</v>
      </c>
      <c r="AP366" s="33">
        <v>0.3156</v>
      </c>
      <c r="AQ366" s="33">
        <v>0.3254</v>
      </c>
      <c r="AR366" s="33">
        <v>0.3371</v>
      </c>
      <c r="AS366" s="33">
        <v>0.3198</v>
      </c>
      <c r="AT366" s="33">
        <v>0.3225</v>
      </c>
      <c r="AU366" s="33">
        <v>0.3632</v>
      </c>
      <c r="AV366" s="33">
        <v>0.3535</v>
      </c>
      <c r="AW366" s="33">
        <v>0.3472</v>
      </c>
      <c r="AX366" s="33">
        <v>0.3159</v>
      </c>
      <c r="AY366" s="33">
        <v>0.311</v>
      </c>
      <c r="AZ366" s="33">
        <v>0.3451</v>
      </c>
      <c r="BA366" s="33">
        <v>0.3534</v>
      </c>
      <c r="BB366" s="33">
        <v>0.3331</v>
      </c>
      <c r="BC366" s="33">
        <v>0.3462</v>
      </c>
      <c r="BD366" s="33">
        <v>0.3242</v>
      </c>
      <c r="BE366" s="33">
        <v>0.2945</v>
      </c>
      <c r="BF366" s="33">
        <v>0.4502</v>
      </c>
      <c r="BG366" s="33">
        <v>0.4189</v>
      </c>
      <c r="BH366" s="33">
        <v>0.3207</v>
      </c>
      <c r="BI366" s="33">
        <v>0.3372</v>
      </c>
      <c r="BJ366" s="33">
        <v>0.2927</v>
      </c>
      <c r="BK366" s="33">
        <v>0.2831</v>
      </c>
      <c r="BL366" s="33"/>
      <c r="BM366" s="33"/>
      <c r="BN366" s="33"/>
      <c r="BO366" s="33"/>
      <c r="BP366" s="33"/>
      <c r="BQ366" s="33"/>
      <c r="BR366" s="33"/>
      <c r="BS366" s="1"/>
      <c r="BT366" s="9"/>
      <c r="BU366" s="9"/>
      <c r="BV366" s="1"/>
      <c r="BW366" s="1"/>
      <c r="BX366" s="1"/>
      <c r="BY366" s="1"/>
      <c r="BZ366" s="1"/>
    </row>
    <row r="367">
      <c r="A367" s="3"/>
      <c r="B367" s="33"/>
      <c r="C367" s="147"/>
      <c r="D367" s="147" t="s">
        <v>262</v>
      </c>
      <c r="E367" s="134"/>
      <c r="F367" s="134"/>
      <c r="G367" s="14"/>
      <c r="H367" s="14"/>
      <c r="I367" s="14"/>
      <c r="J367" s="14"/>
      <c r="K367" s="14"/>
      <c r="L367" s="1"/>
      <c r="M367" s="1"/>
      <c r="N367" s="1"/>
      <c r="O367" s="1"/>
      <c r="P367" s="1"/>
      <c r="Q367" s="1"/>
      <c r="R367" s="140"/>
      <c r="S367" s="3"/>
      <c r="T367" s="140"/>
      <c r="U367" s="140" t="s">
        <v>262</v>
      </c>
      <c r="V367" s="33">
        <v>0.4687</v>
      </c>
      <c r="W367" s="33">
        <v>0.383</v>
      </c>
      <c r="X367" s="33">
        <v>0.3767</v>
      </c>
      <c r="Y367" s="33">
        <v>0.4076</v>
      </c>
      <c r="Z367" s="33">
        <v>0.4144</v>
      </c>
      <c r="AA367" s="33">
        <v>0.4293</v>
      </c>
      <c r="AB367" s="33">
        <v>0.4261</v>
      </c>
      <c r="AC367" s="33">
        <v>0.4089</v>
      </c>
      <c r="AD367" s="33">
        <v>0.448</v>
      </c>
      <c r="AE367" s="33">
        <v>0.4886</v>
      </c>
      <c r="AF367" s="33">
        <v>0.5022</v>
      </c>
      <c r="AG367" s="33">
        <v>0.6287</v>
      </c>
      <c r="AH367" s="33">
        <v>0.5368</v>
      </c>
      <c r="AI367" s="33">
        <v>0.4858</v>
      </c>
      <c r="AJ367" s="33">
        <v>0.4257</v>
      </c>
      <c r="AK367" s="33">
        <v>0.4122</v>
      </c>
      <c r="AL367" s="33">
        <v>0.4169</v>
      </c>
      <c r="AM367" s="33">
        <v>0.3796</v>
      </c>
      <c r="AN367" s="33">
        <v>0.3742</v>
      </c>
      <c r="AO367" s="33">
        <v>0.4162</v>
      </c>
      <c r="AP367" s="33">
        <v>0.4251</v>
      </c>
      <c r="AQ367" s="33">
        <v>0.4388</v>
      </c>
      <c r="AR367" s="33">
        <v>0.4522</v>
      </c>
      <c r="AS367" s="33">
        <v>0.4421</v>
      </c>
      <c r="AT367" s="33">
        <v>0.4349</v>
      </c>
      <c r="AU367" s="33">
        <v>0.4453</v>
      </c>
      <c r="AV367" s="33">
        <v>0.4024</v>
      </c>
      <c r="AW367" s="33">
        <v>0.4558</v>
      </c>
      <c r="AX367" s="33">
        <v>0.4127</v>
      </c>
      <c r="AY367" s="33">
        <v>0.3713</v>
      </c>
      <c r="AZ367" s="33">
        <v>0.3646</v>
      </c>
      <c r="BA367" s="33">
        <v>0.356</v>
      </c>
      <c r="BB367" s="33">
        <v>0.3748</v>
      </c>
      <c r="BC367" s="33">
        <v>0.356</v>
      </c>
      <c r="BD367" s="33">
        <v>0.333</v>
      </c>
      <c r="BE367" s="33">
        <v>0.3335</v>
      </c>
      <c r="BF367" s="33">
        <v>0.7462</v>
      </c>
      <c r="BG367" s="33">
        <v>1.077</v>
      </c>
      <c r="BH367" s="33">
        <v>0.4032</v>
      </c>
      <c r="BI367" s="33">
        <v>0.3064</v>
      </c>
      <c r="BJ367" s="33">
        <v>0.2878</v>
      </c>
      <c r="BK367" s="33">
        <v>0.2832</v>
      </c>
      <c r="BL367" s="33"/>
      <c r="BM367" s="33"/>
      <c r="BN367" s="33"/>
      <c r="BO367" s="33"/>
      <c r="BP367" s="33"/>
      <c r="BQ367" s="33"/>
      <c r="BR367" s="33"/>
      <c r="BS367" s="1"/>
      <c r="BT367" s="9"/>
      <c r="BU367" s="9"/>
      <c r="BV367" s="1"/>
      <c r="BW367" s="1"/>
      <c r="BX367" s="1"/>
      <c r="BY367" s="1"/>
      <c r="BZ367" s="1"/>
    </row>
    <row r="368">
      <c r="A368" s="3"/>
      <c r="B368" s="33"/>
      <c r="C368" s="146"/>
      <c r="D368" s="146"/>
      <c r="E368" s="134"/>
      <c r="F368" s="134"/>
      <c r="G368" s="14"/>
      <c r="H368" s="14"/>
      <c r="I368" s="14"/>
      <c r="J368" s="14"/>
      <c r="K368" s="14"/>
      <c r="L368" s="1"/>
      <c r="M368" s="1"/>
      <c r="N368" s="1"/>
      <c r="O368" s="1"/>
      <c r="P368" s="1"/>
      <c r="Q368" s="1"/>
      <c r="R368" s="140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9"/>
      <c r="BU368" s="9"/>
      <c r="BV368" s="1"/>
      <c r="BW368" s="1"/>
      <c r="BX368" s="1"/>
      <c r="BY368" s="1"/>
      <c r="BZ368" s="1"/>
    </row>
    <row r="369">
      <c r="A369" s="3"/>
      <c r="B369" s="33"/>
      <c r="C369" s="146"/>
      <c r="D369" s="146"/>
      <c r="E369" s="134"/>
      <c r="F369" s="134"/>
      <c r="G369" s="14"/>
      <c r="H369" s="14"/>
      <c r="I369" s="14"/>
      <c r="J369" s="14"/>
      <c r="K369" s="1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9"/>
      <c r="BU369" s="9"/>
      <c r="BV369" s="1"/>
      <c r="BW369" s="1"/>
      <c r="BX369" s="1"/>
      <c r="BY369" s="1"/>
      <c r="BZ369" s="1"/>
    </row>
    <row r="370">
      <c r="A370" s="3"/>
      <c r="B370" s="33"/>
      <c r="C370" s="122"/>
      <c r="D370" s="122" t="s">
        <v>139</v>
      </c>
      <c r="E370" s="134"/>
      <c r="F370" s="134"/>
      <c r="G370" s="14"/>
      <c r="H370" s="14"/>
      <c r="I370" s="14"/>
      <c r="J370" s="14"/>
      <c r="K370" s="1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9"/>
      <c r="BU370" s="9"/>
      <c r="BV370" s="1"/>
      <c r="BW370" s="1"/>
      <c r="BX370" s="1"/>
      <c r="BY370" s="1"/>
      <c r="BZ370" s="1"/>
    </row>
    <row r="371">
      <c r="A371" s="3"/>
      <c r="B371" s="33"/>
      <c r="C371" s="122"/>
      <c r="D371" s="122" t="s">
        <v>263</v>
      </c>
      <c r="E371" s="134"/>
      <c r="F371" s="134"/>
      <c r="G371" s="14"/>
      <c r="H371" s="14"/>
      <c r="I371" s="14"/>
      <c r="J371" s="14"/>
      <c r="K371" s="14"/>
      <c r="L371" s="1"/>
      <c r="M371" s="1"/>
      <c r="N371" s="1"/>
      <c r="O371" s="1"/>
      <c r="P371" s="1"/>
      <c r="Q371" s="1"/>
      <c r="R371" s="1"/>
      <c r="S371" s="74">
        <v>1423930.0</v>
      </c>
      <c r="T371" s="74">
        <v>2166162.0</v>
      </c>
      <c r="U371" s="74">
        <v>1611050.0</v>
      </c>
      <c r="V371" s="74">
        <v>1381258.0</v>
      </c>
      <c r="W371" s="74">
        <v>1450992.0</v>
      </c>
      <c r="X371" s="74">
        <v>1507231.0</v>
      </c>
      <c r="Y371" s="74">
        <v>1306858.0</v>
      </c>
      <c r="Z371" s="74">
        <v>1474338.0</v>
      </c>
      <c r="AA371" s="74">
        <v>1768086.0</v>
      </c>
      <c r="AB371" s="74">
        <v>1276709.0</v>
      </c>
      <c r="AC371" s="74">
        <v>1260768.0</v>
      </c>
      <c r="AD371" s="74">
        <v>1609761.0</v>
      </c>
      <c r="AE371" s="74">
        <v>1844390.0</v>
      </c>
      <c r="AF371" s="74">
        <v>836930.0</v>
      </c>
      <c r="AG371" s="74">
        <v>1170714.0</v>
      </c>
      <c r="AH371" s="74">
        <v>1055365.0</v>
      </c>
      <c r="AI371" s="74">
        <v>625914.0</v>
      </c>
      <c r="AJ371" s="74">
        <v>2037137.0</v>
      </c>
      <c r="AK371" s="74">
        <v>1049496.0</v>
      </c>
      <c r="AL371" s="74">
        <v>742973.0</v>
      </c>
      <c r="AM371" s="74">
        <v>731984.0</v>
      </c>
      <c r="AN371" s="74">
        <v>829683.0</v>
      </c>
      <c r="AO371" s="74">
        <v>1054649.0</v>
      </c>
      <c r="AP371" s="74">
        <v>1374664.0</v>
      </c>
      <c r="AQ371" s="74">
        <v>1124888.0</v>
      </c>
      <c r="AR371" s="74">
        <v>3607422.0</v>
      </c>
      <c r="AS371" s="74">
        <v>2134977.0</v>
      </c>
      <c r="AT371" s="74">
        <v>1347816.0</v>
      </c>
      <c r="AU371" s="74">
        <v>1501504.0</v>
      </c>
      <c r="AV371" s="74">
        <v>1094275.0</v>
      </c>
      <c r="AW371" s="74">
        <v>840032.0</v>
      </c>
      <c r="AX371" s="74">
        <v>1075415.0</v>
      </c>
      <c r="AY371" s="74">
        <v>822793.0</v>
      </c>
      <c r="AZ371" s="74">
        <v>779100.0</v>
      </c>
      <c r="BA371" s="74">
        <v>1021123.0</v>
      </c>
      <c r="BB371" s="74">
        <v>1213084.0</v>
      </c>
      <c r="BC371" s="74">
        <v>1190624.0</v>
      </c>
      <c r="BD371" s="74">
        <v>1348119.0</v>
      </c>
      <c r="BE371" s="74">
        <v>2323956.0</v>
      </c>
      <c r="BF371" s="74">
        <v>1196789.0</v>
      </c>
      <c r="BG371" s="74">
        <v>1336945.0</v>
      </c>
      <c r="BH371" s="74">
        <v>3577822.0</v>
      </c>
      <c r="BI371" s="74">
        <v>1827567.0</v>
      </c>
      <c r="BJ371" s="74">
        <v>2592899.0</v>
      </c>
      <c r="BK371" s="74">
        <v>1569156.0</v>
      </c>
      <c r="BL371" s="74"/>
      <c r="BM371" s="74"/>
      <c r="BN371" s="74"/>
      <c r="BO371" s="74"/>
      <c r="BP371" s="74"/>
      <c r="BQ371" s="74"/>
      <c r="BR371" s="74"/>
      <c r="BS371" s="1"/>
      <c r="BT371" s="9"/>
      <c r="BU371" s="9"/>
      <c r="BV371" s="1"/>
      <c r="BW371" s="1"/>
      <c r="BX371" s="1"/>
      <c r="BY371" s="1"/>
      <c r="BZ371" s="1"/>
    </row>
    <row r="372">
      <c r="A372" s="3"/>
      <c r="B372" s="33"/>
      <c r="C372" s="147"/>
      <c r="D372" s="147" t="s">
        <v>246</v>
      </c>
      <c r="E372" s="134"/>
      <c r="F372" s="134"/>
      <c r="G372" s="14"/>
      <c r="H372" s="14"/>
      <c r="I372" s="14"/>
      <c r="J372" s="14"/>
      <c r="K372" s="14"/>
      <c r="L372" s="1"/>
      <c r="M372" s="1"/>
      <c r="N372" s="1"/>
      <c r="O372" s="1"/>
      <c r="P372" s="1"/>
      <c r="Q372" s="1"/>
      <c r="R372" s="1"/>
      <c r="S372" s="3">
        <v>396330.0</v>
      </c>
      <c r="T372" s="3">
        <v>906738.0</v>
      </c>
      <c r="U372" s="3">
        <v>670164.0</v>
      </c>
      <c r="V372" s="3">
        <v>598858.0</v>
      </c>
      <c r="W372" s="3">
        <v>460485.0</v>
      </c>
      <c r="X372" s="3">
        <v>382105.0</v>
      </c>
      <c r="Y372" s="3">
        <v>351335.0</v>
      </c>
      <c r="Z372" s="3">
        <v>425698.0</v>
      </c>
      <c r="AA372" s="3">
        <v>691641.0</v>
      </c>
      <c r="AB372" s="3">
        <v>432110.0</v>
      </c>
      <c r="AC372" s="3">
        <v>491540.0</v>
      </c>
      <c r="AD372" s="3">
        <v>647696.0</v>
      </c>
      <c r="AE372" s="3">
        <v>689442.0</v>
      </c>
      <c r="AF372" s="3">
        <v>285346.0</v>
      </c>
      <c r="AG372" s="3">
        <v>326024.0</v>
      </c>
      <c r="AH372" s="3">
        <v>243682.0</v>
      </c>
      <c r="AI372" s="3">
        <v>176071.0</v>
      </c>
      <c r="AJ372" s="3">
        <v>556372.0</v>
      </c>
      <c r="AK372" s="3">
        <v>325100.0</v>
      </c>
      <c r="AL372" s="3">
        <v>216162.0</v>
      </c>
      <c r="AM372" s="3">
        <v>205444.0</v>
      </c>
      <c r="AN372" s="3">
        <v>259887.0</v>
      </c>
      <c r="AO372" s="3">
        <v>311007.0</v>
      </c>
      <c r="AP372" s="3">
        <v>529504.0</v>
      </c>
      <c r="AQ372" s="3">
        <v>442624.0</v>
      </c>
      <c r="AR372" s="3">
        <v>1104541.0</v>
      </c>
      <c r="AS372" s="3">
        <v>778591.0</v>
      </c>
      <c r="AT372" s="3">
        <v>322476.0</v>
      </c>
      <c r="AU372" s="3">
        <v>297041.0</v>
      </c>
      <c r="AV372" s="3">
        <v>257191.0</v>
      </c>
      <c r="AW372" s="3">
        <v>175489.0</v>
      </c>
      <c r="AX372" s="3">
        <v>255966.0</v>
      </c>
      <c r="AY372" s="3">
        <v>206965.0</v>
      </c>
      <c r="AZ372" s="3">
        <v>161521.0</v>
      </c>
      <c r="BA372" s="3">
        <v>307744.0</v>
      </c>
      <c r="BB372" s="3">
        <v>391404.0</v>
      </c>
      <c r="BC372" s="3">
        <v>411620.0</v>
      </c>
      <c r="BD372" s="3">
        <v>554085.0</v>
      </c>
      <c r="BE372" s="3">
        <v>909846.0</v>
      </c>
      <c r="BF372" s="3">
        <v>364725.0</v>
      </c>
      <c r="BG372" s="3">
        <v>399283.0</v>
      </c>
      <c r="BH372" s="3">
        <v>1276953.0</v>
      </c>
      <c r="BI372" s="3">
        <v>728545.0</v>
      </c>
      <c r="BJ372" s="3">
        <v>1379246.0</v>
      </c>
      <c r="BK372" s="3">
        <v>684177.0</v>
      </c>
      <c r="BL372" s="3"/>
      <c r="BM372" s="3"/>
      <c r="BN372" s="3"/>
      <c r="BO372" s="3"/>
      <c r="BP372" s="3"/>
      <c r="BQ372" s="3"/>
      <c r="BR372" s="3"/>
      <c r="BS372" s="1"/>
      <c r="BT372" s="9"/>
      <c r="BU372" s="9"/>
      <c r="BV372" s="1"/>
      <c r="BW372" s="1"/>
      <c r="BX372" s="1"/>
      <c r="BY372" s="1"/>
      <c r="BZ372" s="1"/>
    </row>
    <row r="373">
      <c r="A373" s="3"/>
      <c r="B373" s="33"/>
      <c r="C373" s="147"/>
      <c r="D373" s="147" t="s">
        <v>248</v>
      </c>
      <c r="E373" s="134"/>
      <c r="F373" s="134"/>
      <c r="G373" s="14"/>
      <c r="H373" s="14"/>
      <c r="I373" s="14"/>
      <c r="J373" s="14"/>
      <c r="K373" s="14"/>
      <c r="L373" s="1"/>
      <c r="M373" s="1"/>
      <c r="N373" s="1"/>
      <c r="O373" s="1"/>
      <c r="P373" s="1"/>
      <c r="Q373" s="1"/>
      <c r="R373" s="1"/>
      <c r="S373" s="3">
        <v>651986.0</v>
      </c>
      <c r="T373" s="3">
        <v>675393.0</v>
      </c>
      <c r="U373" s="3">
        <v>608364.0</v>
      </c>
      <c r="V373" s="3">
        <v>469924.0</v>
      </c>
      <c r="W373" s="3">
        <v>647252.0</v>
      </c>
      <c r="X373" s="3">
        <v>724058.0</v>
      </c>
      <c r="Y373" s="3">
        <v>611504.0</v>
      </c>
      <c r="Z373" s="3">
        <v>646313.0</v>
      </c>
      <c r="AA373" s="3">
        <v>581455.0</v>
      </c>
      <c r="AB373" s="3">
        <v>394200.0</v>
      </c>
      <c r="AC373" s="3">
        <v>365839.0</v>
      </c>
      <c r="AD373" s="3">
        <v>526604.0</v>
      </c>
      <c r="AE373" s="3">
        <v>554724.0</v>
      </c>
      <c r="AF373" s="3">
        <v>253106.0</v>
      </c>
      <c r="AG373" s="3">
        <v>293611.0</v>
      </c>
      <c r="AH373" s="3">
        <v>340942.0</v>
      </c>
      <c r="AI373" s="3">
        <v>208999.0</v>
      </c>
      <c r="AJ373" s="3">
        <v>613268.0</v>
      </c>
      <c r="AK373" s="3">
        <v>300625.0</v>
      </c>
      <c r="AL373" s="3">
        <v>217701.0</v>
      </c>
      <c r="AM373" s="3">
        <v>236241.0</v>
      </c>
      <c r="AN373" s="3">
        <v>205426.0</v>
      </c>
      <c r="AO373" s="3">
        <v>412367.0</v>
      </c>
      <c r="AP373" s="3">
        <v>450240.0</v>
      </c>
      <c r="AQ373" s="3">
        <v>396924.0</v>
      </c>
      <c r="AR373" s="3">
        <v>1119990.0</v>
      </c>
      <c r="AS373" s="3">
        <v>626683.0</v>
      </c>
      <c r="AT373" s="3">
        <v>478666.0</v>
      </c>
      <c r="AU373" s="3">
        <v>495047.0</v>
      </c>
      <c r="AV373" s="3">
        <v>473636.0</v>
      </c>
      <c r="AW373" s="3">
        <v>375272.0</v>
      </c>
      <c r="AX373" s="3">
        <v>436532.0</v>
      </c>
      <c r="AY373" s="3">
        <v>289924.0</v>
      </c>
      <c r="AZ373" s="3">
        <v>289234.0</v>
      </c>
      <c r="BA373" s="3">
        <v>436864.0</v>
      </c>
      <c r="BB373" s="3">
        <v>537532.0</v>
      </c>
      <c r="BC373" s="3">
        <v>445830.0</v>
      </c>
      <c r="BD373" s="3">
        <v>522572.0</v>
      </c>
      <c r="BE373" s="3">
        <v>475568.0</v>
      </c>
      <c r="BF373" s="3">
        <v>464562.0</v>
      </c>
      <c r="BG373" s="3">
        <v>475713.0</v>
      </c>
      <c r="BH373" s="3">
        <v>1472410.0</v>
      </c>
      <c r="BI373" s="3">
        <v>647525.0</v>
      </c>
      <c r="BJ373" s="3">
        <v>903922.0</v>
      </c>
      <c r="BK373" s="3">
        <v>621230.0</v>
      </c>
      <c r="BL373" s="3"/>
      <c r="BM373" s="3"/>
      <c r="BN373" s="3"/>
      <c r="BO373" s="3"/>
      <c r="BP373" s="3"/>
      <c r="BQ373" s="3"/>
      <c r="BR373" s="3"/>
      <c r="BS373" s="1"/>
      <c r="BT373" s="9"/>
      <c r="BU373" s="9"/>
      <c r="BV373" s="1"/>
      <c r="BW373" s="1"/>
      <c r="BX373" s="1"/>
      <c r="BY373" s="1"/>
      <c r="BZ373" s="1"/>
    </row>
    <row r="374">
      <c r="A374" s="3"/>
      <c r="B374" s="33"/>
      <c r="C374" s="147"/>
      <c r="D374" s="147" t="s">
        <v>251</v>
      </c>
      <c r="E374" s="134"/>
      <c r="F374" s="134"/>
      <c r="G374" s="14"/>
      <c r="H374" s="14"/>
      <c r="I374" s="14"/>
      <c r="J374" s="14"/>
      <c r="K374" s="14"/>
      <c r="L374" s="1"/>
      <c r="M374" s="1"/>
      <c r="N374" s="1"/>
      <c r="O374" s="1"/>
      <c r="P374" s="1"/>
      <c r="Q374" s="1"/>
      <c r="R374" s="1"/>
      <c r="S374" s="3">
        <v>88842.0</v>
      </c>
      <c r="T374" s="3">
        <v>108267.0</v>
      </c>
      <c r="U374" s="3">
        <v>80371.0</v>
      </c>
      <c r="V374" s="3">
        <v>115644.0</v>
      </c>
      <c r="W374" s="3">
        <v>133998.0</v>
      </c>
      <c r="X374" s="3">
        <v>137354.0</v>
      </c>
      <c r="Y374" s="3">
        <v>105288.0</v>
      </c>
      <c r="Z374" s="3">
        <v>126034.0</v>
      </c>
      <c r="AA374" s="3">
        <v>124294.0</v>
      </c>
      <c r="AB374" s="3">
        <v>203484.0</v>
      </c>
      <c r="AC374" s="3">
        <v>140271.0</v>
      </c>
      <c r="AD374" s="3">
        <v>132460.0</v>
      </c>
      <c r="AE374" s="3">
        <v>152224.0</v>
      </c>
      <c r="AF374" s="3">
        <v>89876.0</v>
      </c>
      <c r="AG374" s="3">
        <v>196178.0</v>
      </c>
      <c r="AH374" s="3">
        <v>193568.0</v>
      </c>
      <c r="AI374" s="3">
        <v>73164.0</v>
      </c>
      <c r="AJ374" s="3">
        <v>276818.0</v>
      </c>
      <c r="AK374" s="3">
        <v>119366.0</v>
      </c>
      <c r="AL374" s="3">
        <v>97472.0</v>
      </c>
      <c r="AM374" s="3">
        <v>74330.0</v>
      </c>
      <c r="AN374" s="3">
        <v>114241.0</v>
      </c>
      <c r="AO374" s="3">
        <v>84544.0</v>
      </c>
      <c r="AP374" s="3">
        <v>126537.0</v>
      </c>
      <c r="AQ374" s="3">
        <v>61816.0</v>
      </c>
      <c r="AR374" s="3">
        <v>554949.0</v>
      </c>
      <c r="AS374" s="3">
        <v>272447.0</v>
      </c>
      <c r="AT374" s="3">
        <v>208282.0</v>
      </c>
      <c r="AU374" s="3">
        <v>313386.0</v>
      </c>
      <c r="AV374" s="3">
        <v>73373.0</v>
      </c>
      <c r="AW374" s="3">
        <v>69786.0</v>
      </c>
      <c r="AX374" s="3">
        <v>65697.0</v>
      </c>
      <c r="AY374" s="3">
        <v>50918.0</v>
      </c>
      <c r="AZ374" s="3">
        <v>50698.0</v>
      </c>
      <c r="BA374" s="3">
        <v>84392.0</v>
      </c>
      <c r="BB374" s="3">
        <v>111495.0</v>
      </c>
      <c r="BC374" s="3">
        <v>82382.0</v>
      </c>
      <c r="BD374" s="3">
        <v>106493.0</v>
      </c>
      <c r="BE374" s="3">
        <v>172625.0</v>
      </c>
      <c r="BF374" s="3">
        <v>146591.0</v>
      </c>
      <c r="BG374" s="3">
        <v>67605.0</v>
      </c>
      <c r="BH374" s="3">
        <v>164839.0</v>
      </c>
      <c r="BI374" s="3">
        <v>70146.0</v>
      </c>
      <c r="BJ374" s="3">
        <v>94155.0</v>
      </c>
      <c r="BK374" s="3">
        <v>100754.0</v>
      </c>
      <c r="BL374" s="3"/>
      <c r="BM374" s="3"/>
      <c r="BN374" s="3"/>
      <c r="BO374" s="3"/>
      <c r="BP374" s="3"/>
      <c r="BQ374" s="3"/>
      <c r="BR374" s="3"/>
      <c r="BS374" s="1"/>
      <c r="BT374" s="9"/>
      <c r="BU374" s="9"/>
      <c r="BV374" s="1"/>
      <c r="BW374" s="1"/>
      <c r="BX374" s="1"/>
      <c r="BY374" s="1"/>
      <c r="BZ374" s="1"/>
    </row>
    <row r="375">
      <c r="A375" s="3"/>
      <c r="B375" s="33"/>
      <c r="C375" s="147"/>
      <c r="D375" s="147" t="s">
        <v>253</v>
      </c>
      <c r="E375" s="134"/>
      <c r="F375" s="134"/>
      <c r="G375" s="14"/>
      <c r="H375" s="14"/>
      <c r="I375" s="14"/>
      <c r="J375" s="14"/>
      <c r="K375" s="14"/>
      <c r="L375" s="1"/>
      <c r="M375" s="1"/>
      <c r="N375" s="1"/>
      <c r="O375" s="1"/>
      <c r="P375" s="1"/>
      <c r="Q375" s="1"/>
      <c r="R375" s="1"/>
      <c r="S375" s="3">
        <v>78963.0</v>
      </c>
      <c r="T375" s="3">
        <v>124844.0</v>
      </c>
      <c r="U375" s="3">
        <v>78500.0</v>
      </c>
      <c r="V375" s="3">
        <v>72727.0</v>
      </c>
      <c r="W375" s="3">
        <v>88484.0</v>
      </c>
      <c r="X375" s="3">
        <v>103184.0</v>
      </c>
      <c r="Y375" s="3">
        <v>91213.0</v>
      </c>
      <c r="Z375" s="3">
        <v>111864.0</v>
      </c>
      <c r="AA375" s="3">
        <v>129352.0</v>
      </c>
      <c r="AB375" s="3">
        <v>90573.0</v>
      </c>
      <c r="AC375" s="3">
        <v>92415.0</v>
      </c>
      <c r="AD375" s="3">
        <v>101177.0</v>
      </c>
      <c r="AE375" s="3">
        <v>157103.0</v>
      </c>
      <c r="AF375" s="3">
        <v>58963.0</v>
      </c>
      <c r="AG375" s="3">
        <v>57656.0</v>
      </c>
      <c r="AH375" s="3">
        <v>60299.0</v>
      </c>
      <c r="AI375" s="3">
        <v>50547.0</v>
      </c>
      <c r="AJ375" s="3">
        <v>155681.0</v>
      </c>
      <c r="AK375" s="3">
        <v>75394.0</v>
      </c>
      <c r="AL375" s="3">
        <v>56754.0</v>
      </c>
      <c r="AM375" s="3">
        <v>48104.0</v>
      </c>
      <c r="AN375" s="3">
        <v>76646.0</v>
      </c>
      <c r="AO375" s="3">
        <v>84807.0</v>
      </c>
      <c r="AP375" s="3">
        <v>96899.0</v>
      </c>
      <c r="AQ375" s="3">
        <v>89014.0</v>
      </c>
      <c r="AR375" s="3">
        <v>203055.0</v>
      </c>
      <c r="AS375" s="3">
        <v>213014.0</v>
      </c>
      <c r="AT375" s="3">
        <v>54122.0</v>
      </c>
      <c r="AU375" s="3">
        <v>53123.0</v>
      </c>
      <c r="AV375" s="3">
        <v>65002.0</v>
      </c>
      <c r="AW375" s="3">
        <v>58397.0</v>
      </c>
      <c r="AX375" s="3">
        <v>74326.0</v>
      </c>
      <c r="AY375" s="3">
        <v>59328.0</v>
      </c>
      <c r="AZ375" s="3">
        <v>39947.0</v>
      </c>
      <c r="BA375" s="3">
        <v>44416.0</v>
      </c>
      <c r="BB375" s="3">
        <v>63615.0</v>
      </c>
      <c r="BC375" s="3">
        <v>75476.0</v>
      </c>
      <c r="BD375" s="3">
        <v>48652.0</v>
      </c>
      <c r="BE375" s="3">
        <v>190847.0</v>
      </c>
      <c r="BF375" s="3">
        <v>32874.0</v>
      </c>
      <c r="BG375" s="3">
        <v>23955.0</v>
      </c>
      <c r="BH375" s="3">
        <v>22892.0</v>
      </c>
      <c r="BI375" s="3">
        <v>38276.0</v>
      </c>
      <c r="BJ375" s="3">
        <v>22126.0</v>
      </c>
      <c r="BK375" s="3">
        <v>18197.0</v>
      </c>
      <c r="BL375" s="3"/>
      <c r="BM375" s="3"/>
      <c r="BN375" s="3"/>
      <c r="BO375" s="3"/>
      <c r="BP375" s="3"/>
      <c r="BQ375" s="3"/>
      <c r="BR375" s="3"/>
      <c r="BS375" s="1"/>
      <c r="BT375" s="9"/>
      <c r="BU375" s="9"/>
      <c r="BV375" s="1"/>
      <c r="BW375" s="1"/>
      <c r="BX375" s="1"/>
      <c r="BY375" s="1"/>
      <c r="BZ375" s="1"/>
    </row>
    <row r="376">
      <c r="A376" s="3"/>
      <c r="B376" s="33"/>
      <c r="C376" s="147"/>
      <c r="D376" s="147" t="s">
        <v>255</v>
      </c>
      <c r="E376" s="134"/>
      <c r="F376" s="134"/>
      <c r="G376" s="14"/>
      <c r="H376" s="14"/>
      <c r="I376" s="14"/>
      <c r="J376" s="14"/>
      <c r="K376" s="14"/>
      <c r="L376" s="1"/>
      <c r="M376" s="1"/>
      <c r="N376" s="1"/>
      <c r="O376" s="1"/>
      <c r="P376" s="1"/>
      <c r="Q376" s="1"/>
      <c r="R376" s="1"/>
      <c r="S376" s="3">
        <v>133111.0</v>
      </c>
      <c r="T376" s="3">
        <v>205993.0</v>
      </c>
      <c r="U376" s="3">
        <v>139049.0</v>
      </c>
      <c r="V376" s="3">
        <v>99852.0</v>
      </c>
      <c r="W376" s="3">
        <v>97565.0</v>
      </c>
      <c r="X376" s="3">
        <v>90869.0</v>
      </c>
      <c r="Y376" s="3">
        <v>75438.0</v>
      </c>
      <c r="Z376" s="3">
        <v>79191.0</v>
      </c>
      <c r="AA376" s="3">
        <v>122066.0</v>
      </c>
      <c r="AB376" s="3">
        <v>86466.0</v>
      </c>
      <c r="AC376" s="3">
        <v>98047.0</v>
      </c>
      <c r="AD376" s="3">
        <v>67478.0</v>
      </c>
      <c r="AE376" s="3">
        <v>107348.0</v>
      </c>
      <c r="AF376" s="3">
        <v>55266.0</v>
      </c>
      <c r="AG376" s="3">
        <v>89799.0</v>
      </c>
      <c r="AH376" s="3">
        <v>83090.0</v>
      </c>
      <c r="AI376" s="3">
        <v>68979.0</v>
      </c>
      <c r="AJ376" s="3">
        <v>223400.0</v>
      </c>
      <c r="AK376" s="3">
        <v>106813.0</v>
      </c>
      <c r="AL376" s="3">
        <v>83960.0</v>
      </c>
      <c r="AM376" s="3">
        <v>93027.0</v>
      </c>
      <c r="AN376" s="3">
        <v>92590.0</v>
      </c>
      <c r="AO376" s="3">
        <v>81608.0</v>
      </c>
      <c r="AP376" s="3">
        <v>97923.0</v>
      </c>
      <c r="AQ376" s="3">
        <v>84161.0</v>
      </c>
      <c r="AR376" s="3">
        <v>285368.0</v>
      </c>
      <c r="AS376" s="3">
        <v>113095.0</v>
      </c>
      <c r="AT376" s="3">
        <v>104839.0</v>
      </c>
      <c r="AU376" s="3">
        <v>134340.0</v>
      </c>
      <c r="AV376" s="3">
        <v>136780.0</v>
      </c>
      <c r="AW376" s="3">
        <v>92908.0</v>
      </c>
      <c r="AX376" s="3">
        <v>133524.0</v>
      </c>
      <c r="AY376" s="3">
        <v>116383.0</v>
      </c>
      <c r="AZ376" s="3">
        <v>112027.0</v>
      </c>
      <c r="BA376" s="3">
        <v>90900.0</v>
      </c>
      <c r="BB376" s="3">
        <v>69736.0</v>
      </c>
      <c r="BC376" s="3">
        <v>107587.0</v>
      </c>
      <c r="BD376" s="3">
        <v>59951.0</v>
      </c>
      <c r="BE376" s="3">
        <v>170392.0</v>
      </c>
      <c r="BF376" s="3">
        <v>88546.0</v>
      </c>
      <c r="BG376" s="3">
        <v>301349.0</v>
      </c>
      <c r="BH376" s="3">
        <v>574048.0</v>
      </c>
      <c r="BI376" s="3">
        <v>259670.0</v>
      </c>
      <c r="BJ376" s="3">
        <v>47524.0</v>
      </c>
      <c r="BK376" s="3">
        <v>28087.0</v>
      </c>
      <c r="BL376" s="3"/>
      <c r="BM376" s="3"/>
      <c r="BN376" s="3"/>
      <c r="BO376" s="3"/>
      <c r="BP376" s="3"/>
      <c r="BQ376" s="3"/>
      <c r="BR376" s="3"/>
      <c r="BS376" s="1"/>
      <c r="BT376" s="9"/>
      <c r="BU376" s="9"/>
      <c r="BV376" s="1"/>
      <c r="BW376" s="1"/>
      <c r="BX376" s="1"/>
      <c r="BY376" s="1"/>
      <c r="BZ376" s="1"/>
    </row>
    <row r="377">
      <c r="A377" s="3"/>
      <c r="B377" s="33"/>
      <c r="C377" s="155"/>
      <c r="D377" s="155" t="s">
        <v>257</v>
      </c>
      <c r="E377" s="134"/>
      <c r="F377" s="134"/>
      <c r="G377" s="14"/>
      <c r="H377" s="14"/>
      <c r="I377" s="14"/>
      <c r="J377" s="14"/>
      <c r="K377" s="14"/>
      <c r="L377" s="1"/>
      <c r="M377" s="1"/>
      <c r="N377" s="1"/>
      <c r="O377" s="1"/>
      <c r="P377" s="1"/>
      <c r="Q377" s="1"/>
      <c r="R377" s="1"/>
      <c r="S377" s="3">
        <v>72734.0</v>
      </c>
      <c r="T377" s="3">
        <v>138780.0</v>
      </c>
      <c r="U377" s="3">
        <v>30514.0</v>
      </c>
      <c r="V377" s="3">
        <v>13678.0</v>
      </c>
      <c r="W377" s="3">
        <v>16742.0</v>
      </c>
      <c r="X377" s="3">
        <v>59388.0</v>
      </c>
      <c r="Y377" s="3">
        <v>58872.0</v>
      </c>
      <c r="Z377" s="3">
        <v>71015.0</v>
      </c>
      <c r="AA377" s="3">
        <v>108608.0</v>
      </c>
      <c r="AB377" s="3">
        <v>58316.0</v>
      </c>
      <c r="AC377" s="3">
        <v>57658.0</v>
      </c>
      <c r="AD377" s="3">
        <v>112304.0</v>
      </c>
      <c r="AE377" s="3">
        <v>130364.0</v>
      </c>
      <c r="AF377" s="3">
        <v>66694.0</v>
      </c>
      <c r="AG377" s="3">
        <v>90037.0</v>
      </c>
      <c r="AH377" s="3">
        <v>71442.0</v>
      </c>
      <c r="AI377" s="3">
        <v>27776.0</v>
      </c>
      <c r="AJ377" s="3">
        <v>139350.0</v>
      </c>
      <c r="AK377" s="3">
        <v>87092.0</v>
      </c>
      <c r="AL377" s="3">
        <v>57198.0</v>
      </c>
      <c r="AM377" s="3">
        <v>58986.0</v>
      </c>
      <c r="AN377" s="3">
        <v>59039.0</v>
      </c>
      <c r="AO377" s="3">
        <v>59151.0</v>
      </c>
      <c r="AP377" s="3">
        <v>52569.0</v>
      </c>
      <c r="AQ377" s="3">
        <v>24726.0</v>
      </c>
      <c r="AR377" s="3">
        <v>244419.0</v>
      </c>
      <c r="AS377" s="3">
        <v>60016.0</v>
      </c>
      <c r="AT377" s="3">
        <v>125685.0</v>
      </c>
      <c r="AU377" s="3">
        <v>175925.0</v>
      </c>
      <c r="AV377" s="3">
        <v>41755.0</v>
      </c>
      <c r="AW377" s="3">
        <v>23746.0</v>
      </c>
      <c r="AX377" s="3">
        <v>50175.0</v>
      </c>
      <c r="AY377" s="3">
        <v>59838.0</v>
      </c>
      <c r="AZ377" s="3">
        <v>98971.0</v>
      </c>
      <c r="BA377" s="3">
        <v>21632.0</v>
      </c>
      <c r="BB377" s="3">
        <v>4791.0</v>
      </c>
      <c r="BC377" s="3">
        <v>25974.0</v>
      </c>
      <c r="BD377" s="3">
        <v>5502.0</v>
      </c>
      <c r="BE377" s="3">
        <v>246291.0</v>
      </c>
      <c r="BF377" s="3">
        <v>39679.0</v>
      </c>
      <c r="BG377" s="3">
        <v>22956.0</v>
      </c>
      <c r="BH377" s="3">
        <v>27192.0</v>
      </c>
      <c r="BI377" s="3">
        <v>12193.0</v>
      </c>
      <c r="BJ377" s="3">
        <v>1200.0</v>
      </c>
      <c r="BK377" s="3">
        <v>1040.0</v>
      </c>
      <c r="BL377" s="3"/>
      <c r="BM377" s="3"/>
      <c r="BN377" s="3"/>
      <c r="BO377" s="3"/>
      <c r="BP377" s="3"/>
      <c r="BQ377" s="3"/>
      <c r="BR377" s="3"/>
      <c r="BS377" s="1"/>
      <c r="BT377" s="9"/>
      <c r="BU377" s="9"/>
      <c r="BV377" s="1"/>
      <c r="BW377" s="1"/>
      <c r="BX377" s="1"/>
      <c r="BY377" s="1"/>
      <c r="BZ377" s="1"/>
    </row>
    <row r="378">
      <c r="A378" s="3"/>
      <c r="B378" s="33"/>
      <c r="C378" s="147"/>
      <c r="D378" s="147" t="s">
        <v>261</v>
      </c>
      <c r="E378" s="134"/>
      <c r="F378" s="134"/>
      <c r="G378" s="14"/>
      <c r="H378" s="14"/>
      <c r="I378" s="14"/>
      <c r="J378" s="14"/>
      <c r="K378" s="14"/>
      <c r="L378" s="1"/>
      <c r="M378" s="1"/>
      <c r="N378" s="1"/>
      <c r="O378" s="1"/>
      <c r="P378" s="1"/>
      <c r="Q378" s="1"/>
      <c r="R378" s="1"/>
      <c r="S378" s="3">
        <v>0.0</v>
      </c>
      <c r="T378" s="3">
        <v>0.0</v>
      </c>
      <c r="U378" s="3">
        <v>340.0</v>
      </c>
      <c r="V378" s="3">
        <v>2938.0</v>
      </c>
      <c r="W378" s="3">
        <v>2584.0</v>
      </c>
      <c r="X378" s="3">
        <v>6912.0</v>
      </c>
      <c r="Y378" s="3">
        <v>6951.0</v>
      </c>
      <c r="Z378" s="3">
        <v>11996.0</v>
      </c>
      <c r="AA378" s="3">
        <v>8813.0</v>
      </c>
      <c r="AB378" s="3">
        <v>9150.0</v>
      </c>
      <c r="AC378" s="3">
        <v>12417.0</v>
      </c>
      <c r="AD378" s="3">
        <v>16695.0</v>
      </c>
      <c r="AE378" s="3">
        <v>32681.0</v>
      </c>
      <c r="AF378" s="3">
        <v>19309.0</v>
      </c>
      <c r="AG378" s="3">
        <v>111007.0</v>
      </c>
      <c r="AH378" s="3">
        <v>33885.0</v>
      </c>
      <c r="AI378" s="3">
        <v>17158.0</v>
      </c>
      <c r="AJ378" s="3">
        <v>47876.0</v>
      </c>
      <c r="AK378" s="3">
        <v>22295.0</v>
      </c>
      <c r="AL378" s="3">
        <v>8741.0</v>
      </c>
      <c r="AM378" s="3">
        <v>6802.0</v>
      </c>
      <c r="AN378" s="3">
        <v>9709.0</v>
      </c>
      <c r="AO378" s="3">
        <v>8483.0</v>
      </c>
      <c r="AP378" s="3">
        <v>10210.0</v>
      </c>
      <c r="AQ378" s="3">
        <v>10772.0</v>
      </c>
      <c r="AR378" s="3">
        <v>53429.0</v>
      </c>
      <c r="AS378" s="3">
        <v>55977.0</v>
      </c>
      <c r="AT378" s="3">
        <v>40776.0</v>
      </c>
      <c r="AU378" s="3">
        <v>23520.0</v>
      </c>
      <c r="AV378" s="3">
        <v>37396.0</v>
      </c>
      <c r="AW378" s="3">
        <v>35442.0</v>
      </c>
      <c r="AX378" s="3">
        <v>47793.0</v>
      </c>
      <c r="AY378" s="3">
        <v>32117.0</v>
      </c>
      <c r="AZ378" s="3">
        <v>19094.0</v>
      </c>
      <c r="BA378" s="3">
        <v>12753.0</v>
      </c>
      <c r="BB378" s="3">
        <v>7056.0</v>
      </c>
      <c r="BC378" s="3">
        <v>11548.0</v>
      </c>
      <c r="BD378" s="3">
        <v>19419.0</v>
      </c>
      <c r="BE378" s="3">
        <v>45650.0</v>
      </c>
      <c r="BF378" s="3">
        <v>32011.0</v>
      </c>
      <c r="BG378" s="3">
        <v>23820.0</v>
      </c>
      <c r="BH378" s="3">
        <v>26829.0</v>
      </c>
      <c r="BI378" s="3">
        <v>31584.0</v>
      </c>
      <c r="BJ378" s="3">
        <v>18090.0</v>
      </c>
      <c r="BK378" s="3">
        <v>10698.0</v>
      </c>
      <c r="BL378" s="3"/>
      <c r="BM378" s="3"/>
      <c r="BN378" s="3"/>
      <c r="BO378" s="3"/>
      <c r="BP378" s="3"/>
      <c r="BQ378" s="3"/>
      <c r="BR378" s="3"/>
      <c r="BS378" s="1"/>
      <c r="BT378" s="9"/>
      <c r="BU378" s="9"/>
      <c r="BV378" s="1"/>
      <c r="BW378" s="1"/>
      <c r="BX378" s="1"/>
      <c r="BY378" s="1"/>
      <c r="BZ378" s="1"/>
    </row>
    <row r="379">
      <c r="A379" s="3"/>
      <c r="B379" s="33"/>
      <c r="C379" s="156"/>
      <c r="D379" s="156"/>
      <c r="E379" s="134"/>
      <c r="F379" s="134"/>
      <c r="G379" s="14"/>
      <c r="H379" s="14"/>
      <c r="I379" s="14"/>
      <c r="J379" s="14"/>
      <c r="K379" s="1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9"/>
      <c r="BU379" s="9"/>
      <c r="BV379" s="1"/>
      <c r="BW379" s="1"/>
      <c r="BX379" s="1"/>
      <c r="BY379" s="1"/>
      <c r="BZ379" s="1"/>
    </row>
    <row r="380">
      <c r="A380" s="3"/>
      <c r="B380" s="33"/>
      <c r="C380" s="156"/>
      <c r="D380" s="156"/>
      <c r="E380" s="134"/>
      <c r="F380" s="134"/>
      <c r="G380" s="14"/>
      <c r="H380" s="14"/>
      <c r="I380" s="14"/>
      <c r="J380" s="14"/>
      <c r="K380" s="1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9"/>
      <c r="BU380" s="9"/>
      <c r="BV380" s="1"/>
      <c r="BW380" s="1"/>
      <c r="BX380" s="1"/>
      <c r="BY380" s="1"/>
      <c r="BZ380" s="1"/>
    </row>
    <row r="381">
      <c r="A381" s="3"/>
      <c r="B381" s="33"/>
      <c r="C381" s="122"/>
      <c r="D381" s="122" t="s">
        <v>327</v>
      </c>
      <c r="E381" s="134"/>
      <c r="F381" s="134"/>
      <c r="G381" s="14"/>
      <c r="H381" s="14"/>
      <c r="I381" s="14"/>
      <c r="J381" s="14"/>
      <c r="K381" s="1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9"/>
      <c r="BU381" s="9"/>
      <c r="BV381" s="1"/>
      <c r="BW381" s="1"/>
      <c r="BX381" s="1"/>
      <c r="BY381" s="1"/>
      <c r="BZ381" s="1"/>
    </row>
    <row r="382">
      <c r="A382" s="3"/>
      <c r="B382" s="33"/>
      <c r="C382" s="147"/>
      <c r="D382" s="147" t="s">
        <v>247</v>
      </c>
      <c r="E382" s="134"/>
      <c r="F382" s="134"/>
      <c r="G382" s="14"/>
      <c r="H382" s="14"/>
      <c r="I382" s="14"/>
      <c r="J382" s="14"/>
      <c r="K382" s="14"/>
      <c r="L382" s="1"/>
      <c r="M382" s="1"/>
      <c r="N382" s="1"/>
      <c r="O382" s="1"/>
      <c r="P382" s="1"/>
      <c r="Q382" s="1"/>
      <c r="R382" s="1"/>
      <c r="S382" s="33">
        <v>0.1198</v>
      </c>
      <c r="T382" s="33">
        <v>0.2207</v>
      </c>
      <c r="U382" s="33">
        <v>0.1446</v>
      </c>
      <c r="V382" s="33">
        <v>0.1176</v>
      </c>
      <c r="W382" s="33">
        <v>0.1178</v>
      </c>
      <c r="X382" s="33">
        <v>0.1033</v>
      </c>
      <c r="Y382" s="33">
        <v>0.0863</v>
      </c>
      <c r="Z382" s="33">
        <v>0.1061</v>
      </c>
      <c r="AA382" s="33">
        <v>0.1711</v>
      </c>
      <c r="AB382" s="33">
        <v>0.1189</v>
      </c>
      <c r="AC382" s="33">
        <v>0.1212</v>
      </c>
      <c r="AD382" s="33">
        <v>0.1515</v>
      </c>
      <c r="AE382" s="33">
        <v>0.1545</v>
      </c>
      <c r="AF382" s="33">
        <v>0.0693</v>
      </c>
      <c r="AG382" s="33">
        <v>0.0729</v>
      </c>
      <c r="AH382" s="33">
        <v>0.0488</v>
      </c>
      <c r="AI382" s="33">
        <v>0.0414</v>
      </c>
      <c r="AJ382" s="33">
        <v>0.1345</v>
      </c>
      <c r="AK382" s="33">
        <v>0.0692</v>
      </c>
      <c r="AL382" s="33">
        <v>0.0433</v>
      </c>
      <c r="AM382" s="33">
        <v>0.0459</v>
      </c>
      <c r="AN382" s="33">
        <v>0.0546</v>
      </c>
      <c r="AO382" s="33">
        <v>0.0553</v>
      </c>
      <c r="AP382" s="33">
        <v>0.099</v>
      </c>
      <c r="AQ382" s="33">
        <v>0.0784</v>
      </c>
      <c r="AR382" s="33">
        <v>0.1879</v>
      </c>
      <c r="AS382" s="33">
        <v>0.1139</v>
      </c>
      <c r="AT382" s="33">
        <v>0.0542</v>
      </c>
      <c r="AU382" s="33">
        <v>0.0507</v>
      </c>
      <c r="AV382" s="33">
        <v>0.0433</v>
      </c>
      <c r="AW382" s="33">
        <v>0.0402</v>
      </c>
      <c r="AX382" s="33">
        <v>0.0506</v>
      </c>
      <c r="AY382" s="33">
        <v>0.037</v>
      </c>
      <c r="AZ382" s="33">
        <v>0.0304</v>
      </c>
      <c r="BA382" s="33">
        <v>0.0594</v>
      </c>
      <c r="BB382" s="33">
        <v>0.0787</v>
      </c>
      <c r="BC382" s="33">
        <v>0.0869</v>
      </c>
      <c r="BD382" s="33">
        <v>0.0975</v>
      </c>
      <c r="BE382" s="33">
        <v>0.1704</v>
      </c>
      <c r="BF382" s="33">
        <v>0.0727</v>
      </c>
      <c r="BG382" s="33">
        <v>0.0698</v>
      </c>
      <c r="BH382" s="33">
        <v>0.2108</v>
      </c>
      <c r="BI382" s="33">
        <v>0.141</v>
      </c>
      <c r="BJ382" s="33">
        <v>0.2773</v>
      </c>
      <c r="BK382" s="33">
        <v>0.1263</v>
      </c>
      <c r="BL382" s="33"/>
      <c r="BM382" s="33"/>
      <c r="BN382" s="33"/>
      <c r="BO382" s="33"/>
      <c r="BP382" s="33"/>
      <c r="BQ382" s="33"/>
      <c r="BR382" s="33"/>
      <c r="BS382" s="1"/>
      <c r="BT382" s="9"/>
      <c r="BU382" s="9"/>
      <c r="BV382" s="1"/>
      <c r="BW382" s="1"/>
      <c r="BX382" s="1"/>
      <c r="BY382" s="1"/>
      <c r="BZ382" s="1"/>
    </row>
    <row r="383">
      <c r="A383" s="3"/>
      <c r="B383" s="33"/>
      <c r="C383" s="147"/>
      <c r="D383" s="147" t="s">
        <v>250</v>
      </c>
      <c r="E383" s="134"/>
      <c r="F383" s="134"/>
      <c r="G383" s="14"/>
      <c r="H383" s="14"/>
      <c r="I383" s="14"/>
      <c r="J383" s="14"/>
      <c r="K383" s="14"/>
      <c r="L383" s="1"/>
      <c r="M383" s="1"/>
      <c r="N383" s="1"/>
      <c r="O383" s="1"/>
      <c r="P383" s="1"/>
      <c r="Q383" s="1"/>
      <c r="R383" s="1"/>
      <c r="S383" s="33">
        <v>0.1016</v>
      </c>
      <c r="T383" s="33">
        <v>0.1024</v>
      </c>
      <c r="U383" s="33">
        <v>0.0978</v>
      </c>
      <c r="V383" s="33">
        <v>0.0762</v>
      </c>
      <c r="W383" s="33">
        <v>0.1015</v>
      </c>
      <c r="X383" s="33">
        <v>0.0924</v>
      </c>
      <c r="Y383" s="33">
        <v>0.0747</v>
      </c>
      <c r="Z383" s="33">
        <v>0.0827</v>
      </c>
      <c r="AA383" s="33">
        <v>0.078</v>
      </c>
      <c r="AB383" s="33">
        <v>0.0635</v>
      </c>
      <c r="AC383" s="33">
        <v>0.0583</v>
      </c>
      <c r="AD383" s="33">
        <v>0.0779</v>
      </c>
      <c r="AE383" s="33">
        <v>0.0768</v>
      </c>
      <c r="AF383" s="33">
        <v>0.0361</v>
      </c>
      <c r="AG383" s="33">
        <v>0.0414</v>
      </c>
      <c r="AH383" s="33">
        <v>0.0384</v>
      </c>
      <c r="AI383" s="33">
        <v>0.0261</v>
      </c>
      <c r="AJ383" s="33">
        <v>0.074</v>
      </c>
      <c r="AK383" s="33">
        <v>0.0354</v>
      </c>
      <c r="AL383" s="33">
        <v>0.0265</v>
      </c>
      <c r="AM383" s="33">
        <v>0.029</v>
      </c>
      <c r="AN383" s="33">
        <v>0.0256</v>
      </c>
      <c r="AO383" s="33">
        <v>0.0412</v>
      </c>
      <c r="AP383" s="33">
        <v>0.0421</v>
      </c>
      <c r="AQ383" s="33">
        <v>0.0369</v>
      </c>
      <c r="AR383" s="33">
        <v>0.1032</v>
      </c>
      <c r="AS383" s="33">
        <v>0.0617</v>
      </c>
      <c r="AT383" s="33">
        <v>0.0502</v>
      </c>
      <c r="AU383" s="33">
        <v>0.0496</v>
      </c>
      <c r="AV383" s="33">
        <v>0.0507</v>
      </c>
      <c r="AW383" s="33">
        <v>0.0482</v>
      </c>
      <c r="AX383" s="33">
        <v>0.0544</v>
      </c>
      <c r="AY383" s="33">
        <v>0.0384</v>
      </c>
      <c r="AZ383" s="33">
        <v>0.0371</v>
      </c>
      <c r="BA383" s="33">
        <v>0.0561</v>
      </c>
      <c r="BB383" s="33">
        <v>0.0796</v>
      </c>
      <c r="BC383" s="33">
        <v>0.0576</v>
      </c>
      <c r="BD383" s="33">
        <v>0.0614</v>
      </c>
      <c r="BE383" s="33">
        <v>0.0753</v>
      </c>
      <c r="BF383" s="33">
        <v>0.086</v>
      </c>
      <c r="BG383" s="33">
        <v>0.0642</v>
      </c>
      <c r="BH383" s="33">
        <v>0.1625</v>
      </c>
      <c r="BI383" s="33">
        <v>0.0753</v>
      </c>
      <c r="BJ383" s="33">
        <v>0.1306</v>
      </c>
      <c r="BK383" s="33">
        <v>0.0854</v>
      </c>
      <c r="BL383" s="33"/>
      <c r="BM383" s="33"/>
      <c r="BN383" s="33"/>
      <c r="BO383" s="33"/>
      <c r="BP383" s="33"/>
      <c r="BQ383" s="33"/>
      <c r="BR383" s="33"/>
      <c r="BS383" s="1"/>
      <c r="BT383" s="9"/>
      <c r="BU383" s="9"/>
      <c r="BV383" s="1"/>
      <c r="BW383" s="1"/>
      <c r="BX383" s="1"/>
      <c r="BY383" s="1"/>
      <c r="BZ383" s="1"/>
    </row>
    <row r="384">
      <c r="A384" s="3"/>
      <c r="B384" s="33"/>
      <c r="C384" s="147"/>
      <c r="D384" s="147" t="s">
        <v>252</v>
      </c>
      <c r="E384" s="134"/>
      <c r="F384" s="134"/>
      <c r="G384" s="14"/>
      <c r="H384" s="14"/>
      <c r="I384" s="14"/>
      <c r="J384" s="14"/>
      <c r="K384" s="14"/>
      <c r="L384" s="1"/>
      <c r="M384" s="1"/>
      <c r="N384" s="1"/>
      <c r="O384" s="1"/>
      <c r="P384" s="1"/>
      <c r="Q384" s="1"/>
      <c r="R384" s="1"/>
      <c r="S384" s="33">
        <v>0.096</v>
      </c>
      <c r="T384" s="33">
        <v>0.134</v>
      </c>
      <c r="U384" s="33">
        <v>0.0901</v>
      </c>
      <c r="V384" s="33">
        <v>0.1505</v>
      </c>
      <c r="W384" s="33">
        <v>0.1468</v>
      </c>
      <c r="X384" s="33">
        <v>0.1224</v>
      </c>
      <c r="Y384" s="33">
        <v>0.1038</v>
      </c>
      <c r="Z384" s="33">
        <v>0.124</v>
      </c>
      <c r="AA384" s="33">
        <v>0.1184</v>
      </c>
      <c r="AB384" s="33">
        <v>0.2313</v>
      </c>
      <c r="AC384" s="33">
        <v>0.117</v>
      </c>
      <c r="AD384" s="33">
        <v>0.1293</v>
      </c>
      <c r="AE384" s="33">
        <v>0.1552</v>
      </c>
      <c r="AF384" s="33">
        <v>0.0924</v>
      </c>
      <c r="AG384" s="33">
        <v>0.1478</v>
      </c>
      <c r="AH384" s="33">
        <v>0.1657</v>
      </c>
      <c r="AI384" s="33">
        <v>0.0738</v>
      </c>
      <c r="AJ384" s="33">
        <v>0.2663</v>
      </c>
      <c r="AK384" s="33">
        <v>0.1026</v>
      </c>
      <c r="AL384" s="33">
        <v>0.0739</v>
      </c>
      <c r="AM384" s="33">
        <v>0.0684</v>
      </c>
      <c r="AN384" s="33">
        <v>0.0856</v>
      </c>
      <c r="AO384" s="33">
        <v>0.0589</v>
      </c>
      <c r="AP384" s="33">
        <v>0.0972</v>
      </c>
      <c r="AQ384" s="33">
        <v>0.0469</v>
      </c>
      <c r="AR384" s="33">
        <v>0.3717</v>
      </c>
      <c r="AS384" s="33">
        <v>0.1731</v>
      </c>
      <c r="AT384" s="33">
        <v>0.1223</v>
      </c>
      <c r="AU384" s="33">
        <v>0.1373</v>
      </c>
      <c r="AV384" s="33">
        <v>0.0377</v>
      </c>
      <c r="AW384" s="33">
        <v>0.0577</v>
      </c>
      <c r="AX384" s="33">
        <v>0.0544</v>
      </c>
      <c r="AY384" s="33">
        <v>0.0365</v>
      </c>
      <c r="AZ384" s="33">
        <v>0.0356</v>
      </c>
      <c r="BA384" s="33">
        <v>0.0622</v>
      </c>
      <c r="BB384" s="33">
        <v>0.0803</v>
      </c>
      <c r="BC384" s="33">
        <v>0.0629</v>
      </c>
      <c r="BD384" s="33">
        <v>0.0791</v>
      </c>
      <c r="BE384" s="33">
        <v>0.1185</v>
      </c>
      <c r="BF384" s="33">
        <v>0.1031</v>
      </c>
      <c r="BG384" s="33">
        <v>0.0548</v>
      </c>
      <c r="BH384" s="33">
        <v>0.1507</v>
      </c>
      <c r="BI384" s="33">
        <v>0.0696</v>
      </c>
      <c r="BJ384" s="33">
        <v>0.0807</v>
      </c>
      <c r="BK384" s="33">
        <v>0.0759</v>
      </c>
      <c r="BL384" s="33"/>
      <c r="BM384" s="33"/>
      <c r="BN384" s="33"/>
      <c r="BO384" s="33"/>
      <c r="BP384" s="33"/>
      <c r="BQ384" s="33"/>
      <c r="BR384" s="33"/>
      <c r="BS384" s="1"/>
      <c r="BT384" s="9"/>
      <c r="BU384" s="9"/>
      <c r="BV384" s="1"/>
      <c r="BW384" s="1"/>
      <c r="BX384" s="1"/>
      <c r="BY384" s="1"/>
      <c r="BZ384" s="1"/>
    </row>
    <row r="385">
      <c r="A385" s="3"/>
      <c r="B385" s="33"/>
      <c r="C385" s="147"/>
      <c r="D385" s="147" t="s">
        <v>254</v>
      </c>
      <c r="E385" s="134"/>
      <c r="F385" s="134"/>
      <c r="G385" s="14"/>
      <c r="H385" s="14"/>
      <c r="I385" s="14"/>
      <c r="J385" s="14"/>
      <c r="K385" s="14"/>
      <c r="L385" s="1"/>
      <c r="M385" s="1"/>
      <c r="N385" s="1"/>
      <c r="O385" s="1"/>
      <c r="P385" s="1"/>
      <c r="Q385" s="1"/>
      <c r="R385" s="1"/>
      <c r="S385" s="33">
        <v>0.1376</v>
      </c>
      <c r="T385" s="33">
        <v>0.1914</v>
      </c>
      <c r="U385" s="33">
        <v>0.1306</v>
      </c>
      <c r="V385" s="33">
        <v>0.1192</v>
      </c>
      <c r="W385" s="33">
        <v>0.1633</v>
      </c>
      <c r="X385" s="33">
        <v>0.1769</v>
      </c>
      <c r="Y385" s="33">
        <v>0.1229</v>
      </c>
      <c r="Z385" s="33">
        <v>0.1744</v>
      </c>
      <c r="AA385" s="33">
        <v>0.2166</v>
      </c>
      <c r="AB385" s="33">
        <v>0.1489</v>
      </c>
      <c r="AC385" s="33">
        <v>0.1358</v>
      </c>
      <c r="AD385" s="33">
        <v>0.1573</v>
      </c>
      <c r="AE385" s="33">
        <v>0.2575</v>
      </c>
      <c r="AF385" s="33">
        <v>0.1103</v>
      </c>
      <c r="AG385" s="33">
        <v>0.0983</v>
      </c>
      <c r="AH385" s="33">
        <v>0.0979</v>
      </c>
      <c r="AI385" s="33">
        <v>0.0803</v>
      </c>
      <c r="AJ385" s="33">
        <v>0.2377</v>
      </c>
      <c r="AK385" s="33">
        <v>0.117</v>
      </c>
      <c r="AL385" s="33">
        <v>0.0734</v>
      </c>
      <c r="AM385" s="33">
        <v>0.0872</v>
      </c>
      <c r="AN385" s="33">
        <v>0.1222</v>
      </c>
      <c r="AO385" s="33">
        <v>0.1063</v>
      </c>
      <c r="AP385" s="33">
        <v>0.1216</v>
      </c>
      <c r="AQ385" s="33">
        <v>0.1095</v>
      </c>
      <c r="AR385" s="33">
        <v>0.2275</v>
      </c>
      <c r="AS385" s="33">
        <v>0.213</v>
      </c>
      <c r="AT385" s="33">
        <v>0.0667</v>
      </c>
      <c r="AU385" s="33">
        <v>0.0678</v>
      </c>
      <c r="AV385" s="33">
        <v>0.0651</v>
      </c>
      <c r="AW385" s="33">
        <v>0.0742</v>
      </c>
      <c r="AX385" s="33">
        <v>0.0799</v>
      </c>
      <c r="AY385" s="33">
        <v>0.0649</v>
      </c>
      <c r="AZ385" s="33">
        <v>0.0453</v>
      </c>
      <c r="BA385" s="33">
        <v>0.0485</v>
      </c>
      <c r="BB385" s="33">
        <v>0.0746</v>
      </c>
      <c r="BC385" s="33">
        <v>0.0883</v>
      </c>
      <c r="BD385" s="33">
        <v>0.0545</v>
      </c>
      <c r="BE385" s="33">
        <v>0.2105</v>
      </c>
      <c r="BF385" s="33">
        <v>0.0395</v>
      </c>
      <c r="BG385" s="33">
        <v>0.0318</v>
      </c>
      <c r="BH385" s="33">
        <v>0.0307</v>
      </c>
      <c r="BI385" s="33">
        <v>0.0651</v>
      </c>
      <c r="BJ385" s="33">
        <v>0.0326</v>
      </c>
      <c r="BK385" s="33">
        <v>0.0169</v>
      </c>
      <c r="BL385" s="33"/>
      <c r="BM385" s="33"/>
      <c r="BN385" s="33"/>
      <c r="BO385" s="33"/>
      <c r="BP385" s="33"/>
      <c r="BQ385" s="33"/>
      <c r="BR385" s="33"/>
      <c r="BS385" s="1"/>
      <c r="BT385" s="9"/>
      <c r="BU385" s="9"/>
      <c r="BV385" s="1"/>
      <c r="BW385" s="1"/>
      <c r="BX385" s="1"/>
      <c r="BY385" s="1"/>
      <c r="BZ385" s="1"/>
    </row>
    <row r="386">
      <c r="A386" s="3"/>
      <c r="B386" s="33"/>
      <c r="C386" s="147"/>
      <c r="D386" s="147" t="s">
        <v>256</v>
      </c>
      <c r="E386" s="134"/>
      <c r="F386" s="134"/>
      <c r="G386" s="14"/>
      <c r="H386" s="14"/>
      <c r="I386" s="14"/>
      <c r="J386" s="14"/>
      <c r="K386" s="14"/>
      <c r="L386" s="1"/>
      <c r="M386" s="1"/>
      <c r="N386" s="1"/>
      <c r="O386" s="1"/>
      <c r="P386" s="1"/>
      <c r="Q386" s="1"/>
      <c r="R386" s="1"/>
      <c r="S386" s="33">
        <v>0.4548</v>
      </c>
      <c r="T386" s="33">
        <v>0.5241</v>
      </c>
      <c r="U386" s="33">
        <v>0.3908</v>
      </c>
      <c r="V386" s="33">
        <v>0.2997</v>
      </c>
      <c r="W386" s="33">
        <v>0.2835</v>
      </c>
      <c r="X386" s="33">
        <v>0.232</v>
      </c>
      <c r="Y386" s="33">
        <v>0.1961</v>
      </c>
      <c r="Z386" s="33">
        <v>0.2561</v>
      </c>
      <c r="AA386" s="33">
        <v>0.3748</v>
      </c>
      <c r="AB386" s="33">
        <v>0.2382</v>
      </c>
      <c r="AC386" s="33">
        <v>0.2832</v>
      </c>
      <c r="AD386" s="33">
        <v>0.2014</v>
      </c>
      <c r="AE386" s="33">
        <v>0.3263</v>
      </c>
      <c r="AF386" s="33">
        <v>0.1594</v>
      </c>
      <c r="AG386" s="33">
        <v>0.2421</v>
      </c>
      <c r="AH386" s="33">
        <v>0.2269</v>
      </c>
      <c r="AI386" s="33">
        <v>0.1785</v>
      </c>
      <c r="AJ386" s="33">
        <v>0.5268</v>
      </c>
      <c r="AK386" s="33">
        <v>0.1995</v>
      </c>
      <c r="AL386" s="33">
        <v>0.1443</v>
      </c>
      <c r="AM386" s="33">
        <v>0.201</v>
      </c>
      <c r="AN386" s="33">
        <v>0.1842</v>
      </c>
      <c r="AO386" s="33">
        <v>0.149</v>
      </c>
      <c r="AP386" s="33">
        <v>0.1607</v>
      </c>
      <c r="AQ386" s="33">
        <v>0.1397</v>
      </c>
      <c r="AR386" s="33">
        <v>0.4483</v>
      </c>
      <c r="AS386" s="33">
        <v>0.1826</v>
      </c>
      <c r="AT386" s="33">
        <v>0.1861</v>
      </c>
      <c r="AU386" s="33">
        <v>0.2384</v>
      </c>
      <c r="AV386" s="33">
        <v>0.2377</v>
      </c>
      <c r="AW386" s="33">
        <v>0.2018</v>
      </c>
      <c r="AX386" s="33">
        <v>0.2363</v>
      </c>
      <c r="AY386" s="33">
        <v>0.1722</v>
      </c>
      <c r="AZ386" s="33">
        <v>0.1643</v>
      </c>
      <c r="BA386" s="33">
        <v>0.1342</v>
      </c>
      <c r="BB386" s="33">
        <v>0.1182</v>
      </c>
      <c r="BC386" s="33">
        <v>0.1748</v>
      </c>
      <c r="BD386" s="33">
        <v>0.0878</v>
      </c>
      <c r="BE386" s="33">
        <v>0.2959</v>
      </c>
      <c r="BF386" s="33">
        <v>0.1511</v>
      </c>
      <c r="BG386" s="33">
        <v>0.5424</v>
      </c>
      <c r="BH386" s="33">
        <v>0.9357</v>
      </c>
      <c r="BI386" s="33">
        <v>0.454</v>
      </c>
      <c r="BJ386" s="33">
        <v>0.0924</v>
      </c>
      <c r="BK386" s="33">
        <v>0.0544</v>
      </c>
      <c r="BL386" s="33"/>
      <c r="BM386" s="33"/>
      <c r="BN386" s="33"/>
      <c r="BO386" s="33"/>
      <c r="BP386" s="33"/>
      <c r="BQ386" s="33"/>
      <c r="BR386" s="33"/>
      <c r="BS386" s="1"/>
      <c r="BT386" s="9"/>
      <c r="BU386" s="9"/>
      <c r="BV386" s="1"/>
      <c r="BW386" s="1"/>
      <c r="BX386" s="1"/>
      <c r="BY386" s="1"/>
      <c r="BZ386" s="1"/>
    </row>
    <row r="387">
      <c r="A387" s="3"/>
      <c r="B387" s="33"/>
      <c r="C387" s="155"/>
      <c r="D387" s="155" t="s">
        <v>259</v>
      </c>
      <c r="E387" s="134"/>
      <c r="F387" s="134"/>
      <c r="G387" s="14"/>
      <c r="H387" s="14"/>
      <c r="I387" s="14"/>
      <c r="J387" s="14"/>
      <c r="K387" s="14"/>
      <c r="L387" s="1"/>
      <c r="M387" s="1"/>
      <c r="N387" s="1"/>
      <c r="O387" s="1"/>
      <c r="P387" s="1"/>
      <c r="Q387" s="1"/>
      <c r="R387" s="1"/>
      <c r="S387" s="33">
        <v>0.5474</v>
      </c>
      <c r="T387" s="33">
        <v>0.9649</v>
      </c>
      <c r="U387" s="33">
        <v>0.3223</v>
      </c>
      <c r="V387" s="33">
        <v>0.2003</v>
      </c>
      <c r="W387" s="33">
        <v>0.233</v>
      </c>
      <c r="X387" s="33">
        <v>0.6371</v>
      </c>
      <c r="Y387" s="33">
        <v>0.4527</v>
      </c>
      <c r="Z387" s="33">
        <v>0.8564</v>
      </c>
      <c r="AA387" s="33">
        <v>0.9232</v>
      </c>
      <c r="AB387" s="33">
        <v>0.6642</v>
      </c>
      <c r="AC387" s="33">
        <v>0.6071</v>
      </c>
      <c r="AD387" s="33">
        <v>0.9753</v>
      </c>
      <c r="AE387" s="33">
        <v>0.7729</v>
      </c>
      <c r="AF387" s="33">
        <v>0.5871</v>
      </c>
      <c r="AG387" s="33">
        <v>0.6131</v>
      </c>
      <c r="AH387" s="33">
        <v>0.4524</v>
      </c>
      <c r="AI387" s="33">
        <v>0.2111</v>
      </c>
      <c r="AJ387" s="33">
        <v>1.0132</v>
      </c>
      <c r="AK387" s="33">
        <v>0.4577</v>
      </c>
      <c r="AL387" s="33">
        <v>0.3145</v>
      </c>
      <c r="AM387" s="33">
        <v>0.3469</v>
      </c>
      <c r="AN387" s="33">
        <v>0.5638</v>
      </c>
      <c r="AO387" s="33">
        <v>0.565</v>
      </c>
      <c r="AP387" s="33">
        <v>0.4432</v>
      </c>
      <c r="AQ387" s="33">
        <v>0.2904</v>
      </c>
      <c r="AR387" s="33">
        <v>1.8235</v>
      </c>
      <c r="AS387" s="33">
        <v>0.3633</v>
      </c>
      <c r="AT387" s="33">
        <v>0.6183</v>
      </c>
      <c r="AU387" s="33">
        <v>0.7805</v>
      </c>
      <c r="AV387" s="33">
        <v>0.1707</v>
      </c>
      <c r="AW387" s="33">
        <v>0.2629</v>
      </c>
      <c r="AX387" s="33">
        <v>0.481</v>
      </c>
      <c r="AY387" s="33">
        <v>0.4617</v>
      </c>
      <c r="AZ387" s="33">
        <v>0.6946</v>
      </c>
      <c r="BA387" s="33">
        <v>0.151</v>
      </c>
      <c r="BB387" s="33">
        <v>0.0626</v>
      </c>
      <c r="BC387" s="33">
        <v>0.2926</v>
      </c>
      <c r="BD387" s="33">
        <v>0.056</v>
      </c>
      <c r="BE387" s="33">
        <v>1.8818</v>
      </c>
      <c r="BF387" s="33">
        <v>0.2796</v>
      </c>
      <c r="BG387" s="33">
        <v>0.2363</v>
      </c>
      <c r="BH387" s="33">
        <v>0.328</v>
      </c>
      <c r="BI387" s="33">
        <v>0.1406</v>
      </c>
      <c r="BJ387" s="33">
        <v>0.026</v>
      </c>
      <c r="BK387" s="33">
        <v>0.0129</v>
      </c>
      <c r="BL387" s="33"/>
      <c r="BM387" s="33"/>
      <c r="BN387" s="33"/>
      <c r="BO387" s="33"/>
      <c r="BP387" s="33"/>
      <c r="BQ387" s="33"/>
      <c r="BR387" s="33"/>
      <c r="BS387" s="1"/>
      <c r="BT387" s="9"/>
      <c r="BU387" s="9"/>
      <c r="BV387" s="1"/>
      <c r="BW387" s="1"/>
      <c r="BX387" s="1"/>
      <c r="BY387" s="1"/>
      <c r="BZ387" s="1"/>
    </row>
    <row r="388">
      <c r="A388" s="3"/>
      <c r="B388" s="33"/>
      <c r="C388" s="147"/>
      <c r="D388" s="147" t="s">
        <v>262</v>
      </c>
      <c r="E388" s="134"/>
      <c r="F388" s="134"/>
      <c r="G388" s="14"/>
      <c r="H388" s="14"/>
      <c r="I388" s="14"/>
      <c r="J388" s="14"/>
      <c r="K388" s="14"/>
      <c r="L388" s="1"/>
      <c r="M388" s="1"/>
      <c r="N388" s="1"/>
      <c r="O388" s="1"/>
      <c r="P388" s="1"/>
      <c r="Q388" s="1"/>
      <c r="R388" s="1"/>
      <c r="S388" s="3" t="e">
        <v>#DIV/0!</v>
      </c>
      <c r="T388" s="3" t="e">
        <v>#DIV/0!</v>
      </c>
      <c r="U388" s="33">
        <v>0.0339</v>
      </c>
      <c r="V388" s="33">
        <v>0.1033</v>
      </c>
      <c r="W388" s="33">
        <v>0.2132</v>
      </c>
      <c r="X388" s="33">
        <v>0.2424</v>
      </c>
      <c r="Y388" s="33">
        <v>0.1835</v>
      </c>
      <c r="Z388" s="33">
        <v>0.2851</v>
      </c>
      <c r="AA388" s="33">
        <v>0.275</v>
      </c>
      <c r="AB388" s="33">
        <v>0.1947</v>
      </c>
      <c r="AC388" s="33">
        <v>0.2318</v>
      </c>
      <c r="AD388" s="33">
        <v>0.2023</v>
      </c>
      <c r="AE388" s="33">
        <v>0.4226</v>
      </c>
      <c r="AF388" s="33">
        <v>0.3416</v>
      </c>
      <c r="AG388" s="33">
        <v>0.8898</v>
      </c>
      <c r="AH388" s="33">
        <v>0.3964</v>
      </c>
      <c r="AI388" s="33">
        <v>0.2032</v>
      </c>
      <c r="AJ388" s="33">
        <v>0.7138</v>
      </c>
      <c r="AK388" s="33">
        <v>0.253</v>
      </c>
      <c r="AL388" s="33">
        <v>0.1105</v>
      </c>
      <c r="AM388" s="33">
        <v>0.0976</v>
      </c>
      <c r="AN388" s="33">
        <v>0.1117</v>
      </c>
      <c r="AO388" s="33">
        <v>0.0923</v>
      </c>
      <c r="AP388" s="33">
        <v>0.1285</v>
      </c>
      <c r="AQ388" s="33">
        <v>0.1227</v>
      </c>
      <c r="AR388" s="33">
        <v>0.627</v>
      </c>
      <c r="AS388" s="33">
        <v>0.4009</v>
      </c>
      <c r="AT388" s="33">
        <v>0.2823</v>
      </c>
      <c r="AU388" s="33">
        <v>0.1713</v>
      </c>
      <c r="AV388" s="33">
        <v>0.266</v>
      </c>
      <c r="AW388" s="33">
        <v>0.2819</v>
      </c>
      <c r="AX388" s="33">
        <v>0.4468</v>
      </c>
      <c r="AY388" s="33">
        <v>0.2682</v>
      </c>
      <c r="AZ388" s="33">
        <v>0.2088</v>
      </c>
      <c r="BA388" s="33">
        <v>0.1414</v>
      </c>
      <c r="BB388" s="33">
        <v>0.0822</v>
      </c>
      <c r="BC388" s="33">
        <v>0.1482</v>
      </c>
      <c r="BD388" s="33">
        <v>0.2326</v>
      </c>
      <c r="BE388" s="33">
        <v>0.501</v>
      </c>
      <c r="BF388" s="33">
        <v>0.2758</v>
      </c>
      <c r="BG388" s="33">
        <v>0.3163</v>
      </c>
      <c r="BH388" s="33">
        <v>0.3274</v>
      </c>
      <c r="BI388" s="33">
        <v>0.3652</v>
      </c>
      <c r="BJ388" s="33">
        <v>0.1877</v>
      </c>
      <c r="BK388" s="33">
        <v>0.1865</v>
      </c>
      <c r="BL388" s="33"/>
      <c r="BM388" s="33"/>
      <c r="BN388" s="33"/>
      <c r="BO388" s="33"/>
      <c r="BP388" s="33"/>
      <c r="BQ388" s="33"/>
      <c r="BR388" s="33"/>
      <c r="BS388" s="1"/>
      <c r="BT388" s="9"/>
      <c r="BU388" s="9"/>
      <c r="BV388" s="1"/>
      <c r="BW388" s="1"/>
      <c r="BX388" s="1"/>
      <c r="BY388" s="1"/>
      <c r="BZ388" s="1"/>
    </row>
    <row r="389">
      <c r="A389" s="3"/>
      <c r="B389" s="33"/>
      <c r="C389" s="146"/>
      <c r="D389" s="146"/>
      <c r="E389" s="134"/>
      <c r="F389" s="134"/>
      <c r="G389" s="14"/>
      <c r="H389" s="14"/>
      <c r="I389" s="14"/>
      <c r="J389" s="14"/>
      <c r="K389" s="1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9"/>
      <c r="BU389" s="9"/>
      <c r="BV389" s="1"/>
      <c r="BW389" s="1"/>
      <c r="BX389" s="1"/>
      <c r="BY389" s="1"/>
      <c r="BZ389" s="1"/>
    </row>
    <row r="390">
      <c r="A390" s="3"/>
      <c r="B390" s="33"/>
      <c r="C390" s="146"/>
      <c r="D390" s="146"/>
      <c r="E390" s="134"/>
      <c r="F390" s="134"/>
      <c r="G390" s="14"/>
      <c r="H390" s="14"/>
      <c r="I390" s="14"/>
      <c r="J390" s="14"/>
      <c r="K390" s="1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9"/>
      <c r="BU390" s="9"/>
      <c r="BV390" s="1"/>
      <c r="BW390" s="1"/>
      <c r="BX390" s="1"/>
      <c r="BY390" s="1"/>
      <c r="BZ390" s="1"/>
    </row>
    <row r="391">
      <c r="A391" s="3"/>
      <c r="B391" s="33"/>
      <c r="C391" s="122"/>
      <c r="D391" s="122" t="s">
        <v>328</v>
      </c>
      <c r="E391" s="134"/>
      <c r="F391" s="134"/>
      <c r="G391" s="14"/>
      <c r="H391" s="14"/>
      <c r="I391" s="14"/>
      <c r="J391" s="14"/>
      <c r="K391" s="1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9"/>
      <c r="BU391" s="9"/>
      <c r="BV391" s="1"/>
      <c r="BW391" s="1"/>
      <c r="BX391" s="1"/>
      <c r="BY391" s="1"/>
      <c r="BZ391" s="1"/>
    </row>
    <row r="392">
      <c r="A392" s="3"/>
      <c r="B392" s="33"/>
      <c r="C392" s="151"/>
      <c r="D392" s="151" t="s">
        <v>329</v>
      </c>
      <c r="E392" s="134"/>
      <c r="F392" s="134"/>
      <c r="G392" s="14"/>
      <c r="H392" s="14"/>
      <c r="I392" s="14"/>
      <c r="J392" s="14"/>
      <c r="K392" s="14"/>
      <c r="L392" s="1"/>
      <c r="M392" s="1"/>
      <c r="N392" s="1"/>
      <c r="O392" s="1"/>
      <c r="P392" s="1"/>
      <c r="Q392" s="1"/>
      <c r="R392" s="1"/>
      <c r="S392" s="74">
        <v>3369640.0</v>
      </c>
      <c r="T392" s="74">
        <v>2954496.0</v>
      </c>
      <c r="U392" s="74">
        <v>3251777.0</v>
      </c>
      <c r="V392" s="74">
        <v>3268922.0</v>
      </c>
      <c r="W392" s="74">
        <v>2630497.0</v>
      </c>
      <c r="X392" s="74">
        <v>3044271.0</v>
      </c>
      <c r="Y392" s="74">
        <v>3443093.0</v>
      </c>
      <c r="Z392" s="74">
        <v>3152746.0</v>
      </c>
      <c r="AA392" s="74">
        <v>2281474.0</v>
      </c>
      <c r="AB392" s="74">
        <v>2100463.0</v>
      </c>
      <c r="AC392" s="74">
        <v>2533003.0</v>
      </c>
      <c r="AD392" s="74">
        <v>2204630.0</v>
      </c>
      <c r="AE392" s="74">
        <v>2221307.0</v>
      </c>
      <c r="AF392" s="74">
        <v>3348254.0</v>
      </c>
      <c r="AG392" s="74">
        <v>2993505.0</v>
      </c>
      <c r="AH392" s="74">
        <v>3210914.0</v>
      </c>
      <c r="AI392" s="74">
        <v>3559973.0</v>
      </c>
      <c r="AJ392" s="74">
        <v>2832316.0</v>
      </c>
      <c r="AK392" s="74">
        <v>3842074.0</v>
      </c>
      <c r="AL392" s="74">
        <v>4568618.0</v>
      </c>
      <c r="AM392" s="74">
        <v>3993134.0</v>
      </c>
      <c r="AN392" s="74">
        <v>4285041.0</v>
      </c>
      <c r="AO392" s="74">
        <v>5234562.0</v>
      </c>
      <c r="AP392" s="74">
        <v>4803989.0</v>
      </c>
      <c r="AQ392" s="74">
        <v>5419211.0</v>
      </c>
      <c r="AR392" s="74">
        <v>2878955.0</v>
      </c>
      <c r="AS392" s="74">
        <v>3284291.0</v>
      </c>
      <c r="AT392" s="74">
        <v>4144873.0</v>
      </c>
      <c r="AU392" s="74">
        <v>4221841.0</v>
      </c>
      <c r="AV392" s="74">
        <v>4581229.0</v>
      </c>
      <c r="AW392" s="74">
        <v>3661792.0</v>
      </c>
      <c r="AX392" s="74">
        <v>3872852.0</v>
      </c>
      <c r="AY392" s="74">
        <v>5186996.0</v>
      </c>
      <c r="AZ392" s="74">
        <v>5187893.0</v>
      </c>
      <c r="BA392" s="74">
        <v>4591556.0</v>
      </c>
      <c r="BB392" s="74">
        <v>4094703.0</v>
      </c>
      <c r="BC392" s="74">
        <v>4204799.0</v>
      </c>
      <c r="BD392" s="74">
        <v>4789358.0</v>
      </c>
      <c r="BE392" s="74">
        <v>3051216.0</v>
      </c>
      <c r="BF392" s="74">
        <v>1497819.0</v>
      </c>
      <c r="BG392" s="74">
        <v>3424094.0</v>
      </c>
      <c r="BH392" s="74">
        <v>1341449.0</v>
      </c>
      <c r="BI392" s="74">
        <v>4163453.0</v>
      </c>
      <c r="BJ392" s="74">
        <v>3018843.0</v>
      </c>
      <c r="BK392" s="74">
        <v>3253917.0</v>
      </c>
      <c r="BL392" s="74"/>
      <c r="BM392" s="74"/>
      <c r="BN392" s="74"/>
      <c r="BO392" s="74"/>
      <c r="BP392" s="74"/>
      <c r="BQ392" s="74"/>
      <c r="BR392" s="74"/>
      <c r="BS392" s="1"/>
      <c r="BT392" s="9"/>
      <c r="BU392" s="9"/>
      <c r="BV392" s="1"/>
      <c r="BW392" s="1"/>
      <c r="BX392" s="1"/>
      <c r="BY392" s="1"/>
      <c r="BZ392" s="1"/>
    </row>
    <row r="393">
      <c r="A393" s="3"/>
      <c r="B393" s="33"/>
      <c r="C393" s="153"/>
      <c r="D393" s="153" t="s">
        <v>330</v>
      </c>
      <c r="E393" s="134"/>
      <c r="F393" s="134"/>
      <c r="G393" s="14"/>
      <c r="H393" s="14"/>
      <c r="I393" s="14"/>
      <c r="J393" s="14"/>
      <c r="K393" s="14"/>
      <c r="L393" s="1"/>
      <c r="M393" s="1"/>
      <c r="N393" s="1"/>
      <c r="O393" s="1"/>
      <c r="P393" s="1"/>
      <c r="Q393" s="1"/>
      <c r="R393" s="1"/>
      <c r="S393" s="33">
        <v>0.2892</v>
      </c>
      <c r="T393" s="33">
        <v>0.2325</v>
      </c>
      <c r="U393" s="33">
        <v>0.2534</v>
      </c>
      <c r="V393" s="33">
        <v>0.2489</v>
      </c>
      <c r="W393" s="33">
        <v>0.2156</v>
      </c>
      <c r="X393" s="33">
        <v>0.2208</v>
      </c>
      <c r="Y393" s="33">
        <v>0.236</v>
      </c>
      <c r="Z393" s="33">
        <v>0.2262</v>
      </c>
      <c r="AA393" s="33">
        <v>0.1673</v>
      </c>
      <c r="AB393" s="33">
        <v>0.1772</v>
      </c>
      <c r="AC393" s="33">
        <v>0.1991</v>
      </c>
      <c r="AD393" s="33">
        <v>0.1662</v>
      </c>
      <c r="AE393" s="33">
        <v>0.1599</v>
      </c>
      <c r="AF393" s="33">
        <v>0.2538</v>
      </c>
      <c r="AG393" s="33">
        <v>0.2116</v>
      </c>
      <c r="AH393" s="33">
        <v>0.197</v>
      </c>
      <c r="AI393" s="33">
        <v>0.2452</v>
      </c>
      <c r="AJ393" s="33">
        <v>0.1914</v>
      </c>
      <c r="AK393" s="33">
        <v>0.2412</v>
      </c>
      <c r="AL393" s="33">
        <v>0.282</v>
      </c>
      <c r="AM393" s="33">
        <v>0.2651</v>
      </c>
      <c r="AN393" s="33">
        <v>0.2764</v>
      </c>
      <c r="AO393" s="33">
        <v>0.2803</v>
      </c>
      <c r="AP393" s="33">
        <v>0.2525</v>
      </c>
      <c r="AQ393" s="33">
        <v>0.2792</v>
      </c>
      <c r="AR393" s="33">
        <v>0.1434</v>
      </c>
      <c r="AS393" s="33">
        <v>0.1595</v>
      </c>
      <c r="AT393" s="33">
        <v>0.2179</v>
      </c>
      <c r="AU393" s="33">
        <v>0.212</v>
      </c>
      <c r="AV393" s="33">
        <v>0.2371</v>
      </c>
      <c r="AW393" s="33">
        <v>0.2448</v>
      </c>
      <c r="AX393" s="33">
        <v>0.2394</v>
      </c>
      <c r="AY393" s="33">
        <v>0.3117</v>
      </c>
      <c r="AZ393" s="33">
        <v>0.3114</v>
      </c>
      <c r="BA393" s="33">
        <v>0.2766</v>
      </c>
      <c r="BB393" s="33">
        <v>0.2674</v>
      </c>
      <c r="BC393" s="33">
        <v>0.2667</v>
      </c>
      <c r="BD393" s="33">
        <v>0.2712</v>
      </c>
      <c r="BE393" s="33">
        <v>0.2003</v>
      </c>
      <c r="BF393" s="33">
        <v>0.1073</v>
      </c>
      <c r="BG393" s="33">
        <v>0.2109</v>
      </c>
      <c r="BH393" s="33">
        <v>0.0746</v>
      </c>
      <c r="BI393" s="33">
        <v>0.2537</v>
      </c>
      <c r="BJ393" s="33">
        <v>0.1977</v>
      </c>
      <c r="BK393" s="33">
        <v>0.1925</v>
      </c>
      <c r="BL393" s="33"/>
      <c r="BM393" s="33"/>
      <c r="BN393" s="33"/>
      <c r="BO393" s="33"/>
      <c r="BP393" s="33"/>
      <c r="BQ393" s="33"/>
      <c r="BR393" s="33"/>
      <c r="BS393" s="1"/>
      <c r="BT393" s="9"/>
      <c r="BU393" s="9"/>
      <c r="BV393" s="1"/>
      <c r="BW393" s="1"/>
      <c r="BX393" s="1"/>
      <c r="BY393" s="1"/>
      <c r="BZ393" s="1"/>
    </row>
    <row r="394">
      <c r="A394" s="3"/>
      <c r="B394" s="33"/>
      <c r="C394" s="133"/>
      <c r="D394" s="133" t="s">
        <v>331</v>
      </c>
      <c r="E394" s="134"/>
      <c r="F394" s="134"/>
      <c r="G394" s="14"/>
      <c r="H394" s="14"/>
      <c r="I394" s="14"/>
      <c r="J394" s="14"/>
      <c r="K394" s="14"/>
      <c r="L394" s="1"/>
      <c r="M394" s="1"/>
      <c r="N394" s="1"/>
      <c r="O394" s="1"/>
      <c r="P394" s="1"/>
      <c r="Q394" s="1"/>
      <c r="R394" s="1"/>
      <c r="S394" s="67">
        <v>1.0</v>
      </c>
      <c r="T394" s="33">
        <v>0.8768</v>
      </c>
      <c r="U394" s="33">
        <v>1.1006</v>
      </c>
      <c r="V394" s="33">
        <v>1.0053</v>
      </c>
      <c r="W394" s="33">
        <v>0.8047</v>
      </c>
      <c r="X394" s="33">
        <v>1.1573</v>
      </c>
      <c r="Y394" s="33">
        <v>1.131</v>
      </c>
      <c r="Z394" s="33">
        <v>0.9157</v>
      </c>
      <c r="AA394" s="33">
        <v>0.7236</v>
      </c>
      <c r="AB394" s="33">
        <v>0.9207</v>
      </c>
      <c r="AC394" s="33">
        <v>1.2059</v>
      </c>
      <c r="AD394" s="33">
        <v>0.8704</v>
      </c>
      <c r="AE394" s="33">
        <v>1.0076</v>
      </c>
      <c r="AF394" s="33">
        <v>1.5073</v>
      </c>
      <c r="AG394" s="33">
        <v>0.894</v>
      </c>
      <c r="AH394" s="33">
        <v>1.0726</v>
      </c>
      <c r="AI394" s="33">
        <v>1.1087</v>
      </c>
      <c r="AJ394" s="33">
        <v>0.7956</v>
      </c>
      <c r="AK394" s="33">
        <v>1.3565</v>
      </c>
      <c r="AL394" s="33">
        <v>1.1891</v>
      </c>
      <c r="AM394" s="33">
        <v>0.874</v>
      </c>
      <c r="AN394" s="33">
        <v>1.0731</v>
      </c>
      <c r="AO394" s="33">
        <v>1.2216</v>
      </c>
      <c r="AP394" s="33">
        <v>0.9177</v>
      </c>
      <c r="AQ394" s="33">
        <v>1.1281</v>
      </c>
      <c r="AR394" s="33">
        <v>0.5312</v>
      </c>
      <c r="AS394" s="33">
        <v>1.1408</v>
      </c>
      <c r="AT394" s="33">
        <v>1.262</v>
      </c>
      <c r="AU394" s="33">
        <v>1.0186</v>
      </c>
      <c r="AV394" s="33">
        <v>1.0851</v>
      </c>
      <c r="AW394" s="33">
        <v>0.7993</v>
      </c>
      <c r="AX394" s="33">
        <v>1.0576</v>
      </c>
      <c r="AY394" s="33">
        <v>1.3393</v>
      </c>
      <c r="AZ394" s="33">
        <v>1.0002</v>
      </c>
      <c r="BA394" s="33">
        <v>0.8851</v>
      </c>
      <c r="BB394" s="33">
        <v>0.8918</v>
      </c>
      <c r="BC394" s="33">
        <v>1.0269</v>
      </c>
      <c r="BD394" s="33">
        <v>1.139</v>
      </c>
      <c r="BE394" s="33">
        <v>0.6371</v>
      </c>
      <c r="BF394" s="33">
        <v>0.4909</v>
      </c>
      <c r="BG394" s="33">
        <v>2.2861</v>
      </c>
      <c r="BH394" s="33">
        <v>0.3918</v>
      </c>
      <c r="BI394" s="33">
        <v>3.1037</v>
      </c>
      <c r="BJ394" s="33">
        <v>0.7251</v>
      </c>
      <c r="BK394" s="33">
        <v>1.0779</v>
      </c>
      <c r="BL394" s="33"/>
      <c r="BM394" s="33"/>
      <c r="BN394" s="33"/>
      <c r="BO394" s="33"/>
      <c r="BP394" s="33"/>
      <c r="BQ394" s="33"/>
      <c r="BR394" s="33"/>
      <c r="BS394" s="1"/>
      <c r="BT394" s="9"/>
      <c r="BU394" s="9"/>
      <c r="BV394" s="1"/>
      <c r="BW394" s="1"/>
      <c r="BX394" s="1"/>
      <c r="BY394" s="1"/>
      <c r="BZ394" s="1"/>
    </row>
    <row r="395">
      <c r="A395" s="3"/>
      <c r="B395" s="33"/>
      <c r="C395" s="146"/>
      <c r="D395" s="146"/>
      <c r="E395" s="134"/>
      <c r="F395" s="134"/>
      <c r="G395" s="14"/>
      <c r="H395" s="14"/>
      <c r="I395" s="14"/>
      <c r="J395" s="14"/>
      <c r="K395" s="1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9"/>
      <c r="BU395" s="9"/>
      <c r="BV395" s="1"/>
      <c r="BW395" s="1"/>
      <c r="BX395" s="1"/>
      <c r="BY395" s="1"/>
      <c r="BZ395" s="1"/>
    </row>
    <row r="396">
      <c r="A396" s="3"/>
      <c r="B396" s="33"/>
      <c r="C396" s="147"/>
      <c r="D396" s="147" t="s">
        <v>246</v>
      </c>
      <c r="E396" s="134"/>
      <c r="F396" s="134"/>
      <c r="G396" s="14"/>
      <c r="H396" s="14"/>
      <c r="I396" s="14"/>
      <c r="J396" s="14"/>
      <c r="K396" s="14"/>
      <c r="L396" s="1"/>
      <c r="M396" s="1"/>
      <c r="N396" s="1"/>
      <c r="O396" s="1"/>
      <c r="P396" s="1"/>
      <c r="Q396" s="1"/>
      <c r="R396" s="1"/>
      <c r="S396" s="3">
        <v>825705.0</v>
      </c>
      <c r="T396" s="3">
        <v>457207.0</v>
      </c>
      <c r="U396" s="3">
        <v>560720.0</v>
      </c>
      <c r="V396" s="3">
        <v>495539.0</v>
      </c>
      <c r="W396" s="3">
        <v>362732.0</v>
      </c>
      <c r="X396" s="3">
        <v>639225.0</v>
      </c>
      <c r="Y396" s="3">
        <v>764243.0</v>
      </c>
      <c r="Z396" s="3">
        <v>611658.0</v>
      </c>
      <c r="AA396" s="3">
        <v>246911.0</v>
      </c>
      <c r="AB396" s="3">
        <v>457657.0</v>
      </c>
      <c r="AC396" s="3">
        <v>510975.0</v>
      </c>
      <c r="AD396" s="3">
        <v>212210.0</v>
      </c>
      <c r="AE396" s="3">
        <v>238985.0</v>
      </c>
      <c r="AF396" s="3">
        <v>864060.0</v>
      </c>
      <c r="AG396" s="3">
        <v>912963.0</v>
      </c>
      <c r="AH396" s="3">
        <v>756486.0</v>
      </c>
      <c r="AI396" s="3">
        <v>849570.0</v>
      </c>
      <c r="AJ396" s="3">
        <v>750420.0</v>
      </c>
      <c r="AK396" s="3">
        <v>605300.0</v>
      </c>
      <c r="AL396" s="3">
        <v>1190346.0</v>
      </c>
      <c r="AM396" s="3">
        <v>1037933.0</v>
      </c>
      <c r="AN396" s="3">
        <v>1175816.0</v>
      </c>
      <c r="AO396" s="3">
        <v>1476822.0</v>
      </c>
      <c r="AP396" s="3">
        <v>1168428.0</v>
      </c>
      <c r="AQ396" s="3">
        <v>1388037.0</v>
      </c>
      <c r="AR396" s="3">
        <v>649611.0</v>
      </c>
      <c r="AS396" s="3">
        <v>978444.0</v>
      </c>
      <c r="AT396" s="3">
        <v>1453581.0</v>
      </c>
      <c r="AU396" s="3">
        <v>1395941.0</v>
      </c>
      <c r="AV396" s="3">
        <v>1448666.0</v>
      </c>
      <c r="AW396" s="3">
        <v>1128911.0</v>
      </c>
      <c r="AX396" s="3">
        <v>1196759.0</v>
      </c>
      <c r="AY396" s="3">
        <v>1691752.0</v>
      </c>
      <c r="AZ396" s="3">
        <v>1727953.0</v>
      </c>
      <c r="BA396" s="3">
        <v>1412078.0</v>
      </c>
      <c r="BB396" s="3">
        <v>1276241.0</v>
      </c>
      <c r="BC396" s="3">
        <v>1097123.0</v>
      </c>
      <c r="BD396" s="3">
        <v>1240345.0</v>
      </c>
      <c r="BE396" s="3">
        <v>833267.0</v>
      </c>
      <c r="BF396" s="3">
        <v>36918.0</v>
      </c>
      <c r="BG396" s="3">
        <v>1074956.0</v>
      </c>
      <c r="BH396" s="3">
        <v>26552.0</v>
      </c>
      <c r="BI396" s="3">
        <v>932449.0</v>
      </c>
      <c r="BJ396" s="3">
        <v>261282.0</v>
      </c>
      <c r="BK396" s="3">
        <v>510286.0</v>
      </c>
      <c r="BL396" s="3"/>
      <c r="BM396" s="3"/>
      <c r="BN396" s="3"/>
      <c r="BO396" s="3"/>
      <c r="BP396" s="3"/>
      <c r="BQ396" s="3"/>
      <c r="BR396" s="3"/>
      <c r="BS396" s="1"/>
      <c r="BT396" s="9"/>
      <c r="BU396" s="9"/>
      <c r="BV396" s="1"/>
      <c r="BW396" s="1"/>
      <c r="BX396" s="1"/>
      <c r="BY396" s="1"/>
      <c r="BZ396" s="1"/>
    </row>
    <row r="397">
      <c r="A397" s="3"/>
      <c r="B397" s="33"/>
      <c r="C397" s="147"/>
      <c r="D397" s="147" t="s">
        <v>248</v>
      </c>
      <c r="E397" s="134"/>
      <c r="F397" s="134"/>
      <c r="G397" s="14"/>
      <c r="H397" s="14"/>
      <c r="I397" s="14"/>
      <c r="J397" s="14"/>
      <c r="K397" s="14"/>
      <c r="L397" s="1"/>
      <c r="M397" s="1"/>
      <c r="N397" s="1"/>
      <c r="O397" s="1"/>
      <c r="P397" s="1"/>
      <c r="Q397" s="1"/>
      <c r="R397" s="1"/>
      <c r="S397" s="3">
        <v>2275810.0</v>
      </c>
      <c r="T397" s="3">
        <v>2399022.0</v>
      </c>
      <c r="U397" s="3">
        <v>2348258.0</v>
      </c>
      <c r="V397" s="3">
        <v>2458522.0</v>
      </c>
      <c r="W397" s="3">
        <v>2038825.0</v>
      </c>
      <c r="X397" s="3">
        <v>2223821.0</v>
      </c>
      <c r="Y397" s="3">
        <v>2401740.0</v>
      </c>
      <c r="Z397" s="3">
        <v>2393881.0</v>
      </c>
      <c r="AA397" s="3">
        <v>2029882.0</v>
      </c>
      <c r="AB397" s="3">
        <v>1631725.0</v>
      </c>
      <c r="AC397" s="3">
        <v>1912584.0</v>
      </c>
      <c r="AD397" s="3">
        <v>1955459.0</v>
      </c>
      <c r="AE397" s="3">
        <v>2126914.0</v>
      </c>
      <c r="AF397" s="3">
        <v>2246820.0</v>
      </c>
      <c r="AG397" s="3">
        <v>2182294.0</v>
      </c>
      <c r="AH397" s="3">
        <v>2311691.0</v>
      </c>
      <c r="AI397" s="3">
        <v>2305988.0</v>
      </c>
      <c r="AJ397" s="3">
        <v>2231921.0</v>
      </c>
      <c r="AK397" s="3">
        <v>2794479.0</v>
      </c>
      <c r="AL397" s="3">
        <v>2793118.0</v>
      </c>
      <c r="AM397" s="3">
        <v>2526843.0</v>
      </c>
      <c r="AN397" s="3">
        <v>2656987.0</v>
      </c>
      <c r="AO397" s="3">
        <v>3076081.0</v>
      </c>
      <c r="AP397" s="3">
        <v>3021117.0</v>
      </c>
      <c r="AQ397" s="3">
        <v>3292003.0</v>
      </c>
      <c r="AR397" s="3">
        <v>2569555.0</v>
      </c>
      <c r="AS397" s="3">
        <v>2182260.0</v>
      </c>
      <c r="AT397" s="3">
        <v>2249811.0</v>
      </c>
      <c r="AU397" s="3">
        <v>2574126.0</v>
      </c>
      <c r="AV397" s="3">
        <v>2412737.0</v>
      </c>
      <c r="AW397" s="3">
        <v>2039729.0</v>
      </c>
      <c r="AX397" s="3">
        <v>2154807.0</v>
      </c>
      <c r="AY397" s="3">
        <v>2616463.15</v>
      </c>
      <c r="AZ397" s="3">
        <v>2618174.0</v>
      </c>
      <c r="BA397" s="3">
        <v>2309574.0</v>
      </c>
      <c r="BB397" s="3">
        <v>1919654.0</v>
      </c>
      <c r="BC397" s="3">
        <v>2397528.0</v>
      </c>
      <c r="BD397" s="3">
        <v>2644479.0</v>
      </c>
      <c r="BE397" s="3">
        <v>1896903.0</v>
      </c>
      <c r="BF397" s="3">
        <v>1045374.0</v>
      </c>
      <c r="BG397" s="3">
        <v>1958147.0</v>
      </c>
      <c r="BH397" s="3">
        <v>1139635.0</v>
      </c>
      <c r="BI397" s="3">
        <v>2616756.0</v>
      </c>
      <c r="BJ397" s="3">
        <v>1757446.0</v>
      </c>
      <c r="BK397" s="3">
        <v>1625266.0</v>
      </c>
      <c r="BL397" s="3"/>
      <c r="BM397" s="3"/>
      <c r="BN397" s="3"/>
      <c r="BO397" s="3"/>
      <c r="BP397" s="3"/>
      <c r="BQ397" s="3"/>
      <c r="BR397" s="3"/>
      <c r="BS397" s="1"/>
      <c r="BT397" s="9"/>
      <c r="BU397" s="9"/>
      <c r="BV397" s="1"/>
      <c r="BW397" s="1"/>
      <c r="BX397" s="1"/>
      <c r="BY397" s="1"/>
      <c r="BZ397" s="1"/>
    </row>
    <row r="398">
      <c r="A398" s="3"/>
      <c r="B398" s="33"/>
      <c r="C398" s="147"/>
      <c r="D398" s="147" t="s">
        <v>251</v>
      </c>
      <c r="E398" s="134"/>
      <c r="F398" s="134"/>
      <c r="G398" s="14"/>
      <c r="H398" s="14"/>
      <c r="I398" s="14"/>
      <c r="J398" s="14"/>
      <c r="K398" s="14"/>
      <c r="L398" s="1"/>
      <c r="M398" s="1"/>
      <c r="N398" s="1"/>
      <c r="O398" s="1"/>
      <c r="P398" s="1"/>
      <c r="Q398" s="1"/>
      <c r="R398" s="1"/>
      <c r="S398" s="3">
        <v>211228.0</v>
      </c>
      <c r="T398" s="3">
        <v>154835.0</v>
      </c>
      <c r="U398" s="3">
        <v>209528.0</v>
      </c>
      <c r="V398" s="3">
        <v>120939.0</v>
      </c>
      <c r="W398" s="3">
        <v>100105.0</v>
      </c>
      <c r="X398" s="3">
        <v>100241.0</v>
      </c>
      <c r="Y398" s="3">
        <v>121263.0</v>
      </c>
      <c r="Z398" s="3">
        <v>96554.0</v>
      </c>
      <c r="AA398" s="3">
        <v>82541.0</v>
      </c>
      <c r="AB398" s="3">
        <v>-47341.0</v>
      </c>
      <c r="AC398" s="3">
        <v>46992.0</v>
      </c>
      <c r="AD398" s="3">
        <v>30309.0</v>
      </c>
      <c r="AE398" s="3">
        <v>-8897.0</v>
      </c>
      <c r="AF398" s="3">
        <v>105170.0</v>
      </c>
      <c r="AG398" s="3">
        <v>-113305.0</v>
      </c>
      <c r="AH398" s="3">
        <v>25016.0</v>
      </c>
      <c r="AI398" s="3">
        <v>172351.0</v>
      </c>
      <c r="AJ398" s="3">
        <v>6426.0</v>
      </c>
      <c r="AK398" s="3">
        <v>209194.0</v>
      </c>
      <c r="AL398" s="3">
        <v>251166.0</v>
      </c>
      <c r="AM398" s="3">
        <v>212347.0</v>
      </c>
      <c r="AN398" s="3">
        <v>258157.0</v>
      </c>
      <c r="AO398" s="3">
        <v>358607.0</v>
      </c>
      <c r="AP398" s="3">
        <v>273336.0</v>
      </c>
      <c r="AQ398" s="3">
        <v>371519.0</v>
      </c>
      <c r="AR398" s="3">
        <v>-68700.0</v>
      </c>
      <c r="AS398" s="3">
        <v>-108564.0</v>
      </c>
      <c r="AT398" s="3">
        <v>108396.0</v>
      </c>
      <c r="AU398" s="3">
        <v>27671.0</v>
      </c>
      <c r="AV398" s="3">
        <v>335089.0</v>
      </c>
      <c r="AW398" s="3">
        <v>223152.0</v>
      </c>
      <c r="AX398" s="3">
        <v>244166.0</v>
      </c>
      <c r="AY398" s="3">
        <v>355653.0</v>
      </c>
      <c r="AZ398" s="3">
        <v>357820.0</v>
      </c>
      <c r="BA398" s="3">
        <v>292058.0</v>
      </c>
      <c r="BB398" s="3">
        <v>268169.0</v>
      </c>
      <c r="BC398" s="3">
        <v>290362.0</v>
      </c>
      <c r="BD398" s="3">
        <v>300322.0</v>
      </c>
      <c r="BE398" s="3">
        <v>287791.0</v>
      </c>
      <c r="BF398" s="3">
        <v>-116677.0</v>
      </c>
      <c r="BG398" s="3">
        <v>104029.0</v>
      </c>
      <c r="BH398" s="3">
        <v>138181.0</v>
      </c>
      <c r="BI398" s="3">
        <v>309375.0</v>
      </c>
      <c r="BJ398" s="3">
        <v>369587.0</v>
      </c>
      <c r="BK398" s="3">
        <v>239084.0</v>
      </c>
      <c r="BL398" s="3"/>
      <c r="BM398" s="3"/>
      <c r="BN398" s="3"/>
      <c r="BO398" s="3"/>
      <c r="BP398" s="3"/>
      <c r="BQ398" s="3"/>
      <c r="BR398" s="3"/>
      <c r="BS398" s="1"/>
      <c r="BT398" s="9"/>
      <c r="BU398" s="9"/>
      <c r="BV398" s="1"/>
      <c r="BW398" s="1"/>
      <c r="BX398" s="1"/>
      <c r="BY398" s="1"/>
      <c r="BZ398" s="1"/>
    </row>
    <row r="399">
      <c r="A399" s="3"/>
      <c r="B399" s="33"/>
      <c r="C399" s="147"/>
      <c r="D399" s="147" t="s">
        <v>253</v>
      </c>
      <c r="E399" s="134"/>
      <c r="F399" s="134"/>
      <c r="G399" s="14"/>
      <c r="H399" s="14"/>
      <c r="I399" s="14"/>
      <c r="J399" s="14"/>
      <c r="K399" s="14"/>
      <c r="L399" s="1"/>
      <c r="M399" s="1"/>
      <c r="N399" s="1"/>
      <c r="O399" s="1"/>
      <c r="P399" s="1"/>
      <c r="Q399" s="1"/>
      <c r="R399" s="1"/>
      <c r="S399" s="3">
        <v>98142.0</v>
      </c>
      <c r="T399" s="3">
        <v>80411.0</v>
      </c>
      <c r="U399" s="3">
        <v>114365.0</v>
      </c>
      <c r="V399" s="3">
        <v>119559.0</v>
      </c>
      <c r="W399" s="3">
        <v>69790.0</v>
      </c>
      <c r="X399" s="3">
        <v>49222.0</v>
      </c>
      <c r="Y399" s="3">
        <v>101549.0</v>
      </c>
      <c r="Z399" s="3">
        <v>53147.0</v>
      </c>
      <c r="AA399" s="3">
        <v>3223.0</v>
      </c>
      <c r="AB399" s="3">
        <v>44136.0</v>
      </c>
      <c r="AC399" s="3">
        <v>60557.0</v>
      </c>
      <c r="AD399" s="3">
        <v>33321.0</v>
      </c>
      <c r="AE399" s="3">
        <v>-33800.0</v>
      </c>
      <c r="AF399" s="3">
        <v>81627.0</v>
      </c>
      <c r="AG399" s="3">
        <v>109250.0</v>
      </c>
      <c r="AH399" s="3">
        <v>118529.0</v>
      </c>
      <c r="AI399" s="3">
        <v>125822.0</v>
      </c>
      <c r="AJ399" s="3">
        <v>28802.0</v>
      </c>
      <c r="AK399" s="3">
        <v>127936.0</v>
      </c>
      <c r="AL399" s="3">
        <v>180180.0</v>
      </c>
      <c r="AM399" s="3">
        <v>117389.0</v>
      </c>
      <c r="AN399" s="3">
        <v>114343.0</v>
      </c>
      <c r="AO399" s="3">
        <v>170595.0</v>
      </c>
      <c r="AP399" s="3">
        <v>145611.0</v>
      </c>
      <c r="AQ399" s="3">
        <v>165721.0</v>
      </c>
      <c r="AR399" s="3">
        <v>79714.0</v>
      </c>
      <c r="AS399" s="3">
        <v>91064.0</v>
      </c>
      <c r="AT399" s="3">
        <v>225865.0</v>
      </c>
      <c r="AU399" s="3">
        <v>211619.0</v>
      </c>
      <c r="AV399" s="3">
        <v>215414.0</v>
      </c>
      <c r="AW399" s="3">
        <v>120677.0</v>
      </c>
      <c r="AX399" s="3">
        <v>120869.0</v>
      </c>
      <c r="AY399" s="3">
        <v>212241.0</v>
      </c>
      <c r="AZ399" s="3">
        <v>230906.0</v>
      </c>
      <c r="BA399" s="3">
        <v>217271.0</v>
      </c>
      <c r="BB399" s="3">
        <v>177004.0</v>
      </c>
      <c r="BC399" s="3">
        <v>179191.0</v>
      </c>
      <c r="BD399" s="3">
        <v>243412.0</v>
      </c>
      <c r="BE399" s="3">
        <v>96557.0</v>
      </c>
      <c r="BF399" s="3">
        <v>248571.0</v>
      </c>
      <c r="BG399" s="3">
        <v>268163.0</v>
      </c>
      <c r="BH399" s="3">
        <v>285382.0</v>
      </c>
      <c r="BI399" s="3">
        <v>196625.0</v>
      </c>
      <c r="BJ399" s="3">
        <v>244900.0</v>
      </c>
      <c r="BK399" s="3">
        <v>313339.0</v>
      </c>
      <c r="BL399" s="3"/>
      <c r="BM399" s="3"/>
      <c r="BN399" s="3"/>
      <c r="BO399" s="3"/>
      <c r="BP399" s="3"/>
      <c r="BQ399" s="3"/>
      <c r="BR399" s="3"/>
      <c r="BS399" s="1"/>
      <c r="BT399" s="9"/>
      <c r="BU399" s="9"/>
      <c r="BV399" s="1"/>
      <c r="BW399" s="1"/>
      <c r="BX399" s="1"/>
      <c r="BY399" s="1"/>
      <c r="BZ399" s="1"/>
    </row>
    <row r="400">
      <c r="A400" s="3"/>
      <c r="B400" s="33"/>
      <c r="C400" s="147"/>
      <c r="D400" s="147" t="s">
        <v>255</v>
      </c>
      <c r="E400" s="134"/>
      <c r="F400" s="134"/>
      <c r="G400" s="14"/>
      <c r="H400" s="14"/>
      <c r="I400" s="14"/>
      <c r="J400" s="14"/>
      <c r="K400" s="14"/>
      <c r="L400" s="1"/>
      <c r="M400" s="1"/>
      <c r="N400" s="1"/>
      <c r="O400" s="1"/>
      <c r="P400" s="1"/>
      <c r="Q400" s="1"/>
      <c r="R400" s="1"/>
      <c r="S400" s="3">
        <v>-17713.0</v>
      </c>
      <c r="T400" s="3">
        <v>-45297.0</v>
      </c>
      <c r="U400" s="3">
        <v>4615.0</v>
      </c>
      <c r="V400" s="3">
        <v>37905.0</v>
      </c>
      <c r="W400" s="3">
        <v>29032.0</v>
      </c>
      <c r="X400" s="3">
        <v>34195.0</v>
      </c>
      <c r="Y400" s="3">
        <v>49400.0</v>
      </c>
      <c r="Z400" s="3">
        <v>27035.0</v>
      </c>
      <c r="AA400" s="3">
        <v>-23661.0</v>
      </c>
      <c r="AB400" s="3">
        <v>28565.0</v>
      </c>
      <c r="AC400" s="3">
        <v>13933.0</v>
      </c>
      <c r="AD400" s="3">
        <v>38166.0</v>
      </c>
      <c r="AE400" s="3">
        <v>911.0</v>
      </c>
      <c r="AF400" s="3">
        <v>78258.0</v>
      </c>
      <c r="AG400" s="3">
        <v>49667.0</v>
      </c>
      <c r="AH400" s="3">
        <v>52546.0</v>
      </c>
      <c r="AI400" s="3">
        <v>74990.0</v>
      </c>
      <c r="AJ400" s="3">
        <v>-56766.0</v>
      </c>
      <c r="AK400" s="3">
        <v>105992.0</v>
      </c>
      <c r="AL400" s="3">
        <v>135817.0</v>
      </c>
      <c r="AM400" s="3">
        <v>85158.0</v>
      </c>
      <c r="AN400" s="3">
        <v>101719.0</v>
      </c>
      <c r="AO400" s="3">
        <v>157994.0</v>
      </c>
      <c r="AP400" s="3">
        <v>177889.0</v>
      </c>
      <c r="AQ400" s="3">
        <v>206165.0</v>
      </c>
      <c r="AR400" s="3">
        <v>17661.0</v>
      </c>
      <c r="AS400" s="3">
        <v>168201.0</v>
      </c>
      <c r="AT400" s="3">
        <v>161656.0</v>
      </c>
      <c r="AU400" s="3">
        <v>121885.0</v>
      </c>
      <c r="AV400" s="3">
        <v>91062.0</v>
      </c>
      <c r="AW400" s="3">
        <v>93031.0</v>
      </c>
      <c r="AX400" s="3">
        <v>91238.0</v>
      </c>
      <c r="AY400" s="3">
        <v>153540.0</v>
      </c>
      <c r="AZ400" s="3">
        <v>147124.0</v>
      </c>
      <c r="BA400" s="3">
        <v>136534.0</v>
      </c>
      <c r="BB400" s="3">
        <v>131047.0</v>
      </c>
      <c r="BC400" s="3">
        <v>91559.0</v>
      </c>
      <c r="BD400" s="3">
        <v>191495.0</v>
      </c>
      <c r="BE400" s="3">
        <v>43344.0</v>
      </c>
      <c r="BF400" s="3">
        <v>127542.0</v>
      </c>
      <c r="BG400" s="3">
        <v>-104194.0</v>
      </c>
      <c r="BH400" s="3">
        <v>-367548.0</v>
      </c>
      <c r="BI400" s="3">
        <v>-47177.0</v>
      </c>
      <c r="BJ400" s="3">
        <v>144352.0</v>
      </c>
      <c r="BK400" s="3">
        <v>155909.0</v>
      </c>
      <c r="BL400" s="3"/>
      <c r="BM400" s="3"/>
      <c r="BN400" s="3"/>
      <c r="BO400" s="3"/>
      <c r="BP400" s="3"/>
      <c r="BQ400" s="3"/>
      <c r="BR400" s="3"/>
      <c r="BS400" s="1"/>
      <c r="BT400" s="9"/>
      <c r="BU400" s="9"/>
      <c r="BV400" s="1"/>
      <c r="BW400" s="1"/>
      <c r="BX400" s="1"/>
      <c r="BY400" s="1"/>
      <c r="BZ400" s="1"/>
    </row>
    <row r="401">
      <c r="A401" s="3"/>
      <c r="B401" s="33"/>
      <c r="C401" s="155"/>
      <c r="D401" s="155" t="s">
        <v>257</v>
      </c>
      <c r="E401" s="134"/>
      <c r="F401" s="134"/>
      <c r="G401" s="14"/>
      <c r="H401" s="14"/>
      <c r="I401" s="14"/>
      <c r="J401" s="14"/>
      <c r="K401" s="14"/>
      <c r="L401" s="1"/>
      <c r="M401" s="1"/>
      <c r="N401" s="1"/>
      <c r="O401" s="1"/>
      <c r="P401" s="1"/>
      <c r="Q401" s="1"/>
      <c r="R401" s="1"/>
      <c r="S401" s="3">
        <v>-22842.0</v>
      </c>
      <c r="T401" s="3">
        <v>-86742.0</v>
      </c>
      <c r="U401" s="3">
        <v>3606.0</v>
      </c>
      <c r="V401" s="3">
        <v>14600.0</v>
      </c>
      <c r="W401" s="3">
        <v>14090.0</v>
      </c>
      <c r="X401" s="3">
        <v>-23993.0</v>
      </c>
      <c r="Y401" s="3">
        <v>-9404.0</v>
      </c>
      <c r="Z401" s="3">
        <v>-40601.0</v>
      </c>
      <c r="AA401" s="3">
        <v>-66678.0</v>
      </c>
      <c r="AB401" s="3">
        <v>-29209.0</v>
      </c>
      <c r="AC401" s="3">
        <v>-23289.0</v>
      </c>
      <c r="AD401" s="3">
        <v>-74029.0</v>
      </c>
      <c r="AE401" s="3">
        <v>-79225.0</v>
      </c>
      <c r="AF401" s="3">
        <v>-20565.0</v>
      </c>
      <c r="AG401" s="3">
        <v>-44410.0</v>
      </c>
      <c r="AH401" s="3">
        <v>-12259.0</v>
      </c>
      <c r="AI401" s="3">
        <v>24085.0</v>
      </c>
      <c r="AJ401" s="3">
        <v>-85088.0</v>
      </c>
      <c r="AK401" s="3">
        <v>-8821.0</v>
      </c>
      <c r="AL401" s="3">
        <v>18899.0</v>
      </c>
      <c r="AM401" s="3">
        <v>13161.0</v>
      </c>
      <c r="AN401" s="3">
        <v>-15332.0</v>
      </c>
      <c r="AO401" s="3">
        <v>-14333.0</v>
      </c>
      <c r="AP401" s="3">
        <v>-1288.0</v>
      </c>
      <c r="AQ401" s="3">
        <v>12097.0</v>
      </c>
      <c r="AR401" s="3">
        <v>-189506.0</v>
      </c>
      <c r="AS401" s="3">
        <v>11124.0</v>
      </c>
      <c r="AT401" s="3">
        <v>-42145.0</v>
      </c>
      <c r="AU401" s="3">
        <v>-103432.0</v>
      </c>
      <c r="AV401" s="3">
        <v>33224.0</v>
      </c>
      <c r="AW401" s="3">
        <v>7362.0</v>
      </c>
      <c r="AX401" s="3">
        <v>-9075.0</v>
      </c>
      <c r="AY401" s="3">
        <v>-6781.0</v>
      </c>
      <c r="AZ401" s="3">
        <v>-55920.0</v>
      </c>
      <c r="BA401" s="3">
        <v>7442.0</v>
      </c>
      <c r="BB401" s="3">
        <v>22280.0</v>
      </c>
      <c r="BC401" s="3">
        <v>3393.0</v>
      </c>
      <c r="BD401" s="3">
        <v>32974.0</v>
      </c>
      <c r="BE401" s="3">
        <v>-194267.0</v>
      </c>
      <c r="BF401" s="3">
        <v>-8660.0</v>
      </c>
      <c r="BG401" s="3">
        <v>3639.0</v>
      </c>
      <c r="BH401" s="3">
        <v>6718.0</v>
      </c>
      <c r="BI401" s="3">
        <v>23812.0</v>
      </c>
      <c r="BJ401" s="3">
        <v>18817.0</v>
      </c>
      <c r="BK401" s="3">
        <v>34975.0</v>
      </c>
      <c r="BL401" s="3"/>
      <c r="BM401" s="3"/>
      <c r="BN401" s="3"/>
      <c r="BO401" s="3"/>
      <c r="BP401" s="3"/>
      <c r="BQ401" s="3"/>
      <c r="BR401" s="3"/>
      <c r="BS401" s="1"/>
      <c r="BT401" s="9"/>
      <c r="BU401" s="9"/>
      <c r="BV401" s="1"/>
      <c r="BW401" s="1"/>
      <c r="BX401" s="1"/>
      <c r="BY401" s="1"/>
      <c r="BZ401" s="1"/>
    </row>
    <row r="402">
      <c r="A402" s="3"/>
      <c r="B402" s="33"/>
      <c r="C402" s="147"/>
      <c r="D402" s="147" t="s">
        <v>261</v>
      </c>
      <c r="E402" s="134"/>
      <c r="F402" s="134"/>
      <c r="G402" s="14"/>
      <c r="H402" s="14"/>
      <c r="I402" s="14"/>
      <c r="J402" s="14"/>
      <c r="K402" s="14"/>
      <c r="L402" s="1"/>
      <c r="M402" s="1"/>
      <c r="N402" s="1"/>
      <c r="O402" s="1"/>
      <c r="P402" s="1"/>
      <c r="Q402" s="1"/>
      <c r="R402" s="1"/>
      <c r="S402" s="3">
        <v>0.0</v>
      </c>
      <c r="T402" s="3">
        <v>-63.0</v>
      </c>
      <c r="U402" s="3">
        <v>4102.0</v>
      </c>
      <c r="V402" s="3">
        <v>5744.0</v>
      </c>
      <c r="W402" s="3">
        <v>2005.0</v>
      </c>
      <c r="X402" s="3">
        <v>4538.0</v>
      </c>
      <c r="Y402" s="3">
        <v>6536.0</v>
      </c>
      <c r="Z402" s="3">
        <v>2866.0</v>
      </c>
      <c r="AA402" s="3">
        <v>-36.0</v>
      </c>
      <c r="AB402" s="3">
        <v>3886.0</v>
      </c>
      <c r="AC402" s="3">
        <v>3095.0</v>
      </c>
      <c r="AD402" s="3">
        <v>3023.0</v>
      </c>
      <c r="AE402" s="3">
        <v>-17250.0</v>
      </c>
      <c r="AF402" s="3">
        <v>-6959.0</v>
      </c>
      <c r="AG402" s="3">
        <v>-102211.0</v>
      </c>
      <c r="AH402" s="3">
        <v>-19795.0</v>
      </c>
      <c r="AI402" s="3">
        <v>3301.0</v>
      </c>
      <c r="AJ402" s="3">
        <v>-25503.0</v>
      </c>
      <c r="AK402" s="3">
        <v>9591.0</v>
      </c>
      <c r="AL402" s="3">
        <v>18132.0</v>
      </c>
      <c r="AM402" s="3">
        <v>19950.0</v>
      </c>
      <c r="AN402" s="3">
        <v>23627.0</v>
      </c>
      <c r="AO402" s="3">
        <v>24649.0</v>
      </c>
      <c r="AP402" s="3">
        <v>17670.0</v>
      </c>
      <c r="AQ402" s="3">
        <v>-26056.0</v>
      </c>
      <c r="AR402" s="3">
        <v>-165638.0</v>
      </c>
      <c r="AS402" s="3">
        <v>-61879.0</v>
      </c>
      <c r="AT402" s="3">
        <v>-27735.0</v>
      </c>
      <c r="AU402" s="3">
        <v>-21600.0</v>
      </c>
      <c r="AV402" s="3">
        <v>641.0</v>
      </c>
      <c r="AW402" s="3">
        <v>-6815.0</v>
      </c>
      <c r="AX402" s="3">
        <v>-18760.0</v>
      </c>
      <c r="AY402" s="3">
        <v>11367.0</v>
      </c>
      <c r="AZ402" s="3">
        <v>12875.0</v>
      </c>
      <c r="BA402" s="3">
        <v>20272.0</v>
      </c>
      <c r="BB402" s="3">
        <v>23635.0</v>
      </c>
      <c r="BC402" s="3">
        <v>4512.0</v>
      </c>
      <c r="BD402" s="3">
        <v>7549.0</v>
      </c>
      <c r="BE402" s="3">
        <v>-13550.0</v>
      </c>
      <c r="BF402" s="3">
        <v>-42939.0</v>
      </c>
      <c r="BG402" s="3">
        <v>-84061.0</v>
      </c>
      <c r="BH402" s="3">
        <v>-12803.0</v>
      </c>
      <c r="BI402" s="3">
        <v>8245.0</v>
      </c>
      <c r="BJ402" s="3">
        <v>22085.0</v>
      </c>
      <c r="BK402" s="3">
        <v>-1112.0</v>
      </c>
      <c r="BL402" s="3"/>
      <c r="BM402" s="3"/>
      <c r="BN402" s="3"/>
      <c r="BO402" s="3"/>
      <c r="BP402" s="3"/>
      <c r="BQ402" s="3"/>
      <c r="BR402" s="3"/>
      <c r="BS402" s="1"/>
      <c r="BT402" s="9"/>
      <c r="BU402" s="9"/>
      <c r="BV402" s="1"/>
      <c r="BW402" s="1"/>
      <c r="BX402" s="1"/>
      <c r="BY402" s="1"/>
      <c r="BZ402" s="1"/>
    </row>
    <row r="403">
      <c r="A403" s="3"/>
      <c r="B403" s="33"/>
      <c r="C403" s="146"/>
      <c r="D403" s="146"/>
      <c r="E403" s="134"/>
      <c r="F403" s="134"/>
      <c r="G403" s="14"/>
      <c r="H403" s="14"/>
      <c r="I403" s="14"/>
      <c r="J403" s="14"/>
      <c r="K403" s="1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9"/>
      <c r="BU403" s="9"/>
      <c r="BV403" s="1"/>
      <c r="BW403" s="1"/>
      <c r="BX403" s="1"/>
      <c r="BY403" s="1"/>
      <c r="BZ403" s="1"/>
    </row>
    <row r="404">
      <c r="A404" s="3"/>
      <c r="B404" s="33"/>
      <c r="C404" s="146"/>
      <c r="D404" s="146"/>
      <c r="E404" s="134"/>
      <c r="F404" s="134"/>
      <c r="G404" s="14"/>
      <c r="H404" s="14"/>
      <c r="I404" s="14"/>
      <c r="J404" s="14"/>
      <c r="K404" s="1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9"/>
      <c r="BU404" s="9"/>
      <c r="BV404" s="1"/>
      <c r="BW404" s="1"/>
      <c r="BX404" s="1"/>
      <c r="BY404" s="1"/>
      <c r="BZ404" s="1"/>
    </row>
    <row r="405">
      <c r="A405" s="3"/>
      <c r="B405" s="33"/>
      <c r="C405" s="122"/>
      <c r="D405" s="122" t="s">
        <v>188</v>
      </c>
      <c r="E405" s="134"/>
      <c r="F405" s="134"/>
      <c r="G405" s="14"/>
      <c r="H405" s="14"/>
      <c r="I405" s="14"/>
      <c r="J405" s="14"/>
      <c r="K405" s="1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9"/>
      <c r="BU405" s="9"/>
      <c r="BV405" s="1"/>
      <c r="BW405" s="1"/>
      <c r="BX405" s="1"/>
      <c r="BY405" s="1"/>
      <c r="BZ405" s="1"/>
    </row>
    <row r="406">
      <c r="A406" s="3"/>
      <c r="B406" s="33"/>
      <c r="C406" s="147"/>
      <c r="D406" s="147" t="s">
        <v>247</v>
      </c>
      <c r="E406" s="134"/>
      <c r="F406" s="134"/>
      <c r="G406" s="14"/>
      <c r="H406" s="14"/>
      <c r="I406" s="14"/>
      <c r="J406" s="14"/>
      <c r="K406" s="14"/>
      <c r="L406" s="1"/>
      <c r="M406" s="1"/>
      <c r="N406" s="1"/>
      <c r="O406" s="1"/>
      <c r="P406" s="1"/>
      <c r="Q406" s="1"/>
      <c r="R406" s="1"/>
      <c r="S406" s="33">
        <v>0.2497</v>
      </c>
      <c r="T406" s="33">
        <v>0.1113</v>
      </c>
      <c r="U406" s="33">
        <v>0.121</v>
      </c>
      <c r="V406" s="33">
        <v>0.0973</v>
      </c>
      <c r="W406" s="33">
        <v>0.0928</v>
      </c>
      <c r="X406" s="33">
        <v>0.1728</v>
      </c>
      <c r="Y406" s="33">
        <v>0.1877</v>
      </c>
      <c r="Z406" s="33">
        <v>0.1525</v>
      </c>
      <c r="AA406" s="33">
        <v>0.0611</v>
      </c>
      <c r="AB406" s="33">
        <v>0.1259</v>
      </c>
      <c r="AC406" s="33">
        <v>0.126</v>
      </c>
      <c r="AD406" s="33">
        <v>0.0496</v>
      </c>
      <c r="AE406" s="33">
        <v>0.0536</v>
      </c>
      <c r="AF406" s="33">
        <v>0.2099</v>
      </c>
      <c r="AG406" s="33">
        <v>0.2041</v>
      </c>
      <c r="AH406" s="33">
        <v>0.1514</v>
      </c>
      <c r="AI406" s="33">
        <v>0.1999</v>
      </c>
      <c r="AJ406" s="33">
        <v>0.1815</v>
      </c>
      <c r="AK406" s="33">
        <v>0.1289</v>
      </c>
      <c r="AL406" s="33">
        <v>0.2385</v>
      </c>
      <c r="AM406" s="33">
        <v>0.232</v>
      </c>
      <c r="AN406" s="33">
        <v>0.2468</v>
      </c>
      <c r="AO406" s="33">
        <v>0.2627</v>
      </c>
      <c r="AP406" s="33">
        <v>0.2184</v>
      </c>
      <c r="AQ406" s="33">
        <v>0.2459</v>
      </c>
      <c r="AR406" s="33">
        <v>0.1105</v>
      </c>
      <c r="AS406" s="33">
        <v>0.1432</v>
      </c>
      <c r="AT406" s="33">
        <v>0.2443</v>
      </c>
      <c r="AU406" s="33">
        <v>0.2385</v>
      </c>
      <c r="AV406" s="33">
        <v>0.2438</v>
      </c>
      <c r="AW406" s="33">
        <v>0.2585</v>
      </c>
      <c r="AX406" s="33">
        <v>0.2365</v>
      </c>
      <c r="AY406" s="33">
        <v>0.3028</v>
      </c>
      <c r="AZ406" s="33">
        <v>0.325</v>
      </c>
      <c r="BA406" s="33">
        <v>0.2725</v>
      </c>
      <c r="BB406" s="33">
        <v>0.2565</v>
      </c>
      <c r="BC406" s="33">
        <v>0.2316</v>
      </c>
      <c r="BD406" s="33">
        <v>0.2184</v>
      </c>
      <c r="BE406" s="33">
        <v>0.1561</v>
      </c>
      <c r="BF406" s="33">
        <v>0.0074</v>
      </c>
      <c r="BG406" s="33">
        <v>0.188</v>
      </c>
      <c r="BH406" s="33">
        <v>0.0044</v>
      </c>
      <c r="BI406" s="33">
        <v>0.1804</v>
      </c>
      <c r="BJ406" s="33">
        <v>0.0525</v>
      </c>
      <c r="BK406" s="33">
        <v>0.0942</v>
      </c>
      <c r="BL406" s="33"/>
      <c r="BM406" s="33"/>
      <c r="BN406" s="33"/>
      <c r="BO406" s="33"/>
      <c r="BP406" s="33"/>
      <c r="BQ406" s="33"/>
      <c r="BR406" s="33"/>
      <c r="BS406" s="1"/>
      <c r="BT406" s="9"/>
      <c r="BU406" s="9"/>
      <c r="BV406" s="1"/>
      <c r="BW406" s="1"/>
      <c r="BX406" s="1"/>
      <c r="BY406" s="1"/>
      <c r="BZ406" s="1"/>
    </row>
    <row r="407">
      <c r="A407" s="3"/>
      <c r="B407" s="33"/>
      <c r="C407" s="147"/>
      <c r="D407" s="147" t="s">
        <v>250</v>
      </c>
      <c r="E407" s="134"/>
      <c r="F407" s="134"/>
      <c r="G407" s="14"/>
      <c r="H407" s="14"/>
      <c r="I407" s="14"/>
      <c r="J407" s="14"/>
      <c r="K407" s="14"/>
      <c r="L407" s="1"/>
      <c r="M407" s="1"/>
      <c r="N407" s="1"/>
      <c r="O407" s="1"/>
      <c r="P407" s="1"/>
      <c r="Q407" s="1"/>
      <c r="R407" s="1"/>
      <c r="S407" s="33">
        <v>0.3546</v>
      </c>
      <c r="T407" s="33">
        <v>0.3636</v>
      </c>
      <c r="U407" s="33">
        <v>0.3777</v>
      </c>
      <c r="V407" s="33">
        <v>0.3987</v>
      </c>
      <c r="W407" s="33">
        <v>0.3199</v>
      </c>
      <c r="X407" s="33">
        <v>0.2839</v>
      </c>
      <c r="Y407" s="33">
        <v>0.2934</v>
      </c>
      <c r="Z407" s="33">
        <v>0.3062</v>
      </c>
      <c r="AA407" s="33">
        <v>0.2724</v>
      </c>
      <c r="AB407" s="33">
        <v>0.2627</v>
      </c>
      <c r="AC407" s="33">
        <v>0.3049</v>
      </c>
      <c r="AD407" s="33">
        <v>0.2892</v>
      </c>
      <c r="AE407" s="33">
        <v>0.2943</v>
      </c>
      <c r="AF407" s="33">
        <v>0.3203</v>
      </c>
      <c r="AG407" s="33">
        <v>0.3078</v>
      </c>
      <c r="AH407" s="33">
        <v>0.2605</v>
      </c>
      <c r="AI407" s="33">
        <v>0.2878</v>
      </c>
      <c r="AJ407" s="33">
        <v>0.2692</v>
      </c>
      <c r="AK407" s="33">
        <v>0.3288</v>
      </c>
      <c r="AL407" s="33">
        <v>0.3395</v>
      </c>
      <c r="AM407" s="33">
        <v>0.3097</v>
      </c>
      <c r="AN407" s="33">
        <v>0.3309</v>
      </c>
      <c r="AO407" s="33">
        <v>0.3076</v>
      </c>
      <c r="AP407" s="33">
        <v>0.2824</v>
      </c>
      <c r="AQ407" s="33">
        <v>0.3059</v>
      </c>
      <c r="AR407" s="33">
        <v>0.2367</v>
      </c>
      <c r="AS407" s="33">
        <v>0.2147</v>
      </c>
      <c r="AT407" s="33">
        <v>0.2361</v>
      </c>
      <c r="AU407" s="33">
        <v>0.2578</v>
      </c>
      <c r="AV407" s="33">
        <v>0.2584</v>
      </c>
      <c r="AW407" s="33">
        <v>0.2617</v>
      </c>
      <c r="AX407" s="33">
        <v>0.2687</v>
      </c>
      <c r="AY407" s="33">
        <v>0.3467</v>
      </c>
      <c r="AZ407" s="33">
        <v>0.3356</v>
      </c>
      <c r="BA407" s="33">
        <v>0.2968</v>
      </c>
      <c r="BB407" s="33">
        <v>0.2843</v>
      </c>
      <c r="BC407" s="33">
        <v>0.3096</v>
      </c>
      <c r="BD407" s="33">
        <v>0.3109</v>
      </c>
      <c r="BE407" s="33">
        <v>0.3004</v>
      </c>
      <c r="BF407" s="33">
        <v>0.1934</v>
      </c>
      <c r="BG407" s="33">
        <v>0.2644</v>
      </c>
      <c r="BH407" s="33">
        <v>0.1258</v>
      </c>
      <c r="BI407" s="33">
        <v>0.3043</v>
      </c>
      <c r="BJ407" s="33">
        <v>0.2539</v>
      </c>
      <c r="BK407" s="33">
        <v>0.2235</v>
      </c>
      <c r="BL407" s="33"/>
      <c r="BM407" s="33"/>
      <c r="BN407" s="33"/>
      <c r="BO407" s="33"/>
      <c r="BP407" s="33"/>
      <c r="BQ407" s="33"/>
      <c r="BR407" s="33"/>
      <c r="BS407" s="1"/>
      <c r="BT407" s="9"/>
      <c r="BU407" s="9"/>
      <c r="BV407" s="1"/>
      <c r="BW407" s="1"/>
      <c r="BX407" s="1"/>
      <c r="BY407" s="1"/>
      <c r="BZ407" s="1"/>
    </row>
    <row r="408">
      <c r="A408" s="3"/>
      <c r="B408" s="33"/>
      <c r="C408" s="147"/>
      <c r="D408" s="147" t="s">
        <v>252</v>
      </c>
      <c r="E408" s="134"/>
      <c r="F408" s="134"/>
      <c r="G408" s="14"/>
      <c r="H408" s="14"/>
      <c r="I408" s="14"/>
      <c r="J408" s="14"/>
      <c r="K408" s="14"/>
      <c r="L408" s="1"/>
      <c r="M408" s="1"/>
      <c r="N408" s="1"/>
      <c r="O408" s="1"/>
      <c r="P408" s="1"/>
      <c r="Q408" s="1"/>
      <c r="R408" s="1"/>
      <c r="S408" s="33">
        <v>0.2282</v>
      </c>
      <c r="T408" s="33">
        <v>0.1916</v>
      </c>
      <c r="U408" s="33">
        <v>0.2348</v>
      </c>
      <c r="V408" s="33">
        <v>0.1574</v>
      </c>
      <c r="W408" s="33">
        <v>0.1096</v>
      </c>
      <c r="X408" s="33">
        <v>0.0894</v>
      </c>
      <c r="Y408" s="33">
        <v>0.1195</v>
      </c>
      <c r="Z408" s="33">
        <v>0.095</v>
      </c>
      <c r="AA408" s="33">
        <v>0.0786</v>
      </c>
      <c r="AB408" s="33">
        <v>-0.0538</v>
      </c>
      <c r="AC408" s="33">
        <v>0.0392</v>
      </c>
      <c r="AD408" s="33">
        <v>0.0296</v>
      </c>
      <c r="AE408" s="33">
        <v>-0.0091</v>
      </c>
      <c r="AF408" s="33">
        <v>0.1081</v>
      </c>
      <c r="AG408" s="33">
        <v>-0.0854</v>
      </c>
      <c r="AH408" s="33">
        <v>0.0214</v>
      </c>
      <c r="AI408" s="33">
        <v>0.1738</v>
      </c>
      <c r="AJ408" s="33">
        <v>0.0062</v>
      </c>
      <c r="AK408" s="33">
        <v>0.1799</v>
      </c>
      <c r="AL408" s="33">
        <v>0.1903</v>
      </c>
      <c r="AM408" s="33">
        <v>0.1953</v>
      </c>
      <c r="AN408" s="33">
        <v>0.1934</v>
      </c>
      <c r="AO408" s="33">
        <v>0.2498</v>
      </c>
      <c r="AP408" s="33">
        <v>0.21</v>
      </c>
      <c r="AQ408" s="33">
        <v>0.2816</v>
      </c>
      <c r="AR408" s="33">
        <v>-0.046</v>
      </c>
      <c r="AS408" s="33">
        <v>-0.069</v>
      </c>
      <c r="AT408" s="33">
        <v>0.0637</v>
      </c>
      <c r="AU408" s="33">
        <v>0.0121</v>
      </c>
      <c r="AV408" s="33">
        <v>0.1723</v>
      </c>
      <c r="AW408" s="33">
        <v>0.1844</v>
      </c>
      <c r="AX408" s="33">
        <v>0.202</v>
      </c>
      <c r="AY408" s="33">
        <v>0.2552</v>
      </c>
      <c r="AZ408" s="33">
        <v>0.2511</v>
      </c>
      <c r="BA408" s="33">
        <v>0.2154</v>
      </c>
      <c r="BB408" s="33">
        <v>0.1931</v>
      </c>
      <c r="BC408" s="33">
        <v>0.2218</v>
      </c>
      <c r="BD408" s="33">
        <v>0.2229</v>
      </c>
      <c r="BE408" s="33">
        <v>0.1976</v>
      </c>
      <c r="BF408" s="33">
        <v>-0.0821</v>
      </c>
      <c r="BG408" s="33">
        <v>0.0844</v>
      </c>
      <c r="BH408" s="33">
        <v>0.1263</v>
      </c>
      <c r="BI408" s="33">
        <v>0.3071</v>
      </c>
      <c r="BJ408" s="33">
        <v>0.3167</v>
      </c>
      <c r="BK408" s="33">
        <v>0.1801</v>
      </c>
      <c r="BL408" s="33"/>
      <c r="BM408" s="33"/>
      <c r="BN408" s="33"/>
      <c r="BO408" s="33"/>
      <c r="BP408" s="33"/>
      <c r="BQ408" s="33"/>
      <c r="BR408" s="33"/>
      <c r="BS408" s="1"/>
      <c r="BT408" s="9"/>
      <c r="BU408" s="9"/>
      <c r="BV408" s="1"/>
      <c r="BW408" s="1"/>
      <c r="BX408" s="1"/>
      <c r="BY408" s="1"/>
      <c r="BZ408" s="1"/>
    </row>
    <row r="409">
      <c r="A409" s="3"/>
      <c r="B409" s="33"/>
      <c r="C409" s="147"/>
      <c r="D409" s="147" t="s">
        <v>254</v>
      </c>
      <c r="E409" s="134"/>
      <c r="F409" s="134"/>
      <c r="G409" s="14"/>
      <c r="H409" s="14"/>
      <c r="I409" s="14"/>
      <c r="J409" s="14"/>
      <c r="K409" s="14"/>
      <c r="L409" s="1"/>
      <c r="M409" s="1"/>
      <c r="N409" s="1"/>
      <c r="O409" s="1"/>
      <c r="P409" s="1"/>
      <c r="Q409" s="1"/>
      <c r="R409" s="1"/>
      <c r="S409" s="33">
        <v>0.171</v>
      </c>
      <c r="T409" s="33">
        <v>0.1233</v>
      </c>
      <c r="U409" s="33">
        <v>0.1903</v>
      </c>
      <c r="V409" s="33">
        <v>0.1959</v>
      </c>
      <c r="W409" s="33">
        <v>0.1288</v>
      </c>
      <c r="X409" s="33">
        <v>0.0844</v>
      </c>
      <c r="Y409" s="33">
        <v>0.1369</v>
      </c>
      <c r="Z409" s="33">
        <v>0.0828</v>
      </c>
      <c r="AA409" s="33">
        <v>0.0054</v>
      </c>
      <c r="AB409" s="33">
        <v>0.0726</v>
      </c>
      <c r="AC409" s="33">
        <v>0.089</v>
      </c>
      <c r="AD409" s="33">
        <v>0.0518</v>
      </c>
      <c r="AE409" s="33">
        <v>-0.0554</v>
      </c>
      <c r="AF409" s="33">
        <v>0.1527</v>
      </c>
      <c r="AG409" s="33">
        <v>0.1862</v>
      </c>
      <c r="AH409" s="33">
        <v>0.1924</v>
      </c>
      <c r="AI409" s="33">
        <v>0.1998</v>
      </c>
      <c r="AJ409" s="33">
        <v>0.044</v>
      </c>
      <c r="AK409" s="33">
        <v>0.1986</v>
      </c>
      <c r="AL409" s="33">
        <v>0.2331</v>
      </c>
      <c r="AM409" s="33">
        <v>0.2128</v>
      </c>
      <c r="AN409" s="33">
        <v>0.1824</v>
      </c>
      <c r="AO409" s="33">
        <v>0.2138</v>
      </c>
      <c r="AP409" s="33">
        <v>0.1827</v>
      </c>
      <c r="AQ409" s="33">
        <v>0.2038</v>
      </c>
      <c r="AR409" s="33">
        <v>0.0893</v>
      </c>
      <c r="AS409" s="33">
        <v>0.0911</v>
      </c>
      <c r="AT409" s="33">
        <v>0.2785</v>
      </c>
      <c r="AU409" s="33">
        <v>0.2699</v>
      </c>
      <c r="AV409" s="33">
        <v>0.2157</v>
      </c>
      <c r="AW409" s="33">
        <v>0.1534</v>
      </c>
      <c r="AX409" s="33">
        <v>0.1299</v>
      </c>
      <c r="AY409" s="33">
        <v>0.2322</v>
      </c>
      <c r="AZ409" s="33">
        <v>0.2616</v>
      </c>
      <c r="BA409" s="33">
        <v>0.2372</v>
      </c>
      <c r="BB409" s="33">
        <v>0.2075</v>
      </c>
      <c r="BC409" s="33">
        <v>0.2097</v>
      </c>
      <c r="BD409" s="33">
        <v>0.2728</v>
      </c>
      <c r="BE409" s="33">
        <v>0.1065</v>
      </c>
      <c r="BF409" s="33">
        <v>0.2989</v>
      </c>
      <c r="BG409" s="33">
        <v>0.3565</v>
      </c>
      <c r="BH409" s="33">
        <v>0.3833</v>
      </c>
      <c r="BI409" s="33">
        <v>0.3346</v>
      </c>
      <c r="BJ409" s="33">
        <v>0.3605</v>
      </c>
      <c r="BK409" s="33">
        <v>0.2902</v>
      </c>
      <c r="BL409" s="33"/>
      <c r="BM409" s="33"/>
      <c r="BN409" s="33"/>
      <c r="BO409" s="33"/>
      <c r="BP409" s="33"/>
      <c r="BQ409" s="33"/>
      <c r="BR409" s="33"/>
      <c r="BS409" s="1"/>
      <c r="BT409" s="9"/>
      <c r="BU409" s="9"/>
      <c r="BV409" s="1"/>
      <c r="BW409" s="1"/>
      <c r="BX409" s="1"/>
      <c r="BY409" s="1"/>
      <c r="BZ409" s="1"/>
    </row>
    <row r="410">
      <c r="A410" s="3"/>
      <c r="B410" s="33"/>
      <c r="C410" s="147"/>
      <c r="D410" s="147" t="s">
        <v>256</v>
      </c>
      <c r="E410" s="134"/>
      <c r="F410" s="134"/>
      <c r="G410" s="14"/>
      <c r="H410" s="14"/>
      <c r="I410" s="14"/>
      <c r="J410" s="14"/>
      <c r="K410" s="14"/>
      <c r="L410" s="1"/>
      <c r="M410" s="1"/>
      <c r="N410" s="1"/>
      <c r="O410" s="1"/>
      <c r="P410" s="1"/>
      <c r="Q410" s="1"/>
      <c r="R410" s="1"/>
      <c r="S410" s="33">
        <v>-0.0605</v>
      </c>
      <c r="T410" s="33">
        <v>-0.1152</v>
      </c>
      <c r="U410" s="33">
        <v>0.013</v>
      </c>
      <c r="V410" s="33">
        <v>0.1138</v>
      </c>
      <c r="W410" s="33">
        <v>0.0844</v>
      </c>
      <c r="X410" s="33">
        <v>0.0873</v>
      </c>
      <c r="Y410" s="33">
        <v>0.1284</v>
      </c>
      <c r="Z410" s="33">
        <v>0.0874</v>
      </c>
      <c r="AA410" s="33">
        <v>-0.0727</v>
      </c>
      <c r="AB410" s="33">
        <v>0.0787</v>
      </c>
      <c r="AC410" s="33">
        <v>0.0402</v>
      </c>
      <c r="AD410" s="33">
        <v>0.1139</v>
      </c>
      <c r="AE410" s="33">
        <v>0.0028</v>
      </c>
      <c r="AF410" s="33">
        <v>0.2258</v>
      </c>
      <c r="AG410" s="33">
        <v>0.1339</v>
      </c>
      <c r="AH410" s="33">
        <v>0.1435</v>
      </c>
      <c r="AI410" s="33">
        <v>0.194</v>
      </c>
      <c r="AJ410" s="33">
        <v>-0.1339</v>
      </c>
      <c r="AK410" s="33">
        <v>0.1979</v>
      </c>
      <c r="AL410" s="33">
        <v>0.2334</v>
      </c>
      <c r="AM410" s="33">
        <v>0.184</v>
      </c>
      <c r="AN410" s="33">
        <v>0.2023</v>
      </c>
      <c r="AO410" s="33">
        <v>0.2884</v>
      </c>
      <c r="AP410" s="33">
        <v>0.2919</v>
      </c>
      <c r="AQ410" s="33">
        <v>0.3421</v>
      </c>
      <c r="AR410" s="33">
        <v>0.0277</v>
      </c>
      <c r="AS410" s="33">
        <v>0.2715</v>
      </c>
      <c r="AT410" s="33">
        <v>0.287</v>
      </c>
      <c r="AU410" s="33">
        <v>0.2163</v>
      </c>
      <c r="AV410" s="33">
        <v>0.1582</v>
      </c>
      <c r="AW410" s="33">
        <v>0.2021</v>
      </c>
      <c r="AX410" s="33">
        <v>0.1615</v>
      </c>
      <c r="AY410" s="33">
        <v>0.2272</v>
      </c>
      <c r="AZ410" s="33">
        <v>0.2158</v>
      </c>
      <c r="BA410" s="33">
        <v>0.2016</v>
      </c>
      <c r="BB410" s="33">
        <v>0.2221</v>
      </c>
      <c r="BC410" s="33">
        <v>0.1488</v>
      </c>
      <c r="BD410" s="33">
        <v>0.2804</v>
      </c>
      <c r="BE410" s="33">
        <v>0.0753</v>
      </c>
      <c r="BF410" s="33">
        <v>0.2177</v>
      </c>
      <c r="BG410" s="33">
        <v>-0.1876</v>
      </c>
      <c r="BH410" s="33">
        <v>-0.5991</v>
      </c>
      <c r="BI410" s="33">
        <v>-0.0825</v>
      </c>
      <c r="BJ410" s="33">
        <v>0.2808</v>
      </c>
      <c r="BK410" s="33">
        <v>0.3018</v>
      </c>
      <c r="BL410" s="33"/>
      <c r="BM410" s="33"/>
      <c r="BN410" s="33"/>
      <c r="BO410" s="33"/>
      <c r="BP410" s="33"/>
      <c r="BQ410" s="33"/>
      <c r="BR410" s="33"/>
      <c r="BS410" s="1"/>
      <c r="BT410" s="9"/>
      <c r="BU410" s="9"/>
      <c r="BV410" s="1"/>
      <c r="BW410" s="1"/>
      <c r="BX410" s="1"/>
      <c r="BY410" s="1"/>
      <c r="BZ410" s="1"/>
    </row>
    <row r="411">
      <c r="A411" s="3"/>
      <c r="B411" s="33"/>
      <c r="C411" s="155"/>
      <c r="D411" s="155" t="s">
        <v>259</v>
      </c>
      <c r="E411" s="134"/>
      <c r="F411" s="134"/>
      <c r="G411" s="14"/>
      <c r="H411" s="14"/>
      <c r="I411" s="14"/>
      <c r="J411" s="14"/>
      <c r="K411" s="14"/>
      <c r="L411" s="1"/>
      <c r="M411" s="1"/>
      <c r="N411" s="1"/>
      <c r="O411" s="1"/>
      <c r="P411" s="1"/>
      <c r="Q411" s="1"/>
      <c r="R411" s="1"/>
      <c r="S411" s="33">
        <v>-0.1719</v>
      </c>
      <c r="T411" s="33">
        <v>-0.6031</v>
      </c>
      <c r="U411" s="33">
        <v>0.0381</v>
      </c>
      <c r="V411" s="33">
        <v>0.2138</v>
      </c>
      <c r="W411" s="33">
        <v>0.1961</v>
      </c>
      <c r="X411" s="33">
        <v>-0.2574</v>
      </c>
      <c r="Y411" s="33">
        <v>-0.0723</v>
      </c>
      <c r="Z411" s="33">
        <v>-0.4896</v>
      </c>
      <c r="AA411" s="33">
        <v>-0.5668</v>
      </c>
      <c r="AB411" s="33">
        <v>-0.3327</v>
      </c>
      <c r="AC411" s="33">
        <v>-0.2452</v>
      </c>
      <c r="AD411" s="33">
        <v>-0.6429</v>
      </c>
      <c r="AE411" s="33">
        <v>-0.4697</v>
      </c>
      <c r="AF411" s="33">
        <v>-0.181</v>
      </c>
      <c r="AG411" s="33">
        <v>-0.3024</v>
      </c>
      <c r="AH411" s="33">
        <v>-0.0776</v>
      </c>
      <c r="AI411" s="33">
        <v>0.1831</v>
      </c>
      <c r="AJ411" s="33">
        <v>-0.6187</v>
      </c>
      <c r="AK411" s="33">
        <v>-0.0464</v>
      </c>
      <c r="AL411" s="33">
        <v>0.1039</v>
      </c>
      <c r="AM411" s="33">
        <v>0.0774</v>
      </c>
      <c r="AN411" s="33">
        <v>-0.1464</v>
      </c>
      <c r="AO411" s="33">
        <v>-0.1369</v>
      </c>
      <c r="AP411" s="33">
        <v>-0.0109</v>
      </c>
      <c r="AQ411" s="33">
        <v>0.1421</v>
      </c>
      <c r="AR411" s="33">
        <v>-1.4139</v>
      </c>
      <c r="AS411" s="33">
        <v>0.0673</v>
      </c>
      <c r="AT411" s="33">
        <v>-0.2073</v>
      </c>
      <c r="AU411" s="33">
        <v>-0.4589</v>
      </c>
      <c r="AV411" s="33">
        <v>0.1359</v>
      </c>
      <c r="AW411" s="33">
        <v>0.0815</v>
      </c>
      <c r="AX411" s="33">
        <v>-0.087</v>
      </c>
      <c r="AY411" s="33">
        <v>-0.0523</v>
      </c>
      <c r="AZ411" s="33">
        <v>-0.3924</v>
      </c>
      <c r="BA411" s="33">
        <v>0.052</v>
      </c>
      <c r="BB411" s="33">
        <v>0.2912</v>
      </c>
      <c r="BC411" s="33">
        <v>0.0382</v>
      </c>
      <c r="BD411" s="33">
        <v>0.3359</v>
      </c>
      <c r="BE411" s="33">
        <v>-1.4843</v>
      </c>
      <c r="BF411" s="33">
        <v>-0.061</v>
      </c>
      <c r="BG411" s="33">
        <v>0.0375</v>
      </c>
      <c r="BH411" s="33">
        <v>0.081</v>
      </c>
      <c r="BI411" s="33">
        <v>0.2746</v>
      </c>
      <c r="BJ411" s="33">
        <v>0.4075</v>
      </c>
      <c r="BK411" s="33">
        <v>0.4353</v>
      </c>
      <c r="BL411" s="33"/>
      <c r="BM411" s="33"/>
      <c r="BN411" s="33"/>
      <c r="BO411" s="33"/>
      <c r="BP411" s="33"/>
      <c r="BQ411" s="33"/>
      <c r="BR411" s="33"/>
      <c r="BS411" s="1"/>
      <c r="BT411" s="9"/>
      <c r="BU411" s="9"/>
      <c r="BV411" s="1"/>
      <c r="BW411" s="1"/>
      <c r="BX411" s="1"/>
      <c r="BY411" s="1"/>
      <c r="BZ411" s="1"/>
    </row>
    <row r="412">
      <c r="A412" s="3"/>
      <c r="B412" s="33"/>
      <c r="C412" s="147"/>
      <c r="D412" s="147" t="s">
        <v>262</v>
      </c>
      <c r="E412" s="134"/>
      <c r="F412" s="134"/>
      <c r="G412" s="14"/>
      <c r="H412" s="14"/>
      <c r="I412" s="14"/>
      <c r="J412" s="14"/>
      <c r="K412" s="14"/>
      <c r="L412" s="1"/>
      <c r="M412" s="1"/>
      <c r="N412" s="1"/>
      <c r="O412" s="1"/>
      <c r="P412" s="1"/>
      <c r="Q412" s="1"/>
      <c r="R412" s="1"/>
      <c r="S412" s="3" t="e">
        <v>#DIV/0!</v>
      </c>
      <c r="T412" s="3" t="e">
        <v>#DIV/0!</v>
      </c>
      <c r="U412" s="33">
        <v>0.4089</v>
      </c>
      <c r="V412" s="33">
        <v>0.202</v>
      </c>
      <c r="W412" s="33">
        <v>0.1655</v>
      </c>
      <c r="X412" s="33">
        <v>0.1592</v>
      </c>
      <c r="Y412" s="33">
        <v>0.1726</v>
      </c>
      <c r="Z412" s="33">
        <v>0.0681</v>
      </c>
      <c r="AA412" s="33">
        <v>-0.0011</v>
      </c>
      <c r="AB412" s="33">
        <v>0.0827</v>
      </c>
      <c r="AC412" s="33">
        <v>0.0578</v>
      </c>
      <c r="AD412" s="33">
        <v>0.0366</v>
      </c>
      <c r="AE412" s="33">
        <v>-0.2231</v>
      </c>
      <c r="AF412" s="33">
        <v>-0.1231</v>
      </c>
      <c r="AG412" s="33">
        <v>-0.8193</v>
      </c>
      <c r="AH412" s="33">
        <v>-0.2316</v>
      </c>
      <c r="AI412" s="33">
        <v>0.0391</v>
      </c>
      <c r="AJ412" s="33">
        <v>-0.3802</v>
      </c>
      <c r="AK412" s="33">
        <v>0.1088</v>
      </c>
      <c r="AL412" s="33">
        <v>0.2292</v>
      </c>
      <c r="AM412" s="33">
        <v>0.2863</v>
      </c>
      <c r="AN412" s="33">
        <v>0.2717</v>
      </c>
      <c r="AO412" s="33">
        <v>0.2681</v>
      </c>
      <c r="AP412" s="33">
        <v>0.2224</v>
      </c>
      <c r="AQ412" s="33">
        <v>-0.2967</v>
      </c>
      <c r="AR412" s="33">
        <v>-1.9438</v>
      </c>
      <c r="AS412" s="33">
        <v>-0.4431</v>
      </c>
      <c r="AT412" s="33">
        <v>-0.192</v>
      </c>
      <c r="AU412" s="33">
        <v>-0.1573</v>
      </c>
      <c r="AV412" s="33">
        <v>0.0046</v>
      </c>
      <c r="AW412" s="33">
        <v>-0.0542</v>
      </c>
      <c r="AX412" s="33">
        <v>-0.1754</v>
      </c>
      <c r="AY412" s="33">
        <v>0.0949</v>
      </c>
      <c r="AZ412" s="33">
        <v>0.1408</v>
      </c>
      <c r="BA412" s="33">
        <v>0.2248</v>
      </c>
      <c r="BB412" s="33">
        <v>0.2754</v>
      </c>
      <c r="BC412" s="33">
        <v>0.0579</v>
      </c>
      <c r="BD412" s="33">
        <v>0.0904</v>
      </c>
      <c r="BE412" s="33">
        <v>-0.1487</v>
      </c>
      <c r="BF412" s="33">
        <v>-0.37</v>
      </c>
      <c r="BG412" s="33">
        <v>-1.1162</v>
      </c>
      <c r="BH412" s="33">
        <v>-0.1562</v>
      </c>
      <c r="BI412" s="33">
        <v>0.0953</v>
      </c>
      <c r="BJ412" s="33">
        <v>0.2291</v>
      </c>
      <c r="BK412" s="33">
        <v>-0.0194</v>
      </c>
      <c r="BL412" s="33"/>
      <c r="BM412" s="33"/>
      <c r="BN412" s="33"/>
      <c r="BO412" s="33"/>
      <c r="BP412" s="33"/>
      <c r="BQ412" s="33"/>
      <c r="BR412" s="33"/>
      <c r="BS412" s="1"/>
      <c r="BT412" s="9"/>
      <c r="BU412" s="9"/>
      <c r="BV412" s="1"/>
      <c r="BW412" s="1"/>
      <c r="BX412" s="1"/>
      <c r="BY412" s="1"/>
      <c r="BZ412" s="1"/>
    </row>
    <row r="413">
      <c r="A413" s="3"/>
      <c r="B413" s="33"/>
      <c r="C413" s="146"/>
      <c r="D413" s="146"/>
      <c r="E413" s="134"/>
      <c r="F413" s="134"/>
      <c r="G413" s="14"/>
      <c r="H413" s="14"/>
      <c r="I413" s="14"/>
      <c r="J413" s="14"/>
      <c r="K413" s="1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9"/>
      <c r="BU413" s="9"/>
      <c r="BV413" s="1"/>
      <c r="BW413" s="1"/>
      <c r="BX413" s="1"/>
      <c r="BY413" s="1"/>
      <c r="BZ413" s="1"/>
    </row>
    <row r="414">
      <c r="A414" s="3"/>
      <c r="B414" s="33"/>
      <c r="C414" s="146"/>
      <c r="D414" s="146"/>
      <c r="E414" s="134"/>
      <c r="F414" s="134"/>
      <c r="G414" s="14"/>
      <c r="H414" s="14"/>
      <c r="I414" s="14"/>
      <c r="J414" s="14"/>
      <c r="K414" s="1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9"/>
      <c r="BU414" s="9"/>
      <c r="BV414" s="1"/>
      <c r="BW414" s="1"/>
      <c r="BX414" s="1"/>
      <c r="BY414" s="1"/>
      <c r="BZ414" s="1"/>
    </row>
    <row r="415">
      <c r="A415" s="3"/>
      <c r="B415" s="33"/>
      <c r="C415" s="122"/>
      <c r="D415" s="122" t="s">
        <v>332</v>
      </c>
      <c r="E415" s="134"/>
      <c r="F415" s="134"/>
      <c r="G415" s="14"/>
      <c r="H415" s="14"/>
      <c r="I415" s="14"/>
      <c r="J415" s="14"/>
      <c r="K415" s="1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9"/>
      <c r="BU415" s="9"/>
      <c r="BV415" s="1"/>
      <c r="BW415" s="1"/>
      <c r="BX415" s="1"/>
      <c r="BY415" s="1"/>
      <c r="BZ415" s="1"/>
    </row>
    <row r="416">
      <c r="A416" s="3"/>
      <c r="B416" s="33"/>
      <c r="C416" s="147"/>
      <c r="D416" s="147" t="s">
        <v>246</v>
      </c>
      <c r="E416" s="134"/>
      <c r="F416" s="134"/>
      <c r="G416" s="14"/>
      <c r="H416" s="14"/>
      <c r="I416" s="14"/>
      <c r="J416" s="14"/>
      <c r="K416" s="14"/>
      <c r="L416" s="1"/>
      <c r="M416" s="1"/>
      <c r="N416" s="1"/>
      <c r="O416" s="1"/>
      <c r="P416" s="1"/>
      <c r="Q416" s="1"/>
      <c r="R416" s="1"/>
      <c r="S416" s="74">
        <v>3443367.0</v>
      </c>
      <c r="T416" s="74">
        <v>4773639.0</v>
      </c>
      <c r="U416" s="74">
        <v>6132637.0</v>
      </c>
      <c r="V416" s="74">
        <v>7185913.0</v>
      </c>
      <c r="W416" s="74">
        <v>5048280.0</v>
      </c>
      <c r="X416" s="74">
        <v>4236420.0</v>
      </c>
      <c r="Y416" s="74">
        <v>4765061.0</v>
      </c>
      <c r="Z416" s="74">
        <v>4840997.0</v>
      </c>
      <c r="AA416" s="74">
        <v>4715854.0</v>
      </c>
      <c r="AB416" s="74">
        <v>3881866.0</v>
      </c>
      <c r="AC416" s="74">
        <v>4364694.0</v>
      </c>
      <c r="AD416" s="74">
        <v>5085709.0</v>
      </c>
      <c r="AE416" s="74">
        <v>5313110.0</v>
      </c>
      <c r="AF416" s="74">
        <v>4558736.0</v>
      </c>
      <c r="AG416" s="74">
        <v>4898540.0</v>
      </c>
      <c r="AH416" s="74">
        <v>6082862.0</v>
      </c>
      <c r="AI416" s="74">
        <v>4910061.0</v>
      </c>
      <c r="AJ416" s="74">
        <v>4444428.0</v>
      </c>
      <c r="AK416" s="74">
        <v>6124132.0</v>
      </c>
      <c r="AL416" s="74">
        <v>5620420.0</v>
      </c>
      <c r="AM416" s="74">
        <v>5023768.0</v>
      </c>
      <c r="AN416" s="74">
        <v>5255142.0</v>
      </c>
      <c r="AO416" s="74">
        <v>6440470.0</v>
      </c>
      <c r="AP416" s="74">
        <v>6274385.0</v>
      </c>
      <c r="AQ416" s="74">
        <v>6758597.0</v>
      </c>
      <c r="AR416" s="74">
        <v>7423047.0</v>
      </c>
      <c r="AS416" s="74">
        <v>8619519.0</v>
      </c>
      <c r="AT416" s="74">
        <v>6763426.0</v>
      </c>
      <c r="AU416" s="74">
        <v>6606483.0</v>
      </c>
      <c r="AV416" s="74">
        <v>6379273.0</v>
      </c>
      <c r="AW416" s="74">
        <v>4583244.0</v>
      </c>
      <c r="AX416" s="74">
        <v>5362238.0</v>
      </c>
      <c r="AY416" s="74">
        <v>5567356.0</v>
      </c>
      <c r="AZ416" s="74">
        <v>4973189.0</v>
      </c>
      <c r="BA416" s="74">
        <v>4890537.0</v>
      </c>
      <c r="BB416" s="74">
        <v>4727903.0</v>
      </c>
      <c r="BC416" s="74">
        <v>4503303.0</v>
      </c>
      <c r="BD416" s="74">
        <v>5552928.0</v>
      </c>
      <c r="BE416" s="74">
        <v>5175012.0</v>
      </c>
      <c r="BF416" s="74">
        <v>7037947.0</v>
      </c>
      <c r="BG416" s="74">
        <v>6376372.0</v>
      </c>
      <c r="BH416" s="74">
        <v>7904096.0</v>
      </c>
      <c r="BI416" s="74">
        <v>5699513.0</v>
      </c>
      <c r="BJ416" s="74">
        <v>5286426.0</v>
      </c>
      <c r="BK416" s="74">
        <v>5664489.0</v>
      </c>
      <c r="BL416" s="74"/>
      <c r="BM416" s="74"/>
      <c r="BN416" s="74"/>
      <c r="BO416" s="74"/>
      <c r="BP416" s="74"/>
      <c r="BQ416" s="74"/>
      <c r="BR416" s="74"/>
      <c r="BS416" s="1"/>
      <c r="BT416" s="9"/>
      <c r="BU416" s="9"/>
      <c r="BV416" s="1"/>
      <c r="BW416" s="1"/>
      <c r="BX416" s="1"/>
      <c r="BY416" s="1"/>
      <c r="BZ416" s="1"/>
    </row>
    <row r="417">
      <c r="A417" s="3"/>
      <c r="B417" s="33"/>
      <c r="C417" s="147"/>
      <c r="D417" s="147" t="s">
        <v>248</v>
      </c>
      <c r="E417" s="134"/>
      <c r="F417" s="134"/>
      <c r="G417" s="14"/>
      <c r="H417" s="14"/>
      <c r="I417" s="14"/>
      <c r="J417" s="14"/>
      <c r="K417" s="14"/>
      <c r="L417" s="1"/>
      <c r="M417" s="1"/>
      <c r="N417" s="1"/>
      <c r="O417" s="1"/>
      <c r="P417" s="1"/>
      <c r="Q417" s="1"/>
      <c r="R417" s="1"/>
      <c r="S417" s="74">
        <v>6574377.0</v>
      </c>
      <c r="T417" s="74">
        <v>6769613.0</v>
      </c>
      <c r="U417" s="74">
        <v>6459015.0</v>
      </c>
      <c r="V417" s="74">
        <v>6289103.0</v>
      </c>
      <c r="W417" s="74">
        <v>6543463.0</v>
      </c>
      <c r="X417" s="74">
        <v>8545357.0</v>
      </c>
      <c r="Y417" s="74">
        <v>9063432.0</v>
      </c>
      <c r="Z417" s="74">
        <v>8975084.0</v>
      </c>
      <c r="AA417" s="74">
        <v>8336132.0</v>
      </c>
      <c r="AB417" s="74">
        <v>6460239.0</v>
      </c>
      <c r="AC417" s="74">
        <v>6426674.0</v>
      </c>
      <c r="AD417" s="74">
        <v>7189373.0</v>
      </c>
      <c r="AE417" s="74">
        <v>7718486.0</v>
      </c>
      <c r="AF417" s="74">
        <v>7170390.0</v>
      </c>
      <c r="AG417" s="74">
        <v>7310157.0</v>
      </c>
      <c r="AH417" s="74">
        <v>1.0170818E7</v>
      </c>
      <c r="AI417" s="74">
        <v>8844887.0</v>
      </c>
      <c r="AJ417" s="74">
        <v>8917180.0</v>
      </c>
      <c r="AK417" s="74">
        <v>9010555.0</v>
      </c>
      <c r="AL417" s="74">
        <v>8580869.0</v>
      </c>
      <c r="AM417" s="74">
        <v>8854790.0</v>
      </c>
      <c r="AN417" s="74">
        <v>8416961.0</v>
      </c>
      <c r="AO417" s="74">
        <v>1.0768944E7</v>
      </c>
      <c r="AP417" s="74">
        <v>1.2501055E7</v>
      </c>
      <c r="AQ417" s="74">
        <v>1.2749418E7</v>
      </c>
      <c r="AR417" s="74">
        <v>1.3178809E7</v>
      </c>
      <c r="AS417" s="74">
        <v>1.1734157E7</v>
      </c>
      <c r="AT417" s="74">
        <v>1.0384035E7</v>
      </c>
      <c r="AU417" s="74">
        <v>1.1157459E7</v>
      </c>
      <c r="AV417" s="74">
        <v>9618134.0</v>
      </c>
      <c r="AW417" s="74">
        <v>8111309.0</v>
      </c>
      <c r="AX417" s="74">
        <v>8190456.0</v>
      </c>
      <c r="AY417" s="74">
        <v>7906925.0</v>
      </c>
      <c r="AZ417" s="74">
        <v>7384085.0</v>
      </c>
      <c r="BA417" s="74">
        <v>7611428.0</v>
      </c>
      <c r="BB417" s="74">
        <v>6506601.0</v>
      </c>
      <c r="BC417" s="74">
        <v>7434840.0</v>
      </c>
      <c r="BD417" s="74">
        <v>8103869.0</v>
      </c>
      <c r="BE417" s="74">
        <v>5530487.0</v>
      </c>
      <c r="BF417" s="74">
        <v>6081997.0</v>
      </c>
      <c r="BG417" s="74">
        <v>7794102.0</v>
      </c>
      <c r="BH417" s="74">
        <v>1.0948682E7</v>
      </c>
      <c r="BI417" s="74">
        <v>9192635.0</v>
      </c>
      <c r="BJ417" s="74">
        <v>7051163.0</v>
      </c>
      <c r="BK417" s="74">
        <v>6893801.0</v>
      </c>
      <c r="BL417" s="74"/>
      <c r="BM417" s="74"/>
      <c r="BN417" s="74"/>
      <c r="BO417" s="74"/>
      <c r="BP417" s="74"/>
      <c r="BQ417" s="74"/>
      <c r="BR417" s="74"/>
      <c r="BS417" s="1"/>
      <c r="BT417" s="9"/>
      <c r="BU417" s="9"/>
      <c r="BV417" s="1"/>
      <c r="BW417" s="1"/>
      <c r="BX417" s="1"/>
      <c r="BY417" s="1"/>
      <c r="BZ417" s="1"/>
    </row>
    <row r="418">
      <c r="A418" s="3"/>
      <c r="B418" s="33"/>
      <c r="C418" s="147"/>
      <c r="D418" s="147" t="s">
        <v>251</v>
      </c>
      <c r="E418" s="134"/>
      <c r="F418" s="134"/>
      <c r="G418" s="14"/>
      <c r="H418" s="14"/>
      <c r="I418" s="14"/>
      <c r="J418" s="14"/>
      <c r="K418" s="14"/>
      <c r="L418" s="1"/>
      <c r="M418" s="1"/>
      <c r="N418" s="1"/>
      <c r="O418" s="1"/>
      <c r="P418" s="1"/>
      <c r="Q418" s="1"/>
      <c r="R418" s="1"/>
      <c r="S418" s="74">
        <v>896334.0</v>
      </c>
      <c r="T418" s="74">
        <v>779414.0</v>
      </c>
      <c r="U418" s="74">
        <v>887249.0</v>
      </c>
      <c r="V418" s="74">
        <v>758017.0</v>
      </c>
      <c r="W418" s="74">
        <v>925529.0</v>
      </c>
      <c r="X418" s="74">
        <v>1228237.0</v>
      </c>
      <c r="Y418" s="74">
        <v>1091476.0</v>
      </c>
      <c r="Z418" s="74">
        <v>1116187.0</v>
      </c>
      <c r="AA418" s="74">
        <v>1119047.0</v>
      </c>
      <c r="AB418" s="74">
        <v>927370.0</v>
      </c>
      <c r="AC418" s="74">
        <v>1340701.0</v>
      </c>
      <c r="AD418" s="74">
        <v>1097466.0</v>
      </c>
      <c r="AE418" s="74">
        <v>1095084.0</v>
      </c>
      <c r="AF418" s="74">
        <v>1048596.0</v>
      </c>
      <c r="AG418" s="74">
        <v>1785393.0</v>
      </c>
      <c r="AH418" s="74">
        <v>1298924.0</v>
      </c>
      <c r="AI418" s="74">
        <v>994245.0</v>
      </c>
      <c r="AJ418" s="74">
        <v>1049430.0</v>
      </c>
      <c r="AK418" s="74">
        <v>1169488.0</v>
      </c>
      <c r="AL418" s="74">
        <v>1312703.0</v>
      </c>
      <c r="AM418" s="74">
        <v>1074396.0</v>
      </c>
      <c r="AN418" s="74">
        <v>1286218.0</v>
      </c>
      <c r="AO418" s="74">
        <v>1379716.0</v>
      </c>
      <c r="AP418" s="74">
        <v>1276426.0</v>
      </c>
      <c r="AQ418" s="74">
        <v>1296786.0</v>
      </c>
      <c r="AR418" s="74">
        <v>1527400.0</v>
      </c>
      <c r="AS418" s="74">
        <v>1584321.0</v>
      </c>
      <c r="AT418" s="74">
        <v>1711404.0</v>
      </c>
      <c r="AU418" s="74">
        <v>2898457.0</v>
      </c>
      <c r="AV418" s="74">
        <v>2105523.0</v>
      </c>
      <c r="AW418" s="74">
        <v>1209688.0</v>
      </c>
      <c r="AX418" s="74">
        <v>1143110.0</v>
      </c>
      <c r="AY418" s="74">
        <v>1299291.0</v>
      </c>
      <c r="AZ418" s="74">
        <v>1346831.0</v>
      </c>
      <c r="BA418" s="74">
        <v>1268726.0</v>
      </c>
      <c r="BB418" s="74">
        <v>1310518.0</v>
      </c>
      <c r="BC418" s="74">
        <v>1192381.0</v>
      </c>
      <c r="BD418" s="74">
        <v>1191038.0</v>
      </c>
      <c r="BE418" s="74">
        <v>1243041.0</v>
      </c>
      <c r="BF418" s="74">
        <v>1993678.0</v>
      </c>
      <c r="BG418" s="74">
        <v>1509564.0</v>
      </c>
      <c r="BH418" s="74">
        <v>1118537.0</v>
      </c>
      <c r="BI418" s="74">
        <v>857451.0</v>
      </c>
      <c r="BJ418" s="74">
        <v>947522.0</v>
      </c>
      <c r="BK418" s="74">
        <v>1227854.0</v>
      </c>
      <c r="BL418" s="74"/>
      <c r="BM418" s="74"/>
      <c r="BN418" s="74"/>
      <c r="BO418" s="74"/>
      <c r="BP418" s="74"/>
      <c r="BQ418" s="74"/>
      <c r="BR418" s="74"/>
      <c r="BS418" s="1"/>
      <c r="BT418" s="9"/>
      <c r="BU418" s="9"/>
      <c r="BV418" s="1"/>
      <c r="BW418" s="1"/>
      <c r="BX418" s="1"/>
      <c r="BY418" s="1"/>
      <c r="BZ418" s="1"/>
    </row>
    <row r="419">
      <c r="A419" s="3"/>
      <c r="B419" s="33"/>
      <c r="C419" s="147"/>
      <c r="D419" s="147" t="s">
        <v>253</v>
      </c>
      <c r="E419" s="134"/>
      <c r="F419" s="134"/>
      <c r="G419" s="14"/>
      <c r="H419" s="14"/>
      <c r="I419" s="14"/>
      <c r="J419" s="14"/>
      <c r="K419" s="14"/>
      <c r="L419" s="1"/>
      <c r="M419" s="1"/>
      <c r="N419" s="1"/>
      <c r="O419" s="1"/>
      <c r="P419" s="1"/>
      <c r="Q419" s="1"/>
      <c r="R419" s="1"/>
      <c r="S419" s="74">
        <v>608511.0</v>
      </c>
      <c r="T419" s="74">
        <v>687596.0</v>
      </c>
      <c r="U419" s="74">
        <v>623850.0</v>
      </c>
      <c r="V419" s="74">
        <v>628805.0</v>
      </c>
      <c r="W419" s="74">
        <v>555416.0</v>
      </c>
      <c r="X419" s="74">
        <v>629654.0</v>
      </c>
      <c r="Y419" s="74">
        <v>806950.0</v>
      </c>
      <c r="Z419" s="74">
        <v>697972.0</v>
      </c>
      <c r="AA419" s="74">
        <v>634070.0</v>
      </c>
      <c r="AB419" s="74">
        <v>626810.0</v>
      </c>
      <c r="AC419" s="74">
        <v>708432.0</v>
      </c>
      <c r="AD419" s="74">
        <v>678951.0</v>
      </c>
      <c r="AE419" s="74">
        <v>657007.0</v>
      </c>
      <c r="AF419" s="74">
        <v>547327.0</v>
      </c>
      <c r="AG419" s="74">
        <v>582043.0</v>
      </c>
      <c r="AH419" s="74">
        <v>612630.0</v>
      </c>
      <c r="AI419" s="74">
        <v>641864.0</v>
      </c>
      <c r="AJ419" s="74">
        <v>694472.0</v>
      </c>
      <c r="AK419" s="74">
        <v>652303.0</v>
      </c>
      <c r="AL419" s="74">
        <v>772487.0</v>
      </c>
      <c r="AM419" s="74">
        <v>552546.0</v>
      </c>
      <c r="AN419" s="74">
        <v>617599.0</v>
      </c>
      <c r="AO419" s="74">
        <v>800466.0</v>
      </c>
      <c r="AP419" s="74">
        <v>842936.0</v>
      </c>
      <c r="AQ419" s="74">
        <v>885984.0</v>
      </c>
      <c r="AR419" s="74">
        <v>985655.0</v>
      </c>
      <c r="AS419" s="74">
        <v>1075416.0</v>
      </c>
      <c r="AT419" s="74">
        <v>784429.0</v>
      </c>
      <c r="AU419" s="74">
        <v>743409.0</v>
      </c>
      <c r="AV419" s="74">
        <v>1010133.0</v>
      </c>
      <c r="AW419" s="74">
        <v>865972.0</v>
      </c>
      <c r="AX419" s="74">
        <v>1033060.0</v>
      </c>
      <c r="AY419" s="74">
        <v>901535.0</v>
      </c>
      <c r="AZ419" s="74">
        <v>844498.0</v>
      </c>
      <c r="BA419" s="74">
        <v>877191.0</v>
      </c>
      <c r="BB419" s="74">
        <v>825902.0</v>
      </c>
      <c r="BC419" s="74">
        <v>789787.0</v>
      </c>
      <c r="BD419" s="74">
        <v>796548.0</v>
      </c>
      <c r="BE419" s="74">
        <v>817916.0</v>
      </c>
      <c r="BF419" s="74">
        <v>717774.0</v>
      </c>
      <c r="BG419" s="74">
        <v>609538.0</v>
      </c>
      <c r="BH419" s="74">
        <v>627185.0</v>
      </c>
      <c r="BI419" s="74">
        <v>510062.0</v>
      </c>
      <c r="BJ419" s="74">
        <v>589989.0</v>
      </c>
      <c r="BK419" s="74">
        <v>1022179.0</v>
      </c>
      <c r="BL419" s="74"/>
      <c r="BM419" s="74"/>
      <c r="BN419" s="74"/>
      <c r="BO419" s="74"/>
      <c r="BP419" s="74"/>
      <c r="BQ419" s="74"/>
      <c r="BR419" s="74"/>
      <c r="BS419" s="1"/>
      <c r="BT419" s="9"/>
      <c r="BU419" s="9"/>
      <c r="BV419" s="1"/>
      <c r="BW419" s="1"/>
      <c r="BX419" s="1"/>
      <c r="BY419" s="1"/>
      <c r="BZ419" s="1"/>
    </row>
    <row r="420">
      <c r="A420" s="3"/>
      <c r="B420" s="33"/>
      <c r="C420" s="147"/>
      <c r="D420" s="147" t="s">
        <v>255</v>
      </c>
      <c r="E420" s="134"/>
      <c r="F420" s="134"/>
      <c r="G420" s="14"/>
      <c r="H420" s="14"/>
      <c r="I420" s="14"/>
      <c r="J420" s="14"/>
      <c r="K420" s="14"/>
      <c r="L420" s="1"/>
      <c r="M420" s="1"/>
      <c r="N420" s="1"/>
      <c r="O420" s="1"/>
      <c r="P420" s="1"/>
      <c r="Q420" s="1"/>
      <c r="R420" s="1"/>
      <c r="S420" s="74">
        <v>299203.0</v>
      </c>
      <c r="T420" s="74">
        <v>403537.0</v>
      </c>
      <c r="U420" s="74">
        <v>382409.0</v>
      </c>
      <c r="V420" s="74">
        <v>338024.0</v>
      </c>
      <c r="W420" s="74">
        <v>358666.0</v>
      </c>
      <c r="X420" s="74">
        <v>448609.0</v>
      </c>
      <c r="Y420" s="74">
        <v>433435.0</v>
      </c>
      <c r="Z420" s="74">
        <v>332953.0</v>
      </c>
      <c r="AA420" s="74">
        <v>334406.0</v>
      </c>
      <c r="AB420" s="74">
        <v>369421.0</v>
      </c>
      <c r="AC420" s="74">
        <v>351913.0</v>
      </c>
      <c r="AD420" s="74">
        <v>340940.0</v>
      </c>
      <c r="AE420" s="74">
        <v>336089.0</v>
      </c>
      <c r="AF420" s="74">
        <v>339074.0</v>
      </c>
      <c r="AG420" s="74">
        <v>364377.0</v>
      </c>
      <c r="AH420" s="74">
        <v>364293.0</v>
      </c>
      <c r="AI420" s="74">
        <v>377528.0</v>
      </c>
      <c r="AJ420" s="74">
        <v>431009.0</v>
      </c>
      <c r="AK420" s="74">
        <v>543493.0</v>
      </c>
      <c r="AL420" s="74">
        <v>581867.0</v>
      </c>
      <c r="AM420" s="74">
        <v>451675.0</v>
      </c>
      <c r="AN420" s="74">
        <v>499509.0</v>
      </c>
      <c r="AO420" s="74">
        <v>548941.0</v>
      </c>
      <c r="AP420" s="74">
        <v>611681.0</v>
      </c>
      <c r="AQ420" s="74">
        <v>610318.0</v>
      </c>
      <c r="AR420" s="74">
        <v>670919.0</v>
      </c>
      <c r="AS420" s="74">
        <v>643370.0</v>
      </c>
      <c r="AT420" s="74">
        <v>548157.0</v>
      </c>
      <c r="AU420" s="74">
        <v>544384.0</v>
      </c>
      <c r="AV420" s="74">
        <v>553926.0</v>
      </c>
      <c r="AW420" s="74">
        <v>441230.0</v>
      </c>
      <c r="AX420" s="74">
        <v>546695.0</v>
      </c>
      <c r="AY420" s="74">
        <v>646939.0</v>
      </c>
      <c r="AZ420" s="74">
        <v>659043.0</v>
      </c>
      <c r="BA420" s="74">
        <v>689567.0</v>
      </c>
      <c r="BB420" s="74">
        <v>613907.0</v>
      </c>
      <c r="BC420" s="74">
        <v>636797.0</v>
      </c>
      <c r="BD420" s="74">
        <v>677951.0</v>
      </c>
      <c r="BE420" s="74">
        <v>556624.0</v>
      </c>
      <c r="BF420" s="74">
        <v>561012.0</v>
      </c>
      <c r="BG420" s="74">
        <v>548782.0</v>
      </c>
      <c r="BH420" s="74">
        <v>681651.0</v>
      </c>
      <c r="BI420" s="74">
        <v>612700.0</v>
      </c>
      <c r="BJ420" s="74">
        <v>535025.0</v>
      </c>
      <c r="BK420" s="74">
        <v>507070.0</v>
      </c>
      <c r="BL420" s="74"/>
      <c r="BM420" s="74"/>
      <c r="BN420" s="74"/>
      <c r="BO420" s="74"/>
      <c r="BP420" s="74"/>
      <c r="BQ420" s="74"/>
      <c r="BR420" s="74"/>
      <c r="BS420" s="1"/>
      <c r="BT420" s="9"/>
      <c r="BU420" s="9"/>
      <c r="BV420" s="1"/>
      <c r="BW420" s="1"/>
      <c r="BX420" s="1"/>
      <c r="BY420" s="1"/>
      <c r="BZ420" s="1"/>
    </row>
    <row r="421">
      <c r="A421" s="3"/>
      <c r="B421" s="33"/>
      <c r="C421" s="155"/>
      <c r="D421" s="155" t="s">
        <v>257</v>
      </c>
      <c r="E421" s="134"/>
      <c r="F421" s="134"/>
      <c r="G421" s="14"/>
      <c r="H421" s="14"/>
      <c r="I421" s="14"/>
      <c r="J421" s="14"/>
      <c r="K421" s="14"/>
      <c r="L421" s="1"/>
      <c r="M421" s="1"/>
      <c r="N421" s="1"/>
      <c r="O421" s="1"/>
      <c r="P421" s="1"/>
      <c r="Q421" s="1"/>
      <c r="R421" s="1"/>
      <c r="S421" s="74">
        <v>151909.0</v>
      </c>
      <c r="T421" s="74">
        <v>172819.0</v>
      </c>
      <c r="U421" s="74">
        <v>114459.0</v>
      </c>
      <c r="V421" s="74">
        <v>73555.0</v>
      </c>
      <c r="W421" s="74">
        <v>70818.0</v>
      </c>
      <c r="X421" s="74">
        <v>97934.0</v>
      </c>
      <c r="Y421" s="74">
        <v>137613.0</v>
      </c>
      <c r="Z421" s="74">
        <v>84514.0</v>
      </c>
      <c r="AA421" s="74">
        <v>115966.0</v>
      </c>
      <c r="AB421" s="74">
        <v>85869.0</v>
      </c>
      <c r="AC421" s="74">
        <v>90442.0</v>
      </c>
      <c r="AD421" s="74">
        <v>115609.0</v>
      </c>
      <c r="AE421" s="74">
        <v>179525.0</v>
      </c>
      <c r="AF421" s="74">
        <v>108912.0</v>
      </c>
      <c r="AG421" s="74">
        <v>179728.0</v>
      </c>
      <c r="AH421" s="74">
        <v>164805.0</v>
      </c>
      <c r="AI421" s="74">
        <v>129103.0</v>
      </c>
      <c r="AJ421" s="74">
        <v>148233.0</v>
      </c>
      <c r="AK421" s="74">
        <v>198540.0</v>
      </c>
      <c r="AL421" s="74">
        <v>187004.0</v>
      </c>
      <c r="AM421" s="74">
        <v>170082.0</v>
      </c>
      <c r="AN421" s="74">
        <v>103783.0</v>
      </c>
      <c r="AO421" s="74">
        <v>108084.0</v>
      </c>
      <c r="AP421" s="74">
        <v>123967.0</v>
      </c>
      <c r="AQ421" s="74">
        <v>91754.0</v>
      </c>
      <c r="AR421" s="74">
        <v>150871.0</v>
      </c>
      <c r="AS421" s="74">
        <v>175733.0</v>
      </c>
      <c r="AT421" s="74">
        <v>216399.0</v>
      </c>
      <c r="AU421" s="74">
        <v>266921.0</v>
      </c>
      <c r="AV421" s="74">
        <v>283304.0</v>
      </c>
      <c r="AW421" s="74">
        <v>103101.0</v>
      </c>
      <c r="AX421" s="74">
        <v>107918.0</v>
      </c>
      <c r="AY421" s="74">
        <v>133624.0</v>
      </c>
      <c r="AZ421" s="74">
        <v>160749.0</v>
      </c>
      <c r="BA421" s="74">
        <v>165600.0</v>
      </c>
      <c r="BB421" s="74">
        <v>83784.0</v>
      </c>
      <c r="BC421" s="74">
        <v>99876.0</v>
      </c>
      <c r="BD421" s="74">
        <v>103366.0</v>
      </c>
      <c r="BE421" s="74">
        <v>127216.0</v>
      </c>
      <c r="BF421" s="74">
        <v>202059.0</v>
      </c>
      <c r="BG421" s="74">
        <v>128937.0</v>
      </c>
      <c r="BH421" s="74">
        <v>86378.0</v>
      </c>
      <c r="BI421" s="74">
        <v>94391.0</v>
      </c>
      <c r="BJ421" s="74">
        <v>44771.0</v>
      </c>
      <c r="BK421" s="74">
        <v>75058.0</v>
      </c>
      <c r="BL421" s="74"/>
      <c r="BM421" s="74"/>
      <c r="BN421" s="74"/>
      <c r="BO421" s="74"/>
      <c r="BP421" s="74"/>
      <c r="BQ421" s="74"/>
      <c r="BR421" s="74"/>
      <c r="BS421" s="1"/>
      <c r="BT421" s="9"/>
      <c r="BU421" s="9"/>
      <c r="BV421" s="1"/>
      <c r="BW421" s="1"/>
      <c r="BX421" s="1"/>
      <c r="BY421" s="1"/>
      <c r="BZ421" s="1"/>
    </row>
    <row r="422">
      <c r="A422" s="3"/>
      <c r="B422" s="33"/>
      <c r="C422" s="147"/>
      <c r="D422" s="147" t="s">
        <v>261</v>
      </c>
      <c r="E422" s="134"/>
      <c r="F422" s="134"/>
      <c r="G422" s="14"/>
      <c r="H422" s="14"/>
      <c r="I422" s="14"/>
      <c r="J422" s="14"/>
      <c r="K422" s="14"/>
      <c r="L422" s="1"/>
      <c r="M422" s="1"/>
      <c r="N422" s="1"/>
      <c r="O422" s="1"/>
      <c r="P422" s="1"/>
      <c r="Q422" s="1"/>
      <c r="R422" s="1"/>
      <c r="S422" s="3">
        <v>0.0</v>
      </c>
      <c r="T422" s="3">
        <v>0.0</v>
      </c>
      <c r="U422" s="74">
        <v>9768.0</v>
      </c>
      <c r="V422" s="74">
        <v>35742.0</v>
      </c>
      <c r="W422" s="74">
        <v>12210.0</v>
      </c>
      <c r="X422" s="74">
        <v>29526.0</v>
      </c>
      <c r="Y422" s="74">
        <v>42402.0</v>
      </c>
      <c r="Z422" s="74">
        <v>47730.0</v>
      </c>
      <c r="AA422" s="74">
        <v>34632.0</v>
      </c>
      <c r="AB422" s="74">
        <v>53946.0</v>
      </c>
      <c r="AC422" s="74">
        <v>57942.0</v>
      </c>
      <c r="AD422" s="74">
        <v>102120.0</v>
      </c>
      <c r="AE422" s="74">
        <v>105672.0</v>
      </c>
      <c r="AF422" s="74">
        <v>73482.0</v>
      </c>
      <c r="AG422" s="74">
        <v>227328.0</v>
      </c>
      <c r="AH422" s="74">
        <v>134754.0</v>
      </c>
      <c r="AI422" s="74">
        <v>119880.0</v>
      </c>
      <c r="AJ422" s="74">
        <v>81918.0</v>
      </c>
      <c r="AK422" s="74">
        <v>100566.0</v>
      </c>
      <c r="AL422" s="74">
        <v>91464.0</v>
      </c>
      <c r="AM422" s="74">
        <v>75258.0</v>
      </c>
      <c r="AN422" s="74">
        <v>86136.0</v>
      </c>
      <c r="AO422" s="74">
        <v>98790.0</v>
      </c>
      <c r="AP422" s="74">
        <v>88578.0</v>
      </c>
      <c r="AQ422" s="74">
        <v>102120.0</v>
      </c>
      <c r="AR422" s="74">
        <v>102120.0</v>
      </c>
      <c r="AS422" s="74">
        <v>163170.0</v>
      </c>
      <c r="AT422" s="74">
        <v>170052.0</v>
      </c>
      <c r="AU422" s="74">
        <v>168720.0</v>
      </c>
      <c r="AV422" s="74">
        <v>157176.0</v>
      </c>
      <c r="AW422" s="74">
        <v>153624.0</v>
      </c>
      <c r="AX422" s="74">
        <v>119880.0</v>
      </c>
      <c r="AY422" s="74">
        <v>123876.0</v>
      </c>
      <c r="AZ422" s="74">
        <v>89688.0</v>
      </c>
      <c r="BA422" s="74">
        <v>87246.0</v>
      </c>
      <c r="BB422" s="74">
        <v>87912.0</v>
      </c>
      <c r="BC422" s="74">
        <v>78366.0</v>
      </c>
      <c r="BD422" s="74">
        <v>79032.0</v>
      </c>
      <c r="BE422" s="74">
        <v>85248.0</v>
      </c>
      <c r="BF422" s="74">
        <v>269952.0</v>
      </c>
      <c r="BG422" s="74">
        <v>253524.0</v>
      </c>
      <c r="BH422" s="74">
        <v>98568.0</v>
      </c>
      <c r="BI422" s="74">
        <v>75924.0</v>
      </c>
      <c r="BJ422" s="74">
        <v>78366.0</v>
      </c>
      <c r="BK422" s="74">
        <v>45954.0</v>
      </c>
      <c r="BL422" s="74"/>
      <c r="BM422" s="74"/>
      <c r="BN422" s="74"/>
      <c r="BO422" s="74"/>
      <c r="BP422" s="74"/>
      <c r="BQ422" s="74"/>
      <c r="BR422" s="74"/>
      <c r="BS422" s="1"/>
      <c r="BT422" s="9"/>
      <c r="BU422" s="9"/>
      <c r="BV422" s="1"/>
      <c r="BW422" s="1"/>
      <c r="BX422" s="1"/>
      <c r="BY422" s="1"/>
      <c r="BZ422" s="1"/>
    </row>
    <row r="423">
      <c r="A423" s="3"/>
      <c r="B423" s="33"/>
      <c r="C423" s="146"/>
      <c r="D423" s="146"/>
      <c r="E423" s="134"/>
      <c r="F423" s="134"/>
      <c r="G423" s="14"/>
      <c r="H423" s="14"/>
      <c r="I423" s="14"/>
      <c r="J423" s="14"/>
      <c r="K423" s="1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9"/>
      <c r="BU423" s="9"/>
      <c r="BV423" s="1"/>
      <c r="BW423" s="1"/>
      <c r="BX423" s="1"/>
      <c r="BY423" s="1"/>
      <c r="BZ423" s="1"/>
    </row>
    <row r="424">
      <c r="A424" s="3"/>
      <c r="B424" s="33"/>
      <c r="C424" s="146"/>
      <c r="D424" s="146"/>
      <c r="E424" s="134"/>
      <c r="F424" s="134"/>
      <c r="G424" s="14"/>
      <c r="H424" s="14"/>
      <c r="I424" s="14"/>
      <c r="J424" s="14"/>
      <c r="K424" s="1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9"/>
      <c r="BU424" s="9"/>
      <c r="BV424" s="1"/>
      <c r="BW424" s="1"/>
      <c r="BX424" s="1"/>
      <c r="BY424" s="1"/>
      <c r="BZ424" s="1"/>
    </row>
    <row r="425">
      <c r="A425" s="3"/>
      <c r="B425" s="33"/>
      <c r="C425" s="122"/>
      <c r="D425" s="122" t="s">
        <v>333</v>
      </c>
      <c r="E425" s="134"/>
      <c r="F425" s="134"/>
      <c r="G425" s="14"/>
      <c r="H425" s="14"/>
      <c r="I425" s="14"/>
      <c r="J425" s="14"/>
      <c r="K425" s="1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9"/>
      <c r="BU425" s="9"/>
      <c r="BV425" s="1"/>
      <c r="BW425" s="1"/>
      <c r="BX425" s="1"/>
      <c r="BY425" s="1"/>
      <c r="BZ425" s="1"/>
    </row>
    <row r="426">
      <c r="A426" s="3"/>
      <c r="B426" s="33"/>
      <c r="C426" s="147"/>
      <c r="D426" s="147" t="s">
        <v>246</v>
      </c>
      <c r="E426" s="134"/>
      <c r="F426" s="134"/>
      <c r="G426" s="14"/>
      <c r="H426" s="14"/>
      <c r="I426" s="14"/>
      <c r="J426" s="14"/>
      <c r="K426" s="14"/>
      <c r="L426" s="1"/>
      <c r="M426" s="1"/>
      <c r="N426" s="1"/>
      <c r="O426" s="1"/>
      <c r="P426" s="1"/>
      <c r="Q426" s="1"/>
      <c r="R426" s="1"/>
      <c r="S426" s="74">
        <v>136447.0</v>
      </c>
      <c r="T426" s="74">
        <v>665639.0</v>
      </c>
      <c r="U426" s="74">
        <v>1496681.0</v>
      </c>
      <c r="V426" s="74">
        <v>2094483.0</v>
      </c>
      <c r="W426" s="74">
        <v>1137581.0</v>
      </c>
      <c r="X426" s="74">
        <v>536139.0</v>
      </c>
      <c r="Y426" s="74">
        <v>693872.0</v>
      </c>
      <c r="Z426" s="74">
        <v>828943.0</v>
      </c>
      <c r="AA426" s="74">
        <v>673080.0</v>
      </c>
      <c r="AB426" s="74">
        <v>247115.0</v>
      </c>
      <c r="AC426" s="74">
        <v>310733.0</v>
      </c>
      <c r="AD426" s="74">
        <v>810772.0</v>
      </c>
      <c r="AE426" s="74">
        <v>852020.0</v>
      </c>
      <c r="AF426" s="74">
        <v>441787.0</v>
      </c>
      <c r="AG426" s="74">
        <v>426056.0</v>
      </c>
      <c r="AH426" s="74">
        <v>1086147.0</v>
      </c>
      <c r="AI426" s="74">
        <v>660423.0</v>
      </c>
      <c r="AJ426" s="74">
        <v>308976.0</v>
      </c>
      <c r="AK426" s="74">
        <v>1427562.0</v>
      </c>
      <c r="AL426" s="74">
        <v>629493.0</v>
      </c>
      <c r="AM426" s="74">
        <v>549941.0</v>
      </c>
      <c r="AN426" s="74">
        <v>491823.0</v>
      </c>
      <c r="AO426" s="74">
        <v>817770.0</v>
      </c>
      <c r="AP426" s="74">
        <v>924311.0</v>
      </c>
      <c r="AQ426" s="74">
        <v>1114826.0</v>
      </c>
      <c r="AR426" s="74">
        <v>1545397.0</v>
      </c>
      <c r="AS426" s="74">
        <v>1784501.0</v>
      </c>
      <c r="AT426" s="74">
        <v>813551.0</v>
      </c>
      <c r="AU426" s="74">
        <v>752946.0</v>
      </c>
      <c r="AV426" s="74">
        <v>437738.0</v>
      </c>
      <c r="AW426" s="74">
        <v>216881.0</v>
      </c>
      <c r="AX426" s="74">
        <v>302930.0</v>
      </c>
      <c r="AY426" s="74">
        <v>-19445.0</v>
      </c>
      <c r="AZ426" s="74">
        <v>-342954.0</v>
      </c>
      <c r="BA426" s="74">
        <v>-292241.0</v>
      </c>
      <c r="BB426" s="74">
        <v>-246916.0</v>
      </c>
      <c r="BC426" s="74">
        <v>-233718.0</v>
      </c>
      <c r="BD426" s="74">
        <v>-127359.0</v>
      </c>
      <c r="BE426" s="74">
        <v>-164449.0</v>
      </c>
      <c r="BF426" s="74">
        <v>2020606.0</v>
      </c>
      <c r="BG426" s="74">
        <v>657492.0</v>
      </c>
      <c r="BH426" s="74">
        <v>1846280.0</v>
      </c>
      <c r="BI426" s="74">
        <v>530822.0</v>
      </c>
      <c r="BJ426" s="74">
        <v>311755.0</v>
      </c>
      <c r="BK426" s="74">
        <v>245523.0</v>
      </c>
      <c r="BL426" s="74"/>
      <c r="BM426" s="74"/>
      <c r="BN426" s="74"/>
      <c r="BO426" s="74"/>
      <c r="BP426" s="74"/>
      <c r="BQ426" s="74"/>
      <c r="BR426" s="74"/>
      <c r="BS426" s="1"/>
      <c r="BT426" s="9"/>
      <c r="BU426" s="9"/>
      <c r="BV426" s="1"/>
      <c r="BW426" s="1"/>
      <c r="BX426" s="1"/>
      <c r="BY426" s="1"/>
      <c r="BZ426" s="1"/>
    </row>
    <row r="427">
      <c r="A427" s="3"/>
      <c r="B427" s="33"/>
      <c r="C427" s="147"/>
      <c r="D427" s="147" t="s">
        <v>248</v>
      </c>
      <c r="E427" s="134"/>
      <c r="F427" s="134"/>
      <c r="G427" s="14"/>
      <c r="H427" s="14"/>
      <c r="I427" s="14"/>
      <c r="J427" s="14"/>
      <c r="K427" s="14"/>
      <c r="L427" s="1"/>
      <c r="M427" s="1"/>
      <c r="N427" s="1"/>
      <c r="O427" s="1"/>
      <c r="P427" s="1"/>
      <c r="Q427" s="1"/>
      <c r="R427" s="1"/>
      <c r="S427" s="74">
        <v>155573.0</v>
      </c>
      <c r="T427" s="74">
        <v>171515.0</v>
      </c>
      <c r="U427" s="74">
        <v>241388.0</v>
      </c>
      <c r="V427" s="74">
        <v>122185.0</v>
      </c>
      <c r="W427" s="74">
        <v>169611.0</v>
      </c>
      <c r="X427" s="74">
        <v>712077.0</v>
      </c>
      <c r="Y427" s="74">
        <v>877365.0</v>
      </c>
      <c r="Z427" s="74">
        <v>1157020.0</v>
      </c>
      <c r="AA427" s="74">
        <v>884709.0</v>
      </c>
      <c r="AB427" s="74">
        <v>248735.0</v>
      </c>
      <c r="AC427" s="74">
        <v>153409.0</v>
      </c>
      <c r="AD427" s="74">
        <v>427834.0</v>
      </c>
      <c r="AE427" s="74">
        <v>491238.0</v>
      </c>
      <c r="AF427" s="74">
        <v>154682.0</v>
      </c>
      <c r="AG427" s="74">
        <v>219938.0</v>
      </c>
      <c r="AH427" s="74">
        <v>1296669.0</v>
      </c>
      <c r="AI427" s="74">
        <v>833100.0</v>
      </c>
      <c r="AJ427" s="74">
        <v>626764.0</v>
      </c>
      <c r="AK427" s="74">
        <v>511796.0</v>
      </c>
      <c r="AL427" s="74">
        <v>353802.0</v>
      </c>
      <c r="AM427" s="74">
        <v>695138.0</v>
      </c>
      <c r="AN427" s="74">
        <v>386614.0</v>
      </c>
      <c r="AO427" s="74">
        <v>768570.0</v>
      </c>
      <c r="AP427" s="74">
        <v>1803836.0</v>
      </c>
      <c r="AQ427" s="74">
        <v>1989427.0</v>
      </c>
      <c r="AR427" s="74">
        <v>2322090.0</v>
      </c>
      <c r="AS427" s="74">
        <v>1572064.0</v>
      </c>
      <c r="AT427" s="74">
        <v>854851.0</v>
      </c>
      <c r="AU427" s="74">
        <v>1172288.0</v>
      </c>
      <c r="AV427" s="74">
        <v>279882.0</v>
      </c>
      <c r="AW427" s="74">
        <v>317766.0</v>
      </c>
      <c r="AX427" s="74">
        <v>170783.0</v>
      </c>
      <c r="AY427" s="74">
        <v>-398354.0</v>
      </c>
      <c r="AZ427" s="74">
        <v>-416398.0</v>
      </c>
      <c r="BA427" s="74">
        <v>-170107.0</v>
      </c>
      <c r="BB427" s="74">
        <v>-245519.0</v>
      </c>
      <c r="BC427" s="74">
        <v>-310192.0</v>
      </c>
      <c r="BD427" s="74">
        <v>-401183.0</v>
      </c>
      <c r="BE427" s="74">
        <v>-785099.0</v>
      </c>
      <c r="BF427" s="74">
        <v>677821.0</v>
      </c>
      <c r="BG427" s="74">
        <v>387928.0</v>
      </c>
      <c r="BH427" s="74">
        <v>1889935.0</v>
      </c>
      <c r="BI427" s="74">
        <v>593406.0</v>
      </c>
      <c r="BJ427" s="74">
        <v>128579.0</v>
      </c>
      <c r="BK427" s="74">
        <v>-377976.0</v>
      </c>
      <c r="BL427" s="74"/>
      <c r="BM427" s="74"/>
      <c r="BN427" s="74"/>
      <c r="BO427" s="74"/>
      <c r="BP427" s="74"/>
      <c r="BQ427" s="74"/>
      <c r="BR427" s="74"/>
      <c r="BS427" s="1"/>
      <c r="BT427" s="9"/>
      <c r="BU427" s="9"/>
      <c r="BV427" s="1"/>
      <c r="BW427" s="1"/>
      <c r="BX427" s="1"/>
      <c r="BY427" s="1"/>
      <c r="BZ427" s="1"/>
    </row>
    <row r="428">
      <c r="A428" s="3"/>
      <c r="B428" s="33"/>
      <c r="C428" s="147"/>
      <c r="D428" s="147" t="s">
        <v>251</v>
      </c>
      <c r="E428" s="134"/>
      <c r="F428" s="134"/>
      <c r="G428" s="14"/>
      <c r="H428" s="14"/>
      <c r="I428" s="14"/>
      <c r="J428" s="14"/>
      <c r="K428" s="14"/>
      <c r="L428" s="1"/>
      <c r="M428" s="1"/>
      <c r="N428" s="1"/>
      <c r="O428" s="1"/>
      <c r="P428" s="1"/>
      <c r="Q428" s="1"/>
      <c r="R428" s="1"/>
      <c r="S428" s="74">
        <v>-29198.0</v>
      </c>
      <c r="T428" s="74">
        <v>-28850.0</v>
      </c>
      <c r="U428" s="74">
        <v>-5113.0</v>
      </c>
      <c r="V428" s="74">
        <v>-10483.0</v>
      </c>
      <c r="W428" s="74">
        <v>12442.0</v>
      </c>
      <c r="X428" s="74">
        <v>106362.0</v>
      </c>
      <c r="Y428" s="74">
        <v>76922.0</v>
      </c>
      <c r="Z428" s="74">
        <v>100150.0</v>
      </c>
      <c r="AA428" s="74">
        <v>68936.0</v>
      </c>
      <c r="AB428" s="74">
        <v>47709.0</v>
      </c>
      <c r="AC428" s="74">
        <v>141980.0</v>
      </c>
      <c r="AD428" s="74">
        <v>72988.0</v>
      </c>
      <c r="AE428" s="74">
        <v>114029.0</v>
      </c>
      <c r="AF428" s="74">
        <v>75580.0</v>
      </c>
      <c r="AG428" s="74">
        <v>458067.0</v>
      </c>
      <c r="AH428" s="74">
        <v>130628.0</v>
      </c>
      <c r="AI428" s="74">
        <v>2326.0</v>
      </c>
      <c r="AJ428" s="74">
        <v>9996.0</v>
      </c>
      <c r="AK428" s="74">
        <v>6516.0</v>
      </c>
      <c r="AL428" s="74">
        <v>-6806.0</v>
      </c>
      <c r="AM428" s="74">
        <v>-13043.0</v>
      </c>
      <c r="AN428" s="74">
        <v>-48912.0</v>
      </c>
      <c r="AO428" s="74">
        <v>-56077.0</v>
      </c>
      <c r="AP428" s="74">
        <v>-25120.0</v>
      </c>
      <c r="AQ428" s="74">
        <v>-22516.0</v>
      </c>
      <c r="AR428" s="74">
        <v>34214.0</v>
      </c>
      <c r="AS428" s="74">
        <v>10817.0</v>
      </c>
      <c r="AT428" s="74">
        <v>8962.0</v>
      </c>
      <c r="AU428" s="74">
        <v>615877.0</v>
      </c>
      <c r="AV428" s="74">
        <v>160717.0</v>
      </c>
      <c r="AW428" s="74">
        <v>-693.0</v>
      </c>
      <c r="AX428" s="74">
        <v>-65428.0</v>
      </c>
      <c r="AY428" s="74">
        <v>-94369.0</v>
      </c>
      <c r="AZ428" s="74">
        <v>-78063.0</v>
      </c>
      <c r="BA428" s="74">
        <v>-87121.0</v>
      </c>
      <c r="BB428" s="74">
        <v>-78504.0</v>
      </c>
      <c r="BC428" s="74">
        <v>-117006.0</v>
      </c>
      <c r="BD428" s="74">
        <v>-156047.0</v>
      </c>
      <c r="BE428" s="74">
        <v>-213196.0</v>
      </c>
      <c r="BF428" s="74">
        <v>572325.0</v>
      </c>
      <c r="BG428" s="74">
        <v>276284.0</v>
      </c>
      <c r="BH428" s="74">
        <v>24762.0</v>
      </c>
      <c r="BI428" s="74">
        <v>-149941.0</v>
      </c>
      <c r="BJ428" s="74">
        <v>-219656.0</v>
      </c>
      <c r="BK428" s="74">
        <v>-99354.0</v>
      </c>
      <c r="BL428" s="74"/>
      <c r="BM428" s="74"/>
      <c r="BN428" s="74"/>
      <c r="BO428" s="74"/>
      <c r="BP428" s="74"/>
      <c r="BQ428" s="74"/>
      <c r="BR428" s="74"/>
      <c r="BS428" s="1"/>
      <c r="BT428" s="9"/>
      <c r="BU428" s="9"/>
      <c r="BV428" s="1"/>
      <c r="BW428" s="1"/>
      <c r="BX428" s="1"/>
      <c r="BY428" s="1"/>
      <c r="BZ428" s="1"/>
    </row>
    <row r="429">
      <c r="A429" s="3"/>
      <c r="B429" s="33"/>
      <c r="C429" s="147"/>
      <c r="D429" s="147" t="s">
        <v>253</v>
      </c>
      <c r="E429" s="134"/>
      <c r="F429" s="134"/>
      <c r="G429" s="14"/>
      <c r="H429" s="14"/>
      <c r="I429" s="14"/>
      <c r="J429" s="14"/>
      <c r="K429" s="14"/>
      <c r="L429" s="1"/>
      <c r="M429" s="1"/>
      <c r="N429" s="1"/>
      <c r="O429" s="1"/>
      <c r="P429" s="1"/>
      <c r="Q429" s="1"/>
      <c r="R429" s="1"/>
      <c r="S429" s="74">
        <v>34640.0</v>
      </c>
      <c r="T429" s="74">
        <v>35317.0</v>
      </c>
      <c r="U429" s="74">
        <v>22881.0</v>
      </c>
      <c r="V429" s="74">
        <v>18631.0</v>
      </c>
      <c r="W429" s="74">
        <v>13514.0</v>
      </c>
      <c r="X429" s="74">
        <v>46391.0</v>
      </c>
      <c r="Y429" s="74">
        <v>64913.0</v>
      </c>
      <c r="Z429" s="74">
        <v>56441.0</v>
      </c>
      <c r="AA429" s="74">
        <v>37013.0</v>
      </c>
      <c r="AB429" s="74">
        <v>18662.0</v>
      </c>
      <c r="AC429" s="74">
        <v>27666.0</v>
      </c>
      <c r="AD429" s="74">
        <v>35650.0</v>
      </c>
      <c r="AE429" s="74">
        <v>46823.0</v>
      </c>
      <c r="AF429" s="74">
        <v>12696.0</v>
      </c>
      <c r="AG429" s="74">
        <v>-4566.0</v>
      </c>
      <c r="AH429" s="74">
        <v>-3543.0</v>
      </c>
      <c r="AI429" s="74">
        <v>12140.0</v>
      </c>
      <c r="AJ429" s="74">
        <v>39503.0</v>
      </c>
      <c r="AK429" s="74">
        <v>7966.0</v>
      </c>
      <c r="AL429" s="3">
        <v>-497.0</v>
      </c>
      <c r="AM429" s="3">
        <v>989.0</v>
      </c>
      <c r="AN429" s="74">
        <v>-9380.0</v>
      </c>
      <c r="AO429" s="74">
        <v>2508.0</v>
      </c>
      <c r="AP429" s="74">
        <v>46129.0</v>
      </c>
      <c r="AQ429" s="74">
        <v>72818.0</v>
      </c>
      <c r="AR429" s="74">
        <v>93116.0</v>
      </c>
      <c r="AS429" s="74">
        <v>75399.0</v>
      </c>
      <c r="AT429" s="74">
        <v>-26440.0</v>
      </c>
      <c r="AU429" s="74">
        <v>-40589.0</v>
      </c>
      <c r="AV429" s="74">
        <v>11234.0</v>
      </c>
      <c r="AW429" s="74">
        <v>79063.0</v>
      </c>
      <c r="AX429" s="74">
        <v>102909.0</v>
      </c>
      <c r="AY429" s="74">
        <v>-12586.0</v>
      </c>
      <c r="AZ429" s="74">
        <v>-38003.0</v>
      </c>
      <c r="BA429" s="74">
        <v>-38972.0</v>
      </c>
      <c r="BB429" s="74">
        <v>-26986.0</v>
      </c>
      <c r="BC429" s="74">
        <v>-64662.0</v>
      </c>
      <c r="BD429" s="74">
        <v>-95628.0</v>
      </c>
      <c r="BE429" s="74">
        <v>-88767.0</v>
      </c>
      <c r="BF429" s="74">
        <v>-113756.0</v>
      </c>
      <c r="BG429" s="74">
        <v>-142611.0</v>
      </c>
      <c r="BH429" s="74">
        <v>-117310.0</v>
      </c>
      <c r="BI429" s="74">
        <v>-77648.0</v>
      </c>
      <c r="BJ429" s="74">
        <v>-89346.0</v>
      </c>
      <c r="BK429" s="74">
        <v>-57488.0</v>
      </c>
      <c r="BL429" s="74"/>
      <c r="BM429" s="74"/>
      <c r="BN429" s="74"/>
      <c r="BO429" s="74"/>
      <c r="BP429" s="74"/>
      <c r="BQ429" s="74"/>
      <c r="BR429" s="74"/>
      <c r="BS429" s="1"/>
      <c r="BT429" s="9"/>
      <c r="BU429" s="9"/>
      <c r="BV429" s="1"/>
      <c r="BW429" s="1"/>
      <c r="BX429" s="1"/>
      <c r="BY429" s="1"/>
      <c r="BZ429" s="1"/>
    </row>
    <row r="430">
      <c r="A430" s="3"/>
      <c r="B430" s="33"/>
      <c r="C430" s="147"/>
      <c r="D430" s="147" t="s">
        <v>255</v>
      </c>
      <c r="E430" s="134"/>
      <c r="F430" s="134"/>
      <c r="G430" s="14"/>
      <c r="H430" s="14"/>
      <c r="I430" s="14"/>
      <c r="J430" s="14"/>
      <c r="K430" s="14"/>
      <c r="L430" s="1"/>
      <c r="M430" s="1"/>
      <c r="N430" s="1"/>
      <c r="O430" s="1"/>
      <c r="P430" s="1"/>
      <c r="Q430" s="1"/>
      <c r="R430" s="1"/>
      <c r="S430" s="74">
        <v>6529.0</v>
      </c>
      <c r="T430" s="74">
        <v>10460.0</v>
      </c>
      <c r="U430" s="74">
        <v>26590.0</v>
      </c>
      <c r="V430" s="74">
        <v>4863.0</v>
      </c>
      <c r="W430" s="74">
        <v>14578.0</v>
      </c>
      <c r="X430" s="74">
        <v>56969.0</v>
      </c>
      <c r="Y430" s="74">
        <v>48790.0</v>
      </c>
      <c r="Z430" s="74">
        <v>23697.0</v>
      </c>
      <c r="AA430" s="74">
        <v>8730.0</v>
      </c>
      <c r="AB430" s="74">
        <v>6381.0</v>
      </c>
      <c r="AC430" s="74">
        <v>5724.0</v>
      </c>
      <c r="AD430" s="74">
        <v>5964.0</v>
      </c>
      <c r="AE430" s="74">
        <v>7055.0</v>
      </c>
      <c r="AF430" s="74">
        <v>-7581.0</v>
      </c>
      <c r="AG430" s="74">
        <v>-6616.0</v>
      </c>
      <c r="AH430" s="74">
        <v>-1882.0</v>
      </c>
      <c r="AI430" s="74">
        <v>-8931.0</v>
      </c>
      <c r="AJ430" s="74">
        <v>6932.0</v>
      </c>
      <c r="AK430" s="74">
        <v>7965.0</v>
      </c>
      <c r="AL430" s="3">
        <v>-76.0</v>
      </c>
      <c r="AM430" s="74">
        <v>-11105.0</v>
      </c>
      <c r="AN430" s="74">
        <v>-3185.0</v>
      </c>
      <c r="AO430" s="74">
        <v>1203.0</v>
      </c>
      <c r="AP430" s="74">
        <v>2358.0</v>
      </c>
      <c r="AQ430" s="74">
        <v>7666.0</v>
      </c>
      <c r="AR430" s="74">
        <v>34381.0</v>
      </c>
      <c r="AS430" s="74">
        <v>23848.0</v>
      </c>
      <c r="AT430" s="74">
        <v>-15106.0</v>
      </c>
      <c r="AU430" s="74">
        <v>-19021.0</v>
      </c>
      <c r="AV430" s="74">
        <v>-21558.0</v>
      </c>
      <c r="AW430" s="74">
        <v>-19201.0</v>
      </c>
      <c r="AX430" s="74">
        <v>-18364.0</v>
      </c>
      <c r="AY430" s="74">
        <v>-28739.0</v>
      </c>
      <c r="AZ430" s="74">
        <v>-22685.0</v>
      </c>
      <c r="BA430" s="74">
        <v>12452.0</v>
      </c>
      <c r="BB430" s="74">
        <v>23953.0</v>
      </c>
      <c r="BC430" s="74">
        <v>21399.0</v>
      </c>
      <c r="BD430" s="74">
        <v>-5096.0</v>
      </c>
      <c r="BE430" s="74">
        <v>-19166.0</v>
      </c>
      <c r="BF430" s="74">
        <v>-24915.0</v>
      </c>
      <c r="BG430" s="74">
        <v>-6769.0</v>
      </c>
      <c r="BH430" s="74">
        <v>68166.0</v>
      </c>
      <c r="BI430" s="74">
        <v>40768.0</v>
      </c>
      <c r="BJ430" s="74">
        <v>20959.0</v>
      </c>
      <c r="BK430" s="74">
        <v>-9585.0</v>
      </c>
      <c r="BL430" s="74"/>
      <c r="BM430" s="74"/>
      <c r="BN430" s="74"/>
      <c r="BO430" s="74"/>
      <c r="BP430" s="74"/>
      <c r="BQ430" s="74"/>
      <c r="BR430" s="74"/>
      <c r="BS430" s="1"/>
      <c r="BT430" s="9"/>
      <c r="BU430" s="9"/>
      <c r="BV430" s="1"/>
      <c r="BW430" s="1"/>
      <c r="BX430" s="1"/>
      <c r="BY430" s="1"/>
      <c r="BZ430" s="1"/>
    </row>
    <row r="431">
      <c r="A431" s="3"/>
      <c r="B431" s="33"/>
      <c r="C431" s="155"/>
      <c r="D431" s="155" t="s">
        <v>257</v>
      </c>
      <c r="E431" s="134"/>
      <c r="F431" s="134"/>
      <c r="G431" s="14"/>
      <c r="H431" s="14"/>
      <c r="I431" s="14"/>
      <c r="J431" s="14"/>
      <c r="K431" s="14"/>
      <c r="L431" s="1"/>
      <c r="M431" s="1"/>
      <c r="N431" s="1"/>
      <c r="O431" s="1"/>
      <c r="P431" s="1"/>
      <c r="Q431" s="1"/>
      <c r="R431" s="1"/>
      <c r="S431" s="74">
        <v>19046.0</v>
      </c>
      <c r="T431" s="74">
        <v>28997.0</v>
      </c>
      <c r="U431" s="74">
        <v>19786.0</v>
      </c>
      <c r="V431" s="74">
        <v>5256.0</v>
      </c>
      <c r="W431" s="74">
        <v>-1043.0</v>
      </c>
      <c r="X431" s="74">
        <v>4712.0</v>
      </c>
      <c r="Y431" s="74">
        <v>7556.0</v>
      </c>
      <c r="Z431" s="74">
        <v>1593.0</v>
      </c>
      <c r="AA431" s="74">
        <v>-1671.0</v>
      </c>
      <c r="AB431" s="74">
        <v>-1935.0</v>
      </c>
      <c r="AC431" s="74">
        <v>-4538.0</v>
      </c>
      <c r="AD431" s="3">
        <v>463.0</v>
      </c>
      <c r="AE431" s="74">
        <v>10867.0</v>
      </c>
      <c r="AF431" s="74">
        <v>-4695.0</v>
      </c>
      <c r="AG431" s="74">
        <v>32882.0</v>
      </c>
      <c r="AH431" s="74">
        <v>6891.0</v>
      </c>
      <c r="AI431" s="74">
        <v>-2455.0</v>
      </c>
      <c r="AJ431" s="74">
        <v>10695.0</v>
      </c>
      <c r="AK431" s="74">
        <v>8239.0</v>
      </c>
      <c r="AL431" s="74">
        <v>5106.0</v>
      </c>
      <c r="AM431" s="3">
        <v>62.0</v>
      </c>
      <c r="AN431" s="3">
        <v>-935.0</v>
      </c>
      <c r="AO431" s="74">
        <v>3395.0</v>
      </c>
      <c r="AP431" s="74">
        <v>5350.0</v>
      </c>
      <c r="AQ431" s="74">
        <v>6599.0</v>
      </c>
      <c r="AR431" s="74">
        <v>16836.0</v>
      </c>
      <c r="AS431" s="74">
        <v>10558.0</v>
      </c>
      <c r="AT431" s="74">
        <v>13135.0</v>
      </c>
      <c r="AU431" s="74">
        <v>41521.0</v>
      </c>
      <c r="AV431" s="74">
        <v>38743.0</v>
      </c>
      <c r="AW431" s="74">
        <v>12790.0</v>
      </c>
      <c r="AX431" s="74">
        <v>3603.0</v>
      </c>
      <c r="AY431" s="74">
        <v>4008.0</v>
      </c>
      <c r="AZ431" s="74">
        <v>18259.0</v>
      </c>
      <c r="BA431" s="74">
        <v>22365.0</v>
      </c>
      <c r="BB431" s="74">
        <v>7277.0</v>
      </c>
      <c r="BC431" s="74">
        <v>11097.0</v>
      </c>
      <c r="BD431" s="74">
        <v>5188.0</v>
      </c>
      <c r="BE431" s="74">
        <v>-3668.0</v>
      </c>
      <c r="BF431" s="74">
        <v>60169.0</v>
      </c>
      <c r="BG431" s="74">
        <v>31775.0</v>
      </c>
      <c r="BH431" s="74">
        <v>3485.0</v>
      </c>
      <c r="BI431" s="74">
        <v>7664.0</v>
      </c>
      <c r="BJ431" s="74">
        <v>-1403.0</v>
      </c>
      <c r="BK431" s="74">
        <v>-5280.0</v>
      </c>
      <c r="BL431" s="74"/>
      <c r="BM431" s="74"/>
      <c r="BN431" s="74"/>
      <c r="BO431" s="74"/>
      <c r="BP431" s="74"/>
      <c r="BQ431" s="74"/>
      <c r="BR431" s="74"/>
      <c r="BS431" s="1"/>
      <c r="BT431" s="9"/>
      <c r="BU431" s="9"/>
      <c r="BV431" s="1"/>
      <c r="BW431" s="1"/>
      <c r="BX431" s="1"/>
      <c r="BY431" s="1"/>
      <c r="BZ431" s="1"/>
    </row>
    <row r="432">
      <c r="A432" s="3"/>
      <c r="B432" s="33"/>
      <c r="C432" s="147"/>
      <c r="D432" s="147" t="s">
        <v>261</v>
      </c>
      <c r="E432" s="134"/>
      <c r="F432" s="134"/>
      <c r="G432" s="14"/>
      <c r="H432" s="14"/>
      <c r="I432" s="14"/>
      <c r="J432" s="14"/>
      <c r="K432" s="14"/>
      <c r="L432" s="1"/>
      <c r="M432" s="1"/>
      <c r="N432" s="1"/>
      <c r="O432" s="1"/>
      <c r="P432" s="1"/>
      <c r="Q432" s="1"/>
      <c r="R432" s="1"/>
      <c r="S432" s="3">
        <v>0.0</v>
      </c>
      <c r="T432" s="3">
        <v>0.0</v>
      </c>
      <c r="U432" s="3">
        <v>-265.0</v>
      </c>
      <c r="V432" s="74">
        <v>7303.0</v>
      </c>
      <c r="W432" s="3">
        <v>92.0</v>
      </c>
      <c r="X432" s="74">
        <v>1014.0</v>
      </c>
      <c r="Y432" s="74">
        <v>4531.0</v>
      </c>
      <c r="Z432" s="74">
        <v>5659.0</v>
      </c>
      <c r="AA432" s="74">
        <v>2584.0</v>
      </c>
      <c r="AB432" s="74">
        <v>6957.0</v>
      </c>
      <c r="AC432" s="74">
        <v>4363.0</v>
      </c>
      <c r="AD432" s="74">
        <v>19593.0</v>
      </c>
      <c r="AE432" s="74">
        <v>28345.0</v>
      </c>
      <c r="AF432" s="74">
        <v>16960.0</v>
      </c>
      <c r="AG432" s="74">
        <v>102568.0</v>
      </c>
      <c r="AH432" s="74">
        <v>49278.0</v>
      </c>
      <c r="AI432" s="74">
        <v>35431.0</v>
      </c>
      <c r="AJ432" s="74">
        <v>14845.0</v>
      </c>
      <c r="AK432" s="74">
        <v>12434.0</v>
      </c>
      <c r="AL432" s="74">
        <v>12360.0</v>
      </c>
      <c r="AM432" s="74">
        <v>5579.0</v>
      </c>
      <c r="AN432" s="3">
        <v>-823.0</v>
      </c>
      <c r="AO432" s="74">
        <v>6861.0</v>
      </c>
      <c r="AP432" s="74">
        <v>9112.0</v>
      </c>
      <c r="AQ432" s="74">
        <v>14307.0</v>
      </c>
      <c r="AR432" s="74">
        <v>16908.0</v>
      </c>
      <c r="AS432" s="74">
        <v>23531.0</v>
      </c>
      <c r="AT432" s="74">
        <v>25586.0</v>
      </c>
      <c r="AU432" s="74">
        <v>31382.0</v>
      </c>
      <c r="AV432" s="74">
        <v>16588.0</v>
      </c>
      <c r="AW432" s="74">
        <v>27890.0</v>
      </c>
      <c r="AX432" s="74">
        <v>12914.0</v>
      </c>
      <c r="AY432" s="74">
        <v>4106.0</v>
      </c>
      <c r="AZ432" s="74">
        <v>-1779.0</v>
      </c>
      <c r="BA432" s="74">
        <v>-2950.0</v>
      </c>
      <c r="BB432" s="74">
        <v>2089.0</v>
      </c>
      <c r="BC432" s="74">
        <v>431.0</v>
      </c>
      <c r="BD432" s="74">
        <v>-4441.0</v>
      </c>
      <c r="BE432" s="74">
        <v>-5876.0</v>
      </c>
      <c r="BF432" s="74">
        <v>153888.0</v>
      </c>
      <c r="BG432" s="74">
        <v>178216.0</v>
      </c>
      <c r="BH432" s="74">
        <v>16613.0</v>
      </c>
      <c r="BI432" s="74">
        <v>-10569.0</v>
      </c>
      <c r="BJ432" s="74">
        <v>-18030.0</v>
      </c>
      <c r="BK432" s="74">
        <v>-11412.0</v>
      </c>
      <c r="BL432" s="74"/>
      <c r="BM432" s="74"/>
      <c r="BN432" s="74"/>
      <c r="BO432" s="74"/>
      <c r="BP432" s="74"/>
      <c r="BQ432" s="74"/>
      <c r="BR432" s="74"/>
      <c r="BS432" s="1"/>
      <c r="BT432" s="9"/>
      <c r="BU432" s="9"/>
      <c r="BV432" s="1"/>
      <c r="BW432" s="1"/>
      <c r="BX432" s="1"/>
      <c r="BY432" s="1"/>
      <c r="BZ432" s="1"/>
    </row>
    <row r="433">
      <c r="A433" s="3"/>
      <c r="B433" s="33"/>
      <c r="C433" s="146"/>
      <c r="D433" s="146"/>
      <c r="E433" s="134"/>
      <c r="F433" s="134"/>
      <c r="G433" s="14"/>
      <c r="H433" s="14"/>
      <c r="I433" s="14"/>
      <c r="J433" s="14"/>
      <c r="K433" s="1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9"/>
      <c r="BU433" s="9"/>
      <c r="BV433" s="1"/>
      <c r="BW433" s="1"/>
      <c r="BX433" s="1"/>
      <c r="BY433" s="1"/>
      <c r="BZ433" s="1"/>
    </row>
    <row r="434">
      <c r="A434" s="3"/>
      <c r="B434" s="33"/>
      <c r="C434" s="146"/>
      <c r="D434" s="146"/>
      <c r="E434" s="134"/>
      <c r="F434" s="134"/>
      <c r="G434" s="14"/>
      <c r="H434" s="14"/>
      <c r="I434" s="14"/>
      <c r="J434" s="14"/>
      <c r="K434" s="1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9"/>
      <c r="BU434" s="9"/>
      <c r="BV434" s="1"/>
      <c r="BW434" s="1"/>
      <c r="BX434" s="1"/>
      <c r="BY434" s="1"/>
      <c r="BZ434" s="1"/>
    </row>
    <row r="435">
      <c r="A435" s="3"/>
      <c r="B435" s="33"/>
      <c r="C435" s="122"/>
      <c r="D435" s="122" t="s">
        <v>334</v>
      </c>
      <c r="E435" s="134"/>
      <c r="F435" s="134"/>
      <c r="G435" s="14"/>
      <c r="H435" s="14"/>
      <c r="I435" s="14"/>
      <c r="J435" s="14"/>
      <c r="K435" s="1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9"/>
      <c r="BU435" s="9"/>
      <c r="BV435" s="1"/>
      <c r="BW435" s="1"/>
      <c r="BX435" s="1"/>
      <c r="BY435" s="1"/>
      <c r="BZ435" s="1"/>
    </row>
    <row r="436">
      <c r="A436" s="3"/>
      <c r="B436" s="33"/>
      <c r="C436" s="147"/>
      <c r="D436" s="147" t="s">
        <v>246</v>
      </c>
      <c r="E436" s="134"/>
      <c r="F436" s="134"/>
      <c r="G436" s="14"/>
      <c r="H436" s="14"/>
      <c r="I436" s="14"/>
      <c r="J436" s="14"/>
      <c r="K436" s="14"/>
      <c r="L436" s="1"/>
      <c r="M436" s="1"/>
      <c r="N436" s="1"/>
      <c r="O436" s="1"/>
      <c r="P436" s="1"/>
      <c r="Q436" s="1"/>
      <c r="R436" s="1"/>
      <c r="S436" s="33">
        <v>0.0413</v>
      </c>
      <c r="T436" s="33">
        <v>0.162</v>
      </c>
      <c r="U436" s="33">
        <v>0.3228</v>
      </c>
      <c r="V436" s="33">
        <v>0.4114</v>
      </c>
      <c r="W436" s="33">
        <v>0.2909</v>
      </c>
      <c r="X436" s="33">
        <v>0.1449</v>
      </c>
      <c r="Y436" s="33">
        <v>0.1704</v>
      </c>
      <c r="Z436" s="33">
        <v>0.2066</v>
      </c>
      <c r="AA436" s="33">
        <v>0.1665</v>
      </c>
      <c r="AB436" s="33">
        <v>0.068</v>
      </c>
      <c r="AC436" s="33">
        <v>0.0766</v>
      </c>
      <c r="AD436" s="33">
        <v>0.1897</v>
      </c>
      <c r="AE436" s="33">
        <v>0.191</v>
      </c>
      <c r="AF436" s="33">
        <v>0.1073</v>
      </c>
      <c r="AG436" s="33">
        <v>0.0953</v>
      </c>
      <c r="AH436" s="33">
        <v>0.2174</v>
      </c>
      <c r="AI436" s="33">
        <v>0.1554</v>
      </c>
      <c r="AJ436" s="33">
        <v>0.0747</v>
      </c>
      <c r="AK436" s="33">
        <v>0.304</v>
      </c>
      <c r="AL436" s="33">
        <v>0.1261</v>
      </c>
      <c r="AM436" s="33">
        <v>0.1229</v>
      </c>
      <c r="AN436" s="33">
        <v>0.1033</v>
      </c>
      <c r="AO436" s="33">
        <v>0.1454</v>
      </c>
      <c r="AP436" s="33">
        <v>0.1728</v>
      </c>
      <c r="AQ436" s="33">
        <v>0.1975</v>
      </c>
      <c r="AR436" s="33">
        <v>0.2629</v>
      </c>
      <c r="AS436" s="33">
        <v>0.2611</v>
      </c>
      <c r="AT436" s="33">
        <v>0.1367</v>
      </c>
      <c r="AU436" s="33">
        <v>0.1286</v>
      </c>
      <c r="AV436" s="33">
        <v>0.0737</v>
      </c>
      <c r="AW436" s="33">
        <v>0.0497</v>
      </c>
      <c r="AX436" s="33">
        <v>0.0599</v>
      </c>
      <c r="AY436" s="33">
        <v>-0.0035</v>
      </c>
      <c r="AZ436" s="33">
        <v>-0.0645</v>
      </c>
      <c r="BA436" s="33">
        <v>-0.0564</v>
      </c>
      <c r="BB436" s="33">
        <v>-0.0496</v>
      </c>
      <c r="BC436" s="33">
        <v>-0.0493</v>
      </c>
      <c r="BD436" s="33">
        <v>-0.0224</v>
      </c>
      <c r="BE436" s="33">
        <v>-0.0308</v>
      </c>
      <c r="BF436" s="33">
        <v>0.4027</v>
      </c>
      <c r="BG436" s="33">
        <v>0.115</v>
      </c>
      <c r="BH436" s="33">
        <v>0.3048</v>
      </c>
      <c r="BI436" s="33">
        <v>0.1027</v>
      </c>
      <c r="BJ436" s="33">
        <v>0.0627</v>
      </c>
      <c r="BK436" s="33">
        <v>0.0453</v>
      </c>
      <c r="BL436" s="33"/>
      <c r="BM436" s="33"/>
      <c r="BN436" s="33"/>
      <c r="BO436" s="33"/>
      <c r="BP436" s="33"/>
      <c r="BQ436" s="33"/>
      <c r="BR436" s="33"/>
      <c r="BS436" s="1"/>
      <c r="BT436" s="9"/>
      <c r="BU436" s="9"/>
      <c r="BV436" s="1"/>
      <c r="BW436" s="1"/>
      <c r="BX436" s="1"/>
      <c r="BY436" s="1"/>
      <c r="BZ436" s="1"/>
    </row>
    <row r="437">
      <c r="A437" s="3"/>
      <c r="B437" s="33"/>
      <c r="C437" s="147"/>
      <c r="D437" s="147" t="s">
        <v>248</v>
      </c>
      <c r="E437" s="134"/>
      <c r="F437" s="134"/>
      <c r="G437" s="14"/>
      <c r="H437" s="14"/>
      <c r="I437" s="14"/>
      <c r="J437" s="14"/>
      <c r="K437" s="14"/>
      <c r="L437" s="1"/>
      <c r="M437" s="1"/>
      <c r="N437" s="1"/>
      <c r="O437" s="1"/>
      <c r="P437" s="1"/>
      <c r="Q437" s="1"/>
      <c r="R437" s="1"/>
      <c r="S437" s="33">
        <v>0.0242</v>
      </c>
      <c r="T437" s="33">
        <v>0.026</v>
      </c>
      <c r="U437" s="33">
        <v>0.0388</v>
      </c>
      <c r="V437" s="33">
        <v>0.0198</v>
      </c>
      <c r="W437" s="33">
        <v>0.0266</v>
      </c>
      <c r="X437" s="33">
        <v>0.0909</v>
      </c>
      <c r="Y437" s="33">
        <v>0.1072</v>
      </c>
      <c r="Z437" s="33">
        <v>0.148</v>
      </c>
      <c r="AA437" s="33">
        <v>0.1187</v>
      </c>
      <c r="AB437" s="33">
        <v>0.04</v>
      </c>
      <c r="AC437" s="33">
        <v>0.0245</v>
      </c>
      <c r="AD437" s="33">
        <v>0.0633</v>
      </c>
      <c r="AE437" s="33">
        <v>0.068</v>
      </c>
      <c r="AF437" s="33">
        <v>0.022</v>
      </c>
      <c r="AG437" s="33">
        <v>0.031</v>
      </c>
      <c r="AH437" s="33">
        <v>0.1461</v>
      </c>
      <c r="AI437" s="33">
        <v>0.104</v>
      </c>
      <c r="AJ437" s="33">
        <v>0.0756</v>
      </c>
      <c r="AK437" s="33">
        <v>0.0602</v>
      </c>
      <c r="AL437" s="33">
        <v>0.043</v>
      </c>
      <c r="AM437" s="33">
        <v>0.0852</v>
      </c>
      <c r="AN437" s="33">
        <v>0.0481</v>
      </c>
      <c r="AO437" s="33">
        <v>0.0769</v>
      </c>
      <c r="AP437" s="33">
        <v>0.1686</v>
      </c>
      <c r="AQ437" s="33">
        <v>0.1849</v>
      </c>
      <c r="AR437" s="33">
        <v>0.2139</v>
      </c>
      <c r="AS437" s="33">
        <v>0.1547</v>
      </c>
      <c r="AT437" s="33">
        <v>0.0897</v>
      </c>
      <c r="AU437" s="33">
        <v>0.1174</v>
      </c>
      <c r="AV437" s="33">
        <v>0.03</v>
      </c>
      <c r="AW437" s="33">
        <v>0.0408</v>
      </c>
      <c r="AX437" s="33">
        <v>0.0213</v>
      </c>
      <c r="AY437" s="33">
        <v>-0.0528</v>
      </c>
      <c r="AZ437" s="33">
        <v>-0.0534</v>
      </c>
      <c r="BA437" s="33">
        <v>-0.0219</v>
      </c>
      <c r="BB437" s="33">
        <v>-0.0364</v>
      </c>
      <c r="BC437" s="33">
        <v>-0.0401</v>
      </c>
      <c r="BD437" s="33">
        <v>-0.0472</v>
      </c>
      <c r="BE437" s="33">
        <v>-0.1243</v>
      </c>
      <c r="BF437" s="33">
        <v>0.1254</v>
      </c>
      <c r="BG437" s="33">
        <v>0.0524</v>
      </c>
      <c r="BH437" s="33">
        <v>0.2086</v>
      </c>
      <c r="BI437" s="33">
        <v>0.069</v>
      </c>
      <c r="BJ437" s="33">
        <v>0.0186</v>
      </c>
      <c r="BK437" s="33">
        <v>-0.052</v>
      </c>
      <c r="BL437" s="33"/>
      <c r="BM437" s="33"/>
      <c r="BN437" s="33"/>
      <c r="BO437" s="33"/>
      <c r="BP437" s="33"/>
      <c r="BQ437" s="33"/>
      <c r="BR437" s="33"/>
      <c r="BS437" s="1"/>
      <c r="BT437" s="9"/>
      <c r="BU437" s="9"/>
      <c r="BV437" s="1"/>
      <c r="BW437" s="1"/>
      <c r="BX437" s="1"/>
      <c r="BY437" s="1"/>
      <c r="BZ437" s="1"/>
    </row>
    <row r="438">
      <c r="A438" s="3"/>
      <c r="B438" s="33"/>
      <c r="C438" s="147"/>
      <c r="D438" s="147" t="s">
        <v>251</v>
      </c>
      <c r="E438" s="134"/>
      <c r="F438" s="134"/>
      <c r="G438" s="14"/>
      <c r="H438" s="14"/>
      <c r="I438" s="14"/>
      <c r="J438" s="14"/>
      <c r="K438" s="14"/>
      <c r="L438" s="1"/>
      <c r="M438" s="1"/>
      <c r="N438" s="1"/>
      <c r="O438" s="1"/>
      <c r="P438" s="1"/>
      <c r="Q438" s="1"/>
      <c r="R438" s="1"/>
      <c r="S438" s="33">
        <v>-0.0315</v>
      </c>
      <c r="T438" s="33">
        <v>-0.0357</v>
      </c>
      <c r="U438" s="33">
        <v>-0.0057</v>
      </c>
      <c r="V438" s="33">
        <v>-0.0136</v>
      </c>
      <c r="W438" s="33">
        <v>0.0136</v>
      </c>
      <c r="X438" s="33">
        <v>0.0948</v>
      </c>
      <c r="Y438" s="33">
        <v>0.0758</v>
      </c>
      <c r="Z438" s="33">
        <v>0.0986</v>
      </c>
      <c r="AA438" s="33">
        <v>0.0656</v>
      </c>
      <c r="AB438" s="33">
        <v>0.0542</v>
      </c>
      <c r="AC438" s="33">
        <v>0.1184</v>
      </c>
      <c r="AD438" s="33">
        <v>0.0712</v>
      </c>
      <c r="AE438" s="33">
        <v>0.1162</v>
      </c>
      <c r="AF438" s="33">
        <v>0.0777</v>
      </c>
      <c r="AG438" s="33">
        <v>0.3451</v>
      </c>
      <c r="AH438" s="33">
        <v>0.1118</v>
      </c>
      <c r="AI438" s="33">
        <v>0.0023</v>
      </c>
      <c r="AJ438" s="33">
        <v>0.0096</v>
      </c>
      <c r="AK438" s="33">
        <v>0.0056</v>
      </c>
      <c r="AL438" s="33">
        <v>-0.0052</v>
      </c>
      <c r="AM438" s="33">
        <v>-0.012</v>
      </c>
      <c r="AN438" s="33">
        <v>-0.0366</v>
      </c>
      <c r="AO438" s="33">
        <v>-0.0391</v>
      </c>
      <c r="AP438" s="33">
        <v>-0.0193</v>
      </c>
      <c r="AQ438" s="33">
        <v>-0.0171</v>
      </c>
      <c r="AR438" s="33">
        <v>0.0229</v>
      </c>
      <c r="AS438" s="33">
        <v>0.0069</v>
      </c>
      <c r="AT438" s="33">
        <v>0.0053</v>
      </c>
      <c r="AU438" s="33">
        <v>0.2698</v>
      </c>
      <c r="AV438" s="33">
        <v>0.0826</v>
      </c>
      <c r="AW438" s="33">
        <v>-6.0E-4</v>
      </c>
      <c r="AX438" s="33">
        <v>-0.0541</v>
      </c>
      <c r="AY438" s="33">
        <v>-0.0677</v>
      </c>
      <c r="AZ438" s="33">
        <v>-0.0548</v>
      </c>
      <c r="BA438" s="33">
        <v>-0.0643</v>
      </c>
      <c r="BB438" s="33">
        <v>-0.0565</v>
      </c>
      <c r="BC438" s="33">
        <v>-0.0894</v>
      </c>
      <c r="BD438" s="33">
        <v>-0.1158</v>
      </c>
      <c r="BE438" s="33">
        <v>-0.1464</v>
      </c>
      <c r="BF438" s="33">
        <v>0.4027</v>
      </c>
      <c r="BG438" s="33">
        <v>0.224</v>
      </c>
      <c r="BH438" s="33">
        <v>0.0226</v>
      </c>
      <c r="BI438" s="33">
        <v>-0.1488</v>
      </c>
      <c r="BJ438" s="33">
        <v>-0.1882</v>
      </c>
      <c r="BK438" s="33">
        <v>-0.0749</v>
      </c>
      <c r="BL438" s="33"/>
      <c r="BM438" s="33"/>
      <c r="BN438" s="33"/>
      <c r="BO438" s="33"/>
      <c r="BP438" s="33"/>
      <c r="BQ438" s="33"/>
      <c r="BR438" s="33"/>
      <c r="BS438" s="1"/>
      <c r="BT438" s="9"/>
      <c r="BU438" s="9"/>
      <c r="BV438" s="1"/>
      <c r="BW438" s="1"/>
      <c r="BX438" s="1"/>
      <c r="BY438" s="1"/>
      <c r="BZ438" s="1"/>
    </row>
    <row r="439">
      <c r="A439" s="3"/>
      <c r="B439" s="33"/>
      <c r="C439" s="147"/>
      <c r="D439" s="147" t="s">
        <v>253</v>
      </c>
      <c r="E439" s="134"/>
      <c r="F439" s="134"/>
      <c r="G439" s="14"/>
      <c r="H439" s="14"/>
      <c r="I439" s="14"/>
      <c r="J439" s="14"/>
      <c r="K439" s="14"/>
      <c r="L439" s="1"/>
      <c r="M439" s="1"/>
      <c r="N439" s="1"/>
      <c r="O439" s="1"/>
      <c r="P439" s="1"/>
      <c r="Q439" s="1"/>
      <c r="R439" s="1"/>
      <c r="S439" s="33">
        <v>0.0604</v>
      </c>
      <c r="T439" s="33">
        <v>0.0541</v>
      </c>
      <c r="U439" s="33">
        <v>0.0381</v>
      </c>
      <c r="V439" s="33">
        <v>0.0305</v>
      </c>
      <c r="W439" s="33">
        <v>0.0249</v>
      </c>
      <c r="X439" s="33">
        <v>0.0795</v>
      </c>
      <c r="Y439" s="33">
        <v>0.0875</v>
      </c>
      <c r="Z439" s="33">
        <v>0.088</v>
      </c>
      <c r="AA439" s="33">
        <v>0.062</v>
      </c>
      <c r="AB439" s="33">
        <v>0.0307</v>
      </c>
      <c r="AC439" s="33">
        <v>0.0406</v>
      </c>
      <c r="AD439" s="33">
        <v>0.0554</v>
      </c>
      <c r="AE439" s="33">
        <v>0.0767</v>
      </c>
      <c r="AF439" s="33">
        <v>0.0237</v>
      </c>
      <c r="AG439" s="33">
        <v>-0.0078</v>
      </c>
      <c r="AH439" s="33">
        <v>-0.0058</v>
      </c>
      <c r="AI439" s="33">
        <v>0.0193</v>
      </c>
      <c r="AJ439" s="33">
        <v>0.0603</v>
      </c>
      <c r="AK439" s="33">
        <v>0.0124</v>
      </c>
      <c r="AL439" s="33">
        <v>-6.0E-4</v>
      </c>
      <c r="AM439" s="33">
        <v>0.0018</v>
      </c>
      <c r="AN439" s="33">
        <v>-0.015</v>
      </c>
      <c r="AO439" s="33">
        <v>0.0031</v>
      </c>
      <c r="AP439" s="33">
        <v>0.0579</v>
      </c>
      <c r="AQ439" s="33">
        <v>0.0895</v>
      </c>
      <c r="AR439" s="33">
        <v>0.1043</v>
      </c>
      <c r="AS439" s="33">
        <v>0.0754</v>
      </c>
      <c r="AT439" s="33">
        <v>-0.0326</v>
      </c>
      <c r="AU439" s="33">
        <v>-0.0518</v>
      </c>
      <c r="AV439" s="33">
        <v>0.0112</v>
      </c>
      <c r="AW439" s="33">
        <v>0.1005</v>
      </c>
      <c r="AX439" s="33">
        <v>0.1106</v>
      </c>
      <c r="AY439" s="33">
        <v>-0.0138</v>
      </c>
      <c r="AZ439" s="33">
        <v>-0.0431</v>
      </c>
      <c r="BA439" s="33">
        <v>-0.0425</v>
      </c>
      <c r="BB439" s="33">
        <v>-0.0316</v>
      </c>
      <c r="BC439" s="33">
        <v>-0.0757</v>
      </c>
      <c r="BD439" s="33">
        <v>-0.1072</v>
      </c>
      <c r="BE439" s="33">
        <v>-0.0979</v>
      </c>
      <c r="BF439" s="33">
        <v>-0.1368</v>
      </c>
      <c r="BG439" s="33">
        <v>-0.1896</v>
      </c>
      <c r="BH439" s="33">
        <v>-0.1576</v>
      </c>
      <c r="BI439" s="33">
        <v>-0.1321</v>
      </c>
      <c r="BJ439" s="33">
        <v>-0.1315</v>
      </c>
      <c r="BK439" s="33">
        <v>-0.0532</v>
      </c>
      <c r="BL439" s="33"/>
      <c r="BM439" s="33"/>
      <c r="BN439" s="33"/>
      <c r="BO439" s="33"/>
      <c r="BP439" s="33"/>
      <c r="BQ439" s="33"/>
      <c r="BR439" s="33"/>
      <c r="BS439" s="1"/>
      <c r="BT439" s="9"/>
      <c r="BU439" s="9"/>
      <c r="BV439" s="1"/>
      <c r="BW439" s="1"/>
      <c r="BX439" s="1"/>
      <c r="BY439" s="1"/>
      <c r="BZ439" s="1"/>
    </row>
    <row r="440">
      <c r="A440" s="3"/>
      <c r="B440" s="33"/>
      <c r="C440" s="147"/>
      <c r="D440" s="147" t="s">
        <v>255</v>
      </c>
      <c r="E440" s="134"/>
      <c r="F440" s="134"/>
      <c r="G440" s="14"/>
      <c r="H440" s="14"/>
      <c r="I440" s="14"/>
      <c r="J440" s="14"/>
      <c r="K440" s="14"/>
      <c r="L440" s="1"/>
      <c r="M440" s="1"/>
      <c r="N440" s="1"/>
      <c r="O440" s="1"/>
      <c r="P440" s="1"/>
      <c r="Q440" s="1"/>
      <c r="R440" s="1"/>
      <c r="S440" s="33">
        <v>0.0223</v>
      </c>
      <c r="T440" s="33">
        <v>0.0266</v>
      </c>
      <c r="U440" s="33">
        <v>0.0747</v>
      </c>
      <c r="V440" s="33">
        <v>0.0146</v>
      </c>
      <c r="W440" s="33">
        <v>0.0424</v>
      </c>
      <c r="X440" s="33">
        <v>0.1455</v>
      </c>
      <c r="Y440" s="33">
        <v>0.1268</v>
      </c>
      <c r="Z440" s="33">
        <v>0.0766</v>
      </c>
      <c r="AA440" s="33">
        <v>0.0268</v>
      </c>
      <c r="AB440" s="33">
        <v>0.0176</v>
      </c>
      <c r="AC440" s="33">
        <v>0.0165</v>
      </c>
      <c r="AD440" s="33">
        <v>0.0178</v>
      </c>
      <c r="AE440" s="33">
        <v>0.0214</v>
      </c>
      <c r="AF440" s="33">
        <v>-0.0219</v>
      </c>
      <c r="AG440" s="33">
        <v>-0.0178</v>
      </c>
      <c r="AH440" s="33">
        <v>-0.0051</v>
      </c>
      <c r="AI440" s="33">
        <v>-0.0231</v>
      </c>
      <c r="AJ440" s="33">
        <v>0.0163</v>
      </c>
      <c r="AK440" s="33">
        <v>0.0149</v>
      </c>
      <c r="AL440" s="33">
        <v>-1.0E-4</v>
      </c>
      <c r="AM440" s="33">
        <v>-0.024</v>
      </c>
      <c r="AN440" s="33">
        <v>-0.0063</v>
      </c>
      <c r="AO440" s="33">
        <v>0.0022</v>
      </c>
      <c r="AP440" s="33">
        <v>0.0039</v>
      </c>
      <c r="AQ440" s="33">
        <v>0.0127</v>
      </c>
      <c r="AR440" s="33">
        <v>0.054</v>
      </c>
      <c r="AS440" s="33">
        <v>0.0385</v>
      </c>
      <c r="AT440" s="33">
        <v>-0.0268</v>
      </c>
      <c r="AU440" s="33">
        <v>-0.0338</v>
      </c>
      <c r="AV440" s="33">
        <v>-0.0375</v>
      </c>
      <c r="AW440" s="33">
        <v>-0.0417</v>
      </c>
      <c r="AX440" s="33">
        <v>-0.0325</v>
      </c>
      <c r="AY440" s="33">
        <v>-0.0425</v>
      </c>
      <c r="AZ440" s="33">
        <v>-0.0333</v>
      </c>
      <c r="BA440" s="33">
        <v>0.0184</v>
      </c>
      <c r="BB440" s="33">
        <v>0.0406</v>
      </c>
      <c r="BC440" s="33">
        <v>0.0348</v>
      </c>
      <c r="BD440" s="33">
        <v>-0.0075</v>
      </c>
      <c r="BE440" s="33">
        <v>-0.0333</v>
      </c>
      <c r="BF440" s="33">
        <v>-0.0425</v>
      </c>
      <c r="BG440" s="33">
        <v>-0.0122</v>
      </c>
      <c r="BH440" s="33">
        <v>0.1111</v>
      </c>
      <c r="BI440" s="33">
        <v>0.0713</v>
      </c>
      <c r="BJ440" s="33">
        <v>0.0408</v>
      </c>
      <c r="BK440" s="33">
        <v>-0.0186</v>
      </c>
      <c r="BL440" s="33"/>
      <c r="BM440" s="33"/>
      <c r="BN440" s="33"/>
      <c r="BO440" s="33"/>
      <c r="BP440" s="33"/>
      <c r="BQ440" s="33"/>
      <c r="BR440" s="33"/>
      <c r="BS440" s="1"/>
      <c r="BT440" s="9"/>
      <c r="BU440" s="9"/>
      <c r="BV440" s="1"/>
      <c r="BW440" s="1"/>
      <c r="BX440" s="1"/>
      <c r="BY440" s="1"/>
      <c r="BZ440" s="1"/>
    </row>
    <row r="441">
      <c r="A441" s="3"/>
      <c r="B441" s="33"/>
      <c r="C441" s="155"/>
      <c r="D441" s="155" t="s">
        <v>257</v>
      </c>
      <c r="E441" s="134"/>
      <c r="F441" s="134"/>
      <c r="G441" s="14"/>
      <c r="H441" s="14"/>
      <c r="I441" s="14"/>
      <c r="J441" s="14"/>
      <c r="K441" s="14"/>
      <c r="L441" s="1"/>
      <c r="M441" s="1"/>
      <c r="N441" s="1"/>
      <c r="O441" s="1"/>
      <c r="P441" s="1"/>
      <c r="Q441" s="1"/>
      <c r="R441" s="1"/>
      <c r="S441" s="33">
        <v>0.1434</v>
      </c>
      <c r="T441" s="33">
        <v>0.2016</v>
      </c>
      <c r="U441" s="33">
        <v>0.209</v>
      </c>
      <c r="V441" s="33">
        <v>0.077</v>
      </c>
      <c r="W441" s="33">
        <v>-0.0145</v>
      </c>
      <c r="X441" s="33">
        <v>0.0505</v>
      </c>
      <c r="Y441" s="33">
        <v>0.0581</v>
      </c>
      <c r="Z441" s="33">
        <v>0.0192</v>
      </c>
      <c r="AA441" s="33">
        <v>-0.0142</v>
      </c>
      <c r="AB441" s="33">
        <v>-0.022</v>
      </c>
      <c r="AC441" s="33">
        <v>-0.0478</v>
      </c>
      <c r="AD441" s="33">
        <v>0.004</v>
      </c>
      <c r="AE441" s="33">
        <v>0.0644</v>
      </c>
      <c r="AF441" s="33">
        <v>-0.0413</v>
      </c>
      <c r="AG441" s="33">
        <v>0.2239</v>
      </c>
      <c r="AH441" s="33">
        <v>0.0436</v>
      </c>
      <c r="AI441" s="33">
        <v>-0.0187</v>
      </c>
      <c r="AJ441" s="33">
        <v>0.0778</v>
      </c>
      <c r="AK441" s="33">
        <v>0.0433</v>
      </c>
      <c r="AL441" s="33">
        <v>0.0281</v>
      </c>
      <c r="AM441" s="33">
        <v>4.0E-4</v>
      </c>
      <c r="AN441" s="33">
        <v>-0.0089</v>
      </c>
      <c r="AO441" s="33">
        <v>0.0324</v>
      </c>
      <c r="AP441" s="33">
        <v>0.0451</v>
      </c>
      <c r="AQ441" s="33">
        <v>0.0775</v>
      </c>
      <c r="AR441" s="33">
        <v>0.1256</v>
      </c>
      <c r="AS441" s="33">
        <v>0.0639</v>
      </c>
      <c r="AT441" s="33">
        <v>0.0646</v>
      </c>
      <c r="AU441" s="33">
        <v>0.1842</v>
      </c>
      <c r="AV441" s="33">
        <v>0.1584</v>
      </c>
      <c r="AW441" s="33">
        <v>0.1416</v>
      </c>
      <c r="AX441" s="33">
        <v>0.0345</v>
      </c>
      <c r="AY441" s="33">
        <v>0.0309</v>
      </c>
      <c r="AZ441" s="33">
        <v>0.1281</v>
      </c>
      <c r="BA441" s="33">
        <v>0.1561</v>
      </c>
      <c r="BB441" s="33">
        <v>0.0951</v>
      </c>
      <c r="BC441" s="33">
        <v>0.125</v>
      </c>
      <c r="BD441" s="33">
        <v>0.0528</v>
      </c>
      <c r="BE441" s="33">
        <v>-0.028</v>
      </c>
      <c r="BF441" s="33">
        <v>0.4241</v>
      </c>
      <c r="BG441" s="33">
        <v>0.327</v>
      </c>
      <c r="BH441" s="33">
        <v>0.042</v>
      </c>
      <c r="BI441" s="33">
        <v>0.0884</v>
      </c>
      <c r="BJ441" s="33">
        <v>-0.0304</v>
      </c>
      <c r="BK441" s="33">
        <v>-0.0657</v>
      </c>
      <c r="BL441" s="33"/>
      <c r="BM441" s="33"/>
      <c r="BN441" s="33"/>
      <c r="BO441" s="33"/>
      <c r="BP441" s="33"/>
      <c r="BQ441" s="33"/>
      <c r="BR441" s="33"/>
      <c r="BS441" s="1"/>
      <c r="BT441" s="9"/>
      <c r="BU441" s="9"/>
      <c r="BV441" s="1"/>
      <c r="BW441" s="1"/>
      <c r="BX441" s="1"/>
      <c r="BY441" s="1"/>
      <c r="BZ441" s="1"/>
    </row>
    <row r="442">
      <c r="A442" s="3"/>
      <c r="B442" s="33"/>
      <c r="C442" s="147"/>
      <c r="D442" s="147" t="s">
        <v>261</v>
      </c>
      <c r="E442" s="134"/>
      <c r="F442" s="134"/>
      <c r="G442" s="14"/>
      <c r="H442" s="14"/>
      <c r="I442" s="14"/>
      <c r="J442" s="14"/>
      <c r="K442" s="14"/>
      <c r="L442" s="1"/>
      <c r="M442" s="1"/>
      <c r="N442" s="1"/>
      <c r="O442" s="1"/>
      <c r="P442" s="1"/>
      <c r="Q442" s="1"/>
      <c r="R442" s="1"/>
      <c r="S442" s="3" t="e">
        <v>#DIV/0!</v>
      </c>
      <c r="T442" s="3" t="e">
        <v>#DIV/0!</v>
      </c>
      <c r="U442" s="33">
        <v>-0.0264</v>
      </c>
      <c r="V442" s="33">
        <v>0.2568</v>
      </c>
      <c r="W442" s="33">
        <v>0.0076</v>
      </c>
      <c r="X442" s="33">
        <v>0.0356</v>
      </c>
      <c r="Y442" s="33">
        <v>0.1196</v>
      </c>
      <c r="Z442" s="33">
        <v>0.1345</v>
      </c>
      <c r="AA442" s="33">
        <v>0.0806</v>
      </c>
      <c r="AB442" s="33">
        <v>0.1481</v>
      </c>
      <c r="AC442" s="33">
        <v>0.0814</v>
      </c>
      <c r="AD442" s="33">
        <v>0.2374</v>
      </c>
      <c r="AE442" s="33">
        <v>0.3666</v>
      </c>
      <c r="AF442" s="33">
        <v>0.3001</v>
      </c>
      <c r="AG442" s="33">
        <v>0.8221</v>
      </c>
      <c r="AH442" s="33">
        <v>0.5765</v>
      </c>
      <c r="AI442" s="33">
        <v>0.4196</v>
      </c>
      <c r="AJ442" s="33">
        <v>0.2213</v>
      </c>
      <c r="AK442" s="33">
        <v>0.1411</v>
      </c>
      <c r="AL442" s="33">
        <v>0.1563</v>
      </c>
      <c r="AM442" s="33">
        <v>0.0801</v>
      </c>
      <c r="AN442" s="33">
        <v>-0.0095</v>
      </c>
      <c r="AO442" s="33">
        <v>0.0746</v>
      </c>
      <c r="AP442" s="33">
        <v>0.1147</v>
      </c>
      <c r="AQ442" s="33">
        <v>0.1629</v>
      </c>
      <c r="AR442" s="33">
        <v>0.1984</v>
      </c>
      <c r="AS442" s="33">
        <v>0.1685</v>
      </c>
      <c r="AT442" s="33">
        <v>0.1771</v>
      </c>
      <c r="AU442" s="33">
        <v>0.2285</v>
      </c>
      <c r="AV442" s="33">
        <v>0.118</v>
      </c>
      <c r="AW442" s="33">
        <v>0.2218</v>
      </c>
      <c r="AX442" s="33">
        <v>0.1207</v>
      </c>
      <c r="AY442" s="33">
        <v>0.0343</v>
      </c>
      <c r="AZ442" s="33">
        <v>-0.0194</v>
      </c>
      <c r="BA442" s="33">
        <v>-0.0327</v>
      </c>
      <c r="BB442" s="33">
        <v>0.0243</v>
      </c>
      <c r="BC442" s="33">
        <v>0.0055</v>
      </c>
      <c r="BD442" s="33">
        <v>-0.0532</v>
      </c>
      <c r="BE442" s="33">
        <v>-0.0645</v>
      </c>
      <c r="BF442" s="33">
        <v>1.3259</v>
      </c>
      <c r="BG442" s="33">
        <v>2.3665</v>
      </c>
      <c r="BH442" s="33">
        <v>0.2027</v>
      </c>
      <c r="BI442" s="33">
        <v>-0.1222</v>
      </c>
      <c r="BJ442" s="33">
        <v>-0.187</v>
      </c>
      <c r="BK442" s="33">
        <v>-0.1989</v>
      </c>
      <c r="BL442" s="33"/>
      <c r="BM442" s="33"/>
      <c r="BN442" s="33"/>
      <c r="BO442" s="33"/>
      <c r="BP442" s="33"/>
      <c r="BQ442" s="33"/>
      <c r="BR442" s="33"/>
      <c r="BS442" s="1"/>
      <c r="BT442" s="9"/>
      <c r="BU442" s="9"/>
      <c r="BV442" s="1"/>
      <c r="BW442" s="1"/>
      <c r="BX442" s="1"/>
      <c r="BY442" s="1"/>
      <c r="BZ442" s="1"/>
    </row>
    <row r="443">
      <c r="A443" s="3"/>
      <c r="B443" s="33"/>
      <c r="C443" s="146"/>
      <c r="D443" s="146"/>
      <c r="E443" s="134"/>
      <c r="F443" s="134"/>
      <c r="G443" s="14"/>
      <c r="H443" s="14"/>
      <c r="I443" s="14"/>
      <c r="J443" s="14"/>
      <c r="K443" s="1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9"/>
      <c r="BU443" s="9"/>
      <c r="BV443" s="1"/>
      <c r="BW443" s="1"/>
      <c r="BX443" s="1"/>
      <c r="BY443" s="1"/>
      <c r="BZ443" s="1"/>
    </row>
    <row r="444">
      <c r="A444" s="3"/>
      <c r="B444" s="33"/>
      <c r="C444" s="146"/>
      <c r="D444" s="146"/>
      <c r="E444" s="134"/>
      <c r="F444" s="134"/>
      <c r="G444" s="14"/>
      <c r="H444" s="14"/>
      <c r="I444" s="14"/>
      <c r="J444" s="14"/>
      <c r="K444" s="1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9"/>
      <c r="BU444" s="9"/>
      <c r="BV444" s="1"/>
      <c r="BW444" s="1"/>
      <c r="BX444" s="1"/>
      <c r="BY444" s="1"/>
      <c r="BZ444" s="1"/>
    </row>
    <row r="445">
      <c r="A445" s="3"/>
      <c r="B445" s="33"/>
      <c r="C445" s="4"/>
      <c r="D445" s="4" t="s">
        <v>62</v>
      </c>
      <c r="E445" s="134"/>
      <c r="F445" s="134"/>
      <c r="G445" s="14"/>
      <c r="H445" s="14"/>
      <c r="I445" s="14"/>
      <c r="J445" s="14"/>
      <c r="K445" s="1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9"/>
      <c r="BU445" s="9"/>
      <c r="BV445" s="1"/>
      <c r="BW445" s="1"/>
      <c r="BX445" s="1"/>
      <c r="BY445" s="1"/>
      <c r="BZ445" s="1"/>
    </row>
    <row r="446">
      <c r="A446" s="3"/>
      <c r="B446" s="33"/>
      <c r="C446" s="122"/>
      <c r="D446" s="122" t="s">
        <v>335</v>
      </c>
      <c r="E446" s="134"/>
      <c r="F446" s="134"/>
      <c r="G446" s="14"/>
      <c r="H446" s="14"/>
      <c r="I446" s="14"/>
      <c r="J446" s="14"/>
      <c r="K446" s="1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9"/>
      <c r="BU446" s="9"/>
      <c r="BV446" s="1"/>
      <c r="BW446" s="1"/>
      <c r="BX446" s="1"/>
      <c r="BY446" s="1"/>
      <c r="BZ446" s="1"/>
    </row>
    <row r="447">
      <c r="A447" s="3"/>
      <c r="B447" s="33"/>
      <c r="C447" s="147"/>
      <c r="D447" s="147" t="s">
        <v>246</v>
      </c>
      <c r="E447" s="134"/>
      <c r="F447" s="134"/>
      <c r="G447" s="14"/>
      <c r="H447" s="14"/>
      <c r="I447" s="14"/>
      <c r="J447" s="14"/>
      <c r="K447" s="14"/>
      <c r="L447" s="1"/>
      <c r="M447" s="1"/>
      <c r="N447" s="1"/>
      <c r="O447" s="1"/>
      <c r="P447" s="1"/>
      <c r="Q447" s="1"/>
      <c r="R447" s="1"/>
      <c r="S447" s="74">
        <v>3663156.0</v>
      </c>
      <c r="T447" s="74">
        <v>5078339.0</v>
      </c>
      <c r="U447" s="74">
        <v>6524082.0</v>
      </c>
      <c r="V447" s="74">
        <v>7644588.0</v>
      </c>
      <c r="W447" s="74">
        <v>5370511.0</v>
      </c>
      <c r="X447" s="74">
        <v>4506830.0</v>
      </c>
      <c r="Y447" s="74">
        <v>5069214.0</v>
      </c>
      <c r="Z447" s="74">
        <v>5149997.0</v>
      </c>
      <c r="AA447" s="74">
        <v>5016866.0</v>
      </c>
      <c r="AB447" s="74">
        <v>4129645.0</v>
      </c>
      <c r="AC447" s="74">
        <v>4643291.0</v>
      </c>
      <c r="AD447" s="74">
        <v>5410329.0</v>
      </c>
      <c r="AE447" s="74">
        <v>5652245.0</v>
      </c>
      <c r="AF447" s="74">
        <v>4849719.0</v>
      </c>
      <c r="AG447" s="74">
        <v>5211213.0</v>
      </c>
      <c r="AH447" s="74">
        <v>6471130.0</v>
      </c>
      <c r="AI447" s="74">
        <v>5223469.0</v>
      </c>
      <c r="AJ447" s="74">
        <v>4728115.0</v>
      </c>
      <c r="AK447" s="74">
        <v>6515034.0</v>
      </c>
      <c r="AL447" s="74">
        <v>5979170.0</v>
      </c>
      <c r="AM447" s="74">
        <v>5344434.0</v>
      </c>
      <c r="AN447" s="74">
        <v>5590577.0</v>
      </c>
      <c r="AO447" s="74">
        <v>6851564.0</v>
      </c>
      <c r="AP447" s="74">
        <v>6674878.0</v>
      </c>
      <c r="AQ447" s="74">
        <v>7189997.0</v>
      </c>
      <c r="AR447" s="74">
        <v>7896859.0</v>
      </c>
      <c r="AS447" s="74">
        <v>9169701.0</v>
      </c>
      <c r="AT447" s="74">
        <v>7195134.0</v>
      </c>
      <c r="AU447" s="74">
        <v>6905848.0</v>
      </c>
      <c r="AV447" s="74">
        <v>6786461.0</v>
      </c>
      <c r="AW447" s="74">
        <v>4875791.0</v>
      </c>
      <c r="AX447" s="74">
        <v>5704509.0</v>
      </c>
      <c r="AY447" s="74">
        <v>5922719.0</v>
      </c>
      <c r="AZ447" s="74">
        <v>5290627.0</v>
      </c>
      <c r="BA447" s="74">
        <v>5202699.0</v>
      </c>
      <c r="BB447" s="74">
        <v>5029684.0</v>
      </c>
      <c r="BC447" s="74">
        <v>4790748.0</v>
      </c>
      <c r="BD447" s="74">
        <v>5907370.0</v>
      </c>
      <c r="BE447" s="74">
        <v>5505332.0</v>
      </c>
      <c r="BF447" s="74">
        <v>7487178.0</v>
      </c>
      <c r="BG447" s="74">
        <v>6783374.0</v>
      </c>
      <c r="BH447" s="74">
        <v>8408613.0</v>
      </c>
      <c r="BI447" s="74">
        <v>6063312.0</v>
      </c>
      <c r="BJ447" s="74">
        <v>5623857.0</v>
      </c>
      <c r="BK447" s="74">
        <v>6026052.0</v>
      </c>
      <c r="BL447" s="74"/>
      <c r="BM447" s="74"/>
      <c r="BN447" s="74"/>
      <c r="BO447" s="74"/>
      <c r="BP447" s="74"/>
      <c r="BQ447" s="74"/>
      <c r="BR447" s="74"/>
      <c r="BS447" s="1"/>
      <c r="BT447" s="9"/>
      <c r="BU447" s="9"/>
      <c r="BV447" s="1"/>
      <c r="BW447" s="1"/>
      <c r="BX447" s="1"/>
      <c r="BY447" s="1"/>
      <c r="BZ447" s="1"/>
    </row>
    <row r="448">
      <c r="A448" s="3"/>
      <c r="B448" s="33"/>
      <c r="C448" s="147"/>
      <c r="D448" s="147" t="s">
        <v>248</v>
      </c>
      <c r="E448" s="134"/>
      <c r="F448" s="134"/>
      <c r="G448" s="14"/>
      <c r="H448" s="14"/>
      <c r="I448" s="14"/>
      <c r="J448" s="14"/>
      <c r="K448" s="14"/>
      <c r="L448" s="1"/>
      <c r="M448" s="1"/>
      <c r="N448" s="1"/>
      <c r="O448" s="1"/>
      <c r="P448" s="1"/>
      <c r="Q448" s="1"/>
      <c r="R448" s="1"/>
      <c r="S448" s="74">
        <v>6994018.0</v>
      </c>
      <c r="T448" s="74">
        <v>7201716.0</v>
      </c>
      <c r="U448" s="74">
        <v>6871293.0</v>
      </c>
      <c r="V448" s="74">
        <v>6690535.0</v>
      </c>
      <c r="W448" s="74">
        <v>6961131.0</v>
      </c>
      <c r="X448" s="74">
        <v>9090805.0</v>
      </c>
      <c r="Y448" s="74">
        <v>9641949.0</v>
      </c>
      <c r="Z448" s="74">
        <v>9547962.0</v>
      </c>
      <c r="AA448" s="74">
        <v>8868226.0</v>
      </c>
      <c r="AB448" s="74">
        <v>6872595.0</v>
      </c>
      <c r="AC448" s="74">
        <v>6836887.0</v>
      </c>
      <c r="AD448" s="74">
        <v>7648269.0</v>
      </c>
      <c r="AE448" s="74">
        <v>8211155.0</v>
      </c>
      <c r="AF448" s="74">
        <v>7628074.0</v>
      </c>
      <c r="AG448" s="74">
        <v>7776763.0</v>
      </c>
      <c r="AH448" s="74">
        <v>1.0820019E7</v>
      </c>
      <c r="AI448" s="74">
        <v>9409454.0</v>
      </c>
      <c r="AJ448" s="74">
        <v>9486362.0</v>
      </c>
      <c r="AK448" s="74">
        <v>9585697.0</v>
      </c>
      <c r="AL448" s="74">
        <v>9128584.0</v>
      </c>
      <c r="AM448" s="74">
        <v>9419989.0</v>
      </c>
      <c r="AN448" s="74">
        <v>8954214.0</v>
      </c>
      <c r="AO448" s="74">
        <v>1.1456323E7</v>
      </c>
      <c r="AP448" s="74">
        <v>1.3298995E7</v>
      </c>
      <c r="AQ448" s="74">
        <v>1.3563211E7</v>
      </c>
      <c r="AR448" s="74">
        <v>1.402001E7</v>
      </c>
      <c r="AS448" s="74">
        <v>1.2483146E7</v>
      </c>
      <c r="AT448" s="74">
        <v>1.1046846E7</v>
      </c>
      <c r="AU448" s="74">
        <v>1.1804216E7</v>
      </c>
      <c r="AV448" s="74">
        <v>1.0232057E7</v>
      </c>
      <c r="AW448" s="74">
        <v>8629052.0</v>
      </c>
      <c r="AX448" s="74">
        <v>8713251.0</v>
      </c>
      <c r="AY448" s="74">
        <v>8411622.0</v>
      </c>
      <c r="AZ448" s="74">
        <v>7855410.0</v>
      </c>
      <c r="BA448" s="74">
        <v>8097264.0</v>
      </c>
      <c r="BB448" s="74">
        <v>6921916.0</v>
      </c>
      <c r="BC448" s="74">
        <v>7909404.0</v>
      </c>
      <c r="BD448" s="74">
        <v>8621137.0</v>
      </c>
      <c r="BE448" s="74">
        <v>5883497.0</v>
      </c>
      <c r="BF448" s="74">
        <v>6470210.0</v>
      </c>
      <c r="BG448" s="74">
        <v>8291598.0</v>
      </c>
      <c r="BH448" s="74">
        <v>1.1647534E7</v>
      </c>
      <c r="BI448" s="74">
        <v>9779399.0</v>
      </c>
      <c r="BJ448" s="74">
        <v>7501237.0</v>
      </c>
      <c r="BK448" s="74">
        <v>7333831.0</v>
      </c>
      <c r="BL448" s="74"/>
      <c r="BM448" s="74"/>
      <c r="BN448" s="74"/>
      <c r="BO448" s="74"/>
      <c r="BP448" s="74"/>
      <c r="BQ448" s="74"/>
      <c r="BR448" s="74"/>
      <c r="BS448" s="1"/>
      <c r="BT448" s="9"/>
      <c r="BU448" s="9"/>
      <c r="BV448" s="1"/>
      <c r="BW448" s="1"/>
      <c r="BX448" s="1"/>
      <c r="BY448" s="1"/>
      <c r="BZ448" s="1"/>
    </row>
    <row r="449">
      <c r="A449" s="3"/>
      <c r="B449" s="33"/>
      <c r="C449" s="147"/>
      <c r="D449" s="147" t="s">
        <v>251</v>
      </c>
      <c r="E449" s="134"/>
      <c r="F449" s="134"/>
      <c r="G449" s="14"/>
      <c r="H449" s="14"/>
      <c r="I449" s="14"/>
      <c r="J449" s="14"/>
      <c r="K449" s="14"/>
      <c r="L449" s="1"/>
      <c r="M449" s="1"/>
      <c r="N449" s="1"/>
      <c r="O449" s="1"/>
      <c r="P449" s="1"/>
      <c r="Q449" s="1"/>
      <c r="R449" s="1"/>
      <c r="S449" s="74">
        <v>953547.0</v>
      </c>
      <c r="T449" s="74">
        <v>829164.0</v>
      </c>
      <c r="U449" s="74">
        <v>943882.0</v>
      </c>
      <c r="V449" s="74">
        <v>806401.0</v>
      </c>
      <c r="W449" s="74">
        <v>984605.0</v>
      </c>
      <c r="X449" s="74">
        <v>1306635.0</v>
      </c>
      <c r="Y449" s="74">
        <v>1161145.0</v>
      </c>
      <c r="Z449" s="74">
        <v>1187433.0</v>
      </c>
      <c r="AA449" s="74">
        <v>1190476.0</v>
      </c>
      <c r="AB449" s="74">
        <v>986564.0</v>
      </c>
      <c r="AC449" s="74">
        <v>1426278.0</v>
      </c>
      <c r="AD449" s="74">
        <v>1167517.0</v>
      </c>
      <c r="AE449" s="74">
        <v>1164983.0</v>
      </c>
      <c r="AF449" s="74">
        <v>1115528.0</v>
      </c>
      <c r="AG449" s="74">
        <v>1899354.0</v>
      </c>
      <c r="AH449" s="74">
        <v>1381834.0</v>
      </c>
      <c r="AI449" s="74">
        <v>1057707.0</v>
      </c>
      <c r="AJ449" s="74">
        <v>1116415.0</v>
      </c>
      <c r="AK449" s="74">
        <v>1244136.0</v>
      </c>
      <c r="AL449" s="74">
        <v>1396493.0</v>
      </c>
      <c r="AM449" s="74">
        <v>1142974.0</v>
      </c>
      <c r="AN449" s="74">
        <v>1368317.0</v>
      </c>
      <c r="AO449" s="74">
        <v>1467783.0</v>
      </c>
      <c r="AP449" s="74">
        <v>1357900.0</v>
      </c>
      <c r="AQ449" s="74">
        <v>1379560.0</v>
      </c>
      <c r="AR449" s="74">
        <v>1624894.0</v>
      </c>
      <c r="AS449" s="74">
        <v>1685448.0</v>
      </c>
      <c r="AT449" s="74">
        <v>1820643.0</v>
      </c>
      <c r="AU449" s="74">
        <v>3073274.0</v>
      </c>
      <c r="AV449" s="74">
        <v>2239918.0</v>
      </c>
      <c r="AW449" s="74">
        <v>1286902.0</v>
      </c>
      <c r="AX449" s="74">
        <v>1216074.0</v>
      </c>
      <c r="AY449" s="74">
        <v>1382224.0</v>
      </c>
      <c r="AZ449" s="74">
        <v>1432799.0</v>
      </c>
      <c r="BA449" s="74">
        <v>1349709.0</v>
      </c>
      <c r="BB449" s="74">
        <v>1394168.0</v>
      </c>
      <c r="BC449" s="74">
        <v>1268490.0</v>
      </c>
      <c r="BD449" s="74">
        <v>1267062.0</v>
      </c>
      <c r="BE449" s="74">
        <v>1322384.0</v>
      </c>
      <c r="BF449" s="74">
        <v>2120934.0</v>
      </c>
      <c r="BG449" s="74">
        <v>1605919.0</v>
      </c>
      <c r="BH449" s="74">
        <v>1189933.0</v>
      </c>
      <c r="BI449" s="74">
        <v>912182.0</v>
      </c>
      <c r="BJ449" s="74">
        <v>1008002.0</v>
      </c>
      <c r="BK449" s="74">
        <v>1306228.0</v>
      </c>
      <c r="BL449" s="74"/>
      <c r="BM449" s="74"/>
      <c r="BN449" s="74"/>
      <c r="BO449" s="74"/>
      <c r="BP449" s="74"/>
      <c r="BQ449" s="74"/>
      <c r="BR449" s="74"/>
      <c r="BS449" s="1"/>
      <c r="BT449" s="9"/>
      <c r="BU449" s="9"/>
      <c r="BV449" s="1"/>
      <c r="BW449" s="1"/>
      <c r="BX449" s="1"/>
      <c r="BY449" s="1"/>
      <c r="BZ449" s="1"/>
    </row>
    <row r="450">
      <c r="A450" s="3"/>
      <c r="B450" s="33"/>
      <c r="C450" s="147"/>
      <c r="D450" s="147" t="s">
        <v>253</v>
      </c>
      <c r="E450" s="134"/>
      <c r="F450" s="134"/>
      <c r="G450" s="14"/>
      <c r="H450" s="14"/>
      <c r="I450" s="14"/>
      <c r="J450" s="14"/>
      <c r="K450" s="14"/>
      <c r="L450" s="1"/>
      <c r="M450" s="1"/>
      <c r="N450" s="1"/>
      <c r="O450" s="1"/>
      <c r="P450" s="1"/>
      <c r="Q450" s="1"/>
      <c r="R450" s="1"/>
      <c r="S450" s="74">
        <v>647352.0</v>
      </c>
      <c r="T450" s="74">
        <v>731485.0</v>
      </c>
      <c r="U450" s="74">
        <v>663670.0</v>
      </c>
      <c r="V450" s="74">
        <v>668941.0</v>
      </c>
      <c r="W450" s="74">
        <v>590868.0</v>
      </c>
      <c r="X450" s="74">
        <v>669845.0</v>
      </c>
      <c r="Y450" s="74">
        <v>858457.0</v>
      </c>
      <c r="Z450" s="74">
        <v>742523.0</v>
      </c>
      <c r="AA450" s="74">
        <v>674543.0</v>
      </c>
      <c r="AB450" s="74">
        <v>666819.0</v>
      </c>
      <c r="AC450" s="74">
        <v>753651.0</v>
      </c>
      <c r="AD450" s="74">
        <v>722288.0</v>
      </c>
      <c r="AE450" s="74">
        <v>698944.0</v>
      </c>
      <c r="AF450" s="74">
        <v>582263.0</v>
      </c>
      <c r="AG450" s="74">
        <v>619195.0</v>
      </c>
      <c r="AH450" s="74">
        <v>651734.0</v>
      </c>
      <c r="AI450" s="74">
        <v>682834.0</v>
      </c>
      <c r="AJ450" s="74">
        <v>738800.0</v>
      </c>
      <c r="AK450" s="74">
        <v>693939.0</v>
      </c>
      <c r="AL450" s="74">
        <v>821795.0</v>
      </c>
      <c r="AM450" s="74">
        <v>587815.0</v>
      </c>
      <c r="AN450" s="74">
        <v>657020.0</v>
      </c>
      <c r="AO450" s="74">
        <v>851560.0</v>
      </c>
      <c r="AP450" s="74">
        <v>896740.0</v>
      </c>
      <c r="AQ450" s="74">
        <v>942536.0</v>
      </c>
      <c r="AR450" s="74">
        <v>1048569.0</v>
      </c>
      <c r="AS450" s="74">
        <v>1144060.0</v>
      </c>
      <c r="AT450" s="74">
        <v>834499.0</v>
      </c>
      <c r="AU450" s="74">
        <v>787644.0</v>
      </c>
      <c r="AV450" s="74">
        <v>1074610.0</v>
      </c>
      <c r="AW450" s="74">
        <v>921247.0</v>
      </c>
      <c r="AX450" s="74">
        <v>1099000.0</v>
      </c>
      <c r="AY450" s="74">
        <v>959080.0</v>
      </c>
      <c r="AZ450" s="74">
        <v>898402.0</v>
      </c>
      <c r="BA450" s="74">
        <v>933182.0</v>
      </c>
      <c r="BB450" s="74">
        <v>878619.0</v>
      </c>
      <c r="BC450" s="74">
        <v>840199.0</v>
      </c>
      <c r="BD450" s="74">
        <v>847391.0</v>
      </c>
      <c r="BE450" s="74">
        <v>870123.0</v>
      </c>
      <c r="BF450" s="74">
        <v>763589.0</v>
      </c>
      <c r="BG450" s="74">
        <v>648445.0</v>
      </c>
      <c r="BH450" s="74">
        <v>667218.0</v>
      </c>
      <c r="BI450" s="74">
        <v>542619.0</v>
      </c>
      <c r="BJ450" s="74">
        <v>627648.0</v>
      </c>
      <c r="BK450" s="74">
        <v>1087424.0</v>
      </c>
      <c r="BL450" s="74"/>
      <c r="BM450" s="74"/>
      <c r="BN450" s="74"/>
      <c r="BO450" s="74"/>
      <c r="BP450" s="74"/>
      <c r="BQ450" s="74"/>
      <c r="BR450" s="74"/>
      <c r="BS450" s="1"/>
      <c r="BT450" s="9"/>
      <c r="BU450" s="9"/>
      <c r="BV450" s="1"/>
      <c r="BW450" s="1"/>
      <c r="BX450" s="1"/>
      <c r="BY450" s="1"/>
      <c r="BZ450" s="1"/>
    </row>
    <row r="451">
      <c r="A451" s="3"/>
      <c r="B451" s="33"/>
      <c r="C451" s="147"/>
      <c r="D451" s="147" t="s">
        <v>255</v>
      </c>
      <c r="E451" s="134"/>
      <c r="F451" s="134"/>
      <c r="G451" s="14"/>
      <c r="H451" s="14"/>
      <c r="I451" s="14"/>
      <c r="J451" s="14"/>
      <c r="K451" s="14"/>
      <c r="L451" s="1"/>
      <c r="M451" s="1"/>
      <c r="N451" s="1"/>
      <c r="O451" s="1"/>
      <c r="P451" s="1"/>
      <c r="Q451" s="1"/>
      <c r="R451" s="1"/>
      <c r="S451" s="74">
        <v>318301.0</v>
      </c>
      <c r="T451" s="74">
        <v>429295.0</v>
      </c>
      <c r="U451" s="74">
        <v>406818.0</v>
      </c>
      <c r="V451" s="74">
        <v>359600.0</v>
      </c>
      <c r="W451" s="74">
        <v>381560.0</v>
      </c>
      <c r="X451" s="74">
        <v>477244.0</v>
      </c>
      <c r="Y451" s="74">
        <v>461101.0</v>
      </c>
      <c r="Z451" s="74">
        <v>354205.0</v>
      </c>
      <c r="AA451" s="74">
        <v>355751.0</v>
      </c>
      <c r="AB451" s="74">
        <v>393001.0</v>
      </c>
      <c r="AC451" s="74">
        <v>374376.0</v>
      </c>
      <c r="AD451" s="74">
        <v>362702.0</v>
      </c>
      <c r="AE451" s="74">
        <v>357541.0</v>
      </c>
      <c r="AF451" s="74">
        <v>360717.0</v>
      </c>
      <c r="AG451" s="74">
        <v>387635.0</v>
      </c>
      <c r="AH451" s="74">
        <v>387546.0</v>
      </c>
      <c r="AI451" s="74">
        <v>401626.0</v>
      </c>
      <c r="AJ451" s="74">
        <v>458520.0</v>
      </c>
      <c r="AK451" s="74">
        <v>578184.0</v>
      </c>
      <c r="AL451" s="74">
        <v>619007.0</v>
      </c>
      <c r="AM451" s="74">
        <v>480505.0</v>
      </c>
      <c r="AN451" s="74">
        <v>531393.0</v>
      </c>
      <c r="AO451" s="74">
        <v>583980.0</v>
      </c>
      <c r="AP451" s="74">
        <v>650724.0</v>
      </c>
      <c r="AQ451" s="74">
        <v>649274.0</v>
      </c>
      <c r="AR451" s="74">
        <v>713744.0</v>
      </c>
      <c r="AS451" s="74">
        <v>684436.0</v>
      </c>
      <c r="AT451" s="74">
        <v>583146.0</v>
      </c>
      <c r="AU451" s="74">
        <v>313231.0</v>
      </c>
      <c r="AV451" s="74">
        <v>589283.0</v>
      </c>
      <c r="AW451" s="74">
        <v>469394.0</v>
      </c>
      <c r="AX451" s="74">
        <v>581590.0</v>
      </c>
      <c r="AY451" s="74">
        <v>688233.0</v>
      </c>
      <c r="AZ451" s="74">
        <v>701110.0</v>
      </c>
      <c r="BA451" s="74">
        <v>733582.0</v>
      </c>
      <c r="BB451" s="74">
        <v>653093.0</v>
      </c>
      <c r="BC451" s="74">
        <v>677444.0</v>
      </c>
      <c r="BD451" s="74">
        <v>721224.0</v>
      </c>
      <c r="BE451" s="74">
        <v>592153.0</v>
      </c>
      <c r="BF451" s="74">
        <v>596821.0</v>
      </c>
      <c r="BG451" s="74">
        <v>583811.0</v>
      </c>
      <c r="BH451" s="74">
        <v>725161.0</v>
      </c>
      <c r="BI451" s="74">
        <v>651809.0</v>
      </c>
      <c r="BJ451" s="74">
        <v>569176.0</v>
      </c>
      <c r="BK451" s="74">
        <v>539436.0</v>
      </c>
      <c r="BL451" s="74"/>
      <c r="BM451" s="74"/>
      <c r="BN451" s="74"/>
      <c r="BO451" s="74"/>
      <c r="BP451" s="74"/>
      <c r="BQ451" s="74"/>
      <c r="BR451" s="74"/>
      <c r="BS451" s="1"/>
      <c r="BT451" s="9"/>
      <c r="BU451" s="9"/>
      <c r="BV451" s="1"/>
      <c r="BW451" s="1"/>
      <c r="BX451" s="1"/>
      <c r="BY451" s="1"/>
      <c r="BZ451" s="1"/>
    </row>
    <row r="452">
      <c r="A452" s="3"/>
      <c r="B452" s="33"/>
      <c r="C452" s="155"/>
      <c r="D452" s="155" t="s">
        <v>257</v>
      </c>
      <c r="E452" s="134"/>
      <c r="F452" s="134"/>
      <c r="G452" s="14"/>
      <c r="H452" s="14"/>
      <c r="I452" s="14"/>
      <c r="J452" s="14"/>
      <c r="K452" s="14"/>
      <c r="L452" s="1"/>
      <c r="M452" s="1"/>
      <c r="N452" s="1"/>
      <c r="O452" s="1"/>
      <c r="P452" s="1"/>
      <c r="Q452" s="1"/>
      <c r="R452" s="1"/>
      <c r="S452" s="74">
        <v>161605.0</v>
      </c>
      <c r="T452" s="74">
        <v>183850.0</v>
      </c>
      <c r="U452" s="74">
        <v>121765.0</v>
      </c>
      <c r="V452" s="74">
        <v>78250.0</v>
      </c>
      <c r="W452" s="74">
        <v>75338.0</v>
      </c>
      <c r="X452" s="74">
        <v>104185.0</v>
      </c>
      <c r="Y452" s="74">
        <v>146397.0</v>
      </c>
      <c r="Z452" s="74">
        <v>89909.0</v>
      </c>
      <c r="AA452" s="74">
        <v>123368.0</v>
      </c>
      <c r="AB452" s="74">
        <v>91350.0</v>
      </c>
      <c r="AC452" s="74">
        <v>96215.0</v>
      </c>
      <c r="AD452" s="74">
        <v>122988.0</v>
      </c>
      <c r="AE452" s="74">
        <v>190984.0</v>
      </c>
      <c r="AF452" s="74">
        <v>115864.0</v>
      </c>
      <c r="AG452" s="74">
        <v>191200.0</v>
      </c>
      <c r="AH452" s="74">
        <v>175324.0</v>
      </c>
      <c r="AI452" s="74">
        <v>137344.0</v>
      </c>
      <c r="AJ452" s="74">
        <v>157695.0</v>
      </c>
      <c r="AK452" s="74">
        <v>211213.0</v>
      </c>
      <c r="AL452" s="74">
        <v>198940.0</v>
      </c>
      <c r="AM452" s="74">
        <v>180938.0</v>
      </c>
      <c r="AN452" s="74">
        <v>110407.0</v>
      </c>
      <c r="AO452" s="74">
        <v>114983.0</v>
      </c>
      <c r="AP452" s="74">
        <v>131880.0</v>
      </c>
      <c r="AQ452" s="74">
        <v>97611.0</v>
      </c>
      <c r="AR452" s="74">
        <v>160501.0</v>
      </c>
      <c r="AS452" s="74">
        <v>186950.0</v>
      </c>
      <c r="AT452" s="74">
        <v>230212.0</v>
      </c>
      <c r="AU452" s="74">
        <v>255776.0</v>
      </c>
      <c r="AV452" s="74">
        <v>301387.0</v>
      </c>
      <c r="AW452" s="74">
        <v>109682.0</v>
      </c>
      <c r="AX452" s="74">
        <v>114806.0</v>
      </c>
      <c r="AY452" s="74">
        <v>142153.0</v>
      </c>
      <c r="AZ452" s="74">
        <v>171010.0</v>
      </c>
      <c r="BA452" s="74">
        <v>176170.0</v>
      </c>
      <c r="BB452" s="74">
        <v>89132.0</v>
      </c>
      <c r="BC452" s="74">
        <v>106251.0</v>
      </c>
      <c r="BD452" s="74">
        <v>109964.0</v>
      </c>
      <c r="BE452" s="74">
        <v>135336.0</v>
      </c>
      <c r="BF452" s="74">
        <v>214956.0</v>
      </c>
      <c r="BG452" s="74">
        <v>137167.0</v>
      </c>
      <c r="BH452" s="74">
        <v>91891.0</v>
      </c>
      <c r="BI452" s="74">
        <v>100416.0</v>
      </c>
      <c r="BJ452" s="74">
        <v>47629.0</v>
      </c>
      <c r="BK452" s="74">
        <v>79849.0</v>
      </c>
      <c r="BL452" s="74"/>
      <c r="BM452" s="74"/>
      <c r="BN452" s="74"/>
      <c r="BO452" s="74"/>
      <c r="BP452" s="74"/>
      <c r="BQ452" s="74"/>
      <c r="BR452" s="74"/>
      <c r="BS452" s="1"/>
      <c r="BT452" s="9"/>
      <c r="BU452" s="9"/>
      <c r="BV452" s="1"/>
      <c r="BW452" s="1"/>
      <c r="BX452" s="1"/>
      <c r="BY452" s="1"/>
      <c r="BZ452" s="1"/>
    </row>
    <row r="453">
      <c r="A453" s="3"/>
      <c r="B453" s="33"/>
      <c r="C453" s="147"/>
      <c r="D453" s="147" t="s">
        <v>261</v>
      </c>
      <c r="E453" s="134"/>
      <c r="F453" s="134"/>
      <c r="G453" s="14"/>
      <c r="H453" s="14"/>
      <c r="I453" s="14"/>
      <c r="J453" s="14"/>
      <c r="K453" s="14"/>
      <c r="L453" s="1"/>
      <c r="M453" s="1"/>
      <c r="N453" s="1"/>
      <c r="O453" s="1"/>
      <c r="P453" s="1"/>
      <c r="Q453" s="1"/>
      <c r="R453" s="1"/>
      <c r="S453" s="3">
        <v>0.0</v>
      </c>
      <c r="T453" s="3">
        <v>0.0</v>
      </c>
      <c r="U453" s="74">
        <v>10391.0</v>
      </c>
      <c r="V453" s="74">
        <v>38023.0</v>
      </c>
      <c r="W453" s="74">
        <v>12989.0</v>
      </c>
      <c r="X453" s="74">
        <v>31411.0</v>
      </c>
      <c r="Y453" s="74">
        <v>45109.0</v>
      </c>
      <c r="Z453" s="74">
        <v>50777.0</v>
      </c>
      <c r="AA453" s="74">
        <v>36843.0</v>
      </c>
      <c r="AB453" s="74">
        <v>57389.0</v>
      </c>
      <c r="AC453" s="74">
        <v>61640.0</v>
      </c>
      <c r="AD453" s="74">
        <v>108638.0</v>
      </c>
      <c r="AE453" s="74">
        <v>112417.0</v>
      </c>
      <c r="AF453" s="74">
        <v>78172.0</v>
      </c>
      <c r="AG453" s="74">
        <v>241838.0</v>
      </c>
      <c r="AH453" s="74">
        <v>143355.0</v>
      </c>
      <c r="AI453" s="74">
        <v>127532.0</v>
      </c>
      <c r="AJ453" s="74">
        <v>87147.0</v>
      </c>
      <c r="AK453" s="74">
        <v>106985.0</v>
      </c>
      <c r="AL453" s="74">
        <v>97302.0</v>
      </c>
      <c r="AM453" s="74">
        <v>80062.0</v>
      </c>
      <c r="AN453" s="74">
        <v>91634.0</v>
      </c>
      <c r="AO453" s="74">
        <v>105096.0</v>
      </c>
      <c r="AP453" s="74">
        <v>94232.0</v>
      </c>
      <c r="AQ453" s="74">
        <v>108638.0</v>
      </c>
      <c r="AR453" s="74">
        <v>108638.0</v>
      </c>
      <c r="AS453" s="74">
        <v>173585.0</v>
      </c>
      <c r="AT453" s="74">
        <v>180906.0</v>
      </c>
      <c r="AU453" s="74">
        <v>26451.0</v>
      </c>
      <c r="AV453" s="74">
        <v>167209.0</v>
      </c>
      <c r="AW453" s="74">
        <v>163430.0</v>
      </c>
      <c r="AX453" s="74">
        <v>127532.0</v>
      </c>
      <c r="AY453" s="74">
        <v>131783.0</v>
      </c>
      <c r="AZ453" s="74">
        <v>95413.0</v>
      </c>
      <c r="BA453" s="74">
        <v>92815.0</v>
      </c>
      <c r="BB453" s="74">
        <v>93523.0</v>
      </c>
      <c r="BC453" s="74">
        <v>83368.0</v>
      </c>
      <c r="BD453" s="74">
        <v>84077.0</v>
      </c>
      <c r="BE453" s="74">
        <v>90689.0</v>
      </c>
      <c r="BF453" s="74">
        <v>287183.0</v>
      </c>
      <c r="BG453" s="74">
        <v>269706.0</v>
      </c>
      <c r="BH453" s="74">
        <v>104860.0</v>
      </c>
      <c r="BI453" s="74">
        <v>80770.0</v>
      </c>
      <c r="BJ453" s="74">
        <v>83368.0</v>
      </c>
      <c r="BK453" s="74">
        <v>48887.0</v>
      </c>
      <c r="BL453" s="74"/>
      <c r="BM453" s="74"/>
      <c r="BN453" s="74"/>
      <c r="BO453" s="74"/>
      <c r="BP453" s="74"/>
      <c r="BQ453" s="74"/>
      <c r="BR453" s="74"/>
      <c r="BS453" s="1"/>
      <c r="BT453" s="9"/>
      <c r="BU453" s="9"/>
      <c r="BV453" s="1"/>
      <c r="BW453" s="1"/>
      <c r="BX453" s="1"/>
      <c r="BY453" s="1"/>
      <c r="BZ453" s="1"/>
    </row>
    <row r="454">
      <c r="A454" s="3"/>
      <c r="B454" s="33"/>
      <c r="C454" s="146"/>
      <c r="D454" s="146"/>
      <c r="E454" s="134"/>
      <c r="F454" s="134"/>
      <c r="G454" s="14"/>
      <c r="H454" s="14"/>
      <c r="I454" s="14"/>
      <c r="J454" s="14"/>
      <c r="K454" s="1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9"/>
      <c r="BU454" s="9"/>
      <c r="BV454" s="1"/>
      <c r="BW454" s="1"/>
      <c r="BX454" s="1"/>
      <c r="BY454" s="1"/>
      <c r="BZ454" s="1"/>
    </row>
    <row r="455">
      <c r="A455" s="3"/>
      <c r="B455" s="33"/>
      <c r="C455" s="146"/>
      <c r="D455" s="146"/>
      <c r="E455" s="134"/>
      <c r="F455" s="134"/>
      <c r="G455" s="14"/>
      <c r="H455" s="14"/>
      <c r="I455" s="14"/>
      <c r="J455" s="14"/>
      <c r="K455" s="1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9"/>
      <c r="BU455" s="9"/>
      <c r="BV455" s="1"/>
      <c r="BW455" s="1"/>
      <c r="BX455" s="1"/>
      <c r="BY455" s="1"/>
      <c r="BZ455" s="1"/>
    </row>
    <row r="456">
      <c r="A456" s="3"/>
      <c r="B456" s="33"/>
      <c r="C456" s="122"/>
      <c r="D456" s="122" t="s">
        <v>336</v>
      </c>
      <c r="E456" s="134"/>
      <c r="F456" s="134"/>
      <c r="G456" s="14"/>
      <c r="H456" s="14"/>
      <c r="I456" s="14"/>
      <c r="J456" s="14"/>
      <c r="K456" s="1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9"/>
      <c r="BU456" s="9"/>
      <c r="BV456" s="1"/>
      <c r="BW456" s="1"/>
      <c r="BX456" s="1"/>
      <c r="BY456" s="1"/>
      <c r="BZ456" s="1"/>
    </row>
    <row r="457">
      <c r="A457" s="3"/>
      <c r="B457" s="33"/>
      <c r="C457" s="147"/>
      <c r="D457" s="147" t="s">
        <v>246</v>
      </c>
      <c r="E457" s="134"/>
      <c r="F457" s="134"/>
      <c r="G457" s="14"/>
      <c r="H457" s="14"/>
      <c r="I457" s="14"/>
      <c r="J457" s="14"/>
      <c r="K457" s="14"/>
      <c r="L457" s="1"/>
      <c r="M457" s="1"/>
      <c r="N457" s="1"/>
      <c r="O457" s="1"/>
      <c r="P457" s="1"/>
      <c r="Q457" s="1"/>
      <c r="R457" s="1"/>
      <c r="S457" s="1"/>
      <c r="T457" s="33">
        <v>1.2362</v>
      </c>
      <c r="U457" s="33">
        <v>1.4073</v>
      </c>
      <c r="V457" s="33">
        <v>1.5015</v>
      </c>
      <c r="W457" s="33">
        <v>1.3733</v>
      </c>
      <c r="X457" s="33">
        <v>1.218</v>
      </c>
      <c r="Y457" s="33">
        <v>1.2451</v>
      </c>
      <c r="Z457" s="33">
        <v>1.2836</v>
      </c>
      <c r="AA457" s="33">
        <v>1.2409</v>
      </c>
      <c r="AB457" s="33">
        <v>1.1362</v>
      </c>
      <c r="AC457" s="33">
        <v>1.1454</v>
      </c>
      <c r="AD457" s="33">
        <v>1.2656</v>
      </c>
      <c r="AE457" s="33">
        <v>1.267</v>
      </c>
      <c r="AF457" s="33">
        <v>1.178</v>
      </c>
      <c r="AG457" s="33">
        <v>1.1652</v>
      </c>
      <c r="AH457" s="33">
        <v>1.2951</v>
      </c>
      <c r="AI457" s="33">
        <v>1.2292</v>
      </c>
      <c r="AJ457" s="33">
        <v>1.1433</v>
      </c>
      <c r="AK457" s="33">
        <v>1.3872</v>
      </c>
      <c r="AL457" s="33">
        <v>1.198</v>
      </c>
      <c r="AM457" s="33">
        <v>1.1946</v>
      </c>
      <c r="AN457" s="33">
        <v>1.1737</v>
      </c>
      <c r="AO457" s="33">
        <v>1.2186</v>
      </c>
      <c r="AP457" s="33">
        <v>1.2476</v>
      </c>
      <c r="AQ457" s="33">
        <v>1.274</v>
      </c>
      <c r="AR457" s="33">
        <v>1.3435</v>
      </c>
      <c r="AS457" s="33">
        <v>1.3416</v>
      </c>
      <c r="AT457" s="33">
        <v>1.2093</v>
      </c>
      <c r="AU457" s="33">
        <v>1.1798</v>
      </c>
      <c r="AV457" s="33">
        <v>1.1422</v>
      </c>
      <c r="AW457" s="33">
        <v>1.1167</v>
      </c>
      <c r="AX457" s="33">
        <v>1.1275</v>
      </c>
      <c r="AY457" s="33">
        <v>1.0601</v>
      </c>
      <c r="AZ457" s="33">
        <v>0.9952</v>
      </c>
      <c r="BA457" s="33">
        <v>1.0038</v>
      </c>
      <c r="BB457" s="33">
        <v>1.011</v>
      </c>
      <c r="BC457" s="33">
        <v>1.0113</v>
      </c>
      <c r="BD457" s="33">
        <v>1.04</v>
      </c>
      <c r="BE457" s="33">
        <v>1.0311</v>
      </c>
      <c r="BF457" s="33">
        <v>1.4923</v>
      </c>
      <c r="BG457" s="33">
        <v>1.1861</v>
      </c>
      <c r="BH457" s="33">
        <v>1.3881</v>
      </c>
      <c r="BI457" s="33">
        <v>1.1731</v>
      </c>
      <c r="BJ457" s="33">
        <v>1.1305</v>
      </c>
      <c r="BK457" s="33">
        <v>1.112</v>
      </c>
      <c r="BL457" s="33"/>
      <c r="BM457" s="33"/>
      <c r="BN457" s="33"/>
      <c r="BO457" s="33"/>
      <c r="BP457" s="33"/>
      <c r="BQ457" s="33"/>
      <c r="BR457" s="33"/>
      <c r="BS457" s="1"/>
      <c r="BT457" s="9"/>
      <c r="BU457" s="9"/>
      <c r="BV457" s="1"/>
      <c r="BW457" s="1"/>
      <c r="BX457" s="1"/>
      <c r="BY457" s="1"/>
      <c r="BZ457" s="1"/>
    </row>
    <row r="458">
      <c r="A458" s="3"/>
      <c r="B458" s="33"/>
      <c r="C458" s="147"/>
      <c r="D458" s="147" t="s">
        <v>248</v>
      </c>
      <c r="E458" s="134"/>
      <c r="F458" s="134"/>
      <c r="G458" s="14"/>
      <c r="H458" s="14"/>
      <c r="I458" s="14"/>
      <c r="J458" s="14"/>
      <c r="K458" s="14"/>
      <c r="L458" s="1"/>
      <c r="M458" s="1"/>
      <c r="N458" s="1"/>
      <c r="O458" s="1"/>
      <c r="P458" s="1"/>
      <c r="Q458" s="1"/>
      <c r="R458" s="1"/>
      <c r="S458" s="1"/>
      <c r="T458" s="33">
        <v>1.0915</v>
      </c>
      <c r="U458" s="33">
        <v>1.1051</v>
      </c>
      <c r="V458" s="33">
        <v>1.0849</v>
      </c>
      <c r="W458" s="33">
        <v>1.0921</v>
      </c>
      <c r="X458" s="33">
        <v>1.1605</v>
      </c>
      <c r="Y458" s="33">
        <v>1.1778</v>
      </c>
      <c r="Z458" s="33">
        <v>1.2213</v>
      </c>
      <c r="AA458" s="33">
        <v>1.1901</v>
      </c>
      <c r="AB458" s="33">
        <v>1.1064</v>
      </c>
      <c r="AC458" s="33">
        <v>1.0898</v>
      </c>
      <c r="AD458" s="33">
        <v>1.1311</v>
      </c>
      <c r="AE458" s="33">
        <v>1.1361</v>
      </c>
      <c r="AF458" s="33">
        <v>1.0873</v>
      </c>
      <c r="AG458" s="33">
        <v>1.0968</v>
      </c>
      <c r="AH458" s="33">
        <v>1.2193</v>
      </c>
      <c r="AI458" s="33">
        <v>1.1745</v>
      </c>
      <c r="AJ458" s="33">
        <v>1.1443</v>
      </c>
      <c r="AK458" s="33">
        <v>1.1279</v>
      </c>
      <c r="AL458" s="33">
        <v>1.1096</v>
      </c>
      <c r="AM458" s="33">
        <v>1.1545</v>
      </c>
      <c r="AN458" s="33">
        <v>1.115</v>
      </c>
      <c r="AO458" s="33">
        <v>1.1456</v>
      </c>
      <c r="AP458" s="33">
        <v>1.2432</v>
      </c>
      <c r="AQ458" s="33">
        <v>1.2605</v>
      </c>
      <c r="AR458" s="33">
        <v>1.2914</v>
      </c>
      <c r="AS458" s="33">
        <v>1.2284</v>
      </c>
      <c r="AT458" s="33">
        <v>1.1593</v>
      </c>
      <c r="AU458" s="33">
        <v>1.1822</v>
      </c>
      <c r="AV458" s="33">
        <v>1.0957</v>
      </c>
      <c r="AW458" s="33">
        <v>1.1072</v>
      </c>
      <c r="AX458" s="33">
        <v>1.0865</v>
      </c>
      <c r="AY458" s="33">
        <v>1.1147</v>
      </c>
      <c r="AZ458" s="33">
        <v>1.007</v>
      </c>
      <c r="BA458" s="33">
        <v>1.0406</v>
      </c>
      <c r="BB458" s="33">
        <v>1.0251</v>
      </c>
      <c r="BC458" s="33">
        <v>1.0212</v>
      </c>
      <c r="BD458" s="33">
        <v>1.0136</v>
      </c>
      <c r="BE458" s="33">
        <v>0.9316</v>
      </c>
      <c r="BF458" s="33">
        <v>1.1973</v>
      </c>
      <c r="BG458" s="33">
        <v>1.1196</v>
      </c>
      <c r="BH458" s="33">
        <v>1.2858</v>
      </c>
      <c r="BI458" s="33">
        <v>1.1372</v>
      </c>
      <c r="BJ458" s="33">
        <v>1.0836</v>
      </c>
      <c r="BK458" s="33">
        <v>1.0085</v>
      </c>
      <c r="BL458" s="33"/>
      <c r="BM458" s="33"/>
      <c r="BN458" s="33"/>
      <c r="BO458" s="33"/>
      <c r="BP458" s="33"/>
      <c r="BQ458" s="33"/>
      <c r="BR458" s="33"/>
      <c r="BS458" s="1"/>
      <c r="BT458" s="9"/>
      <c r="BU458" s="9"/>
      <c r="BV458" s="1"/>
      <c r="BW458" s="1"/>
      <c r="BX458" s="1"/>
      <c r="BY458" s="1"/>
      <c r="BZ458" s="1"/>
    </row>
    <row r="459">
      <c r="A459" s="3"/>
      <c r="B459" s="33"/>
      <c r="C459" s="147"/>
      <c r="D459" s="147" t="s">
        <v>251</v>
      </c>
      <c r="E459" s="134"/>
      <c r="F459" s="134"/>
      <c r="G459" s="14"/>
      <c r="H459" s="14"/>
      <c r="I459" s="14"/>
      <c r="J459" s="14"/>
      <c r="K459" s="14"/>
      <c r="L459" s="1"/>
      <c r="M459" s="1"/>
      <c r="N459" s="1"/>
      <c r="O459" s="1"/>
      <c r="P459" s="1"/>
      <c r="Q459" s="1"/>
      <c r="R459" s="1"/>
      <c r="S459" s="1"/>
      <c r="T459" s="33">
        <v>1.0259</v>
      </c>
      <c r="U459" s="33">
        <v>1.0577</v>
      </c>
      <c r="V459" s="33">
        <v>1.0493</v>
      </c>
      <c r="W459" s="33">
        <v>1.0783</v>
      </c>
      <c r="X459" s="33">
        <v>1.1647</v>
      </c>
      <c r="Y459" s="33">
        <v>1.1445</v>
      </c>
      <c r="Z459" s="33">
        <v>1.1687</v>
      </c>
      <c r="AA459" s="33">
        <v>1.1337</v>
      </c>
      <c r="AB459" s="33">
        <v>1.1215</v>
      </c>
      <c r="AC459" s="33">
        <v>1.1898</v>
      </c>
      <c r="AD459" s="33">
        <v>1.1396</v>
      </c>
      <c r="AE459" s="33">
        <v>1.1875</v>
      </c>
      <c r="AF459" s="33">
        <v>1.1465</v>
      </c>
      <c r="AG459" s="33">
        <v>1.431</v>
      </c>
      <c r="AH459" s="33">
        <v>1.1828</v>
      </c>
      <c r="AI459" s="33">
        <v>1.0663</v>
      </c>
      <c r="AJ459" s="33">
        <v>1.0741</v>
      </c>
      <c r="AK459" s="33">
        <v>1.0698</v>
      </c>
      <c r="AL459" s="33">
        <v>1.0583</v>
      </c>
      <c r="AM459" s="33">
        <v>1.0511</v>
      </c>
      <c r="AN459" s="33">
        <v>1.0249</v>
      </c>
      <c r="AO459" s="33">
        <v>1.0223</v>
      </c>
      <c r="AP459" s="33">
        <v>1.0433</v>
      </c>
      <c r="AQ459" s="33">
        <v>1.0457</v>
      </c>
      <c r="AR459" s="33">
        <v>1.0882</v>
      </c>
      <c r="AS459" s="33">
        <v>1.0711</v>
      </c>
      <c r="AT459" s="33">
        <v>1.0694</v>
      </c>
      <c r="AU459" s="33">
        <v>1.3464</v>
      </c>
      <c r="AV459" s="33">
        <v>1.1517</v>
      </c>
      <c r="AW459" s="33">
        <v>1.0632</v>
      </c>
      <c r="AX459" s="33">
        <v>1.0062</v>
      </c>
      <c r="AY459" s="33">
        <v>0.9918</v>
      </c>
      <c r="AZ459" s="33">
        <v>1.0055</v>
      </c>
      <c r="BA459" s="33">
        <v>0.9955</v>
      </c>
      <c r="BB459" s="33">
        <v>1.0037</v>
      </c>
      <c r="BC459" s="33">
        <v>0.9688</v>
      </c>
      <c r="BD459" s="33">
        <v>0.9406</v>
      </c>
      <c r="BE459" s="33">
        <v>0.9081</v>
      </c>
      <c r="BF459" s="33">
        <v>1.4922</v>
      </c>
      <c r="BG459" s="33">
        <v>1.3022</v>
      </c>
      <c r="BH459" s="33">
        <v>1.0879</v>
      </c>
      <c r="BI459" s="33">
        <v>0.9055</v>
      </c>
      <c r="BJ459" s="33">
        <v>0.8636</v>
      </c>
      <c r="BK459" s="33">
        <v>0.9842</v>
      </c>
      <c r="BL459" s="33"/>
      <c r="BM459" s="33"/>
      <c r="BN459" s="33"/>
      <c r="BO459" s="33"/>
      <c r="BP459" s="33"/>
      <c r="BQ459" s="33"/>
      <c r="BR459" s="33"/>
      <c r="BS459" s="1"/>
      <c r="BT459" s="9"/>
      <c r="BU459" s="9"/>
      <c r="BV459" s="1"/>
      <c r="BW459" s="1"/>
      <c r="BX459" s="1"/>
      <c r="BY459" s="1"/>
      <c r="BZ459" s="1"/>
    </row>
    <row r="460">
      <c r="A460" s="3"/>
      <c r="B460" s="33"/>
      <c r="C460" s="147"/>
      <c r="D460" s="147" t="s">
        <v>253</v>
      </c>
      <c r="E460" s="134"/>
      <c r="F460" s="134"/>
      <c r="G460" s="14"/>
      <c r="H460" s="14"/>
      <c r="I460" s="14"/>
      <c r="J460" s="14"/>
      <c r="K460" s="14"/>
      <c r="L460" s="1"/>
      <c r="M460" s="1"/>
      <c r="N460" s="1"/>
      <c r="O460" s="1"/>
      <c r="P460" s="1"/>
      <c r="Q460" s="1"/>
      <c r="R460" s="1"/>
      <c r="S460" s="1"/>
      <c r="T460" s="33">
        <v>1.1214</v>
      </c>
      <c r="U460" s="33">
        <v>1.1043</v>
      </c>
      <c r="V460" s="33">
        <v>1.0963</v>
      </c>
      <c r="W460" s="33">
        <v>1.0904</v>
      </c>
      <c r="X460" s="33">
        <v>1.1484</v>
      </c>
      <c r="Y460" s="33">
        <v>1.1569</v>
      </c>
      <c r="Z460" s="33">
        <v>1.1574</v>
      </c>
      <c r="AA460" s="33">
        <v>1.1298</v>
      </c>
      <c r="AB460" s="33">
        <v>1.0965</v>
      </c>
      <c r="AC460" s="33">
        <v>1.1071</v>
      </c>
      <c r="AD460" s="33">
        <v>1.1228</v>
      </c>
      <c r="AE460" s="33">
        <v>1.1455</v>
      </c>
      <c r="AF460" s="33">
        <v>1.0891</v>
      </c>
      <c r="AG460" s="33">
        <v>1.0555</v>
      </c>
      <c r="AH460" s="33">
        <v>1.0577</v>
      </c>
      <c r="AI460" s="33">
        <v>1.0843</v>
      </c>
      <c r="AJ460" s="33">
        <v>1.128</v>
      </c>
      <c r="AK460" s="33">
        <v>1.077</v>
      </c>
      <c r="AL460" s="33">
        <v>1.0631</v>
      </c>
      <c r="AM460" s="33">
        <v>1.0657</v>
      </c>
      <c r="AN460" s="33">
        <v>1.0479</v>
      </c>
      <c r="AO460" s="33">
        <v>1.0672</v>
      </c>
      <c r="AP460" s="33">
        <v>1.1254</v>
      </c>
      <c r="AQ460" s="33">
        <v>1.1591</v>
      </c>
      <c r="AR460" s="33">
        <v>1.1748</v>
      </c>
      <c r="AS460" s="33">
        <v>1.144</v>
      </c>
      <c r="AT460" s="33">
        <v>1.0291</v>
      </c>
      <c r="AU460" s="33">
        <v>1.0047</v>
      </c>
      <c r="AV460" s="33">
        <v>1.0758</v>
      </c>
      <c r="AW460" s="33">
        <v>1.1707</v>
      </c>
      <c r="AX460" s="33">
        <v>1.1815</v>
      </c>
      <c r="AY460" s="33">
        <v>1.0492</v>
      </c>
      <c r="AZ460" s="33">
        <v>1.018</v>
      </c>
      <c r="BA460" s="33">
        <v>1.0186</v>
      </c>
      <c r="BB460" s="33">
        <v>1.0302</v>
      </c>
      <c r="BC460" s="33">
        <v>0.9833</v>
      </c>
      <c r="BD460" s="33">
        <v>0.9498</v>
      </c>
      <c r="BE460" s="33">
        <v>0.9597</v>
      </c>
      <c r="BF460" s="33">
        <v>0.9183</v>
      </c>
      <c r="BG460" s="33">
        <v>0.8621</v>
      </c>
      <c r="BH460" s="33">
        <v>0.8962</v>
      </c>
      <c r="BI460" s="33">
        <v>0.9233</v>
      </c>
      <c r="BJ460" s="33">
        <v>0.9239</v>
      </c>
      <c r="BK460" s="33">
        <v>1.0072</v>
      </c>
      <c r="BL460" s="33"/>
      <c r="BM460" s="33"/>
      <c r="BN460" s="33"/>
      <c r="BO460" s="33"/>
      <c r="BP460" s="33"/>
      <c r="BQ460" s="33"/>
      <c r="BR460" s="33"/>
      <c r="BS460" s="1"/>
      <c r="BT460" s="9"/>
      <c r="BU460" s="9"/>
      <c r="BV460" s="1"/>
      <c r="BW460" s="1"/>
      <c r="BX460" s="1"/>
      <c r="BY460" s="1"/>
      <c r="BZ460" s="1"/>
    </row>
    <row r="461">
      <c r="A461" s="3"/>
      <c r="B461" s="33"/>
      <c r="C461" s="147"/>
      <c r="D461" s="147" t="s">
        <v>255</v>
      </c>
      <c r="E461" s="134"/>
      <c r="F461" s="134"/>
      <c r="G461" s="14"/>
      <c r="H461" s="14"/>
      <c r="I461" s="14"/>
      <c r="J461" s="14"/>
      <c r="K461" s="14"/>
      <c r="L461" s="1"/>
      <c r="M461" s="1"/>
      <c r="N461" s="1"/>
      <c r="O461" s="1"/>
      <c r="P461" s="1"/>
      <c r="Q461" s="1"/>
      <c r="R461" s="1"/>
      <c r="S461" s="1"/>
      <c r="T461" s="33">
        <v>1.0921</v>
      </c>
      <c r="U461" s="33">
        <v>1.1433</v>
      </c>
      <c r="V461" s="33">
        <v>1.0794</v>
      </c>
      <c r="W461" s="33">
        <v>1.1089</v>
      </c>
      <c r="X461" s="33">
        <v>1.2186</v>
      </c>
      <c r="Y461" s="33">
        <v>1.1988</v>
      </c>
      <c r="Z461" s="33">
        <v>1.1453</v>
      </c>
      <c r="AA461" s="33">
        <v>1.0923</v>
      </c>
      <c r="AB461" s="33">
        <v>1.0825</v>
      </c>
      <c r="AC461" s="33">
        <v>1.0814</v>
      </c>
      <c r="AD461" s="33">
        <v>1.0828</v>
      </c>
      <c r="AE461" s="33">
        <v>1.0866</v>
      </c>
      <c r="AF461" s="33">
        <v>1.0406</v>
      </c>
      <c r="AG461" s="33">
        <v>1.0449</v>
      </c>
      <c r="AH461" s="33">
        <v>1.0584</v>
      </c>
      <c r="AI461" s="33">
        <v>1.0392</v>
      </c>
      <c r="AJ461" s="33">
        <v>1.0812</v>
      </c>
      <c r="AK461" s="33">
        <v>1.0797</v>
      </c>
      <c r="AL461" s="33">
        <v>1.0637</v>
      </c>
      <c r="AM461" s="33">
        <v>1.0383</v>
      </c>
      <c r="AN461" s="33">
        <v>1.0571</v>
      </c>
      <c r="AO461" s="33">
        <v>1.0662</v>
      </c>
      <c r="AP461" s="33">
        <v>1.0679</v>
      </c>
      <c r="AQ461" s="33">
        <v>1.0774</v>
      </c>
      <c r="AR461" s="33">
        <v>1.1213</v>
      </c>
      <c r="AS461" s="33">
        <v>1.1048</v>
      </c>
      <c r="AT461" s="33">
        <v>1.0353</v>
      </c>
      <c r="AU461" s="33">
        <v>0.556</v>
      </c>
      <c r="AV461" s="33">
        <v>1.024</v>
      </c>
      <c r="AW461" s="33">
        <v>1.0195</v>
      </c>
      <c r="AX461" s="33">
        <v>1.0293</v>
      </c>
      <c r="AY461" s="33">
        <v>1.0186</v>
      </c>
      <c r="AZ461" s="33">
        <v>1.0284</v>
      </c>
      <c r="BA461" s="33">
        <v>1.0834</v>
      </c>
      <c r="BB461" s="33">
        <v>1.107</v>
      </c>
      <c r="BC461" s="33">
        <v>1.1008</v>
      </c>
      <c r="BD461" s="33">
        <v>1.0559</v>
      </c>
      <c r="BE461" s="33">
        <v>1.0284</v>
      </c>
      <c r="BF461" s="33">
        <v>1.0186</v>
      </c>
      <c r="BG461" s="33">
        <v>1.0509</v>
      </c>
      <c r="BH461" s="33">
        <v>1.182</v>
      </c>
      <c r="BI461" s="33">
        <v>1.1397</v>
      </c>
      <c r="BJ461" s="33">
        <v>1.1072</v>
      </c>
      <c r="BK461" s="33">
        <v>1.0441</v>
      </c>
      <c r="BL461" s="33"/>
      <c r="BM461" s="33"/>
      <c r="BN461" s="33"/>
      <c r="BO461" s="33"/>
      <c r="BP461" s="33"/>
      <c r="BQ461" s="33"/>
      <c r="BR461" s="33"/>
      <c r="BS461" s="1"/>
      <c r="BT461" s="9"/>
      <c r="BU461" s="9"/>
      <c r="BV461" s="1"/>
      <c r="BW461" s="1"/>
      <c r="BX461" s="1"/>
      <c r="BY461" s="1"/>
      <c r="BZ461" s="1"/>
    </row>
    <row r="462">
      <c r="A462" s="3"/>
      <c r="B462" s="33"/>
      <c r="C462" s="155"/>
      <c r="D462" s="155" t="s">
        <v>257</v>
      </c>
      <c r="E462" s="134"/>
      <c r="F462" s="134"/>
      <c r="G462" s="14"/>
      <c r="H462" s="14"/>
      <c r="I462" s="14"/>
      <c r="J462" s="14"/>
      <c r="K462" s="14"/>
      <c r="L462" s="1"/>
      <c r="M462" s="1"/>
      <c r="N462" s="1"/>
      <c r="O462" s="1"/>
      <c r="P462" s="1"/>
      <c r="Q462" s="1"/>
      <c r="R462" s="1"/>
      <c r="S462" s="1"/>
      <c r="T462" s="33">
        <v>1.2783</v>
      </c>
      <c r="U462" s="33">
        <v>1.2862</v>
      </c>
      <c r="V462" s="33">
        <v>1.1457</v>
      </c>
      <c r="W462" s="33">
        <v>1.0484</v>
      </c>
      <c r="X462" s="33">
        <v>1.1176</v>
      </c>
      <c r="Y462" s="33">
        <v>1.1256</v>
      </c>
      <c r="Z462" s="33">
        <v>1.0843</v>
      </c>
      <c r="AA462" s="33">
        <v>1.0487</v>
      </c>
      <c r="AB462" s="33">
        <v>1.0404</v>
      </c>
      <c r="AC462" s="33">
        <v>1.013</v>
      </c>
      <c r="AD462" s="33">
        <v>1.0681</v>
      </c>
      <c r="AE462" s="33">
        <v>1.1324</v>
      </c>
      <c r="AF462" s="33">
        <v>1.0199</v>
      </c>
      <c r="AG462" s="33">
        <v>1.302</v>
      </c>
      <c r="AH462" s="33">
        <v>1.1103</v>
      </c>
      <c r="AI462" s="33">
        <v>1.044</v>
      </c>
      <c r="AJ462" s="33">
        <v>1.1466</v>
      </c>
      <c r="AK462" s="33">
        <v>1.1099</v>
      </c>
      <c r="AL462" s="33">
        <v>1.0937</v>
      </c>
      <c r="AM462" s="33">
        <v>1.0642</v>
      </c>
      <c r="AN462" s="33">
        <v>1.0543</v>
      </c>
      <c r="AO462" s="33">
        <v>1.0983</v>
      </c>
      <c r="AP462" s="33">
        <v>1.1118</v>
      </c>
      <c r="AQ462" s="33">
        <v>1.1463</v>
      </c>
      <c r="AR462" s="33">
        <v>1.1975</v>
      </c>
      <c r="AS462" s="33">
        <v>1.1318</v>
      </c>
      <c r="AT462" s="33">
        <v>1.1326</v>
      </c>
      <c r="AU462" s="33">
        <v>1.1348</v>
      </c>
      <c r="AV462" s="33">
        <v>1.2324</v>
      </c>
      <c r="AW462" s="33">
        <v>1.2145</v>
      </c>
      <c r="AX462" s="33">
        <v>1.1006</v>
      </c>
      <c r="AY462" s="33">
        <v>1.0967</v>
      </c>
      <c r="AZ462" s="33">
        <v>1.2002</v>
      </c>
      <c r="BA462" s="33">
        <v>1.2299</v>
      </c>
      <c r="BB462" s="33">
        <v>1.165</v>
      </c>
      <c r="BC462" s="33">
        <v>1.1968</v>
      </c>
      <c r="BD462" s="33">
        <v>1.12</v>
      </c>
      <c r="BE462" s="33">
        <v>1.034</v>
      </c>
      <c r="BF462" s="33">
        <v>1.515</v>
      </c>
      <c r="BG462" s="33">
        <v>1.4117</v>
      </c>
      <c r="BH462" s="33">
        <v>1.1086</v>
      </c>
      <c r="BI462" s="33">
        <v>1.1578</v>
      </c>
      <c r="BJ462" s="33">
        <v>1.0315</v>
      </c>
      <c r="BK462" s="33">
        <v>0.9939</v>
      </c>
      <c r="BL462" s="33"/>
      <c r="BM462" s="33"/>
      <c r="BN462" s="33"/>
      <c r="BO462" s="33"/>
      <c r="BP462" s="33"/>
      <c r="BQ462" s="33"/>
      <c r="BR462" s="33"/>
      <c r="BS462" s="1"/>
      <c r="BT462" s="9"/>
      <c r="BU462" s="9"/>
      <c r="BV462" s="1"/>
      <c r="BW462" s="1"/>
      <c r="BX462" s="1"/>
      <c r="BY462" s="1"/>
      <c r="BZ462" s="1"/>
    </row>
    <row r="463">
      <c r="A463" s="3"/>
      <c r="B463" s="33"/>
      <c r="C463" s="147"/>
      <c r="D463" s="147" t="s">
        <v>261</v>
      </c>
      <c r="E463" s="134"/>
      <c r="F463" s="134"/>
      <c r="G463" s="14"/>
      <c r="H463" s="14"/>
      <c r="I463" s="14"/>
      <c r="J463" s="14"/>
      <c r="K463" s="14"/>
      <c r="L463" s="1"/>
      <c r="M463" s="1"/>
      <c r="N463" s="1"/>
      <c r="O463" s="1"/>
      <c r="P463" s="1"/>
      <c r="Q463" s="1"/>
      <c r="R463" s="1"/>
      <c r="S463" s="1"/>
      <c r="T463" s="3" t="e">
        <v>#DIV/0!</v>
      </c>
      <c r="U463" s="33">
        <v>1.0357</v>
      </c>
      <c r="V463" s="33">
        <v>1.337</v>
      </c>
      <c r="W463" s="33">
        <v>1.0719</v>
      </c>
      <c r="X463" s="33">
        <v>1.1017</v>
      </c>
      <c r="Y463" s="33">
        <v>1.1911</v>
      </c>
      <c r="Z463" s="33">
        <v>1.2069</v>
      </c>
      <c r="AA463" s="33">
        <v>1.1496</v>
      </c>
      <c r="AB463" s="33">
        <v>1.2213</v>
      </c>
      <c r="AC463" s="33">
        <v>1.1505</v>
      </c>
      <c r="AD463" s="33">
        <v>1.3164</v>
      </c>
      <c r="AE463" s="33">
        <v>1.4538</v>
      </c>
      <c r="AF463" s="33">
        <v>1.383</v>
      </c>
      <c r="AG463" s="33">
        <v>1.9384</v>
      </c>
      <c r="AH463" s="33">
        <v>1.6771</v>
      </c>
      <c r="AI463" s="33">
        <v>1.5102</v>
      </c>
      <c r="AJ463" s="33">
        <v>1.2993</v>
      </c>
      <c r="AK463" s="33">
        <v>1.2139</v>
      </c>
      <c r="AL463" s="33">
        <v>1.2301</v>
      </c>
      <c r="AM463" s="33">
        <v>1.149</v>
      </c>
      <c r="AN463" s="33">
        <v>1.0538</v>
      </c>
      <c r="AO463" s="33">
        <v>1.1432</v>
      </c>
      <c r="AP463" s="33">
        <v>1.1858</v>
      </c>
      <c r="AQ463" s="33">
        <v>1.2372</v>
      </c>
      <c r="AR463" s="33">
        <v>1.2749</v>
      </c>
      <c r="AS463" s="33">
        <v>1.2431</v>
      </c>
      <c r="AT463" s="33">
        <v>1.2522</v>
      </c>
      <c r="AU463" s="33">
        <v>0.1926</v>
      </c>
      <c r="AV463" s="33">
        <v>1.1894</v>
      </c>
      <c r="AW463" s="33">
        <v>1.2998</v>
      </c>
      <c r="AX463" s="33">
        <v>1.1923</v>
      </c>
      <c r="AY463" s="33">
        <v>1.1003</v>
      </c>
      <c r="AZ463" s="33">
        <v>1.0431</v>
      </c>
      <c r="BA463" s="33">
        <v>1.029</v>
      </c>
      <c r="BB463" s="33">
        <v>1.0897</v>
      </c>
      <c r="BC463" s="33">
        <v>1.0697</v>
      </c>
      <c r="BD463" s="33">
        <v>1.0072</v>
      </c>
      <c r="BE463" s="33">
        <v>0.9952</v>
      </c>
      <c r="BF463" s="33">
        <v>2.4744</v>
      </c>
      <c r="BG463" s="33">
        <v>3.5814</v>
      </c>
      <c r="BH463" s="33">
        <v>1.2795</v>
      </c>
      <c r="BI463" s="33">
        <v>0.9338</v>
      </c>
      <c r="BJ463" s="33">
        <v>0.8649</v>
      </c>
      <c r="BK463" s="33">
        <v>0.8522</v>
      </c>
      <c r="BL463" s="33"/>
      <c r="BM463" s="33"/>
      <c r="BN463" s="33"/>
      <c r="BO463" s="33"/>
      <c r="BP463" s="33"/>
      <c r="BQ463" s="33"/>
      <c r="BR463" s="33"/>
      <c r="BS463" s="1"/>
      <c r="BT463" s="9"/>
      <c r="BU463" s="9"/>
      <c r="BV463" s="1"/>
      <c r="BW463" s="1"/>
      <c r="BX463" s="1"/>
      <c r="BY463" s="1"/>
      <c r="BZ463" s="1"/>
    </row>
    <row r="464">
      <c r="A464" s="3"/>
      <c r="B464" s="33"/>
      <c r="C464" s="146"/>
      <c r="D464" s="146"/>
      <c r="E464" s="134"/>
      <c r="F464" s="134"/>
      <c r="G464" s="14"/>
      <c r="H464" s="14"/>
      <c r="I464" s="14"/>
      <c r="J464" s="14"/>
      <c r="K464" s="1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9"/>
      <c r="BU464" s="9"/>
      <c r="BV464" s="1"/>
      <c r="BW464" s="1"/>
      <c r="BX464" s="1"/>
      <c r="BY464" s="1"/>
      <c r="BZ464" s="1"/>
    </row>
    <row r="465">
      <c r="A465" s="3"/>
      <c r="B465" s="33"/>
      <c r="C465" s="146"/>
      <c r="D465" s="146"/>
      <c r="E465" s="134"/>
      <c r="F465" s="134"/>
      <c r="G465" s="14"/>
      <c r="H465" s="14"/>
      <c r="I465" s="14"/>
      <c r="J465" s="14"/>
      <c r="K465" s="1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9"/>
      <c r="BU465" s="9"/>
      <c r="BV465" s="1"/>
      <c r="BW465" s="1"/>
      <c r="BX465" s="1"/>
      <c r="BY465" s="1"/>
      <c r="BZ465" s="1"/>
    </row>
    <row r="466">
      <c r="A466" s="3"/>
      <c r="B466" s="33"/>
      <c r="C466" s="122"/>
      <c r="D466" s="122" t="s">
        <v>337</v>
      </c>
      <c r="E466" s="134"/>
      <c r="F466" s="134"/>
      <c r="G466" s="14"/>
      <c r="H466" s="14"/>
      <c r="I466" s="14"/>
      <c r="J466" s="14"/>
      <c r="K466" s="1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9"/>
      <c r="BU466" s="9"/>
      <c r="BV466" s="1"/>
      <c r="BW466" s="1"/>
      <c r="BX466" s="1"/>
      <c r="BY466" s="1"/>
      <c r="BZ466" s="1"/>
    </row>
    <row r="467">
      <c r="A467" s="3"/>
      <c r="B467" s="33"/>
      <c r="C467" s="147"/>
      <c r="D467" s="147" t="s">
        <v>246</v>
      </c>
      <c r="E467" s="134"/>
      <c r="F467" s="134"/>
      <c r="G467" s="14"/>
      <c r="H467" s="14"/>
      <c r="I467" s="14"/>
      <c r="J467" s="14"/>
      <c r="K467" s="14"/>
      <c r="L467" s="1"/>
      <c r="M467" s="1"/>
      <c r="N467" s="1"/>
      <c r="O467" s="1"/>
      <c r="P467" s="1"/>
      <c r="Q467" s="1"/>
      <c r="R467" s="1"/>
      <c r="S467" s="74">
        <v>88766.0</v>
      </c>
      <c r="T467" s="74">
        <v>86847.0</v>
      </c>
      <c r="U467" s="74">
        <v>84663.0</v>
      </c>
      <c r="V467" s="74">
        <v>88070.0</v>
      </c>
      <c r="W467" s="74">
        <v>80473.0</v>
      </c>
      <c r="X467" s="74">
        <v>59749.0</v>
      </c>
      <c r="Y467" s="74">
        <v>63118.0</v>
      </c>
      <c r="Z467" s="74">
        <v>55088.0</v>
      </c>
      <c r="AA467" s="74">
        <v>48115.0</v>
      </c>
      <c r="AB467" s="74">
        <v>46884.0</v>
      </c>
      <c r="AC467" s="74">
        <v>67371.0</v>
      </c>
      <c r="AD467" s="74">
        <v>72986.0</v>
      </c>
      <c r="AE467" s="74">
        <v>75209.0</v>
      </c>
      <c r="AF467" s="74">
        <v>54535.0</v>
      </c>
      <c r="AG467" s="74">
        <v>65614.0</v>
      </c>
      <c r="AH467" s="74">
        <v>67021.0</v>
      </c>
      <c r="AI467" s="74">
        <v>48316.0</v>
      </c>
      <c r="AJ467" s="74">
        <v>44965.0</v>
      </c>
      <c r="AK467" s="74">
        <v>44182.0</v>
      </c>
      <c r="AL467" s="74">
        <v>44914.0</v>
      </c>
      <c r="AM467" s="74">
        <v>47296.0</v>
      </c>
      <c r="AN467" s="74">
        <v>61484.0</v>
      </c>
      <c r="AO467" s="74">
        <v>65413.0</v>
      </c>
      <c r="AP467" s="74">
        <v>63037.0</v>
      </c>
      <c r="AQ467" s="74">
        <v>63691.0</v>
      </c>
      <c r="AR467" s="74">
        <v>51941.0</v>
      </c>
      <c r="AS467" s="74">
        <v>52406.0</v>
      </c>
      <c r="AT467" s="74">
        <v>50463.0</v>
      </c>
      <c r="AU467" s="74">
        <v>50463.0</v>
      </c>
      <c r="AV467" s="74">
        <v>50463.0</v>
      </c>
      <c r="AW467" s="74">
        <v>50463.0</v>
      </c>
      <c r="AX467" s="74">
        <v>51865.0</v>
      </c>
      <c r="AY467" s="74">
        <v>50853.0</v>
      </c>
      <c r="AZ467" s="74">
        <v>50853.0</v>
      </c>
      <c r="BA467" s="74">
        <v>52050.0</v>
      </c>
      <c r="BB467" s="74">
        <v>53809.0</v>
      </c>
      <c r="BC467" s="74">
        <v>54811.0</v>
      </c>
      <c r="BD467" s="74">
        <v>53580.0</v>
      </c>
      <c r="BE467" s="74">
        <v>78129.0</v>
      </c>
      <c r="BF467" s="74">
        <v>80794.0</v>
      </c>
      <c r="BG467" s="74">
        <v>47195.0</v>
      </c>
      <c r="BH467" s="74">
        <v>46766.0</v>
      </c>
      <c r="BI467" s="74">
        <v>44899.0</v>
      </c>
      <c r="BJ467" s="74">
        <v>44717.0</v>
      </c>
      <c r="BK467" s="74">
        <v>46397.0</v>
      </c>
      <c r="BL467" s="74"/>
      <c r="BM467" s="74"/>
      <c r="BN467" s="74"/>
      <c r="BO467" s="74"/>
      <c r="BP467" s="74"/>
      <c r="BQ467" s="74"/>
      <c r="BR467" s="74"/>
      <c r="BS467" s="1"/>
      <c r="BT467" s="9"/>
      <c r="BU467" s="9"/>
      <c r="BV467" s="1"/>
      <c r="BW467" s="1"/>
      <c r="BX467" s="1"/>
      <c r="BY467" s="1"/>
      <c r="BZ467" s="1"/>
    </row>
    <row r="468">
      <c r="A468" s="3"/>
      <c r="B468" s="33"/>
      <c r="C468" s="147"/>
      <c r="D468" s="147" t="s">
        <v>248</v>
      </c>
      <c r="E468" s="134"/>
      <c r="F468" s="134"/>
      <c r="G468" s="14"/>
      <c r="H468" s="14"/>
      <c r="I468" s="14"/>
      <c r="J468" s="14"/>
      <c r="K468" s="14"/>
      <c r="L468" s="1"/>
      <c r="M468" s="1"/>
      <c r="N468" s="1"/>
      <c r="O468" s="1"/>
      <c r="P468" s="1"/>
      <c r="Q468" s="1"/>
      <c r="R468" s="1"/>
      <c r="S468" s="74">
        <v>337441.0</v>
      </c>
      <c r="T468" s="74">
        <v>328918.0</v>
      </c>
      <c r="U468" s="74">
        <v>301339.0</v>
      </c>
      <c r="V468" s="74">
        <v>303328.0</v>
      </c>
      <c r="W468" s="74">
        <v>275340.0</v>
      </c>
      <c r="X468" s="74">
        <v>220404.0</v>
      </c>
      <c r="Y468" s="74">
        <v>225638.0</v>
      </c>
      <c r="Z468" s="74">
        <v>219039.0</v>
      </c>
      <c r="AA468" s="74">
        <v>213805.0</v>
      </c>
      <c r="AB468" s="74">
        <v>211437.0</v>
      </c>
      <c r="AC468" s="74">
        <v>241485.0</v>
      </c>
      <c r="AD468" s="74">
        <v>237605.0</v>
      </c>
      <c r="AE468" s="74">
        <v>244744.0</v>
      </c>
      <c r="AF468" s="74">
        <v>209069.0</v>
      </c>
      <c r="AG468" s="74">
        <v>218262.0</v>
      </c>
      <c r="AH468" s="74">
        <v>222760.0</v>
      </c>
      <c r="AI468" s="74">
        <v>218801.0</v>
      </c>
      <c r="AJ468" s="74">
        <v>213210.0</v>
      </c>
      <c r="AK468" s="74">
        <v>218444.0</v>
      </c>
      <c r="AL468" s="74">
        <v>218444.0</v>
      </c>
      <c r="AM468" s="74">
        <v>229209.0</v>
      </c>
      <c r="AN468" s="74">
        <v>280361.0</v>
      </c>
      <c r="AO468" s="74">
        <v>251039.0</v>
      </c>
      <c r="AP468" s="74">
        <v>264705.0</v>
      </c>
      <c r="AQ468" s="74">
        <v>259168.0</v>
      </c>
      <c r="AR468" s="74">
        <v>214297.0</v>
      </c>
      <c r="AS468" s="74">
        <v>209069.0</v>
      </c>
      <c r="AT468" s="74">
        <v>214467.0</v>
      </c>
      <c r="AU468" s="74">
        <v>215810.0</v>
      </c>
      <c r="AV468" s="74">
        <v>215810.0</v>
      </c>
      <c r="AW468" s="74">
        <v>204151.0</v>
      </c>
      <c r="AX468" s="74">
        <v>215639.0</v>
      </c>
      <c r="AY468" s="74">
        <v>221440.0</v>
      </c>
      <c r="AZ468" s="74">
        <v>214700.0</v>
      </c>
      <c r="BA468" s="74">
        <v>215639.0</v>
      </c>
      <c r="BB468" s="74">
        <v>214634.0</v>
      </c>
      <c r="BC468" s="74">
        <v>221173.0</v>
      </c>
      <c r="BD468" s="74">
        <v>232471.0</v>
      </c>
      <c r="BE468" s="74">
        <v>315969.0</v>
      </c>
      <c r="BF468" s="74">
        <v>325137.0</v>
      </c>
      <c r="BG468" s="74">
        <v>217558.0</v>
      </c>
      <c r="BH468" s="74">
        <v>221981.0</v>
      </c>
      <c r="BI468" s="74">
        <v>217558.0</v>
      </c>
      <c r="BJ468" s="74">
        <v>217558.0</v>
      </c>
      <c r="BK468" s="74">
        <v>224881.0</v>
      </c>
      <c r="BL468" s="74"/>
      <c r="BM468" s="74"/>
      <c r="BN468" s="74"/>
      <c r="BO468" s="74"/>
      <c r="BP468" s="74"/>
      <c r="BQ468" s="74"/>
      <c r="BR468" s="74"/>
      <c r="BS468" s="1"/>
      <c r="BT468" s="9"/>
      <c r="BU468" s="9"/>
      <c r="BV468" s="1"/>
      <c r="BW468" s="1"/>
      <c r="BX468" s="1"/>
      <c r="BY468" s="1"/>
      <c r="BZ468" s="1"/>
    </row>
    <row r="469">
      <c r="A469" s="3"/>
      <c r="B469" s="33"/>
      <c r="C469" s="147"/>
      <c r="D469" s="147" t="s">
        <v>251</v>
      </c>
      <c r="E469" s="134"/>
      <c r="F469" s="134"/>
      <c r="G469" s="14"/>
      <c r="H469" s="14"/>
      <c r="I469" s="14"/>
      <c r="J469" s="14"/>
      <c r="K469" s="14"/>
      <c r="L469" s="1"/>
      <c r="M469" s="1"/>
      <c r="N469" s="1"/>
      <c r="O469" s="1"/>
      <c r="P469" s="1"/>
      <c r="Q469" s="1"/>
      <c r="R469" s="1"/>
      <c r="S469" s="74">
        <v>92419.0</v>
      </c>
      <c r="T469" s="74">
        <v>77567.0</v>
      </c>
      <c r="U469" s="74">
        <v>92399.0</v>
      </c>
      <c r="V469" s="74">
        <v>85018.0</v>
      </c>
      <c r="W469" s="74">
        <v>78243.0</v>
      </c>
      <c r="X469" s="74">
        <v>82013.0</v>
      </c>
      <c r="Y469" s="74">
        <v>82013.0</v>
      </c>
      <c r="Z469" s="74">
        <v>74653.0</v>
      </c>
      <c r="AA469" s="74">
        <v>69649.0</v>
      </c>
      <c r="AB469" s="74">
        <v>69548.0</v>
      </c>
      <c r="AC469" s="74">
        <v>73153.0</v>
      </c>
      <c r="AD469" s="74">
        <v>73451.0</v>
      </c>
      <c r="AE469" s="74">
        <v>73451.0</v>
      </c>
      <c r="AF469" s="74">
        <v>69330.0</v>
      </c>
      <c r="AG469" s="74">
        <v>69330.0</v>
      </c>
      <c r="AH469" s="74">
        <v>69447.0</v>
      </c>
      <c r="AI469" s="74">
        <v>69628.0</v>
      </c>
      <c r="AJ469" s="74">
        <v>69330.0</v>
      </c>
      <c r="AK469" s="74">
        <v>72568.0</v>
      </c>
      <c r="AL469" s="74">
        <v>72685.0</v>
      </c>
      <c r="AM469" s="74">
        <v>73410.0</v>
      </c>
      <c r="AN469" s="74">
        <v>85029.0</v>
      </c>
      <c r="AO469" s="74">
        <v>92783.0</v>
      </c>
      <c r="AP469" s="74">
        <v>88565.0</v>
      </c>
      <c r="AQ469" s="74">
        <v>91962.0</v>
      </c>
      <c r="AR469" s="74">
        <v>73024.0</v>
      </c>
      <c r="AS469" s="74">
        <v>69628.0</v>
      </c>
      <c r="AT469" s="74">
        <v>69628.0</v>
      </c>
      <c r="AU469" s="74">
        <v>74733.0</v>
      </c>
      <c r="AV469" s="74">
        <v>69628.0</v>
      </c>
      <c r="AW469" s="74">
        <v>69202.0</v>
      </c>
      <c r="AX469" s="74">
        <v>69202.0</v>
      </c>
      <c r="AY469" s="74">
        <v>80264.0</v>
      </c>
      <c r="AZ469" s="74">
        <v>64097.0</v>
      </c>
      <c r="BA469" s="74">
        <v>64097.0</v>
      </c>
      <c r="BB469" s="74">
        <v>75365.0</v>
      </c>
      <c r="BC469" s="74">
        <v>71968.0</v>
      </c>
      <c r="BD469" s="74">
        <v>84912.0</v>
      </c>
      <c r="BE469" s="74">
        <v>88511.0</v>
      </c>
      <c r="BF469" s="74">
        <v>80896.0</v>
      </c>
      <c r="BG469" s="74">
        <v>74375.0</v>
      </c>
      <c r="BH469" s="74">
        <v>74057.0</v>
      </c>
      <c r="BI469" s="74">
        <v>74057.0</v>
      </c>
      <c r="BJ469" s="74">
        <v>74057.0</v>
      </c>
      <c r="BK469" s="74">
        <v>74057.0</v>
      </c>
      <c r="BL469" s="74"/>
      <c r="BM469" s="74"/>
      <c r="BN469" s="74"/>
      <c r="BO469" s="74"/>
      <c r="BP469" s="74"/>
      <c r="BQ469" s="74"/>
      <c r="BR469" s="74"/>
      <c r="BS469" s="1"/>
      <c r="BT469" s="9"/>
      <c r="BU469" s="9"/>
      <c r="BV469" s="1"/>
      <c r="BW469" s="1"/>
      <c r="BX469" s="1"/>
      <c r="BY469" s="1"/>
      <c r="BZ469" s="1"/>
    </row>
    <row r="470">
      <c r="A470" s="3"/>
      <c r="B470" s="33"/>
      <c r="C470" s="147"/>
      <c r="D470" s="147" t="s">
        <v>253</v>
      </c>
      <c r="E470" s="134"/>
      <c r="F470" s="134"/>
      <c r="G470" s="14"/>
      <c r="H470" s="14"/>
      <c r="I470" s="14"/>
      <c r="J470" s="14"/>
      <c r="K470" s="14"/>
      <c r="L470" s="1"/>
      <c r="M470" s="1"/>
      <c r="N470" s="1"/>
      <c r="O470" s="1"/>
      <c r="P470" s="1"/>
      <c r="Q470" s="1"/>
      <c r="R470" s="1"/>
      <c r="S470" s="74">
        <v>26909.0</v>
      </c>
      <c r="T470" s="74">
        <v>30476.0</v>
      </c>
      <c r="U470" s="74">
        <v>31189.0</v>
      </c>
      <c r="V470" s="74">
        <v>30828.0</v>
      </c>
      <c r="W470" s="74">
        <v>26846.0</v>
      </c>
      <c r="X470" s="74">
        <v>24846.0</v>
      </c>
      <c r="Y470" s="74">
        <v>26454.0</v>
      </c>
      <c r="Z470" s="74">
        <v>24948.0</v>
      </c>
      <c r="AA470" s="74">
        <v>22978.0</v>
      </c>
      <c r="AB470" s="74">
        <v>22978.0</v>
      </c>
      <c r="AC470" s="74">
        <v>22927.0</v>
      </c>
      <c r="AD470" s="74">
        <v>21318.0</v>
      </c>
      <c r="AE470" s="74">
        <v>22927.0</v>
      </c>
      <c r="AF470" s="74">
        <v>22071.0</v>
      </c>
      <c r="AG470" s="74">
        <v>24484.0</v>
      </c>
      <c r="AH470" s="74">
        <v>22122.0</v>
      </c>
      <c r="AI470" s="74">
        <v>19863.0</v>
      </c>
      <c r="AJ470" s="74">
        <v>19863.0</v>
      </c>
      <c r="AK470" s="74">
        <v>17462.0</v>
      </c>
      <c r="AL470" s="74">
        <v>17462.0</v>
      </c>
      <c r="AM470" s="74">
        <v>17812.0</v>
      </c>
      <c r="AN470" s="74">
        <v>22484.0</v>
      </c>
      <c r="AO470" s="74">
        <v>22071.0</v>
      </c>
      <c r="AP470" s="74">
        <v>21318.0</v>
      </c>
      <c r="AQ470" s="74">
        <v>21318.0</v>
      </c>
      <c r="AR470" s="74">
        <v>19761.0</v>
      </c>
      <c r="AS470" s="74">
        <v>20122.0</v>
      </c>
      <c r="AT470" s="74">
        <v>20122.0</v>
      </c>
      <c r="AU470" s="74">
        <v>21369.0</v>
      </c>
      <c r="AV470" s="74">
        <v>22185.0</v>
      </c>
      <c r="AW470" s="74">
        <v>21369.0</v>
      </c>
      <c r="AX470" s="74">
        <v>23794.0</v>
      </c>
      <c r="AY470" s="74">
        <v>22938.0</v>
      </c>
      <c r="AZ470" s="74">
        <v>23743.0</v>
      </c>
      <c r="BA470" s="74">
        <v>25351.0</v>
      </c>
      <c r="BB470" s="74">
        <v>22989.0</v>
      </c>
      <c r="BC470" s="74">
        <v>22185.0</v>
      </c>
      <c r="BD470" s="74">
        <v>22978.0</v>
      </c>
      <c r="BE470" s="74">
        <v>26246.0</v>
      </c>
      <c r="BF470" s="74">
        <v>30177.0</v>
      </c>
      <c r="BG470" s="74">
        <v>22076.0</v>
      </c>
      <c r="BH470" s="74">
        <v>19499.0</v>
      </c>
      <c r="BI470" s="74">
        <v>19499.0</v>
      </c>
      <c r="BJ470" s="74">
        <v>19499.0</v>
      </c>
      <c r="BK470" s="74">
        <v>19499.0</v>
      </c>
      <c r="BL470" s="74"/>
      <c r="BM470" s="74"/>
      <c r="BN470" s="74"/>
      <c r="BO470" s="74"/>
      <c r="BP470" s="74"/>
      <c r="BQ470" s="74"/>
      <c r="BR470" s="74"/>
      <c r="BS470" s="1"/>
      <c r="BT470" s="9"/>
      <c r="BU470" s="9"/>
      <c r="BV470" s="1"/>
      <c r="BW470" s="1"/>
      <c r="BX470" s="1"/>
      <c r="BY470" s="1"/>
      <c r="BZ470" s="1"/>
    </row>
    <row r="471">
      <c r="A471" s="3"/>
      <c r="B471" s="33"/>
      <c r="C471" s="147"/>
      <c r="D471" s="147" t="s">
        <v>255</v>
      </c>
      <c r="E471" s="134"/>
      <c r="F471" s="134"/>
      <c r="G471" s="14"/>
      <c r="H471" s="14"/>
      <c r="I471" s="14"/>
      <c r="J471" s="14"/>
      <c r="K471" s="14"/>
      <c r="L471" s="1"/>
      <c r="M471" s="1"/>
      <c r="N471" s="1"/>
      <c r="O471" s="1"/>
      <c r="P471" s="1"/>
      <c r="Q471" s="1"/>
      <c r="R471" s="1"/>
      <c r="S471" s="74">
        <v>22099.0</v>
      </c>
      <c r="T471" s="74">
        <v>22962.0</v>
      </c>
      <c r="U471" s="74">
        <v>24629.0</v>
      </c>
      <c r="V471" s="74">
        <v>23424.0</v>
      </c>
      <c r="W471" s="74">
        <v>18971.0</v>
      </c>
      <c r="X471" s="74">
        <v>15730.0</v>
      </c>
      <c r="Y471" s="74">
        <v>16474.0</v>
      </c>
      <c r="Z471" s="74">
        <v>15770.0</v>
      </c>
      <c r="AA471" s="74">
        <v>15709.0</v>
      </c>
      <c r="AB471" s="74">
        <v>14750.0</v>
      </c>
      <c r="AC471" s="74">
        <v>16699.0</v>
      </c>
      <c r="AD471" s="74">
        <v>18151.0</v>
      </c>
      <c r="AE471" s="74">
        <v>18151.0</v>
      </c>
      <c r="AF471" s="74">
        <v>13946.0</v>
      </c>
      <c r="AG471" s="74">
        <v>13195.0</v>
      </c>
      <c r="AH471" s="74">
        <v>13666.0</v>
      </c>
      <c r="AI471" s="74">
        <v>13276.0</v>
      </c>
      <c r="AJ471" s="74">
        <v>13195.0</v>
      </c>
      <c r="AK471" s="74">
        <v>13195.0</v>
      </c>
      <c r="AL471" s="74">
        <v>13497.0</v>
      </c>
      <c r="AM471" s="74">
        <v>13497.0</v>
      </c>
      <c r="AN471" s="74">
        <v>13497.0</v>
      </c>
      <c r="AO471" s="74">
        <v>13187.0</v>
      </c>
      <c r="AP471" s="74">
        <v>13497.0</v>
      </c>
      <c r="AQ471" s="74">
        <v>13497.0</v>
      </c>
      <c r="AR471" s="74">
        <v>13497.0</v>
      </c>
      <c r="AS471" s="74">
        <v>13497.0</v>
      </c>
      <c r="AT471" s="74">
        <v>13763.0</v>
      </c>
      <c r="AU471" s="74">
        <v>13763.0</v>
      </c>
      <c r="AV471" s="74">
        <v>13763.0</v>
      </c>
      <c r="AW471" s="74">
        <v>12921.0</v>
      </c>
      <c r="AX471" s="74">
        <v>14226.0</v>
      </c>
      <c r="AY471" s="74">
        <v>14981.0</v>
      </c>
      <c r="AZ471" s="74">
        <v>14694.0</v>
      </c>
      <c r="BA471" s="74">
        <v>17382.0</v>
      </c>
      <c r="BB471" s="74">
        <v>18428.0</v>
      </c>
      <c r="BC471" s="74">
        <v>18012.0</v>
      </c>
      <c r="BD471" s="74">
        <v>16139.0</v>
      </c>
      <c r="BE471" s="74">
        <v>22362.0</v>
      </c>
      <c r="BF471" s="74">
        <v>24711.0</v>
      </c>
      <c r="BG471" s="74">
        <v>16269.0</v>
      </c>
      <c r="BH471" s="74">
        <v>16175.0</v>
      </c>
      <c r="BI471" s="74">
        <v>14788.0</v>
      </c>
      <c r="BJ471" s="74">
        <v>14407.0</v>
      </c>
      <c r="BK471" s="74">
        <v>14655.0</v>
      </c>
      <c r="BL471" s="74"/>
      <c r="BM471" s="74"/>
      <c r="BN471" s="74"/>
      <c r="BO471" s="74"/>
      <c r="BP471" s="74"/>
      <c r="BQ471" s="74"/>
      <c r="BR471" s="74"/>
      <c r="BS471" s="1"/>
      <c r="BT471" s="9"/>
      <c r="BU471" s="9"/>
      <c r="BV471" s="1"/>
      <c r="BW471" s="1"/>
      <c r="BX471" s="1"/>
      <c r="BY471" s="1"/>
      <c r="BZ471" s="1"/>
    </row>
    <row r="472">
      <c r="A472" s="3"/>
      <c r="B472" s="33"/>
      <c r="C472" s="155"/>
      <c r="D472" s="155" t="s">
        <v>257</v>
      </c>
      <c r="E472" s="134"/>
      <c r="F472" s="134"/>
      <c r="G472" s="14"/>
      <c r="H472" s="14"/>
      <c r="I472" s="14"/>
      <c r="J472" s="14"/>
      <c r="K472" s="14"/>
      <c r="L472" s="1"/>
      <c r="M472" s="1"/>
      <c r="N472" s="1"/>
      <c r="O472" s="1"/>
      <c r="P472" s="1"/>
      <c r="Q472" s="1"/>
      <c r="R472" s="1"/>
      <c r="S472" s="74">
        <v>14256.0</v>
      </c>
      <c r="T472" s="74">
        <v>12438.0</v>
      </c>
      <c r="U472" s="74">
        <v>15738.0</v>
      </c>
      <c r="V472" s="74">
        <v>12580.0</v>
      </c>
      <c r="W472" s="74">
        <v>9493.0</v>
      </c>
      <c r="X472" s="74">
        <v>9493.0</v>
      </c>
      <c r="Y472" s="74">
        <v>9493.0</v>
      </c>
      <c r="Z472" s="74">
        <v>10224.0</v>
      </c>
      <c r="AA472" s="74">
        <v>9493.0</v>
      </c>
      <c r="AB472" s="74">
        <v>9493.0</v>
      </c>
      <c r="AC472" s="74">
        <v>9493.0</v>
      </c>
      <c r="AD472" s="74">
        <v>9493.0</v>
      </c>
      <c r="AE472" s="74">
        <v>9493.0</v>
      </c>
      <c r="AF472" s="74">
        <v>9493.0</v>
      </c>
      <c r="AG472" s="74">
        <v>9493.0</v>
      </c>
      <c r="AH472" s="74">
        <v>9493.0</v>
      </c>
      <c r="AI472" s="74">
        <v>9493.0</v>
      </c>
      <c r="AJ472" s="74">
        <v>9493.0</v>
      </c>
      <c r="AK472" s="74">
        <v>9493.0</v>
      </c>
      <c r="AL472" s="74">
        <v>9493.0</v>
      </c>
      <c r="AM472" s="74">
        <v>9493.0</v>
      </c>
      <c r="AN472" s="74">
        <v>9493.0</v>
      </c>
      <c r="AO472" s="74">
        <v>9493.0</v>
      </c>
      <c r="AP472" s="74">
        <v>9493.0</v>
      </c>
      <c r="AQ472" s="74">
        <v>9493.0</v>
      </c>
      <c r="AR472" s="74">
        <v>9493.0</v>
      </c>
      <c r="AS472" s="74">
        <v>9493.0</v>
      </c>
      <c r="AT472" s="74">
        <v>9493.0</v>
      </c>
      <c r="AU472" s="74">
        <v>10243.0</v>
      </c>
      <c r="AV472" s="74">
        <v>9493.0</v>
      </c>
      <c r="AW472" s="74">
        <v>9493.0</v>
      </c>
      <c r="AX472" s="74">
        <v>10224.0</v>
      </c>
      <c r="AY472" s="74">
        <v>10243.0</v>
      </c>
      <c r="AZ472" s="74">
        <v>10974.0</v>
      </c>
      <c r="BA472" s="74">
        <v>10243.0</v>
      </c>
      <c r="BB472" s="74">
        <v>10974.0</v>
      </c>
      <c r="BC472" s="74">
        <v>10243.0</v>
      </c>
      <c r="BD472" s="74">
        <v>9493.0</v>
      </c>
      <c r="BE472" s="74">
        <v>12598.0</v>
      </c>
      <c r="BF472" s="74">
        <v>13524.0</v>
      </c>
      <c r="BG472" s="74">
        <v>11931.0</v>
      </c>
      <c r="BH472" s="74">
        <v>10140.0</v>
      </c>
      <c r="BI472" s="74">
        <v>10140.0</v>
      </c>
      <c r="BJ472" s="74">
        <v>10140.0</v>
      </c>
      <c r="BK472" s="74">
        <v>10140.0</v>
      </c>
      <c r="BL472" s="74"/>
      <c r="BM472" s="74"/>
      <c r="BN472" s="74"/>
      <c r="BO472" s="74"/>
      <c r="BP472" s="74"/>
      <c r="BQ472" s="74"/>
      <c r="BR472" s="74"/>
      <c r="BS472" s="1"/>
      <c r="BT472" s="9"/>
      <c r="BU472" s="9"/>
      <c r="BV472" s="1"/>
      <c r="BW472" s="1"/>
      <c r="BX472" s="1"/>
      <c r="BY472" s="1"/>
      <c r="BZ472" s="1"/>
    </row>
    <row r="473">
      <c r="A473" s="3"/>
      <c r="B473" s="33"/>
      <c r="C473" s="147"/>
      <c r="D473" s="147" t="s">
        <v>261</v>
      </c>
      <c r="E473" s="134"/>
      <c r="F473" s="134"/>
      <c r="G473" s="14"/>
      <c r="H473" s="14"/>
      <c r="I473" s="14"/>
      <c r="J473" s="14"/>
      <c r="K473" s="14"/>
      <c r="L473" s="1"/>
      <c r="M473" s="1"/>
      <c r="N473" s="1"/>
      <c r="O473" s="1"/>
      <c r="P473" s="1"/>
      <c r="Q473" s="1"/>
      <c r="R473" s="1"/>
      <c r="S473" s="74">
        <v>34953.0</v>
      </c>
      <c r="T473" s="74">
        <v>34953.0</v>
      </c>
      <c r="U473" s="74">
        <v>42038.0</v>
      </c>
      <c r="V473" s="74">
        <v>42038.0</v>
      </c>
      <c r="W473" s="74">
        <v>43691.0</v>
      </c>
      <c r="X473" s="74">
        <v>42038.0</v>
      </c>
      <c r="Y473" s="74">
        <v>42038.0</v>
      </c>
      <c r="Z473" s="74">
        <v>34953.0</v>
      </c>
      <c r="AA473" s="74">
        <v>34953.0</v>
      </c>
      <c r="AB473" s="74">
        <v>34953.0</v>
      </c>
      <c r="AC473" s="74">
        <v>36606.0</v>
      </c>
      <c r="AD473" s="74">
        <v>36606.0</v>
      </c>
      <c r="AE473" s="74">
        <v>36606.0</v>
      </c>
      <c r="AF473" s="74">
        <v>34953.0</v>
      </c>
      <c r="AG473" s="74">
        <v>34953.0</v>
      </c>
      <c r="AH473" s="74">
        <v>34953.0</v>
      </c>
      <c r="AI473" s="74">
        <v>34953.0</v>
      </c>
      <c r="AJ473" s="74">
        <v>34953.0</v>
      </c>
      <c r="AK473" s="74">
        <v>34953.0</v>
      </c>
      <c r="AL473" s="74">
        <v>34953.0</v>
      </c>
      <c r="AM473" s="74">
        <v>34953.0</v>
      </c>
      <c r="AN473" s="74">
        <v>34953.0</v>
      </c>
      <c r="AO473" s="74">
        <v>36606.0</v>
      </c>
      <c r="AP473" s="74">
        <v>34953.0</v>
      </c>
      <c r="AQ473" s="74">
        <v>38260.0</v>
      </c>
      <c r="AR473" s="74">
        <v>40621.0</v>
      </c>
      <c r="AS473" s="74">
        <v>38968.0</v>
      </c>
      <c r="AT473" s="74">
        <v>36606.0</v>
      </c>
      <c r="AU473" s="74">
        <v>34953.0</v>
      </c>
      <c r="AV473" s="74">
        <v>34953.0</v>
      </c>
      <c r="AW473" s="74">
        <v>34953.0</v>
      </c>
      <c r="AX473" s="74">
        <v>34953.0</v>
      </c>
      <c r="AY473" s="74">
        <v>38968.0</v>
      </c>
      <c r="AZ473" s="74">
        <v>38968.0</v>
      </c>
      <c r="BA473" s="74">
        <v>37315.0</v>
      </c>
      <c r="BB473" s="74">
        <v>34953.0</v>
      </c>
      <c r="BC473" s="74">
        <v>34953.0</v>
      </c>
      <c r="BD473" s="74">
        <v>34953.0</v>
      </c>
      <c r="BE473" s="74">
        <v>38968.0</v>
      </c>
      <c r="BF473" s="74">
        <v>43691.0</v>
      </c>
      <c r="BG473" s="74">
        <v>39859.0</v>
      </c>
      <c r="BH473" s="74">
        <v>37336.0</v>
      </c>
      <c r="BI473" s="74">
        <v>37336.0</v>
      </c>
      <c r="BJ473" s="74">
        <v>37336.0</v>
      </c>
      <c r="BK473" s="74">
        <v>37336.0</v>
      </c>
      <c r="BL473" s="74"/>
      <c r="BM473" s="74"/>
      <c r="BN473" s="74"/>
      <c r="BO473" s="74"/>
      <c r="BP473" s="74"/>
      <c r="BQ473" s="74"/>
      <c r="BR473" s="74"/>
      <c r="BS473" s="1"/>
      <c r="BT473" s="9"/>
      <c r="BU473" s="9"/>
      <c r="BV473" s="1"/>
      <c r="BW473" s="1"/>
      <c r="BX473" s="1"/>
      <c r="BY473" s="1"/>
      <c r="BZ473" s="1"/>
    </row>
    <row r="474">
      <c r="A474" s="3"/>
      <c r="B474" s="33"/>
      <c r="C474" s="146"/>
      <c r="D474" s="146"/>
      <c r="E474" s="134"/>
      <c r="F474" s="134"/>
      <c r="G474" s="14"/>
      <c r="H474" s="14"/>
      <c r="I474" s="14"/>
      <c r="J474" s="14"/>
      <c r="K474" s="1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9"/>
      <c r="BU474" s="9"/>
      <c r="BV474" s="1"/>
      <c r="BW474" s="1"/>
      <c r="BX474" s="1"/>
      <c r="BY474" s="1"/>
      <c r="BZ474" s="1"/>
    </row>
    <row r="475">
      <c r="A475" s="3"/>
      <c r="B475" s="33"/>
      <c r="C475" s="146"/>
      <c r="D475" s="146"/>
      <c r="E475" s="134"/>
      <c r="F475" s="134"/>
      <c r="G475" s="14"/>
      <c r="H475" s="14"/>
      <c r="I475" s="14"/>
      <c r="J475" s="14"/>
      <c r="K475" s="1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9"/>
      <c r="BU475" s="9"/>
      <c r="BV475" s="1"/>
      <c r="BW475" s="1"/>
      <c r="BX475" s="1"/>
      <c r="BY475" s="1"/>
      <c r="BZ475" s="1"/>
    </row>
    <row r="476">
      <c r="A476" s="3"/>
      <c r="B476" s="33"/>
      <c r="C476" s="122"/>
      <c r="D476" s="122" t="s">
        <v>338</v>
      </c>
      <c r="E476" s="134"/>
      <c r="F476" s="134"/>
      <c r="G476" s="14"/>
      <c r="H476" s="14"/>
      <c r="I476" s="14"/>
      <c r="J476" s="14"/>
      <c r="K476" s="1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9"/>
      <c r="BU476" s="9"/>
      <c r="BV476" s="1"/>
      <c r="BW476" s="1"/>
      <c r="BX476" s="1"/>
      <c r="BY476" s="1"/>
      <c r="BZ476" s="1"/>
    </row>
    <row r="477">
      <c r="A477" s="3"/>
      <c r="B477" s="33"/>
      <c r="C477" s="147"/>
      <c r="D477" s="147" t="s">
        <v>246</v>
      </c>
      <c r="E477" s="134"/>
      <c r="F477" s="134"/>
      <c r="G477" s="14"/>
      <c r="H477" s="14"/>
      <c r="I477" s="14"/>
      <c r="J477" s="14"/>
      <c r="K477" s="14"/>
      <c r="L477" s="1"/>
      <c r="M477" s="1"/>
      <c r="N477" s="1"/>
      <c r="O477" s="1"/>
      <c r="P477" s="1"/>
      <c r="Q477" s="1"/>
      <c r="R477" s="1"/>
      <c r="S477" s="33">
        <v>0.0268</v>
      </c>
      <c r="T477" s="33">
        <v>0.0211</v>
      </c>
      <c r="U477" s="33">
        <v>0.0183</v>
      </c>
      <c r="V477" s="33">
        <v>0.0173</v>
      </c>
      <c r="W477" s="33">
        <v>0.0206</v>
      </c>
      <c r="X477" s="33">
        <v>0.0161</v>
      </c>
      <c r="Y477" s="33">
        <v>0.0155</v>
      </c>
      <c r="Z477" s="33">
        <v>0.0137</v>
      </c>
      <c r="AA477" s="33">
        <v>0.0119</v>
      </c>
      <c r="AB477" s="33">
        <v>0.0129</v>
      </c>
      <c r="AC477" s="33">
        <v>0.0166</v>
      </c>
      <c r="AD477" s="33">
        <v>0.0171</v>
      </c>
      <c r="AE477" s="33">
        <v>0.0169</v>
      </c>
      <c r="AF477" s="33">
        <v>0.0132</v>
      </c>
      <c r="AG477" s="33">
        <v>0.0147</v>
      </c>
      <c r="AH477" s="33">
        <v>0.0134</v>
      </c>
      <c r="AI477" s="33">
        <v>0.0114</v>
      </c>
      <c r="AJ477" s="33">
        <v>0.0109</v>
      </c>
      <c r="AK477" s="33">
        <v>0.0094</v>
      </c>
      <c r="AL477" s="33">
        <v>0.009</v>
      </c>
      <c r="AM477" s="33">
        <v>0.0106</v>
      </c>
      <c r="AN477" s="33">
        <v>0.0129</v>
      </c>
      <c r="AO477" s="33">
        <v>0.0116</v>
      </c>
      <c r="AP477" s="33">
        <v>0.0118</v>
      </c>
      <c r="AQ477" s="33">
        <v>0.0113</v>
      </c>
      <c r="AR477" s="33">
        <v>0.0088</v>
      </c>
      <c r="AS477" s="33">
        <v>0.0077</v>
      </c>
      <c r="AT477" s="33">
        <v>0.0085</v>
      </c>
      <c r="AU477" s="33">
        <v>0.0086</v>
      </c>
      <c r="AV477" s="33">
        <v>0.0085</v>
      </c>
      <c r="AW477" s="33">
        <v>0.0116</v>
      </c>
      <c r="AX477" s="33">
        <v>0.0103</v>
      </c>
      <c r="AY477" s="33">
        <v>0.0091</v>
      </c>
      <c r="AZ477" s="33">
        <v>0.0096</v>
      </c>
      <c r="BA477" s="33">
        <v>0.01</v>
      </c>
      <c r="BB477" s="33">
        <v>0.0108</v>
      </c>
      <c r="BC477" s="33">
        <v>0.0116</v>
      </c>
      <c r="BD477" s="33">
        <v>0.0094</v>
      </c>
      <c r="BE477" s="33">
        <v>0.0146</v>
      </c>
      <c r="BF477" s="33">
        <v>0.0161</v>
      </c>
      <c r="BG477" s="33">
        <v>0.0083</v>
      </c>
      <c r="BH477" s="33">
        <v>0.0077</v>
      </c>
      <c r="BI477" s="33">
        <v>0.0087</v>
      </c>
      <c r="BJ477" s="33">
        <v>0.009</v>
      </c>
      <c r="BK477" s="33">
        <v>0.0086</v>
      </c>
      <c r="BL477" s="33"/>
      <c r="BM477" s="33"/>
      <c r="BN477" s="33"/>
      <c r="BO477" s="33"/>
      <c r="BP477" s="33"/>
      <c r="BQ477" s="33"/>
      <c r="BR477" s="33"/>
      <c r="BS477" s="1"/>
      <c r="BT477" s="9"/>
      <c r="BU477" s="9"/>
      <c r="BV477" s="1"/>
      <c r="BW477" s="1"/>
      <c r="BX477" s="1"/>
      <c r="BY477" s="1"/>
      <c r="BZ477" s="1"/>
    </row>
    <row r="478">
      <c r="A478" s="3"/>
      <c r="B478" s="33"/>
      <c r="C478" s="147"/>
      <c r="D478" s="147" t="s">
        <v>248</v>
      </c>
      <c r="E478" s="134"/>
      <c r="F478" s="134"/>
      <c r="G478" s="14"/>
      <c r="H478" s="14"/>
      <c r="I478" s="14"/>
      <c r="J478" s="14"/>
      <c r="K478" s="14"/>
      <c r="L478" s="1"/>
      <c r="M478" s="1"/>
      <c r="N478" s="1"/>
      <c r="O478" s="1"/>
      <c r="P478" s="1"/>
      <c r="Q478" s="1"/>
      <c r="R478" s="1"/>
      <c r="S478" s="33">
        <v>0.0526</v>
      </c>
      <c r="T478" s="33">
        <v>0.0499</v>
      </c>
      <c r="U478" s="33">
        <v>0.0485</v>
      </c>
      <c r="V478" s="33">
        <v>0.0492</v>
      </c>
      <c r="W478" s="33">
        <v>0.0432</v>
      </c>
      <c r="X478" s="33">
        <v>0.0281</v>
      </c>
      <c r="Y478" s="33">
        <v>0.0276</v>
      </c>
      <c r="Z478" s="33">
        <v>0.028</v>
      </c>
      <c r="AA478" s="33">
        <v>0.0287</v>
      </c>
      <c r="AB478" s="33">
        <v>0.034</v>
      </c>
      <c r="AC478" s="33">
        <v>0.0385</v>
      </c>
      <c r="AD478" s="33">
        <v>0.0351</v>
      </c>
      <c r="AE478" s="33">
        <v>0.0339</v>
      </c>
      <c r="AF478" s="33">
        <v>0.0298</v>
      </c>
      <c r="AG478" s="33">
        <v>0.0308</v>
      </c>
      <c r="AH478" s="33">
        <v>0.0251</v>
      </c>
      <c r="AI478" s="33">
        <v>0.0273</v>
      </c>
      <c r="AJ478" s="33">
        <v>0.0257</v>
      </c>
      <c r="AK478" s="33">
        <v>0.0257</v>
      </c>
      <c r="AL478" s="33">
        <v>0.0266</v>
      </c>
      <c r="AM478" s="33">
        <v>0.0281</v>
      </c>
      <c r="AN478" s="33">
        <v>0.0349</v>
      </c>
      <c r="AO478" s="33">
        <v>0.0251</v>
      </c>
      <c r="AP478" s="33">
        <v>0.0247</v>
      </c>
      <c r="AQ478" s="33">
        <v>0.0241</v>
      </c>
      <c r="AR478" s="33">
        <v>0.0197</v>
      </c>
      <c r="AS478" s="33">
        <v>0.0206</v>
      </c>
      <c r="AT478" s="33">
        <v>0.0225</v>
      </c>
      <c r="AU478" s="33">
        <v>0.0216</v>
      </c>
      <c r="AV478" s="33">
        <v>0.0231</v>
      </c>
      <c r="AW478" s="33">
        <v>0.0262</v>
      </c>
      <c r="AX478" s="33">
        <v>0.0269</v>
      </c>
      <c r="AY478" s="33">
        <v>0.0293</v>
      </c>
      <c r="AZ478" s="33">
        <v>0.0275</v>
      </c>
      <c r="BA478" s="33">
        <v>0.0277</v>
      </c>
      <c r="BB478" s="33">
        <v>0.0318</v>
      </c>
      <c r="BC478" s="33">
        <v>0.0286</v>
      </c>
      <c r="BD478" s="33">
        <v>0.0273</v>
      </c>
      <c r="BE478" s="33">
        <v>0.05</v>
      </c>
      <c r="BF478" s="33">
        <v>0.0602</v>
      </c>
      <c r="BG478" s="33">
        <v>0.0294</v>
      </c>
      <c r="BH478" s="33">
        <v>0.0245</v>
      </c>
      <c r="BI478" s="33">
        <v>0.0253</v>
      </c>
      <c r="BJ478" s="33">
        <v>0.0314</v>
      </c>
      <c r="BK478" s="33">
        <v>0.0309</v>
      </c>
      <c r="BL478" s="33"/>
      <c r="BM478" s="33"/>
      <c r="BN478" s="33"/>
      <c r="BO478" s="33"/>
      <c r="BP478" s="33"/>
      <c r="BQ478" s="33"/>
      <c r="BR478" s="33"/>
      <c r="BS478" s="1"/>
      <c r="BT478" s="9"/>
      <c r="BU478" s="9"/>
      <c r="BV478" s="1"/>
      <c r="BW478" s="1"/>
      <c r="BX478" s="1"/>
      <c r="BY478" s="1"/>
      <c r="BZ478" s="1"/>
    </row>
    <row r="479">
      <c r="A479" s="3"/>
      <c r="B479" s="33"/>
      <c r="C479" s="147"/>
      <c r="D479" s="147" t="s">
        <v>251</v>
      </c>
      <c r="E479" s="134"/>
      <c r="F479" s="134"/>
      <c r="G479" s="14"/>
      <c r="H479" s="14"/>
      <c r="I479" s="14"/>
      <c r="J479" s="14"/>
      <c r="K479" s="14"/>
      <c r="L479" s="1"/>
      <c r="M479" s="1"/>
      <c r="N479" s="1"/>
      <c r="O479" s="1"/>
      <c r="P479" s="1"/>
      <c r="Q479" s="1"/>
      <c r="R479" s="1"/>
      <c r="S479" s="33">
        <v>0.0999</v>
      </c>
      <c r="T479" s="33">
        <v>0.096</v>
      </c>
      <c r="U479" s="33">
        <v>0.1035</v>
      </c>
      <c r="V479" s="33">
        <v>0.1106</v>
      </c>
      <c r="W479" s="33">
        <v>0.0857</v>
      </c>
      <c r="X479" s="33">
        <v>0.0731</v>
      </c>
      <c r="Y479" s="33">
        <v>0.0808</v>
      </c>
      <c r="Z479" s="33">
        <v>0.0735</v>
      </c>
      <c r="AA479" s="33">
        <v>0.0663</v>
      </c>
      <c r="AB479" s="33">
        <v>0.0791</v>
      </c>
      <c r="AC479" s="33">
        <v>0.061</v>
      </c>
      <c r="AD479" s="33">
        <v>0.0717</v>
      </c>
      <c r="AE479" s="33">
        <v>0.0749</v>
      </c>
      <c r="AF479" s="33">
        <v>0.0713</v>
      </c>
      <c r="AG479" s="33">
        <v>0.0522</v>
      </c>
      <c r="AH479" s="33">
        <v>0.0594</v>
      </c>
      <c r="AI479" s="33">
        <v>0.0702</v>
      </c>
      <c r="AJ479" s="33">
        <v>0.0667</v>
      </c>
      <c r="AK479" s="33">
        <v>0.0624</v>
      </c>
      <c r="AL479" s="33">
        <v>0.0551</v>
      </c>
      <c r="AM479" s="33">
        <v>0.0675</v>
      </c>
      <c r="AN479" s="33">
        <v>0.0637</v>
      </c>
      <c r="AO479" s="33">
        <v>0.0646</v>
      </c>
      <c r="AP479" s="33">
        <v>0.068</v>
      </c>
      <c r="AQ479" s="33">
        <v>0.0697</v>
      </c>
      <c r="AR479" s="33">
        <v>0.0489</v>
      </c>
      <c r="AS479" s="33">
        <v>0.0443</v>
      </c>
      <c r="AT479" s="33">
        <v>0.0409</v>
      </c>
      <c r="AU479" s="33">
        <v>0.0327</v>
      </c>
      <c r="AV479" s="33">
        <v>0.0358</v>
      </c>
      <c r="AW479" s="33">
        <v>0.0572</v>
      </c>
      <c r="AX479" s="33">
        <v>0.0573</v>
      </c>
      <c r="AY479" s="33">
        <v>0.0576</v>
      </c>
      <c r="AZ479" s="33">
        <v>0.045</v>
      </c>
      <c r="BA479" s="33">
        <v>0.0473</v>
      </c>
      <c r="BB479" s="33">
        <v>0.0543</v>
      </c>
      <c r="BC479" s="33">
        <v>0.055</v>
      </c>
      <c r="BD479" s="33">
        <v>0.063</v>
      </c>
      <c r="BE479" s="33">
        <v>0.0608</v>
      </c>
      <c r="BF479" s="33">
        <v>0.0569</v>
      </c>
      <c r="BG479" s="33">
        <v>0.0603</v>
      </c>
      <c r="BH479" s="33">
        <v>0.0677</v>
      </c>
      <c r="BI479" s="33">
        <v>0.0735</v>
      </c>
      <c r="BJ479" s="33">
        <v>0.0634</v>
      </c>
      <c r="BK479" s="33">
        <v>0.0558</v>
      </c>
      <c r="BL479" s="33"/>
      <c r="BM479" s="33"/>
      <c r="BN479" s="33"/>
      <c r="BO479" s="33"/>
      <c r="BP479" s="33"/>
      <c r="BQ479" s="33"/>
      <c r="BR479" s="33"/>
      <c r="BS479" s="1"/>
      <c r="BT479" s="9"/>
      <c r="BU479" s="9"/>
      <c r="BV479" s="1"/>
      <c r="BW479" s="1"/>
      <c r="BX479" s="1"/>
      <c r="BY479" s="1"/>
      <c r="BZ479" s="1"/>
    </row>
    <row r="480">
      <c r="A480" s="3"/>
      <c r="B480" s="33"/>
      <c r="C480" s="147"/>
      <c r="D480" s="147" t="s">
        <v>253</v>
      </c>
      <c r="E480" s="134"/>
      <c r="F480" s="134"/>
      <c r="G480" s="14"/>
      <c r="H480" s="14"/>
      <c r="I480" s="14"/>
      <c r="J480" s="14"/>
      <c r="K480" s="14"/>
      <c r="L480" s="1"/>
      <c r="M480" s="1"/>
      <c r="N480" s="1"/>
      <c r="O480" s="1"/>
      <c r="P480" s="1"/>
      <c r="Q480" s="1"/>
      <c r="R480" s="1"/>
      <c r="S480" s="33">
        <v>0.0469</v>
      </c>
      <c r="T480" s="33">
        <v>0.0467</v>
      </c>
      <c r="U480" s="33">
        <v>0.0519</v>
      </c>
      <c r="V480" s="33">
        <v>0.0505</v>
      </c>
      <c r="W480" s="33">
        <v>0.0495</v>
      </c>
      <c r="X480" s="33">
        <v>0.0426</v>
      </c>
      <c r="Y480" s="33">
        <v>0.0357</v>
      </c>
      <c r="Z480" s="33">
        <v>0.0389</v>
      </c>
      <c r="AA480" s="33">
        <v>0.0385</v>
      </c>
      <c r="AB480" s="33">
        <v>0.0378</v>
      </c>
      <c r="AC480" s="33">
        <v>0.0337</v>
      </c>
      <c r="AD480" s="33">
        <v>0.0331</v>
      </c>
      <c r="AE480" s="33">
        <v>0.0376</v>
      </c>
      <c r="AF480" s="33">
        <v>0.0413</v>
      </c>
      <c r="AG480" s="33">
        <v>0.0417</v>
      </c>
      <c r="AH480" s="33">
        <v>0.0359</v>
      </c>
      <c r="AI480" s="33">
        <v>0.0315</v>
      </c>
      <c r="AJ480" s="33">
        <v>0.0303</v>
      </c>
      <c r="AK480" s="33">
        <v>0.0271</v>
      </c>
      <c r="AL480" s="33">
        <v>0.0226</v>
      </c>
      <c r="AM480" s="33">
        <v>0.0323</v>
      </c>
      <c r="AN480" s="33">
        <v>0.0359</v>
      </c>
      <c r="AO480" s="33">
        <v>0.0277</v>
      </c>
      <c r="AP480" s="33">
        <v>0.0268</v>
      </c>
      <c r="AQ480" s="33">
        <v>0.0262</v>
      </c>
      <c r="AR480" s="33">
        <v>0.0221</v>
      </c>
      <c r="AS480" s="33">
        <v>0.0201</v>
      </c>
      <c r="AT480" s="33">
        <v>0.0248</v>
      </c>
      <c r="AU480" s="33">
        <v>0.0273</v>
      </c>
      <c r="AV480" s="33">
        <v>0.0222</v>
      </c>
      <c r="AW480" s="33">
        <v>0.0272</v>
      </c>
      <c r="AX480" s="33">
        <v>0.0256</v>
      </c>
      <c r="AY480" s="33">
        <v>0.0251</v>
      </c>
      <c r="AZ480" s="33">
        <v>0.0269</v>
      </c>
      <c r="BA480" s="33">
        <v>0.0277</v>
      </c>
      <c r="BB480" s="33">
        <v>0.027</v>
      </c>
      <c r="BC480" s="33">
        <v>0.026</v>
      </c>
      <c r="BD480" s="33">
        <v>0.0258</v>
      </c>
      <c r="BE480" s="33">
        <v>0.0289</v>
      </c>
      <c r="BF480" s="33">
        <v>0.0363</v>
      </c>
      <c r="BG480" s="33">
        <v>0.0294</v>
      </c>
      <c r="BH480" s="33">
        <v>0.0262</v>
      </c>
      <c r="BI480" s="33">
        <v>0.0332</v>
      </c>
      <c r="BJ480" s="33">
        <v>0.0287</v>
      </c>
      <c r="BK480" s="33">
        <v>0.0181</v>
      </c>
      <c r="BL480" s="33"/>
      <c r="BM480" s="33"/>
      <c r="BN480" s="33"/>
      <c r="BO480" s="33"/>
      <c r="BP480" s="33"/>
      <c r="BQ480" s="33"/>
      <c r="BR480" s="33"/>
      <c r="BS480" s="1"/>
      <c r="BT480" s="9"/>
      <c r="BU480" s="9"/>
      <c r="BV480" s="1"/>
      <c r="BW480" s="1"/>
      <c r="BX480" s="1"/>
      <c r="BY480" s="1"/>
      <c r="BZ480" s="1"/>
    </row>
    <row r="481">
      <c r="A481" s="3"/>
      <c r="B481" s="33"/>
      <c r="C481" s="147"/>
      <c r="D481" s="147" t="s">
        <v>255</v>
      </c>
      <c r="E481" s="134"/>
      <c r="F481" s="134"/>
      <c r="G481" s="14"/>
      <c r="H481" s="14"/>
      <c r="I481" s="14"/>
      <c r="J481" s="14"/>
      <c r="K481" s="14"/>
      <c r="L481" s="1"/>
      <c r="M481" s="1"/>
      <c r="N481" s="1"/>
      <c r="O481" s="1"/>
      <c r="P481" s="1"/>
      <c r="Q481" s="1"/>
      <c r="R481" s="1"/>
      <c r="S481" s="33">
        <v>0.0755</v>
      </c>
      <c r="T481" s="33">
        <v>0.0584</v>
      </c>
      <c r="U481" s="33">
        <v>0.0692</v>
      </c>
      <c r="V481" s="33">
        <v>0.0703</v>
      </c>
      <c r="W481" s="33">
        <v>0.0551</v>
      </c>
      <c r="X481" s="33">
        <v>0.0402</v>
      </c>
      <c r="Y481" s="33">
        <v>0.0428</v>
      </c>
      <c r="Z481" s="33">
        <v>0.051</v>
      </c>
      <c r="AA481" s="33">
        <v>0.0482</v>
      </c>
      <c r="AB481" s="33">
        <v>0.0406</v>
      </c>
      <c r="AC481" s="33">
        <v>0.0482</v>
      </c>
      <c r="AD481" s="33">
        <v>0.0542</v>
      </c>
      <c r="AE481" s="33">
        <v>0.0552</v>
      </c>
      <c r="AF481" s="33">
        <v>0.0402</v>
      </c>
      <c r="AG481" s="33">
        <v>0.0356</v>
      </c>
      <c r="AH481" s="33">
        <v>0.0373</v>
      </c>
      <c r="AI481" s="33">
        <v>0.0344</v>
      </c>
      <c r="AJ481" s="33">
        <v>0.0311</v>
      </c>
      <c r="AK481" s="33">
        <v>0.0246</v>
      </c>
      <c r="AL481" s="33">
        <v>0.0232</v>
      </c>
      <c r="AM481" s="33">
        <v>0.0292</v>
      </c>
      <c r="AN481" s="33">
        <v>0.0268</v>
      </c>
      <c r="AO481" s="33">
        <v>0.0241</v>
      </c>
      <c r="AP481" s="33">
        <v>0.0222</v>
      </c>
      <c r="AQ481" s="33">
        <v>0.0224</v>
      </c>
      <c r="AR481" s="33">
        <v>0.0212</v>
      </c>
      <c r="AS481" s="33">
        <v>0.0218</v>
      </c>
      <c r="AT481" s="33">
        <v>0.0244</v>
      </c>
      <c r="AU481" s="33">
        <v>0.0244</v>
      </c>
      <c r="AV481" s="33">
        <v>0.0239</v>
      </c>
      <c r="AW481" s="33">
        <v>0.0281</v>
      </c>
      <c r="AX481" s="33">
        <v>0.0252</v>
      </c>
      <c r="AY481" s="33">
        <v>0.0222</v>
      </c>
      <c r="AZ481" s="33">
        <v>0.0216</v>
      </c>
      <c r="BA481" s="33">
        <v>0.0257</v>
      </c>
      <c r="BB481" s="33">
        <v>0.0312</v>
      </c>
      <c r="BC481" s="33">
        <v>0.0293</v>
      </c>
      <c r="BD481" s="33">
        <v>0.0236</v>
      </c>
      <c r="BE481" s="33">
        <v>0.0388</v>
      </c>
      <c r="BF481" s="33">
        <v>0.0422</v>
      </c>
      <c r="BG481" s="33">
        <v>0.0293</v>
      </c>
      <c r="BH481" s="33">
        <v>0.0264</v>
      </c>
      <c r="BI481" s="33">
        <v>0.0259</v>
      </c>
      <c r="BJ481" s="33">
        <v>0.028</v>
      </c>
      <c r="BK481" s="33">
        <v>0.0284</v>
      </c>
      <c r="BL481" s="33"/>
      <c r="BM481" s="33"/>
      <c r="BN481" s="33"/>
      <c r="BO481" s="33"/>
      <c r="BP481" s="33"/>
      <c r="BQ481" s="33"/>
      <c r="BR481" s="33"/>
      <c r="BS481" s="1"/>
      <c r="BT481" s="9"/>
      <c r="BU481" s="9"/>
      <c r="BV481" s="1"/>
      <c r="BW481" s="1"/>
      <c r="BX481" s="1"/>
      <c r="BY481" s="1"/>
      <c r="BZ481" s="1"/>
    </row>
    <row r="482">
      <c r="A482" s="3"/>
      <c r="B482" s="33"/>
      <c r="C482" s="155"/>
      <c r="D482" s="155" t="s">
        <v>257</v>
      </c>
      <c r="E482" s="134"/>
      <c r="F482" s="134"/>
      <c r="G482" s="14"/>
      <c r="H482" s="14"/>
      <c r="I482" s="14"/>
      <c r="J482" s="14"/>
      <c r="K482" s="14"/>
      <c r="L482" s="1"/>
      <c r="M482" s="1"/>
      <c r="N482" s="1"/>
      <c r="O482" s="1"/>
      <c r="P482" s="1"/>
      <c r="Q482" s="1"/>
      <c r="R482" s="1"/>
      <c r="S482" s="33">
        <v>0.1073</v>
      </c>
      <c r="T482" s="33">
        <v>0.0865</v>
      </c>
      <c r="U482" s="33">
        <v>0.1662</v>
      </c>
      <c r="V482" s="33">
        <v>0.1842</v>
      </c>
      <c r="W482" s="33">
        <v>0.1321</v>
      </c>
      <c r="X482" s="33">
        <v>0.1018</v>
      </c>
      <c r="Y482" s="33">
        <v>0.073</v>
      </c>
      <c r="Z482" s="33">
        <v>0.1233</v>
      </c>
      <c r="AA482" s="33">
        <v>0.0807</v>
      </c>
      <c r="AB482" s="33">
        <v>0.1081</v>
      </c>
      <c r="AC482" s="33">
        <v>0.0999</v>
      </c>
      <c r="AD482" s="33">
        <v>0.0824</v>
      </c>
      <c r="AE482" s="33">
        <v>0.0563</v>
      </c>
      <c r="AF482" s="33">
        <v>0.0836</v>
      </c>
      <c r="AG482" s="33">
        <v>0.0646</v>
      </c>
      <c r="AH482" s="33">
        <v>0.0601</v>
      </c>
      <c r="AI482" s="33">
        <v>0.0722</v>
      </c>
      <c r="AJ482" s="33">
        <v>0.069</v>
      </c>
      <c r="AK482" s="33">
        <v>0.0499</v>
      </c>
      <c r="AL482" s="33">
        <v>0.0522</v>
      </c>
      <c r="AM482" s="33">
        <v>0.0558</v>
      </c>
      <c r="AN482" s="33">
        <v>0.0906</v>
      </c>
      <c r="AO482" s="33">
        <v>0.0907</v>
      </c>
      <c r="AP482" s="33">
        <v>0.08</v>
      </c>
      <c r="AQ482" s="33">
        <v>0.1115</v>
      </c>
      <c r="AR482" s="33">
        <v>0.0708</v>
      </c>
      <c r="AS482" s="33">
        <v>0.0575</v>
      </c>
      <c r="AT482" s="33">
        <v>0.0467</v>
      </c>
      <c r="AU482" s="33">
        <v>0.0454</v>
      </c>
      <c r="AV482" s="33">
        <v>0.0388</v>
      </c>
      <c r="AW482" s="33">
        <v>0.1051</v>
      </c>
      <c r="AX482" s="33">
        <v>0.098</v>
      </c>
      <c r="AY482" s="33">
        <v>0.079</v>
      </c>
      <c r="AZ482" s="33">
        <v>0.077</v>
      </c>
      <c r="BA482" s="33">
        <v>0.0715</v>
      </c>
      <c r="BB482" s="33">
        <v>0.1434</v>
      </c>
      <c r="BC482" s="33">
        <v>0.1154</v>
      </c>
      <c r="BD482" s="33">
        <v>0.0967</v>
      </c>
      <c r="BE482" s="33">
        <v>0.0963</v>
      </c>
      <c r="BF482" s="33">
        <v>0.0953</v>
      </c>
      <c r="BG482" s="33">
        <v>0.1228</v>
      </c>
      <c r="BH482" s="33">
        <v>0.1223</v>
      </c>
      <c r="BI482" s="33">
        <v>0.1169</v>
      </c>
      <c r="BJ482" s="33">
        <v>0.2196</v>
      </c>
      <c r="BK482" s="33">
        <v>0.1262</v>
      </c>
      <c r="BL482" s="33"/>
      <c r="BM482" s="33"/>
      <c r="BN482" s="33"/>
      <c r="BO482" s="33"/>
      <c r="BP482" s="33"/>
      <c r="BQ482" s="33"/>
      <c r="BR482" s="33"/>
      <c r="BS482" s="1"/>
      <c r="BT482" s="9"/>
      <c r="BU482" s="9"/>
      <c r="BV482" s="1"/>
      <c r="BW482" s="1"/>
      <c r="BX482" s="1"/>
      <c r="BY482" s="1"/>
      <c r="BZ482" s="1"/>
    </row>
    <row r="483">
      <c r="A483" s="3"/>
      <c r="B483" s="33"/>
      <c r="C483" s="147"/>
      <c r="D483" s="147" t="s">
        <v>261</v>
      </c>
      <c r="E483" s="134"/>
      <c r="F483" s="134"/>
      <c r="G483" s="14"/>
      <c r="H483" s="14"/>
      <c r="I483" s="14"/>
      <c r="J483" s="14"/>
      <c r="K483" s="14"/>
      <c r="L483" s="1"/>
      <c r="M483" s="1"/>
      <c r="N483" s="1"/>
      <c r="O483" s="1"/>
      <c r="P483" s="1"/>
      <c r="Q483" s="1"/>
      <c r="R483" s="1"/>
      <c r="S483" s="3" t="e">
        <v>#DIV/0!</v>
      </c>
      <c r="T483" s="3" t="e">
        <v>#DIV/0!</v>
      </c>
      <c r="U483" s="33">
        <v>4.19</v>
      </c>
      <c r="V483" s="33">
        <v>1.4782</v>
      </c>
      <c r="W483" s="33">
        <v>3.6055</v>
      </c>
      <c r="X483" s="33">
        <v>1.4744</v>
      </c>
      <c r="Y483" s="33">
        <v>1.11</v>
      </c>
      <c r="Z483" s="33">
        <v>0.8308</v>
      </c>
      <c r="AA483" s="33">
        <v>1.0907</v>
      </c>
      <c r="AB483" s="33">
        <v>0.7439</v>
      </c>
      <c r="AC483" s="33">
        <v>0.6832</v>
      </c>
      <c r="AD483" s="33">
        <v>0.4436</v>
      </c>
      <c r="AE483" s="33">
        <v>0.4734</v>
      </c>
      <c r="AF483" s="33">
        <v>0.6184</v>
      </c>
      <c r="AG483" s="33">
        <v>0.2802</v>
      </c>
      <c r="AH483" s="33">
        <v>0.4089</v>
      </c>
      <c r="AI483" s="33">
        <v>0.4139</v>
      </c>
      <c r="AJ483" s="33">
        <v>0.5211</v>
      </c>
      <c r="AK483" s="33">
        <v>0.3966</v>
      </c>
      <c r="AL483" s="33">
        <v>0.4419</v>
      </c>
      <c r="AM483" s="33">
        <v>0.5016</v>
      </c>
      <c r="AN483" s="33">
        <v>0.402</v>
      </c>
      <c r="AO483" s="33">
        <v>0.3982</v>
      </c>
      <c r="AP483" s="33">
        <v>0.4399</v>
      </c>
      <c r="AQ483" s="33">
        <v>0.4357</v>
      </c>
      <c r="AR483" s="33">
        <v>0.4767</v>
      </c>
      <c r="AS483" s="33">
        <v>0.2791</v>
      </c>
      <c r="AT483" s="33">
        <v>0.2534</v>
      </c>
      <c r="AU483" s="33">
        <v>0.2545</v>
      </c>
      <c r="AV483" s="33">
        <v>0.2486</v>
      </c>
      <c r="AW483" s="33">
        <v>0.278</v>
      </c>
      <c r="AX483" s="33">
        <v>0.3268</v>
      </c>
      <c r="AY483" s="33">
        <v>0.3254</v>
      </c>
      <c r="AZ483" s="33">
        <v>0.426</v>
      </c>
      <c r="BA483" s="33">
        <v>0.4137</v>
      </c>
      <c r="BB483" s="33">
        <v>0.4073</v>
      </c>
      <c r="BC483" s="33">
        <v>0.4485</v>
      </c>
      <c r="BD483" s="33">
        <v>0.4187</v>
      </c>
      <c r="BE483" s="33">
        <v>0.4276</v>
      </c>
      <c r="BF483" s="33">
        <v>0.3764</v>
      </c>
      <c r="BG483" s="33">
        <v>0.5293</v>
      </c>
      <c r="BH483" s="33">
        <v>0.4556</v>
      </c>
      <c r="BI483" s="33">
        <v>0.4317</v>
      </c>
      <c r="BJ483" s="33">
        <v>0.3873</v>
      </c>
      <c r="BK483" s="33">
        <v>0.6508</v>
      </c>
      <c r="BL483" s="33"/>
      <c r="BM483" s="33"/>
      <c r="BN483" s="33"/>
      <c r="BO483" s="33"/>
      <c r="BP483" s="33"/>
      <c r="BQ483" s="33"/>
      <c r="BR483" s="33"/>
      <c r="BS483" s="1"/>
      <c r="BT483" s="9"/>
      <c r="BU483" s="9"/>
      <c r="BV483" s="1"/>
      <c r="BW483" s="1"/>
      <c r="BX483" s="1"/>
      <c r="BY483" s="1"/>
      <c r="BZ483" s="1"/>
    </row>
    <row r="484">
      <c r="A484" s="3"/>
      <c r="B484" s="33"/>
      <c r="C484" s="146"/>
      <c r="D484" s="146"/>
      <c r="E484" s="134"/>
      <c r="F484" s="134"/>
      <c r="G484" s="14"/>
      <c r="H484" s="14"/>
      <c r="I484" s="14"/>
      <c r="J484" s="14"/>
      <c r="K484" s="1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9"/>
      <c r="BU484" s="9"/>
      <c r="BV484" s="1"/>
      <c r="BW484" s="1"/>
      <c r="BX484" s="1"/>
      <c r="BY484" s="1"/>
      <c r="BZ484" s="1"/>
    </row>
    <row r="485">
      <c r="A485" s="3"/>
      <c r="B485" s="33"/>
      <c r="C485" s="146"/>
      <c r="D485" s="146"/>
      <c r="E485" s="134"/>
      <c r="F485" s="134"/>
      <c r="G485" s="14"/>
      <c r="H485" s="14"/>
      <c r="I485" s="14"/>
      <c r="J485" s="14"/>
      <c r="K485" s="1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9"/>
      <c r="BU485" s="9"/>
      <c r="BV485" s="1"/>
      <c r="BW485" s="1"/>
      <c r="BX485" s="1"/>
      <c r="BY485" s="1"/>
      <c r="BZ485" s="1"/>
    </row>
    <row r="486">
      <c r="A486" s="3"/>
      <c r="B486" s="33"/>
      <c r="C486" s="122"/>
      <c r="D486" s="122" t="s">
        <v>339</v>
      </c>
      <c r="E486" s="134"/>
      <c r="F486" s="134"/>
      <c r="G486" s="14"/>
      <c r="H486" s="14"/>
      <c r="I486" s="14"/>
      <c r="J486" s="14"/>
      <c r="K486" s="1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9"/>
      <c r="BU486" s="9"/>
      <c r="BV486" s="1"/>
      <c r="BW486" s="1"/>
      <c r="BX486" s="1"/>
      <c r="BY486" s="1"/>
      <c r="BZ486" s="1"/>
    </row>
    <row r="487">
      <c r="A487" s="3"/>
      <c r="B487" s="33"/>
      <c r="C487" s="133"/>
      <c r="D487" s="133" t="s">
        <v>289</v>
      </c>
      <c r="E487" s="134"/>
      <c r="F487" s="134"/>
      <c r="G487" s="14"/>
      <c r="H487" s="14"/>
      <c r="I487" s="14"/>
      <c r="J487" s="14"/>
      <c r="K487" s="14"/>
      <c r="L487" s="1"/>
      <c r="M487" s="1"/>
      <c r="N487" s="1"/>
      <c r="O487" s="1"/>
      <c r="P487" s="1"/>
      <c r="Q487" s="1"/>
      <c r="R487" s="1"/>
      <c r="S487" s="74">
        <v>855742.0</v>
      </c>
      <c r="T487" s="74">
        <v>2917426.0</v>
      </c>
      <c r="U487" s="74">
        <v>2962100.0</v>
      </c>
      <c r="V487" s="74">
        <v>3103060.0</v>
      </c>
      <c r="W487" s="74">
        <v>2004811.0</v>
      </c>
      <c r="X487" s="74">
        <v>2277047.0</v>
      </c>
      <c r="Y487" s="74">
        <v>3824435.0</v>
      </c>
      <c r="Z487" s="74">
        <v>3489734.0</v>
      </c>
      <c r="AA487" s="74">
        <v>1489410.0</v>
      </c>
      <c r="AB487" s="74">
        <v>1271279.0</v>
      </c>
      <c r="AC487" s="74">
        <v>1633954.0</v>
      </c>
      <c r="AD487" s="74">
        <v>2946852.0</v>
      </c>
      <c r="AE487" s="74">
        <v>2234342.0</v>
      </c>
      <c r="AF487" s="74">
        <v>1083669.0</v>
      </c>
      <c r="AG487" s="74">
        <v>3733305.0</v>
      </c>
      <c r="AH487" s="74">
        <v>3655185.0</v>
      </c>
      <c r="AI487" s="74">
        <v>1656116.0</v>
      </c>
      <c r="AJ487" s="74">
        <v>3936441.0</v>
      </c>
      <c r="AK487" s="74">
        <v>4073595.0</v>
      </c>
      <c r="AL487" s="74">
        <v>1711586.0</v>
      </c>
      <c r="AM487" s="74">
        <v>2578264.0</v>
      </c>
      <c r="AN487" s="74">
        <v>1954683.0</v>
      </c>
      <c r="AO487" s="74">
        <v>3315415.0</v>
      </c>
      <c r="AP487" s="74">
        <v>4607295.0</v>
      </c>
      <c r="AQ487" s="74">
        <v>5804582.0</v>
      </c>
      <c r="AR487" s="74">
        <v>5467451.0</v>
      </c>
      <c r="AS487" s="74">
        <v>3829492.0</v>
      </c>
      <c r="AT487" s="74">
        <v>3387064.0</v>
      </c>
      <c r="AU487" s="74">
        <v>5389459.0</v>
      </c>
      <c r="AV487" s="74">
        <v>1741965.0</v>
      </c>
      <c r="AW487" s="74">
        <v>1492164.0</v>
      </c>
      <c r="AX487" s="74">
        <v>929298.0</v>
      </c>
      <c r="AY487" s="74">
        <v>346636.0</v>
      </c>
      <c r="AZ487" s="74">
        <v>-156350.0</v>
      </c>
      <c r="BA487" s="74">
        <v>529644.0</v>
      </c>
      <c r="BB487" s="74">
        <v>-11034.0</v>
      </c>
      <c r="BC487" s="74">
        <v>212471.0</v>
      </c>
      <c r="BD487" s="74">
        <v>-35017.0</v>
      </c>
      <c r="BE487" s="74">
        <v>-989640.0</v>
      </c>
      <c r="BF487" s="74">
        <v>8595160.0</v>
      </c>
      <c r="BG487" s="74">
        <v>468207.0</v>
      </c>
      <c r="BH487" s="74">
        <v>1.3776543E7</v>
      </c>
      <c r="BI487" s="74">
        <v>2962330.0</v>
      </c>
      <c r="BJ487" s="74">
        <v>1998519.0</v>
      </c>
      <c r="BK487" s="74">
        <v>1663588.0</v>
      </c>
      <c r="BL487" s="74"/>
      <c r="BM487" s="74"/>
      <c r="BN487" s="74"/>
      <c r="BO487" s="74"/>
      <c r="BP487" s="74"/>
      <c r="BQ487" s="74"/>
      <c r="BR487" s="74"/>
      <c r="BS487" s="1"/>
      <c r="BT487" s="9"/>
      <c r="BU487" s="9"/>
      <c r="BV487" s="1"/>
      <c r="BW487" s="1"/>
      <c r="BX487" s="1"/>
      <c r="BY487" s="1"/>
      <c r="BZ487" s="1"/>
    </row>
    <row r="488">
      <c r="A488" s="3"/>
      <c r="B488" s="33"/>
      <c r="C488" s="147"/>
      <c r="D488" s="147" t="s">
        <v>246</v>
      </c>
      <c r="E488" s="134"/>
      <c r="F488" s="134"/>
      <c r="G488" s="14"/>
      <c r="H488" s="14"/>
      <c r="I488" s="14"/>
      <c r="J488" s="14"/>
      <c r="K488" s="14"/>
      <c r="L488" s="1"/>
      <c r="M488" s="1"/>
      <c r="N488" s="1"/>
      <c r="O488" s="1"/>
      <c r="P488" s="1"/>
      <c r="Q488" s="1"/>
      <c r="R488" s="1"/>
      <c r="S488" s="74">
        <v>193889.0</v>
      </c>
      <c r="T488" s="74">
        <v>1934800.0</v>
      </c>
      <c r="U488" s="74">
        <v>2255866.0</v>
      </c>
      <c r="V488" s="74">
        <v>2509193.0</v>
      </c>
      <c r="W488" s="74">
        <v>709810.0</v>
      </c>
      <c r="X488" s="74">
        <v>815783.0</v>
      </c>
      <c r="Y488" s="74">
        <v>1325140.0</v>
      </c>
      <c r="Z488" s="74">
        <v>1145292.0</v>
      </c>
      <c r="AA488" s="74">
        <v>629330.0</v>
      </c>
      <c r="AB488" s="74">
        <v>442614.0</v>
      </c>
      <c r="AC488" s="74">
        <v>800451.0</v>
      </c>
      <c r="AD488" s="74">
        <v>1420034.0</v>
      </c>
      <c r="AE488" s="74">
        <v>1036109.0</v>
      </c>
      <c r="AF488" s="74">
        <v>459009.0</v>
      </c>
      <c r="AG488" s="74">
        <v>1353367.0</v>
      </c>
      <c r="AH488" s="74">
        <v>1344879.0</v>
      </c>
      <c r="AI488" s="74">
        <v>612169.0</v>
      </c>
      <c r="AJ488" s="74">
        <v>2124587.0</v>
      </c>
      <c r="AK488" s="74">
        <v>2756210.0</v>
      </c>
      <c r="AL488" s="74">
        <v>795821.0</v>
      </c>
      <c r="AM488" s="74">
        <v>1018468.0</v>
      </c>
      <c r="AN488" s="74">
        <v>961561.0</v>
      </c>
      <c r="AO488" s="74">
        <v>1275747.0</v>
      </c>
      <c r="AP488" s="74">
        <v>1428519.0</v>
      </c>
      <c r="AQ488" s="74">
        <v>1975548.0</v>
      </c>
      <c r="AR488" s="74">
        <v>2526144.0</v>
      </c>
      <c r="AS488" s="74">
        <v>1419966.0</v>
      </c>
      <c r="AT488" s="74">
        <v>1335028.0</v>
      </c>
      <c r="AU488" s="74">
        <v>1827594.0</v>
      </c>
      <c r="AV488" s="74">
        <v>715021.0</v>
      </c>
      <c r="AW488" s="74">
        <v>546679.0</v>
      </c>
      <c r="AX488" s="74">
        <v>528605.0</v>
      </c>
      <c r="AY488" s="74">
        <v>279412.0</v>
      </c>
      <c r="AZ488" s="74">
        <v>-245866.0</v>
      </c>
      <c r="BA488" s="74">
        <v>171867.0</v>
      </c>
      <c r="BB488" s="74">
        <v>40665.0</v>
      </c>
      <c r="BC488" s="74">
        <v>57365.0</v>
      </c>
      <c r="BD488" s="74">
        <v>287938.0</v>
      </c>
      <c r="BE488" s="74">
        <v>153664.0</v>
      </c>
      <c r="BF488" s="74">
        <v>4219156.0</v>
      </c>
      <c r="BG488" s="74">
        <v>463265.0</v>
      </c>
      <c r="BH488" s="74">
        <v>4666390.0</v>
      </c>
      <c r="BI488" s="74">
        <v>1476393.0</v>
      </c>
      <c r="BJ488" s="74">
        <v>1509224.0</v>
      </c>
      <c r="BK488" s="74">
        <v>1122351.0</v>
      </c>
      <c r="BL488" s="74"/>
      <c r="BM488" s="74"/>
      <c r="BN488" s="74"/>
      <c r="BO488" s="74"/>
      <c r="BP488" s="74"/>
      <c r="BQ488" s="74"/>
      <c r="BR488" s="74"/>
      <c r="BS488" s="1"/>
      <c r="BT488" s="9"/>
      <c r="BU488" s="9"/>
      <c r="BV488" s="1"/>
      <c r="BW488" s="1"/>
      <c r="BX488" s="1"/>
      <c r="BY488" s="1"/>
      <c r="BZ488" s="1"/>
    </row>
    <row r="489">
      <c r="A489" s="3"/>
      <c r="B489" s="33"/>
      <c r="C489" s="147"/>
      <c r="D489" s="147" t="s">
        <v>248</v>
      </c>
      <c r="E489" s="134"/>
      <c r="F489" s="134"/>
      <c r="G489" s="14"/>
      <c r="H489" s="14"/>
      <c r="I489" s="14"/>
      <c r="J489" s="14"/>
      <c r="K489" s="14"/>
      <c r="L489" s="1"/>
      <c r="M489" s="1"/>
      <c r="N489" s="1"/>
      <c r="O489" s="1"/>
      <c r="P489" s="1"/>
      <c r="Q489" s="1"/>
      <c r="R489" s="1"/>
      <c r="S489" s="74">
        <v>526299.0</v>
      </c>
      <c r="T489" s="74">
        <v>754179.0</v>
      </c>
      <c r="U489" s="74">
        <v>578383.0</v>
      </c>
      <c r="V489" s="74">
        <v>543829.0</v>
      </c>
      <c r="W489" s="74">
        <v>1025308.0</v>
      </c>
      <c r="X489" s="74">
        <v>1142971.0</v>
      </c>
      <c r="Y489" s="74">
        <v>2092121.0</v>
      </c>
      <c r="Z489" s="74">
        <v>1976639.0</v>
      </c>
      <c r="AA489" s="74">
        <v>757238.0</v>
      </c>
      <c r="AB489" s="74">
        <v>527370.0</v>
      </c>
      <c r="AC489" s="74">
        <v>591471.0</v>
      </c>
      <c r="AD489" s="74">
        <v>1178736.0</v>
      </c>
      <c r="AE489" s="74">
        <v>894724.0</v>
      </c>
      <c r="AF489" s="74">
        <v>439002.0</v>
      </c>
      <c r="AG489" s="74">
        <v>1365778.0</v>
      </c>
      <c r="AH489" s="74">
        <v>2100120.0</v>
      </c>
      <c r="AI489" s="74">
        <v>949388.0</v>
      </c>
      <c r="AJ489" s="74">
        <v>1592797.0</v>
      </c>
      <c r="AK489" s="74">
        <v>976398.0</v>
      </c>
      <c r="AL489" s="74">
        <v>860846.0</v>
      </c>
      <c r="AM489" s="74">
        <v>1481986.0</v>
      </c>
      <c r="AN489" s="74">
        <v>935254.0</v>
      </c>
      <c r="AO489" s="74">
        <v>1925402.0</v>
      </c>
      <c r="AP489" s="74">
        <v>3029724.0</v>
      </c>
      <c r="AQ489" s="74">
        <v>3630867.0</v>
      </c>
      <c r="AR489" s="74">
        <v>2535546.0</v>
      </c>
      <c r="AS489" s="74">
        <v>2171893.0</v>
      </c>
      <c r="AT489" s="74">
        <v>1725132.0</v>
      </c>
      <c r="AU489" s="74">
        <v>2368365.0</v>
      </c>
      <c r="AV489" s="74">
        <v>928797.0</v>
      </c>
      <c r="AW489" s="74">
        <v>804301.0</v>
      </c>
      <c r="AX489" s="74">
        <v>444259.0</v>
      </c>
      <c r="AY489" s="74">
        <v>39064.0</v>
      </c>
      <c r="AZ489" s="74">
        <v>90541.0</v>
      </c>
      <c r="BA489" s="74">
        <v>405416.0</v>
      </c>
      <c r="BB489" s="74">
        <v>75732.0</v>
      </c>
      <c r="BC489" s="74">
        <v>336811.0</v>
      </c>
      <c r="BD489" s="74">
        <v>-112716.0</v>
      </c>
      <c r="BE489" s="74">
        <v>-598948.0</v>
      </c>
      <c r="BF489" s="74">
        <v>2413563.0</v>
      </c>
      <c r="BG489" s="74">
        <v>446188.0</v>
      </c>
      <c r="BH489" s="74">
        <v>8714202.0</v>
      </c>
      <c r="BI489" s="74">
        <v>1419307.0</v>
      </c>
      <c r="BJ489" s="74">
        <v>1534696.0</v>
      </c>
      <c r="BK489" s="74">
        <v>784546.0</v>
      </c>
      <c r="BL489" s="74"/>
      <c r="BM489" s="74"/>
      <c r="BN489" s="74"/>
      <c r="BO489" s="74"/>
      <c r="BP489" s="74"/>
      <c r="BQ489" s="74"/>
      <c r="BR489" s="74"/>
      <c r="BS489" s="1"/>
      <c r="BT489" s="9"/>
      <c r="BU489" s="9"/>
      <c r="BV489" s="1"/>
      <c r="BW489" s="1"/>
      <c r="BX489" s="1"/>
      <c r="BY489" s="1"/>
      <c r="BZ489" s="1"/>
    </row>
    <row r="490">
      <c r="A490" s="3"/>
      <c r="B490" s="33"/>
      <c r="C490" s="147"/>
      <c r="D490" s="147" t="s">
        <v>251</v>
      </c>
      <c r="E490" s="134"/>
      <c r="F490" s="134"/>
      <c r="G490" s="14"/>
      <c r="H490" s="14"/>
      <c r="I490" s="14"/>
      <c r="J490" s="14"/>
      <c r="K490" s="14"/>
      <c r="L490" s="1"/>
      <c r="M490" s="1"/>
      <c r="N490" s="1"/>
      <c r="O490" s="1"/>
      <c r="P490" s="1"/>
      <c r="Q490" s="1"/>
      <c r="R490" s="1"/>
      <c r="S490" s="74">
        <v>18190.0</v>
      </c>
      <c r="T490" s="74">
        <v>47398.0</v>
      </c>
      <c r="U490" s="74">
        <v>47604.0</v>
      </c>
      <c r="V490" s="74">
        <v>28370.0</v>
      </c>
      <c r="W490" s="74">
        <v>158592.0</v>
      </c>
      <c r="X490" s="74">
        <v>150089.0</v>
      </c>
      <c r="Y490" s="74">
        <v>195242.0</v>
      </c>
      <c r="Z490" s="74">
        <v>222654.0</v>
      </c>
      <c r="AA490" s="74">
        <v>52879.0</v>
      </c>
      <c r="AB490" s="74">
        <v>215449.0</v>
      </c>
      <c r="AC490" s="74">
        <v>160354.0</v>
      </c>
      <c r="AD490" s="74">
        <v>193491.0</v>
      </c>
      <c r="AE490" s="74">
        <v>171787.0</v>
      </c>
      <c r="AF490" s="74">
        <v>140198.0</v>
      </c>
      <c r="AG490" s="74">
        <v>742674.0</v>
      </c>
      <c r="AH490" s="74">
        <v>137366.0</v>
      </c>
      <c r="AI490" s="74">
        <v>25420.0</v>
      </c>
      <c r="AJ490" s="74">
        <v>124150.0</v>
      </c>
      <c r="AK490" s="74">
        <v>275991.0</v>
      </c>
      <c r="AL490" s="74">
        <v>57371.0</v>
      </c>
      <c r="AM490" s="74">
        <v>52972.0</v>
      </c>
      <c r="AN490" s="74">
        <v>32822.0</v>
      </c>
      <c r="AO490" s="74">
        <v>41539.0</v>
      </c>
      <c r="AP490" s="74">
        <v>52099.0</v>
      </c>
      <c r="AQ490" s="74">
        <v>80821.0</v>
      </c>
      <c r="AR490" s="74">
        <v>156650.0</v>
      </c>
      <c r="AS490" s="74">
        <v>163531.0</v>
      </c>
      <c r="AT490" s="74">
        <v>315933.0</v>
      </c>
      <c r="AU490" s="74">
        <v>983447.0</v>
      </c>
      <c r="AV490" s="74">
        <v>25578.0</v>
      </c>
      <c r="AW490" s="74">
        <v>26284.0</v>
      </c>
      <c r="AX490" s="74">
        <v>-8676.0</v>
      </c>
      <c r="AY490" s="74">
        <v>-19394.0</v>
      </c>
      <c r="AZ490" s="74">
        <v>33260.0</v>
      </c>
      <c r="BA490" s="74">
        <v>11841.0</v>
      </c>
      <c r="BB490" s="74">
        <v>-37367.0</v>
      </c>
      <c r="BC490" s="74">
        <v>-70252.0</v>
      </c>
      <c r="BD490" s="74">
        <v>-94167.0</v>
      </c>
      <c r="BE490" s="74">
        <v>-171129.0</v>
      </c>
      <c r="BF490" s="74">
        <v>1523007.0</v>
      </c>
      <c r="BG490" s="74">
        <v>-190985.0</v>
      </c>
      <c r="BH490" s="74">
        <v>131853.0</v>
      </c>
      <c r="BI490" s="74">
        <v>-13635.0</v>
      </c>
      <c r="BJ490" s="74">
        <v>45837.0</v>
      </c>
      <c r="BK490" s="74">
        <v>303687.0</v>
      </c>
      <c r="BL490" s="74"/>
      <c r="BM490" s="74"/>
      <c r="BN490" s="74"/>
      <c r="BO490" s="74"/>
      <c r="BP490" s="74"/>
      <c r="BQ490" s="74"/>
      <c r="BR490" s="74"/>
      <c r="BS490" s="1"/>
      <c r="BT490" s="9"/>
      <c r="BU490" s="9"/>
      <c r="BV490" s="1"/>
      <c r="BW490" s="1"/>
      <c r="BX490" s="1"/>
      <c r="BY490" s="1"/>
      <c r="BZ490" s="1"/>
    </row>
    <row r="491">
      <c r="A491" s="3"/>
      <c r="B491" s="33"/>
      <c r="C491" s="147"/>
      <c r="D491" s="147" t="s">
        <v>253</v>
      </c>
      <c r="E491" s="134"/>
      <c r="F491" s="134"/>
      <c r="G491" s="14"/>
      <c r="H491" s="14"/>
      <c r="I491" s="14"/>
      <c r="J491" s="14"/>
      <c r="K491" s="14"/>
      <c r="L491" s="1"/>
      <c r="M491" s="1"/>
      <c r="N491" s="1"/>
      <c r="O491" s="1"/>
      <c r="P491" s="1"/>
      <c r="Q491" s="1"/>
      <c r="R491" s="1"/>
      <c r="S491" s="74">
        <v>71366.0</v>
      </c>
      <c r="T491" s="74">
        <v>84275.0</v>
      </c>
      <c r="U491" s="74">
        <v>66579.0</v>
      </c>
      <c r="V491" s="74">
        <v>45060.0</v>
      </c>
      <c r="W491" s="74">
        <v>75805.0</v>
      </c>
      <c r="X491" s="74">
        <v>93779.0</v>
      </c>
      <c r="Y491" s="74">
        <v>130071.0</v>
      </c>
      <c r="Z491" s="74">
        <v>105604.0</v>
      </c>
      <c r="AA491" s="74">
        <v>39368.0</v>
      </c>
      <c r="AB491" s="74">
        <v>66717.0</v>
      </c>
      <c r="AC491" s="74">
        <v>66240.0</v>
      </c>
      <c r="AD491" s="74">
        <v>95303.0</v>
      </c>
      <c r="AE491" s="74">
        <v>85380.0</v>
      </c>
      <c r="AF491" s="74">
        <v>40325.0</v>
      </c>
      <c r="AG491" s="74">
        <v>32081.0</v>
      </c>
      <c r="AH491" s="74">
        <v>40016.0</v>
      </c>
      <c r="AI491" s="74">
        <v>50894.0</v>
      </c>
      <c r="AJ491" s="74">
        <v>95786.0</v>
      </c>
      <c r="AK491" s="74">
        <v>52175.0</v>
      </c>
      <c r="AL491" s="74">
        <v>22650.0</v>
      </c>
      <c r="AM491" s="74">
        <v>48907.0</v>
      </c>
      <c r="AN491" s="74">
        <v>32016.0</v>
      </c>
      <c r="AO491" s="74">
        <v>81643.0</v>
      </c>
      <c r="AP491" s="74">
        <v>105676.0</v>
      </c>
      <c r="AQ491" s="74">
        <v>144306.0</v>
      </c>
      <c r="AR491" s="74">
        <v>180001.0</v>
      </c>
      <c r="AS491" s="74">
        <v>90296.0</v>
      </c>
      <c r="AT491" s="74">
        <v>-2563.0</v>
      </c>
      <c r="AU491" s="74">
        <v>53211.0</v>
      </c>
      <c r="AV491" s="74">
        <v>94524.0</v>
      </c>
      <c r="AW491" s="74">
        <v>178454.0</v>
      </c>
      <c r="AX491" s="74">
        <v>96206.0</v>
      </c>
      <c r="AY491" s="74">
        <v>57884.0</v>
      </c>
      <c r="AZ491" s="74">
        <v>-26388.0</v>
      </c>
      <c r="BA491" s="74">
        <v>49980.0</v>
      </c>
      <c r="BB491" s="74">
        <v>3762.0</v>
      </c>
      <c r="BC491" s="74">
        <v>-29661.0</v>
      </c>
      <c r="BD491" s="74">
        <v>-40355.0</v>
      </c>
      <c r="BE491" s="74">
        <v>-19508.0</v>
      </c>
      <c r="BF491" s="74">
        <v>-115206.0</v>
      </c>
      <c r="BG491" s="74">
        <v>-111592.0</v>
      </c>
      <c r="BH491" s="74">
        <v>36346.0</v>
      </c>
      <c r="BI491" s="74">
        <v>33863.0</v>
      </c>
      <c r="BJ491" s="74">
        <v>100210.0</v>
      </c>
      <c r="BK491" s="74">
        <v>155031.0</v>
      </c>
      <c r="BL491" s="74"/>
      <c r="BM491" s="74"/>
      <c r="BN491" s="74"/>
      <c r="BO491" s="74"/>
      <c r="BP491" s="74"/>
      <c r="BQ491" s="74"/>
      <c r="BR491" s="74"/>
      <c r="BS491" s="1"/>
      <c r="BT491" s="9"/>
      <c r="BU491" s="9"/>
      <c r="BV491" s="1"/>
      <c r="BW491" s="1"/>
      <c r="BX491" s="1"/>
      <c r="BY491" s="1"/>
      <c r="BZ491" s="1"/>
    </row>
    <row r="492">
      <c r="A492" s="3"/>
      <c r="B492" s="33"/>
      <c r="C492" s="147"/>
      <c r="D492" s="147" t="s">
        <v>255</v>
      </c>
      <c r="E492" s="134"/>
      <c r="F492" s="134"/>
      <c r="G492" s="14"/>
      <c r="H492" s="14"/>
      <c r="I492" s="14"/>
      <c r="J492" s="14"/>
      <c r="K492" s="14"/>
      <c r="L492" s="1"/>
      <c r="M492" s="1"/>
      <c r="N492" s="1"/>
      <c r="O492" s="1"/>
      <c r="P492" s="1"/>
      <c r="Q492" s="1"/>
      <c r="R492" s="1"/>
      <c r="S492" s="74">
        <v>17909.0</v>
      </c>
      <c r="T492" s="74">
        <v>59705.0</v>
      </c>
      <c r="U492" s="74">
        <v>37329.0</v>
      </c>
      <c r="V492" s="74">
        <v>23685.0</v>
      </c>
      <c r="W492" s="74">
        <v>65365.0</v>
      </c>
      <c r="X492" s="74">
        <v>87375.0</v>
      </c>
      <c r="Y492" s="74">
        <v>73454.0</v>
      </c>
      <c r="Z492" s="74">
        <v>37982.0</v>
      </c>
      <c r="AA492" s="74">
        <v>19974.0</v>
      </c>
      <c r="AB492" s="74">
        <v>30637.0</v>
      </c>
      <c r="AC492" s="74">
        <v>24354.0</v>
      </c>
      <c r="AD492" s="74">
        <v>36674.0</v>
      </c>
      <c r="AE492" s="74">
        <v>22814.0</v>
      </c>
      <c r="AF492" s="74">
        <v>12232.0</v>
      </c>
      <c r="AG492" s="74">
        <v>18809.0</v>
      </c>
      <c r="AH492" s="74">
        <v>19343.0</v>
      </c>
      <c r="AI492" s="74">
        <v>13643.0</v>
      </c>
      <c r="AJ492" s="74">
        <v>53796.0</v>
      </c>
      <c r="AK492" s="74">
        <v>41487.0</v>
      </c>
      <c r="AL492" s="74">
        <v>17628.0</v>
      </c>
      <c r="AM492" s="74">
        <v>32045.0</v>
      </c>
      <c r="AN492" s="74">
        <v>38345.0</v>
      </c>
      <c r="AO492" s="74">
        <v>37894.0</v>
      </c>
      <c r="AP492" s="74">
        <v>46052.0</v>
      </c>
      <c r="AQ492" s="74">
        <v>47128.0</v>
      </c>
      <c r="AR492" s="74">
        <v>101095.0</v>
      </c>
      <c r="AS492" s="74">
        <v>48207.0</v>
      </c>
      <c r="AT492" s="74">
        <v>16547.0</v>
      </c>
      <c r="AU492" s="74">
        <v>37362.0</v>
      </c>
      <c r="AV492" s="74">
        <v>13524.0</v>
      </c>
      <c r="AW492" s="74">
        <v>21308.0</v>
      </c>
      <c r="AX492" s="74">
        <v>13642.0</v>
      </c>
      <c r="AY492" s="74">
        <v>16925.0</v>
      </c>
      <c r="AZ492" s="74">
        <v>36729.0</v>
      </c>
      <c r="BA492" s="74">
        <v>65307.0</v>
      </c>
      <c r="BB492" s="74">
        <v>60162.0</v>
      </c>
      <c r="BC492" s="74">
        <v>63518.0</v>
      </c>
      <c r="BD492" s="74">
        <v>26215.0</v>
      </c>
      <c r="BE492" s="74">
        <v>8268.0</v>
      </c>
      <c r="BF492" s="74">
        <v>18570.0</v>
      </c>
      <c r="BG492" s="74">
        <v>53711.0</v>
      </c>
      <c r="BH492" s="74">
        <v>271188.0</v>
      </c>
      <c r="BI492" s="74">
        <v>186325.0</v>
      </c>
      <c r="BJ492" s="74">
        <v>79496.0</v>
      </c>
      <c r="BK492" s="74">
        <v>111091.0</v>
      </c>
      <c r="BL492" s="74"/>
      <c r="BM492" s="74"/>
      <c r="BN492" s="74"/>
      <c r="BO492" s="74"/>
      <c r="BP492" s="74"/>
      <c r="BQ492" s="74"/>
      <c r="BR492" s="74"/>
      <c r="BS492" s="1"/>
      <c r="BT492" s="9"/>
      <c r="BU492" s="9"/>
      <c r="BV492" s="1"/>
      <c r="BW492" s="1"/>
      <c r="BX492" s="1"/>
      <c r="BY492" s="1"/>
      <c r="BZ492" s="1"/>
    </row>
    <row r="493">
      <c r="A493" s="3"/>
      <c r="B493" s="33"/>
      <c r="C493" s="155"/>
      <c r="D493" s="155" t="s">
        <v>257</v>
      </c>
      <c r="E493" s="134"/>
      <c r="F493" s="134"/>
      <c r="G493" s="14"/>
      <c r="H493" s="14"/>
      <c r="I493" s="14"/>
      <c r="J493" s="14"/>
      <c r="K493" s="14"/>
      <c r="L493" s="1"/>
      <c r="M493" s="1"/>
      <c r="N493" s="1"/>
      <c r="O493" s="1"/>
      <c r="P493" s="1"/>
      <c r="Q493" s="1"/>
      <c r="R493" s="1"/>
      <c r="S493" s="74">
        <v>31393.0</v>
      </c>
      <c r="T493" s="74">
        <v>45171.0</v>
      </c>
      <c r="U493" s="74">
        <v>17566.0</v>
      </c>
      <c r="V493" s="74">
        <v>5907.0</v>
      </c>
      <c r="W493" s="74">
        <v>4359.0</v>
      </c>
      <c r="X493" s="74">
        <v>12620.0</v>
      </c>
      <c r="Y493" s="74">
        <v>15332.0</v>
      </c>
      <c r="Z493" s="74">
        <v>8893.0</v>
      </c>
      <c r="AA493" s="74">
        <v>3259.0</v>
      </c>
      <c r="AB493" s="74">
        <v>2595.0</v>
      </c>
      <c r="AC493" s="74">
        <v>2079.0</v>
      </c>
      <c r="AD493" s="74">
        <v>16984.0</v>
      </c>
      <c r="AE493" s="74">
        <v>17827.0</v>
      </c>
      <c r="AF493" s="74">
        <v>-1963.0</v>
      </c>
      <c r="AG493" s="74">
        <v>76172.0</v>
      </c>
      <c r="AH493" s="74">
        <v>3376.0</v>
      </c>
      <c r="AI493" s="74">
        <v>2326.0</v>
      </c>
      <c r="AJ493" s="74">
        <v>29665.0</v>
      </c>
      <c r="AK493" s="74">
        <v>21003.0</v>
      </c>
      <c r="AL493" s="74">
        <v>18801.0</v>
      </c>
      <c r="AM493" s="74">
        <v>8668.0</v>
      </c>
      <c r="AN493" s="74">
        <v>5769.0</v>
      </c>
      <c r="AO493" s="74">
        <v>14384.0</v>
      </c>
      <c r="AP493" s="74">
        <v>10933.0</v>
      </c>
      <c r="AQ493" s="74">
        <v>17079.0</v>
      </c>
      <c r="AR493" s="74">
        <v>35882.0</v>
      </c>
      <c r="AS493" s="74">
        <v>18870.0</v>
      </c>
      <c r="AT493" s="74">
        <v>42632.0</v>
      </c>
      <c r="AU493" s="74">
        <v>104000.0</v>
      </c>
      <c r="AV493" s="74">
        <v>22067.0</v>
      </c>
      <c r="AW493" s="74">
        <v>10287.0</v>
      </c>
      <c r="AX493" s="74">
        <v>12425.0</v>
      </c>
      <c r="AY493" s="74">
        <v>16611.0</v>
      </c>
      <c r="AZ493" s="74">
        <v>50090.0</v>
      </c>
      <c r="BA493" s="74">
        <v>11715.0</v>
      </c>
      <c r="BB493" s="74">
        <v>14514.0</v>
      </c>
      <c r="BC493" s="74">
        <v>11058.0</v>
      </c>
      <c r="BD493" s="74">
        <v>9876.0</v>
      </c>
      <c r="BE493" s="74">
        <v>2112.0</v>
      </c>
      <c r="BF493" s="74">
        <v>123390.0</v>
      </c>
      <c r="BG493" s="74">
        <v>-130.0</v>
      </c>
      <c r="BH493" s="74">
        <v>43504.0</v>
      </c>
      <c r="BI493" s="74">
        <v>13589.0</v>
      </c>
      <c r="BJ493" s="74">
        <v>6147.0</v>
      </c>
      <c r="BK493" s="74">
        <v>16327.0</v>
      </c>
      <c r="BL493" s="74"/>
      <c r="BM493" s="74"/>
      <c r="BN493" s="74"/>
      <c r="BO493" s="74"/>
      <c r="BP493" s="74"/>
      <c r="BQ493" s="74"/>
      <c r="BR493" s="74"/>
      <c r="BS493" s="1"/>
      <c r="BT493" s="9"/>
      <c r="BU493" s="9"/>
      <c r="BV493" s="1"/>
      <c r="BW493" s="1"/>
      <c r="BX493" s="1"/>
      <c r="BY493" s="1"/>
      <c r="BZ493" s="1"/>
    </row>
    <row r="494">
      <c r="A494" s="3"/>
      <c r="B494" s="33"/>
      <c r="C494" s="147"/>
      <c r="D494" s="147" t="s">
        <v>261</v>
      </c>
      <c r="E494" s="134"/>
      <c r="F494" s="134"/>
      <c r="G494" s="14"/>
      <c r="H494" s="14"/>
      <c r="I494" s="14"/>
      <c r="J494" s="14"/>
      <c r="K494" s="14"/>
      <c r="L494" s="1"/>
      <c r="M494" s="1"/>
      <c r="N494" s="1"/>
      <c r="O494" s="1"/>
      <c r="P494" s="1"/>
      <c r="Q494" s="1"/>
      <c r="R494" s="1"/>
      <c r="S494" s="3">
        <v>0.0</v>
      </c>
      <c r="T494" s="3">
        <v>798.0</v>
      </c>
      <c r="U494" s="74">
        <v>5608.0</v>
      </c>
      <c r="V494" s="74">
        <v>6473.0</v>
      </c>
      <c r="W494" s="3">
        <v>415.0</v>
      </c>
      <c r="X494" s="74">
        <v>5332.0</v>
      </c>
      <c r="Y494" s="74">
        <v>9356.0</v>
      </c>
      <c r="Z494" s="74">
        <v>8544.0</v>
      </c>
      <c r="AA494" s="74">
        <v>6247.0</v>
      </c>
      <c r="AB494" s="74">
        <v>6993.0</v>
      </c>
      <c r="AC494" s="74">
        <v>9751.0</v>
      </c>
      <c r="AD494" s="74">
        <v>34606.0</v>
      </c>
      <c r="AE494" s="74">
        <v>38351.0</v>
      </c>
      <c r="AF494" s="74">
        <v>21762.0</v>
      </c>
      <c r="AG494" s="74">
        <v>176620.0</v>
      </c>
      <c r="AH494" s="74">
        <v>43737.0</v>
      </c>
      <c r="AI494" s="74">
        <v>30010.0</v>
      </c>
      <c r="AJ494" s="74">
        <v>18738.0</v>
      </c>
      <c r="AK494" s="74">
        <v>20997.0</v>
      </c>
      <c r="AL494" s="74">
        <v>14884.0</v>
      </c>
      <c r="AM494" s="74">
        <v>7587.0</v>
      </c>
      <c r="AN494" s="74">
        <v>7876.0</v>
      </c>
      <c r="AO494" s="74">
        <v>11729.0</v>
      </c>
      <c r="AP494" s="74">
        <v>22319.0</v>
      </c>
      <c r="AQ494" s="74">
        <v>19941.0</v>
      </c>
      <c r="AR494" s="74">
        <v>32788.0</v>
      </c>
      <c r="AS494" s="74">
        <v>26589.0</v>
      </c>
      <c r="AT494" s="74">
        <v>44413.0</v>
      </c>
      <c r="AU494" s="74">
        <v>76059.0</v>
      </c>
      <c r="AV494" s="74">
        <v>38844.0</v>
      </c>
      <c r="AW494" s="74">
        <v>28060.0</v>
      </c>
      <c r="AX494" s="74">
        <v>12197.0</v>
      </c>
      <c r="AY494" s="74">
        <v>9068.0</v>
      </c>
      <c r="AZ494" s="74">
        <v>1112.0</v>
      </c>
      <c r="BA494" s="74">
        <v>6523.0</v>
      </c>
      <c r="BB494" s="74">
        <v>7625.0</v>
      </c>
      <c r="BC494" s="74">
        <v>3098.0</v>
      </c>
      <c r="BD494" s="74">
        <v>3598.0</v>
      </c>
      <c r="BE494" s="74">
        <v>-7187.0</v>
      </c>
      <c r="BF494" s="74">
        <v>642142.0</v>
      </c>
      <c r="BG494" s="74">
        <v>-10225.0</v>
      </c>
      <c r="BH494" s="74">
        <v>11861.0</v>
      </c>
      <c r="BI494" s="74">
        <v>1473.0</v>
      </c>
      <c r="BJ494" s="74">
        <v>-3565.0</v>
      </c>
      <c r="BK494" s="74">
        <v>-190.0</v>
      </c>
      <c r="BL494" s="74"/>
      <c r="BM494" s="74"/>
      <c r="BN494" s="74"/>
      <c r="BO494" s="74"/>
      <c r="BP494" s="74"/>
      <c r="BQ494" s="74"/>
      <c r="BR494" s="74"/>
      <c r="BS494" s="1"/>
      <c r="BT494" s="9"/>
      <c r="BU494" s="9"/>
      <c r="BV494" s="1"/>
      <c r="BW494" s="1"/>
      <c r="BX494" s="1"/>
      <c r="BY494" s="1"/>
      <c r="BZ494" s="1"/>
    </row>
    <row r="495">
      <c r="A495" s="3"/>
      <c r="B495" s="33"/>
      <c r="C495" s="146"/>
      <c r="D495" s="146"/>
      <c r="E495" s="134"/>
      <c r="F495" s="134"/>
      <c r="G495" s="14"/>
      <c r="H495" s="14"/>
      <c r="I495" s="14"/>
      <c r="J495" s="14"/>
      <c r="K495" s="1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9"/>
      <c r="BU495" s="9"/>
      <c r="BV495" s="1"/>
      <c r="BW495" s="1"/>
      <c r="BX495" s="1"/>
      <c r="BY495" s="1"/>
      <c r="BZ495" s="1"/>
    </row>
    <row r="496">
      <c r="A496" s="3"/>
      <c r="B496" s="33"/>
      <c r="C496" s="146"/>
      <c r="D496" s="146"/>
      <c r="E496" s="134"/>
      <c r="F496" s="134"/>
      <c r="G496" s="14"/>
      <c r="H496" s="14"/>
      <c r="I496" s="14"/>
      <c r="J496" s="14"/>
      <c r="K496" s="1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9"/>
      <c r="BU496" s="9"/>
      <c r="BV496" s="1"/>
      <c r="BW496" s="1"/>
      <c r="BX496" s="1"/>
      <c r="BY496" s="1"/>
      <c r="BZ496" s="1"/>
    </row>
    <row r="497">
      <c r="A497" s="3"/>
      <c r="B497" s="33"/>
      <c r="C497" s="122"/>
      <c r="D497" s="122" t="s">
        <v>340</v>
      </c>
      <c r="E497" s="134"/>
      <c r="F497" s="134"/>
      <c r="G497" s="14"/>
      <c r="H497" s="14"/>
      <c r="I497" s="14"/>
      <c r="J497" s="14"/>
      <c r="K497" s="1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9"/>
      <c r="BU497" s="9"/>
      <c r="BV497" s="1"/>
      <c r="BW497" s="1"/>
      <c r="BX497" s="1"/>
      <c r="BY497" s="1"/>
      <c r="BZ497" s="1"/>
    </row>
    <row r="498">
      <c r="A498" s="3"/>
      <c r="B498" s="33"/>
      <c r="C498" s="133"/>
      <c r="D498" s="133" t="s">
        <v>289</v>
      </c>
      <c r="E498" s="134"/>
      <c r="F498" s="134"/>
      <c r="G498" s="14"/>
      <c r="H498" s="14"/>
      <c r="I498" s="14"/>
      <c r="J498" s="14"/>
      <c r="K498" s="14"/>
      <c r="L498" s="1"/>
      <c r="M498" s="1"/>
      <c r="N498" s="1"/>
      <c r="O498" s="1"/>
      <c r="P498" s="1"/>
      <c r="Q498" s="1"/>
      <c r="R498" s="1"/>
      <c r="S498" s="33">
        <v>0.0734</v>
      </c>
      <c r="T498" s="33">
        <v>0.2296</v>
      </c>
      <c r="U498" s="33">
        <v>0.2309</v>
      </c>
      <c r="V498" s="33">
        <v>0.2362</v>
      </c>
      <c r="W498" s="33">
        <v>0.1643</v>
      </c>
      <c r="X498" s="33">
        <v>0.1651</v>
      </c>
      <c r="Y498" s="33">
        <v>0.2621</v>
      </c>
      <c r="Z498" s="33">
        <v>0.2504</v>
      </c>
      <c r="AA498" s="33">
        <v>0.1092</v>
      </c>
      <c r="AB498" s="33">
        <v>0.1072</v>
      </c>
      <c r="AC498" s="33">
        <v>0.1284</v>
      </c>
      <c r="AD498" s="33">
        <v>0.2222</v>
      </c>
      <c r="AE498" s="33">
        <v>0.1609</v>
      </c>
      <c r="AF498" s="33">
        <v>0.0821</v>
      </c>
      <c r="AG498" s="33">
        <v>0.2639</v>
      </c>
      <c r="AH498" s="33">
        <v>0.2243</v>
      </c>
      <c r="AI498" s="33">
        <v>0.1141</v>
      </c>
      <c r="AJ498" s="33">
        <v>0.266</v>
      </c>
      <c r="AK498" s="33">
        <v>0.2558</v>
      </c>
      <c r="AL498" s="33">
        <v>0.1056</v>
      </c>
      <c r="AM498" s="33">
        <v>0.1712</v>
      </c>
      <c r="AN498" s="33">
        <v>0.1261</v>
      </c>
      <c r="AO498" s="33">
        <v>0.1775</v>
      </c>
      <c r="AP498" s="33">
        <v>0.2421</v>
      </c>
      <c r="AQ498" s="33">
        <v>0.2991</v>
      </c>
      <c r="AR498" s="33">
        <v>0.2724</v>
      </c>
      <c r="AS498" s="33">
        <v>0.1859</v>
      </c>
      <c r="AT498" s="33">
        <v>0.1781</v>
      </c>
      <c r="AU498" s="33">
        <v>0.2707</v>
      </c>
      <c r="AV498" s="33">
        <v>0.0901</v>
      </c>
      <c r="AW498" s="33">
        <v>0.0998</v>
      </c>
      <c r="AX498" s="33">
        <v>0.0574</v>
      </c>
      <c r="AY498" s="33">
        <v>0.0208</v>
      </c>
      <c r="AZ498" s="33">
        <v>-0.0094</v>
      </c>
      <c r="BA498" s="33">
        <v>0.0319</v>
      </c>
      <c r="BB498" s="33">
        <v>-7.0E-4</v>
      </c>
      <c r="BC498" s="33">
        <v>0.0135</v>
      </c>
      <c r="BD498" s="33">
        <v>-0.002</v>
      </c>
      <c r="BE498" s="33">
        <v>-0.065</v>
      </c>
      <c r="BF498" s="33">
        <v>0.6155</v>
      </c>
      <c r="BG498" s="33">
        <v>0.0288</v>
      </c>
      <c r="BH498" s="33">
        <v>0.7657</v>
      </c>
      <c r="BI498" s="33">
        <v>0.1805</v>
      </c>
      <c r="BJ498" s="33">
        <v>0.1309</v>
      </c>
      <c r="BK498" s="33">
        <v>0.0984</v>
      </c>
      <c r="BL498" s="33"/>
      <c r="BM498" s="33"/>
      <c r="BN498" s="33"/>
      <c r="BO498" s="33"/>
      <c r="BP498" s="33"/>
      <c r="BQ498" s="33"/>
      <c r="BR498" s="33"/>
      <c r="BS498" s="1"/>
      <c r="BT498" s="9"/>
      <c r="BU498" s="9"/>
      <c r="BV498" s="1"/>
      <c r="BW498" s="1"/>
      <c r="BX498" s="1"/>
      <c r="BY498" s="1"/>
      <c r="BZ498" s="1"/>
    </row>
    <row r="499">
      <c r="A499" s="3"/>
      <c r="B499" s="33"/>
      <c r="C499" s="147"/>
      <c r="D499" s="147" t="s">
        <v>246</v>
      </c>
      <c r="E499" s="134"/>
      <c r="F499" s="134"/>
      <c r="G499" s="14"/>
      <c r="H499" s="14"/>
      <c r="I499" s="14"/>
      <c r="J499" s="14"/>
      <c r="K499" s="14"/>
      <c r="L499" s="1"/>
      <c r="M499" s="1"/>
      <c r="N499" s="1"/>
      <c r="O499" s="1"/>
      <c r="P499" s="1"/>
      <c r="Q499" s="1"/>
      <c r="R499" s="1"/>
      <c r="S499" s="33">
        <v>0.0586</v>
      </c>
      <c r="T499" s="33">
        <v>0.471</v>
      </c>
      <c r="U499" s="33">
        <v>0.4866</v>
      </c>
      <c r="V499" s="33">
        <v>0.4928</v>
      </c>
      <c r="W499" s="33">
        <v>0.1815</v>
      </c>
      <c r="X499" s="33">
        <v>0.2205</v>
      </c>
      <c r="Y499" s="33">
        <v>0.3255</v>
      </c>
      <c r="Z499" s="33">
        <v>0.2855</v>
      </c>
      <c r="AA499" s="33">
        <v>0.1557</v>
      </c>
      <c r="AB499" s="33">
        <v>0.1218</v>
      </c>
      <c r="AC499" s="33">
        <v>0.1974</v>
      </c>
      <c r="AD499" s="33">
        <v>0.3322</v>
      </c>
      <c r="AE499" s="33">
        <v>0.2323</v>
      </c>
      <c r="AF499" s="33">
        <v>0.1115</v>
      </c>
      <c r="AG499" s="33">
        <v>0.3026</v>
      </c>
      <c r="AH499" s="33">
        <v>0.2692</v>
      </c>
      <c r="AI499" s="33">
        <v>0.1441</v>
      </c>
      <c r="AJ499" s="33">
        <v>0.5137</v>
      </c>
      <c r="AK499" s="33">
        <v>0.5869</v>
      </c>
      <c r="AL499" s="33">
        <v>0.1595</v>
      </c>
      <c r="AM499" s="33">
        <v>0.2277</v>
      </c>
      <c r="AN499" s="33">
        <v>0.2019</v>
      </c>
      <c r="AO499" s="33">
        <v>0.2269</v>
      </c>
      <c r="AP499" s="33">
        <v>0.267</v>
      </c>
      <c r="AQ499" s="33">
        <v>0.35</v>
      </c>
      <c r="AR499" s="33">
        <v>0.4298</v>
      </c>
      <c r="AS499" s="33">
        <v>0.2077</v>
      </c>
      <c r="AT499" s="33">
        <v>0.2244</v>
      </c>
      <c r="AU499" s="33">
        <v>0.3122</v>
      </c>
      <c r="AV499" s="33">
        <v>0.1203</v>
      </c>
      <c r="AW499" s="33">
        <v>0.1252</v>
      </c>
      <c r="AX499" s="33">
        <v>0.1045</v>
      </c>
      <c r="AY499" s="33">
        <v>0.05</v>
      </c>
      <c r="AZ499" s="33">
        <v>-0.0462</v>
      </c>
      <c r="BA499" s="33">
        <v>0.0332</v>
      </c>
      <c r="BB499" s="33">
        <v>0.0082</v>
      </c>
      <c r="BC499" s="33">
        <v>0.0121</v>
      </c>
      <c r="BD499" s="33">
        <v>0.0507</v>
      </c>
      <c r="BE499" s="33">
        <v>0.0288</v>
      </c>
      <c r="BF499" s="33">
        <v>0.8409</v>
      </c>
      <c r="BG499" s="33">
        <v>0.081</v>
      </c>
      <c r="BH499" s="33">
        <v>0.7703</v>
      </c>
      <c r="BI499" s="33">
        <v>0.2856</v>
      </c>
      <c r="BJ499" s="33">
        <v>0.3034</v>
      </c>
      <c r="BK499" s="33">
        <v>0.2071</v>
      </c>
      <c r="BL499" s="33"/>
      <c r="BM499" s="33"/>
      <c r="BN499" s="33"/>
      <c r="BO499" s="33"/>
      <c r="BP499" s="33"/>
      <c r="BQ499" s="33"/>
      <c r="BR499" s="33"/>
      <c r="BS499" s="1"/>
      <c r="BT499" s="9"/>
      <c r="BU499" s="9"/>
      <c r="BV499" s="1"/>
      <c r="BW499" s="1"/>
      <c r="BX499" s="1"/>
      <c r="BY499" s="1"/>
      <c r="BZ499" s="1"/>
    </row>
    <row r="500">
      <c r="A500" s="3"/>
      <c r="B500" s="33"/>
      <c r="C500" s="147"/>
      <c r="D500" s="147" t="s">
        <v>248</v>
      </c>
      <c r="E500" s="134"/>
      <c r="F500" s="134"/>
      <c r="G500" s="14"/>
      <c r="H500" s="14"/>
      <c r="I500" s="14"/>
      <c r="J500" s="14"/>
      <c r="K500" s="14"/>
      <c r="L500" s="1"/>
      <c r="M500" s="1"/>
      <c r="N500" s="1"/>
      <c r="O500" s="1"/>
      <c r="P500" s="1"/>
      <c r="Q500" s="1"/>
      <c r="R500" s="1"/>
      <c r="S500" s="33">
        <v>0.082</v>
      </c>
      <c r="T500" s="33">
        <v>0.1143</v>
      </c>
      <c r="U500" s="33">
        <v>0.093</v>
      </c>
      <c r="V500" s="33">
        <v>0.0882</v>
      </c>
      <c r="W500" s="33">
        <v>0.1609</v>
      </c>
      <c r="X500" s="33">
        <v>0.1459</v>
      </c>
      <c r="Y500" s="33">
        <v>0.2556</v>
      </c>
      <c r="Z500" s="33">
        <v>0.2528</v>
      </c>
      <c r="AA500" s="33">
        <v>0.1016</v>
      </c>
      <c r="AB500" s="33">
        <v>0.0849</v>
      </c>
      <c r="AC500" s="33">
        <v>0.0943</v>
      </c>
      <c r="AD500" s="33">
        <v>0.1743</v>
      </c>
      <c r="AE500" s="33">
        <v>0.1238</v>
      </c>
      <c r="AF500" s="33">
        <v>0.0626</v>
      </c>
      <c r="AG500" s="33">
        <v>0.1926</v>
      </c>
      <c r="AH500" s="33">
        <v>0.2367</v>
      </c>
      <c r="AI500" s="33">
        <v>0.1185</v>
      </c>
      <c r="AJ500" s="33">
        <v>0.1921</v>
      </c>
      <c r="AK500" s="33">
        <v>0.1149</v>
      </c>
      <c r="AL500" s="33">
        <v>0.1046</v>
      </c>
      <c r="AM500" s="33">
        <v>0.1816</v>
      </c>
      <c r="AN500" s="33">
        <v>0.1165</v>
      </c>
      <c r="AO500" s="33">
        <v>0.1925</v>
      </c>
      <c r="AP500" s="33">
        <v>0.2832</v>
      </c>
      <c r="AQ500" s="33">
        <v>0.3374</v>
      </c>
      <c r="AR500" s="33">
        <v>0.2335</v>
      </c>
      <c r="AS500" s="33">
        <v>0.2137</v>
      </c>
      <c r="AT500" s="33">
        <v>0.181</v>
      </c>
      <c r="AU500" s="33">
        <v>0.2372</v>
      </c>
      <c r="AV500" s="33">
        <v>0.0995</v>
      </c>
      <c r="AW500" s="33">
        <v>0.1032</v>
      </c>
      <c r="AX500" s="33">
        <v>0.0554</v>
      </c>
      <c r="AY500" s="33">
        <v>0.0052</v>
      </c>
      <c r="AZ500" s="33">
        <v>0.0116</v>
      </c>
      <c r="BA500" s="33">
        <v>0.0521</v>
      </c>
      <c r="BB500" s="33">
        <v>0.0112</v>
      </c>
      <c r="BC500" s="33">
        <v>0.0435</v>
      </c>
      <c r="BD500" s="33">
        <v>-0.0133</v>
      </c>
      <c r="BE500" s="33">
        <v>-0.0948</v>
      </c>
      <c r="BF500" s="33">
        <v>0.4466</v>
      </c>
      <c r="BG500" s="33">
        <v>0.0602</v>
      </c>
      <c r="BH500" s="33">
        <v>0.962</v>
      </c>
      <c r="BI500" s="33">
        <v>0.1651</v>
      </c>
      <c r="BJ500" s="33">
        <v>0.2217</v>
      </c>
      <c r="BK500" s="33">
        <v>0.1079</v>
      </c>
      <c r="BL500" s="33"/>
      <c r="BM500" s="33"/>
      <c r="BN500" s="33"/>
      <c r="BO500" s="33"/>
      <c r="BP500" s="33"/>
      <c r="BQ500" s="33"/>
      <c r="BR500" s="33"/>
      <c r="BS500" s="1"/>
      <c r="BT500" s="9"/>
      <c r="BU500" s="9"/>
      <c r="BV500" s="1"/>
      <c r="BW500" s="1"/>
      <c r="BX500" s="1"/>
      <c r="BY500" s="1"/>
      <c r="BZ500" s="1"/>
    </row>
    <row r="501">
      <c r="A501" s="3"/>
      <c r="B501" s="33"/>
      <c r="C501" s="147"/>
      <c r="D501" s="147" t="s">
        <v>251</v>
      </c>
      <c r="E501" s="134"/>
      <c r="F501" s="134"/>
      <c r="G501" s="14"/>
      <c r="H501" s="14"/>
      <c r="I501" s="14"/>
      <c r="J501" s="14"/>
      <c r="K501" s="14"/>
      <c r="L501" s="1"/>
      <c r="M501" s="1"/>
      <c r="N501" s="1"/>
      <c r="O501" s="1"/>
      <c r="P501" s="1"/>
      <c r="Q501" s="1"/>
      <c r="R501" s="1"/>
      <c r="S501" s="33">
        <v>0.0197</v>
      </c>
      <c r="T501" s="33">
        <v>0.0586</v>
      </c>
      <c r="U501" s="33">
        <v>0.0533</v>
      </c>
      <c r="V501" s="33">
        <v>0.0369</v>
      </c>
      <c r="W501" s="33">
        <v>0.1737</v>
      </c>
      <c r="X501" s="33">
        <v>0.1338</v>
      </c>
      <c r="Y501" s="33">
        <v>0.1924</v>
      </c>
      <c r="Z501" s="33">
        <v>0.2191</v>
      </c>
      <c r="AA501" s="33">
        <v>0.0504</v>
      </c>
      <c r="AB501" s="33">
        <v>0.2449</v>
      </c>
      <c r="AC501" s="33">
        <v>0.1338</v>
      </c>
      <c r="AD501" s="33">
        <v>0.1889</v>
      </c>
      <c r="AE501" s="33">
        <v>0.1751</v>
      </c>
      <c r="AF501" s="33">
        <v>0.1441</v>
      </c>
      <c r="AG501" s="33">
        <v>0.5595</v>
      </c>
      <c r="AH501" s="33">
        <v>0.1176</v>
      </c>
      <c r="AI501" s="33">
        <v>0.0256</v>
      </c>
      <c r="AJ501" s="33">
        <v>0.1194</v>
      </c>
      <c r="AK501" s="33">
        <v>0.2373</v>
      </c>
      <c r="AL501" s="33">
        <v>0.0435</v>
      </c>
      <c r="AM501" s="33">
        <v>0.0487</v>
      </c>
      <c r="AN501" s="33">
        <v>0.0246</v>
      </c>
      <c r="AO501" s="33">
        <v>0.0289</v>
      </c>
      <c r="AP501" s="33">
        <v>0.04</v>
      </c>
      <c r="AQ501" s="33">
        <v>0.0613</v>
      </c>
      <c r="AR501" s="33">
        <v>0.1049</v>
      </c>
      <c r="AS501" s="33">
        <v>0.1039</v>
      </c>
      <c r="AT501" s="33">
        <v>0.1856</v>
      </c>
      <c r="AU501" s="33">
        <v>0.4308</v>
      </c>
      <c r="AV501" s="33">
        <v>0.0132</v>
      </c>
      <c r="AW501" s="33">
        <v>0.0217</v>
      </c>
      <c r="AX501" s="33">
        <v>-0.0072</v>
      </c>
      <c r="AY501" s="33">
        <v>-0.0139</v>
      </c>
      <c r="AZ501" s="33">
        <v>0.0233</v>
      </c>
      <c r="BA501" s="33">
        <v>0.0087</v>
      </c>
      <c r="BB501" s="33">
        <v>-0.0269</v>
      </c>
      <c r="BC501" s="33">
        <v>-0.0537</v>
      </c>
      <c r="BD501" s="33">
        <v>-0.0699</v>
      </c>
      <c r="BE501" s="33">
        <v>-0.1175</v>
      </c>
      <c r="BF501" s="33">
        <v>1.0715</v>
      </c>
      <c r="BG501" s="33">
        <v>-0.1549</v>
      </c>
      <c r="BH501" s="33">
        <v>0.1205</v>
      </c>
      <c r="BI501" s="33">
        <v>-0.0135</v>
      </c>
      <c r="BJ501" s="33">
        <v>0.0393</v>
      </c>
      <c r="BK501" s="33">
        <v>0.2288</v>
      </c>
      <c r="BL501" s="33"/>
      <c r="BM501" s="33"/>
      <c r="BN501" s="33"/>
      <c r="BO501" s="33"/>
      <c r="BP501" s="33"/>
      <c r="BQ501" s="33"/>
      <c r="BR501" s="33"/>
      <c r="BS501" s="1"/>
      <c r="BT501" s="9"/>
      <c r="BU501" s="9"/>
      <c r="BV501" s="1"/>
      <c r="BW501" s="1"/>
      <c r="BX501" s="1"/>
      <c r="BY501" s="1"/>
      <c r="BZ501" s="1"/>
    </row>
    <row r="502">
      <c r="A502" s="3"/>
      <c r="B502" s="33"/>
      <c r="C502" s="147"/>
      <c r="D502" s="147" t="s">
        <v>253</v>
      </c>
      <c r="E502" s="134"/>
      <c r="F502" s="134"/>
      <c r="G502" s="14"/>
      <c r="H502" s="14"/>
      <c r="I502" s="14"/>
      <c r="J502" s="14"/>
      <c r="K502" s="14"/>
      <c r="L502" s="1"/>
      <c r="M502" s="1"/>
      <c r="N502" s="1"/>
      <c r="O502" s="1"/>
      <c r="P502" s="1"/>
      <c r="Q502" s="1"/>
      <c r="R502" s="1"/>
      <c r="S502" s="33">
        <v>0.1244</v>
      </c>
      <c r="T502" s="33">
        <v>0.1292</v>
      </c>
      <c r="U502" s="33">
        <v>0.1108</v>
      </c>
      <c r="V502" s="33">
        <v>0.0738</v>
      </c>
      <c r="W502" s="33">
        <v>0.1399</v>
      </c>
      <c r="X502" s="33">
        <v>0.1608</v>
      </c>
      <c r="Y502" s="33">
        <v>0.1753</v>
      </c>
      <c r="Z502" s="33">
        <v>0.1646</v>
      </c>
      <c r="AA502" s="33">
        <v>0.0659</v>
      </c>
      <c r="AB502" s="33">
        <v>0.1097</v>
      </c>
      <c r="AC502" s="33">
        <v>0.0973</v>
      </c>
      <c r="AD502" s="33">
        <v>0.1481</v>
      </c>
      <c r="AE502" s="33">
        <v>0.1399</v>
      </c>
      <c r="AF502" s="33">
        <v>0.0754</v>
      </c>
      <c r="AG502" s="33">
        <v>0.0547</v>
      </c>
      <c r="AH502" s="33">
        <v>0.0649</v>
      </c>
      <c r="AI502" s="33">
        <v>0.0808</v>
      </c>
      <c r="AJ502" s="33">
        <v>0.1462</v>
      </c>
      <c r="AK502" s="33">
        <v>0.081</v>
      </c>
      <c r="AL502" s="33">
        <v>0.0293</v>
      </c>
      <c r="AM502" s="33">
        <v>0.0887</v>
      </c>
      <c r="AN502" s="33">
        <v>0.0511</v>
      </c>
      <c r="AO502" s="33">
        <v>0.1023</v>
      </c>
      <c r="AP502" s="33">
        <v>0.1326</v>
      </c>
      <c r="AQ502" s="33">
        <v>0.1775</v>
      </c>
      <c r="AR502" s="33">
        <v>0.2017</v>
      </c>
      <c r="AS502" s="33">
        <v>0.0903</v>
      </c>
      <c r="AT502" s="33">
        <v>-0.0032</v>
      </c>
      <c r="AU502" s="33">
        <v>0.0679</v>
      </c>
      <c r="AV502" s="33">
        <v>0.0946</v>
      </c>
      <c r="AW502" s="33">
        <v>0.2268</v>
      </c>
      <c r="AX502" s="33">
        <v>0.1034</v>
      </c>
      <c r="AY502" s="33">
        <v>0.0633</v>
      </c>
      <c r="AZ502" s="33">
        <v>-0.0299</v>
      </c>
      <c r="BA502" s="33">
        <v>0.0546</v>
      </c>
      <c r="BB502" s="33">
        <v>0.0044</v>
      </c>
      <c r="BC502" s="33">
        <v>-0.0347</v>
      </c>
      <c r="BD502" s="33">
        <v>-0.0452</v>
      </c>
      <c r="BE502" s="33">
        <v>-0.0215</v>
      </c>
      <c r="BF502" s="33">
        <v>-0.1385</v>
      </c>
      <c r="BG502" s="33">
        <v>-0.1484</v>
      </c>
      <c r="BH502" s="33">
        <v>0.0488</v>
      </c>
      <c r="BI502" s="33">
        <v>0.0576</v>
      </c>
      <c r="BJ502" s="33">
        <v>0.1475</v>
      </c>
      <c r="BK502" s="33">
        <v>0.1436</v>
      </c>
      <c r="BL502" s="33"/>
      <c r="BM502" s="33"/>
      <c r="BN502" s="33"/>
      <c r="BO502" s="33"/>
      <c r="BP502" s="33"/>
      <c r="BQ502" s="33"/>
      <c r="BR502" s="33"/>
      <c r="BS502" s="1"/>
      <c r="BT502" s="9"/>
      <c r="BU502" s="9"/>
      <c r="BV502" s="1"/>
      <c r="BW502" s="1"/>
      <c r="BX502" s="1"/>
      <c r="BY502" s="1"/>
      <c r="BZ502" s="1"/>
    </row>
    <row r="503">
      <c r="A503" s="3"/>
      <c r="B503" s="33"/>
      <c r="C503" s="147"/>
      <c r="D503" s="147" t="s">
        <v>255</v>
      </c>
      <c r="E503" s="134"/>
      <c r="F503" s="134"/>
      <c r="G503" s="14"/>
      <c r="H503" s="14"/>
      <c r="I503" s="14"/>
      <c r="J503" s="14"/>
      <c r="K503" s="14"/>
      <c r="L503" s="1"/>
      <c r="M503" s="1"/>
      <c r="N503" s="1"/>
      <c r="O503" s="1"/>
      <c r="P503" s="1"/>
      <c r="Q503" s="1"/>
      <c r="R503" s="1"/>
      <c r="S503" s="33">
        <v>0.0612</v>
      </c>
      <c r="T503" s="33">
        <v>0.1519</v>
      </c>
      <c r="U503" s="33">
        <v>0.1049</v>
      </c>
      <c r="V503" s="33">
        <v>0.0711</v>
      </c>
      <c r="W503" s="33">
        <v>0.19</v>
      </c>
      <c r="X503" s="33">
        <v>0.2231</v>
      </c>
      <c r="Y503" s="33">
        <v>0.191</v>
      </c>
      <c r="Z503" s="33">
        <v>0.1228</v>
      </c>
      <c r="AA503" s="33">
        <v>0.0613</v>
      </c>
      <c r="AB503" s="33">
        <v>0.0844</v>
      </c>
      <c r="AC503" s="33">
        <v>0.0703</v>
      </c>
      <c r="AD503" s="33">
        <v>0.1095</v>
      </c>
      <c r="AE503" s="33">
        <v>0.0693</v>
      </c>
      <c r="AF503" s="33">
        <v>0.0353</v>
      </c>
      <c r="AG503" s="33">
        <v>0.0507</v>
      </c>
      <c r="AH503" s="33">
        <v>0.0528</v>
      </c>
      <c r="AI503" s="33">
        <v>0.0353</v>
      </c>
      <c r="AJ503" s="33">
        <v>0.1269</v>
      </c>
      <c r="AK503" s="33">
        <v>0.0775</v>
      </c>
      <c r="AL503" s="33">
        <v>0.0303</v>
      </c>
      <c r="AM503" s="33">
        <v>0.0692</v>
      </c>
      <c r="AN503" s="33">
        <v>0.0763</v>
      </c>
      <c r="AO503" s="33">
        <v>0.0692</v>
      </c>
      <c r="AP503" s="33">
        <v>0.0756</v>
      </c>
      <c r="AQ503" s="33">
        <v>0.0782</v>
      </c>
      <c r="AR503" s="33">
        <v>0.1588</v>
      </c>
      <c r="AS503" s="33">
        <v>0.0778</v>
      </c>
      <c r="AT503" s="33">
        <v>0.0294</v>
      </c>
      <c r="AU503" s="33">
        <v>0.0663</v>
      </c>
      <c r="AV503" s="33">
        <v>0.0235</v>
      </c>
      <c r="AW503" s="33">
        <v>0.0463</v>
      </c>
      <c r="AX503" s="33">
        <v>0.0241</v>
      </c>
      <c r="AY503" s="33">
        <v>0.025</v>
      </c>
      <c r="AZ503" s="33">
        <v>0.0539</v>
      </c>
      <c r="BA503" s="33">
        <v>0.0964</v>
      </c>
      <c r="BB503" s="33">
        <v>0.102</v>
      </c>
      <c r="BC503" s="33">
        <v>0.1032</v>
      </c>
      <c r="BD503" s="33">
        <v>0.0384</v>
      </c>
      <c r="BE503" s="33">
        <v>0.0144</v>
      </c>
      <c r="BF503" s="33">
        <v>0.0317</v>
      </c>
      <c r="BG503" s="33">
        <v>0.0967</v>
      </c>
      <c r="BH503" s="33">
        <v>0.442</v>
      </c>
      <c r="BI503" s="33">
        <v>0.3258</v>
      </c>
      <c r="BJ503" s="33">
        <v>0.1546</v>
      </c>
      <c r="BK503" s="33">
        <v>0.215</v>
      </c>
      <c r="BL503" s="33"/>
      <c r="BM503" s="33"/>
      <c r="BN503" s="33"/>
      <c r="BO503" s="33"/>
      <c r="BP503" s="33"/>
      <c r="BQ503" s="33"/>
      <c r="BR503" s="33"/>
      <c r="BS503" s="1"/>
      <c r="BT503" s="9"/>
      <c r="BU503" s="9"/>
      <c r="BV503" s="1"/>
      <c r="BW503" s="1"/>
      <c r="BX503" s="1"/>
      <c r="BY503" s="1"/>
      <c r="BZ503" s="1"/>
    </row>
    <row r="504">
      <c r="A504" s="3"/>
      <c r="B504" s="33"/>
      <c r="C504" s="155"/>
      <c r="D504" s="155" t="s">
        <v>257</v>
      </c>
      <c r="E504" s="134"/>
      <c r="F504" s="134"/>
      <c r="G504" s="14"/>
      <c r="H504" s="14"/>
      <c r="I504" s="14"/>
      <c r="J504" s="14"/>
      <c r="K504" s="14"/>
      <c r="L504" s="1"/>
      <c r="M504" s="1"/>
      <c r="N504" s="1"/>
      <c r="O504" s="1"/>
      <c r="P504" s="1"/>
      <c r="Q504" s="1"/>
      <c r="R504" s="1"/>
      <c r="S504" s="33">
        <v>0.2363</v>
      </c>
      <c r="T504" s="33">
        <v>0.3141</v>
      </c>
      <c r="U504" s="33">
        <v>0.1855</v>
      </c>
      <c r="V504" s="33">
        <v>0.0865</v>
      </c>
      <c r="W504" s="33">
        <v>0.0607</v>
      </c>
      <c r="X504" s="33">
        <v>0.1354</v>
      </c>
      <c r="Y504" s="33">
        <v>0.1179</v>
      </c>
      <c r="Z504" s="33">
        <v>0.1072</v>
      </c>
      <c r="AA504" s="33">
        <v>0.0277</v>
      </c>
      <c r="AB504" s="33">
        <v>0.0296</v>
      </c>
      <c r="AC504" s="33">
        <v>0.0219</v>
      </c>
      <c r="AD504" s="33">
        <v>0.1475</v>
      </c>
      <c r="AE504" s="33">
        <v>0.1057</v>
      </c>
      <c r="AF504" s="33">
        <v>-0.0173</v>
      </c>
      <c r="AG504" s="33">
        <v>0.5187</v>
      </c>
      <c r="AH504" s="33">
        <v>0.0214</v>
      </c>
      <c r="AI504" s="33">
        <v>0.0177</v>
      </c>
      <c r="AJ504" s="33">
        <v>0.2157</v>
      </c>
      <c r="AK504" s="33">
        <v>0.1104</v>
      </c>
      <c r="AL504" s="33">
        <v>0.1034</v>
      </c>
      <c r="AM504" s="33">
        <v>0.051</v>
      </c>
      <c r="AN504" s="33">
        <v>0.0551</v>
      </c>
      <c r="AO504" s="33">
        <v>0.1374</v>
      </c>
      <c r="AP504" s="33">
        <v>0.0922</v>
      </c>
      <c r="AQ504" s="33">
        <v>0.2006</v>
      </c>
      <c r="AR504" s="33">
        <v>0.2677</v>
      </c>
      <c r="AS504" s="33">
        <v>0.1142</v>
      </c>
      <c r="AT504" s="33">
        <v>0.2097</v>
      </c>
      <c r="AU504" s="33">
        <v>0.4614</v>
      </c>
      <c r="AV504" s="33">
        <v>0.0902</v>
      </c>
      <c r="AW504" s="33">
        <v>0.1139</v>
      </c>
      <c r="AX504" s="33">
        <v>0.1191</v>
      </c>
      <c r="AY504" s="33">
        <v>0.1282</v>
      </c>
      <c r="AZ504" s="33">
        <v>0.3515</v>
      </c>
      <c r="BA504" s="33">
        <v>0.0818</v>
      </c>
      <c r="BB504" s="33">
        <v>0.1897</v>
      </c>
      <c r="BC504" s="33">
        <v>0.1246</v>
      </c>
      <c r="BD504" s="33">
        <v>0.1006</v>
      </c>
      <c r="BE504" s="33">
        <v>0.0161</v>
      </c>
      <c r="BF504" s="33">
        <v>0.8696</v>
      </c>
      <c r="BG504" s="33">
        <v>-0.0013</v>
      </c>
      <c r="BH504" s="33">
        <v>0.5248</v>
      </c>
      <c r="BI504" s="33">
        <v>0.1567</v>
      </c>
      <c r="BJ504" s="33">
        <v>0.1331</v>
      </c>
      <c r="BK504" s="33">
        <v>0.2032</v>
      </c>
      <c r="BL504" s="33"/>
      <c r="BM504" s="33"/>
      <c r="BN504" s="33"/>
      <c r="BO504" s="33"/>
      <c r="BP504" s="33"/>
      <c r="BQ504" s="33"/>
      <c r="BR504" s="33"/>
      <c r="BS504" s="1"/>
      <c r="BT504" s="9"/>
      <c r="BU504" s="9"/>
      <c r="BV504" s="1"/>
      <c r="BW504" s="1"/>
      <c r="BX504" s="1"/>
      <c r="BY504" s="1"/>
      <c r="BZ504" s="1"/>
    </row>
    <row r="505">
      <c r="A505" s="3"/>
      <c r="B505" s="33"/>
      <c r="C505" s="147"/>
      <c r="D505" s="147" t="s">
        <v>261</v>
      </c>
      <c r="E505" s="134"/>
      <c r="F505" s="134"/>
      <c r="G505" s="14"/>
      <c r="H505" s="14"/>
      <c r="I505" s="14"/>
      <c r="J505" s="14"/>
      <c r="K505" s="14"/>
      <c r="L505" s="1"/>
      <c r="M505" s="1"/>
      <c r="N505" s="1"/>
      <c r="O505" s="1"/>
      <c r="P505" s="1"/>
      <c r="Q505" s="1"/>
      <c r="R505" s="1"/>
      <c r="S505" s="3" t="e">
        <v>#DIV/0!</v>
      </c>
      <c r="T505" s="3" t="e">
        <v>#DIV/0!</v>
      </c>
      <c r="U505" s="33">
        <v>0.559</v>
      </c>
      <c r="V505" s="33">
        <v>0.2276</v>
      </c>
      <c r="W505" s="33">
        <v>0.0342</v>
      </c>
      <c r="X505" s="33">
        <v>0.187</v>
      </c>
      <c r="Y505" s="33">
        <v>0.247</v>
      </c>
      <c r="Z505" s="33">
        <v>0.2031</v>
      </c>
      <c r="AA505" s="33">
        <v>0.1949</v>
      </c>
      <c r="AB505" s="33">
        <v>0.1488</v>
      </c>
      <c r="AC505" s="33">
        <v>0.182</v>
      </c>
      <c r="AD505" s="33">
        <v>0.4193</v>
      </c>
      <c r="AE505" s="33">
        <v>0.496</v>
      </c>
      <c r="AF505" s="33">
        <v>0.385</v>
      </c>
      <c r="AG505" s="33">
        <v>1.4157</v>
      </c>
      <c r="AH505" s="33">
        <v>0.5117</v>
      </c>
      <c r="AI505" s="33">
        <v>0.3554</v>
      </c>
      <c r="AJ505" s="33">
        <v>0.2794</v>
      </c>
      <c r="AK505" s="33">
        <v>0.2382</v>
      </c>
      <c r="AL505" s="33">
        <v>0.1882</v>
      </c>
      <c r="AM505" s="33">
        <v>0.1089</v>
      </c>
      <c r="AN505" s="33">
        <v>0.0906</v>
      </c>
      <c r="AO505" s="33">
        <v>0.1276</v>
      </c>
      <c r="AP505" s="33">
        <v>0.2809</v>
      </c>
      <c r="AQ505" s="33">
        <v>0.2271</v>
      </c>
      <c r="AR505" s="33">
        <v>0.3848</v>
      </c>
      <c r="AS505" s="33">
        <v>0.1904</v>
      </c>
      <c r="AT505" s="33">
        <v>0.3074</v>
      </c>
      <c r="AU505" s="33">
        <v>0.5538</v>
      </c>
      <c r="AV505" s="33">
        <v>0.2763</v>
      </c>
      <c r="AW505" s="33">
        <v>0.2232</v>
      </c>
      <c r="AX505" s="33">
        <v>0.114</v>
      </c>
      <c r="AY505" s="33">
        <v>0.0757</v>
      </c>
      <c r="AZ505" s="33">
        <v>0.0122</v>
      </c>
      <c r="BA505" s="33">
        <v>0.0723</v>
      </c>
      <c r="BB505" s="33">
        <v>0.0888</v>
      </c>
      <c r="BC505" s="33">
        <v>0.0398</v>
      </c>
      <c r="BD505" s="33">
        <v>0.0431</v>
      </c>
      <c r="BE505" s="33">
        <v>-0.0789</v>
      </c>
      <c r="BF505" s="33">
        <v>5.5327</v>
      </c>
      <c r="BG505" s="33">
        <v>-0.1358</v>
      </c>
      <c r="BH505" s="33">
        <v>0.1447</v>
      </c>
      <c r="BI505" s="33">
        <v>0.017</v>
      </c>
      <c r="BJ505" s="33">
        <v>-0.037</v>
      </c>
      <c r="BK505" s="33">
        <v>-0.0033</v>
      </c>
      <c r="BL505" s="33"/>
      <c r="BM505" s="33"/>
      <c r="BN505" s="33"/>
      <c r="BO505" s="33"/>
      <c r="BP505" s="33"/>
      <c r="BQ505" s="33"/>
      <c r="BR505" s="33"/>
      <c r="BS505" s="1"/>
      <c r="BT505" s="9"/>
      <c r="BU505" s="9"/>
      <c r="BV505" s="1"/>
      <c r="BW505" s="1"/>
      <c r="BX505" s="1"/>
      <c r="BY505" s="1"/>
      <c r="BZ505" s="1"/>
    </row>
    <row r="506">
      <c r="A506" s="3"/>
      <c r="B506" s="33"/>
      <c r="C506" s="146"/>
      <c r="D506" s="146"/>
      <c r="E506" s="134"/>
      <c r="F506" s="134"/>
      <c r="G506" s="14"/>
      <c r="H506" s="14"/>
      <c r="I506" s="14"/>
      <c r="J506" s="14"/>
      <c r="K506" s="1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9"/>
      <c r="BU506" s="9"/>
      <c r="BV506" s="1"/>
      <c r="BW506" s="1"/>
      <c r="BX506" s="1"/>
      <c r="BY506" s="1"/>
      <c r="BZ506" s="1"/>
    </row>
    <row r="507">
      <c r="A507" s="3"/>
      <c r="B507" s="33"/>
      <c r="C507" s="146"/>
      <c r="D507" s="146"/>
      <c r="E507" s="134"/>
      <c r="F507" s="134"/>
      <c r="G507" s="14"/>
      <c r="H507" s="14"/>
      <c r="I507" s="14"/>
      <c r="J507" s="14"/>
      <c r="K507" s="1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9"/>
      <c r="BU507" s="9"/>
      <c r="BV507" s="1"/>
      <c r="BW507" s="1"/>
      <c r="BX507" s="1"/>
      <c r="BY507" s="1"/>
      <c r="BZ507" s="1"/>
    </row>
    <row r="508">
      <c r="A508" s="3"/>
      <c r="B508" s="33"/>
      <c r="C508" s="133"/>
      <c r="D508" s="133" t="s">
        <v>341</v>
      </c>
      <c r="E508" s="134"/>
      <c r="F508" s="134"/>
      <c r="G508" s="14"/>
      <c r="H508" s="14"/>
      <c r="I508" s="14"/>
      <c r="J508" s="14"/>
      <c r="K508" s="1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9"/>
      <c r="BU508" s="9"/>
      <c r="BV508" s="1"/>
      <c r="BW508" s="1"/>
      <c r="BX508" s="1"/>
      <c r="BY508" s="1"/>
      <c r="BZ508" s="1"/>
    </row>
    <row r="509">
      <c r="A509" s="3"/>
      <c r="B509" s="33"/>
      <c r="C509" s="147"/>
      <c r="D509" s="147" t="s">
        <v>246</v>
      </c>
      <c r="E509" s="134"/>
      <c r="F509" s="134"/>
      <c r="G509" s="14"/>
      <c r="H509" s="14"/>
      <c r="I509" s="14"/>
      <c r="J509" s="14"/>
      <c r="K509" s="14"/>
      <c r="L509" s="1"/>
      <c r="M509" s="1"/>
      <c r="N509" s="1"/>
      <c r="O509" s="1"/>
      <c r="P509" s="1"/>
      <c r="Q509" s="1"/>
      <c r="R509" s="140" t="s">
        <v>246</v>
      </c>
      <c r="S509" s="33">
        <v>0.0</v>
      </c>
      <c r="T509" s="33">
        <v>0.0</v>
      </c>
      <c r="U509" s="33">
        <v>0.0</v>
      </c>
      <c r="V509" s="33">
        <v>0.0</v>
      </c>
      <c r="W509" s="33">
        <v>0.0</v>
      </c>
      <c r="X509" s="33">
        <v>0.0</v>
      </c>
      <c r="Y509" s="33">
        <v>0.0</v>
      </c>
      <c r="Z509" s="33">
        <v>-0.7118</v>
      </c>
      <c r="AA509" s="33">
        <v>-0.4548</v>
      </c>
      <c r="AB509" s="33">
        <v>-0.2127</v>
      </c>
      <c r="AC509" s="33">
        <v>0.1267</v>
      </c>
      <c r="AD509" s="33">
        <v>0.0257</v>
      </c>
      <c r="AE509" s="33">
        <v>0.0557</v>
      </c>
      <c r="AF509" s="33">
        <v>0.0809</v>
      </c>
      <c r="AG509" s="33">
        <v>0.1243</v>
      </c>
      <c r="AH509" s="33">
        <v>0.1787</v>
      </c>
      <c r="AI509" s="33">
        <v>0.224</v>
      </c>
      <c r="AJ509" s="33">
        <v>0.3508</v>
      </c>
      <c r="AK509" s="33">
        <v>0.0</v>
      </c>
      <c r="AL509" s="33">
        <v>0.1524</v>
      </c>
      <c r="AM509" s="33">
        <v>0.3023</v>
      </c>
      <c r="AN509" s="33">
        <v>0.2833</v>
      </c>
      <c r="AO509" s="33">
        <v>0.2895</v>
      </c>
      <c r="AP509" s="33">
        <v>0.2639</v>
      </c>
      <c r="AQ509" s="33">
        <v>0.1935</v>
      </c>
      <c r="AR509" s="33">
        <v>0.1564</v>
      </c>
      <c r="AS509" s="33">
        <v>0.0541</v>
      </c>
      <c r="AT509" s="3">
        <v>0.0</v>
      </c>
      <c r="AU509" s="3">
        <v>0.0</v>
      </c>
      <c r="AV509" s="3">
        <v>0.0</v>
      </c>
      <c r="AW509" s="3">
        <v>0.0</v>
      </c>
      <c r="AX509" s="33">
        <v>0.0</v>
      </c>
      <c r="AY509" s="33">
        <v>0.0</v>
      </c>
      <c r="AZ509" s="33">
        <v>0.2159</v>
      </c>
      <c r="BA509" s="33">
        <v>0.2451</v>
      </c>
      <c r="BB509" s="33">
        <v>0.118</v>
      </c>
      <c r="BC509" s="33">
        <v>0.1964</v>
      </c>
      <c r="BD509" s="33">
        <v>0.1612</v>
      </c>
      <c r="BE509" s="33">
        <v>0.0</v>
      </c>
      <c r="BF509" s="33">
        <v>0.1301</v>
      </c>
      <c r="BG509" s="33">
        <v>0.1615</v>
      </c>
      <c r="BH509" s="33">
        <v>0.0495</v>
      </c>
      <c r="BI509" s="3">
        <v>0.0</v>
      </c>
      <c r="BJ509" s="3">
        <v>0.0</v>
      </c>
      <c r="BK509" s="3">
        <v>0.0</v>
      </c>
      <c r="BL509" s="3"/>
      <c r="BM509" s="3"/>
      <c r="BN509" s="3"/>
      <c r="BO509" s="3"/>
      <c r="BP509" s="3"/>
      <c r="BQ509" s="3"/>
      <c r="BR509" s="3"/>
      <c r="BS509" s="1"/>
      <c r="BT509" s="9"/>
      <c r="BU509" s="9"/>
      <c r="BV509" s="1"/>
      <c r="BW509" s="1"/>
      <c r="BX509" s="1"/>
      <c r="BY509" s="1"/>
      <c r="BZ509" s="1"/>
    </row>
    <row r="510">
      <c r="A510" s="3"/>
      <c r="B510" s="33"/>
      <c r="C510" s="147"/>
      <c r="D510" s="147" t="s">
        <v>248</v>
      </c>
      <c r="E510" s="134"/>
      <c r="F510" s="134"/>
      <c r="G510" s="14"/>
      <c r="H510" s="14"/>
      <c r="I510" s="14"/>
      <c r="J510" s="14"/>
      <c r="K510" s="14"/>
      <c r="L510" s="1"/>
      <c r="M510" s="1"/>
      <c r="N510" s="1"/>
      <c r="O510" s="1"/>
      <c r="P510" s="1"/>
      <c r="Q510" s="1"/>
      <c r="R510" s="140" t="s">
        <v>248</v>
      </c>
      <c r="S510" s="33">
        <v>0.0</v>
      </c>
      <c r="T510" s="33">
        <v>0.0</v>
      </c>
      <c r="U510" s="33">
        <v>0.0</v>
      </c>
      <c r="V510" s="33">
        <v>0.0</v>
      </c>
      <c r="W510" s="33">
        <v>0.0</v>
      </c>
      <c r="X510" s="33">
        <v>0.0</v>
      </c>
      <c r="Y510" s="33">
        <v>0.0</v>
      </c>
      <c r="Z510" s="33">
        <v>0.0</v>
      </c>
      <c r="AA510" s="33">
        <v>0.0</v>
      </c>
      <c r="AB510" s="33">
        <v>0.0</v>
      </c>
      <c r="AC510" s="33">
        <v>0.4283</v>
      </c>
      <c r="AD510" s="33">
        <v>0.1241</v>
      </c>
      <c r="AE510" s="33">
        <v>0.2854</v>
      </c>
      <c r="AF510" s="33">
        <v>0.0</v>
      </c>
      <c r="AG510" s="33">
        <v>0.2121</v>
      </c>
      <c r="AH510" s="33">
        <v>0.0</v>
      </c>
      <c r="AI510" s="33">
        <v>0.1507</v>
      </c>
      <c r="AJ510" s="33">
        <v>0.0</v>
      </c>
      <c r="AK510" s="33">
        <v>0.2132</v>
      </c>
      <c r="AL510" s="33">
        <v>0.252</v>
      </c>
      <c r="AM510" s="33">
        <v>0.3458</v>
      </c>
      <c r="AN510" s="33">
        <v>0.2871</v>
      </c>
      <c r="AO510" s="33">
        <v>0.2428</v>
      </c>
      <c r="AP510" s="33">
        <v>0.2364</v>
      </c>
      <c r="AQ510" s="33">
        <v>0.1504</v>
      </c>
      <c r="AR510" s="33">
        <v>0.2747</v>
      </c>
      <c r="AS510" s="33">
        <v>0.0</v>
      </c>
      <c r="AT510" s="33">
        <v>0.0</v>
      </c>
      <c r="AU510" s="33">
        <v>0.0</v>
      </c>
      <c r="AV510" s="33">
        <v>0.1284</v>
      </c>
      <c r="AW510" s="33">
        <v>0.1406</v>
      </c>
      <c r="AX510" s="33">
        <v>0.0</v>
      </c>
      <c r="AY510" s="33">
        <v>0.3186</v>
      </c>
      <c r="AZ510" s="33">
        <v>0.3735</v>
      </c>
      <c r="BA510" s="33">
        <v>0.3545</v>
      </c>
      <c r="BB510" s="33">
        <v>0.0</v>
      </c>
      <c r="BC510" s="33">
        <v>0.0</v>
      </c>
      <c r="BD510" s="33">
        <v>0.0</v>
      </c>
      <c r="BE510" s="33">
        <v>0.2723</v>
      </c>
      <c r="BF510" s="33">
        <v>0.3314</v>
      </c>
      <c r="BG510" s="33">
        <v>0.0</v>
      </c>
      <c r="BH510" s="3">
        <v>0.0</v>
      </c>
      <c r="BI510" s="3">
        <v>0.0</v>
      </c>
      <c r="BJ510" s="3">
        <v>0.0</v>
      </c>
      <c r="BK510" s="3">
        <v>0.0</v>
      </c>
      <c r="BL510" s="33"/>
      <c r="BM510" s="33"/>
      <c r="BN510" s="33"/>
      <c r="BO510" s="33"/>
      <c r="BP510" s="33"/>
      <c r="BQ510" s="33"/>
      <c r="BR510" s="33"/>
      <c r="BS510" s="1"/>
      <c r="BT510" s="9"/>
      <c r="BU510" s="9"/>
      <c r="BV510" s="1"/>
      <c r="BW510" s="1"/>
      <c r="BX510" s="1"/>
      <c r="BY510" s="1"/>
      <c r="BZ510" s="1"/>
    </row>
    <row r="511">
      <c r="A511" s="3"/>
      <c r="B511" s="33"/>
      <c r="C511" s="147"/>
      <c r="D511" s="147" t="s">
        <v>251</v>
      </c>
      <c r="E511" s="134"/>
      <c r="F511" s="134"/>
      <c r="G511" s="14"/>
      <c r="H511" s="14"/>
      <c r="I511" s="14"/>
      <c r="J511" s="14"/>
      <c r="K511" s="14"/>
      <c r="L511" s="1"/>
      <c r="M511" s="1"/>
      <c r="N511" s="1"/>
      <c r="O511" s="1"/>
      <c r="P511" s="1"/>
      <c r="Q511" s="1"/>
      <c r="R511" s="140" t="s">
        <v>251</v>
      </c>
      <c r="S511" s="33">
        <v>0.0</v>
      </c>
      <c r="T511" s="33">
        <v>0.0</v>
      </c>
      <c r="U511" s="33">
        <v>0.0</v>
      </c>
      <c r="V511" s="33">
        <v>0.0</v>
      </c>
      <c r="W511" s="33">
        <v>0.0</v>
      </c>
      <c r="X511" s="33">
        <v>0.0</v>
      </c>
      <c r="Y511" s="33">
        <v>0.0</v>
      </c>
      <c r="Z511" s="33">
        <v>0.0</v>
      </c>
      <c r="AA511" s="33">
        <v>0.0</v>
      </c>
      <c r="AB511" s="33">
        <v>0.0</v>
      </c>
      <c r="AC511" s="33">
        <v>0.0</v>
      </c>
      <c r="AD511" s="33">
        <v>0.1152</v>
      </c>
      <c r="AE511" s="33">
        <v>0.0</v>
      </c>
      <c r="AF511" s="33">
        <v>0.0</v>
      </c>
      <c r="AG511" s="33">
        <v>0.0</v>
      </c>
      <c r="AH511" s="33">
        <v>0.0</v>
      </c>
      <c r="AI511" s="33">
        <v>0.0</v>
      </c>
      <c r="AJ511" s="33">
        <v>0.0</v>
      </c>
      <c r="AK511" s="33">
        <v>0.0</v>
      </c>
      <c r="AL511" s="33">
        <v>0.2717</v>
      </c>
      <c r="AM511" s="33">
        <v>0.0</v>
      </c>
      <c r="AN511" s="33">
        <v>0.2797</v>
      </c>
      <c r="AO511" s="33">
        <v>0.2607</v>
      </c>
      <c r="AP511" s="33">
        <v>0.2695</v>
      </c>
      <c r="AQ511" s="33">
        <v>0.3118</v>
      </c>
      <c r="AR511" s="33">
        <v>0.3142</v>
      </c>
      <c r="AS511" s="33">
        <v>0.0</v>
      </c>
      <c r="AT511" s="3">
        <v>0.0</v>
      </c>
      <c r="AU511" s="33">
        <v>0.0</v>
      </c>
      <c r="AV511" s="3">
        <v>0.0</v>
      </c>
      <c r="AW511" s="33">
        <v>0.0</v>
      </c>
      <c r="AX511" s="33">
        <v>0.0</v>
      </c>
      <c r="AY511" s="33">
        <v>0.0</v>
      </c>
      <c r="AZ511" s="3">
        <v>0.0</v>
      </c>
      <c r="BA511" s="3">
        <v>0.0</v>
      </c>
      <c r="BB511" s="33">
        <v>0.0</v>
      </c>
      <c r="BC511" s="33">
        <v>0.0</v>
      </c>
      <c r="BD511" s="33">
        <v>0.0</v>
      </c>
      <c r="BE511" s="33">
        <v>0.0</v>
      </c>
      <c r="BF511" s="33">
        <v>0.0</v>
      </c>
      <c r="BG511" s="33">
        <v>0.0</v>
      </c>
      <c r="BH511" s="3">
        <v>0.0</v>
      </c>
      <c r="BI511" s="3">
        <v>0.0</v>
      </c>
      <c r="BJ511" s="3">
        <v>0.0</v>
      </c>
      <c r="BK511" s="3">
        <v>0.0</v>
      </c>
      <c r="BL511" s="3"/>
      <c r="BM511" s="3"/>
      <c r="BN511" s="3"/>
      <c r="BO511" s="3"/>
      <c r="BP511" s="3"/>
      <c r="BQ511" s="3"/>
      <c r="BR511" s="3"/>
      <c r="BS511" s="1"/>
      <c r="BT511" s="9"/>
      <c r="BU511" s="9"/>
      <c r="BV511" s="1"/>
      <c r="BW511" s="1"/>
      <c r="BX511" s="1"/>
      <c r="BY511" s="1"/>
      <c r="BZ511" s="1"/>
    </row>
    <row r="512">
      <c r="A512" s="3"/>
      <c r="B512" s="33"/>
      <c r="C512" s="147"/>
      <c r="D512" s="147" t="s">
        <v>253</v>
      </c>
      <c r="E512" s="134"/>
      <c r="F512" s="134"/>
      <c r="G512" s="14"/>
      <c r="H512" s="14"/>
      <c r="I512" s="14"/>
      <c r="J512" s="14"/>
      <c r="K512" s="14"/>
      <c r="L512" s="1"/>
      <c r="M512" s="1"/>
      <c r="N512" s="1"/>
      <c r="O512" s="1"/>
      <c r="P512" s="1"/>
      <c r="Q512" s="1"/>
      <c r="R512" s="140" t="s">
        <v>253</v>
      </c>
      <c r="S512" s="33">
        <v>0.0</v>
      </c>
      <c r="T512" s="33">
        <v>0.0</v>
      </c>
      <c r="U512" s="33">
        <v>0.0</v>
      </c>
      <c r="V512" s="33">
        <v>0.0</v>
      </c>
      <c r="W512" s="33">
        <v>0.0</v>
      </c>
      <c r="X512" s="33">
        <v>0.0</v>
      </c>
      <c r="Y512" s="33">
        <v>0.0</v>
      </c>
      <c r="Z512" s="33">
        <v>0.0</v>
      </c>
      <c r="AA512" s="33">
        <v>0.0</v>
      </c>
      <c r="AB512" s="33">
        <v>0.0</v>
      </c>
      <c r="AC512" s="33">
        <v>0.0734</v>
      </c>
      <c r="AD512" s="33">
        <v>0.1108</v>
      </c>
      <c r="AE512" s="33">
        <v>0.0</v>
      </c>
      <c r="AF512" s="33">
        <v>0.0</v>
      </c>
      <c r="AG512" s="33">
        <v>0.1101</v>
      </c>
      <c r="AH512" s="33">
        <v>0.1929</v>
      </c>
      <c r="AI512" s="33">
        <v>0.2053</v>
      </c>
      <c r="AJ512" s="33">
        <v>0.216</v>
      </c>
      <c r="AK512" s="33">
        <v>0.0</v>
      </c>
      <c r="AL512" s="33">
        <v>0.2249</v>
      </c>
      <c r="AM512" s="33">
        <v>0.0</v>
      </c>
      <c r="AN512" s="33">
        <v>0.2179</v>
      </c>
      <c r="AO512" s="33">
        <v>0.2118</v>
      </c>
      <c r="AP512" s="33">
        <v>0.1353</v>
      </c>
      <c r="AQ512" s="33">
        <v>0.0</v>
      </c>
      <c r="AR512" s="33">
        <v>0.0</v>
      </c>
      <c r="AS512" s="33">
        <v>0.0</v>
      </c>
      <c r="AT512" s="3">
        <v>0.0</v>
      </c>
      <c r="AU512" s="3">
        <v>0.0</v>
      </c>
      <c r="AV512" s="33">
        <v>0.0</v>
      </c>
      <c r="AW512" s="3">
        <v>0.0</v>
      </c>
      <c r="AX512" s="33">
        <v>0.0</v>
      </c>
      <c r="AY512" s="33">
        <v>0.1382</v>
      </c>
      <c r="AZ512" s="33">
        <v>0.1973</v>
      </c>
      <c r="BA512" s="33">
        <v>0.2323</v>
      </c>
      <c r="BB512" s="33">
        <v>0.1402</v>
      </c>
      <c r="BC512" s="33">
        <v>0.1675</v>
      </c>
      <c r="BD512" s="3">
        <v>0.0</v>
      </c>
      <c r="BE512" s="33">
        <v>0.0</v>
      </c>
      <c r="BF512" s="33">
        <v>0.0</v>
      </c>
      <c r="BG512" s="33">
        <v>0.2949</v>
      </c>
      <c r="BH512" s="3">
        <v>0.0</v>
      </c>
      <c r="BI512" s="3">
        <v>0.0</v>
      </c>
      <c r="BJ512" s="3">
        <v>0.0</v>
      </c>
      <c r="BK512" s="3">
        <v>0.0</v>
      </c>
      <c r="BL512" s="3"/>
      <c r="BM512" s="3"/>
      <c r="BN512" s="3"/>
      <c r="BO512" s="3"/>
      <c r="BP512" s="3"/>
      <c r="BQ512" s="3"/>
      <c r="BR512" s="3"/>
      <c r="BS512" s="1"/>
      <c r="BT512" s="9"/>
      <c r="BU512" s="9"/>
      <c r="BV512" s="1"/>
      <c r="BW512" s="1"/>
      <c r="BX512" s="1"/>
      <c r="BY512" s="1"/>
      <c r="BZ512" s="1"/>
    </row>
    <row r="513">
      <c r="A513" s="3"/>
      <c r="B513" s="33"/>
      <c r="C513" s="147"/>
      <c r="D513" s="147" t="s">
        <v>255</v>
      </c>
      <c r="E513" s="134"/>
      <c r="F513" s="134"/>
      <c r="G513" s="14"/>
      <c r="H513" s="14"/>
      <c r="I513" s="14"/>
      <c r="J513" s="14"/>
      <c r="K513" s="14"/>
      <c r="L513" s="1"/>
      <c r="M513" s="1"/>
      <c r="N513" s="1"/>
      <c r="O513" s="1"/>
      <c r="P513" s="1"/>
      <c r="Q513" s="1"/>
      <c r="R513" s="140" t="s">
        <v>255</v>
      </c>
      <c r="S513" s="33">
        <v>0.0</v>
      </c>
      <c r="T513" s="33">
        <v>0.0</v>
      </c>
      <c r="U513" s="33">
        <v>0.0</v>
      </c>
      <c r="V513" s="33">
        <v>0.0</v>
      </c>
      <c r="W513" s="33">
        <v>0.0</v>
      </c>
      <c r="X513" s="33">
        <v>0.0</v>
      </c>
      <c r="Y513" s="33">
        <v>0.0</v>
      </c>
      <c r="Z513" s="33">
        <v>-0.6653</v>
      </c>
      <c r="AA513" s="33">
        <v>-0.5457</v>
      </c>
      <c r="AB513" s="33">
        <v>-0.1057</v>
      </c>
      <c r="AC513" s="33">
        <v>-0.1424</v>
      </c>
      <c r="AD513" s="33">
        <v>0.035</v>
      </c>
      <c r="AE513" s="33">
        <v>0.054</v>
      </c>
      <c r="AF513" s="33">
        <v>0.0046</v>
      </c>
      <c r="AG513" s="33">
        <v>0.1588</v>
      </c>
      <c r="AH513" s="33">
        <v>0.0</v>
      </c>
      <c r="AI513" s="33">
        <v>0.0</v>
      </c>
      <c r="AJ513" s="33">
        <v>0.0</v>
      </c>
      <c r="AK513" s="33">
        <v>0.0</v>
      </c>
      <c r="AL513" s="33">
        <v>0.2072</v>
      </c>
      <c r="AM513" s="33">
        <v>0.1832</v>
      </c>
      <c r="AN513" s="33">
        <v>0.0</v>
      </c>
      <c r="AO513" s="33">
        <v>0.0</v>
      </c>
      <c r="AP513" s="33">
        <v>0.2451</v>
      </c>
      <c r="AQ513" s="33">
        <v>0.0</v>
      </c>
      <c r="AR513" s="33">
        <v>0.0</v>
      </c>
      <c r="AS513" s="33">
        <v>0.0</v>
      </c>
      <c r="AT513" s="33">
        <v>0.2372</v>
      </c>
      <c r="AU513" s="33">
        <v>0.2245</v>
      </c>
      <c r="AV513" s="33">
        <v>0.1641</v>
      </c>
      <c r="AW513" s="3">
        <v>0.0</v>
      </c>
      <c r="AX513" s="33">
        <v>0.0</v>
      </c>
      <c r="AY513" s="33">
        <v>0.0543</v>
      </c>
      <c r="AZ513" s="33">
        <v>0.0846</v>
      </c>
      <c r="BA513" s="33">
        <v>0.0725</v>
      </c>
      <c r="BB513" s="33">
        <v>0.0877</v>
      </c>
      <c r="BC513" s="33">
        <v>0.0609</v>
      </c>
      <c r="BD513" s="33">
        <v>0.0747</v>
      </c>
      <c r="BE513" s="33">
        <v>0.2102</v>
      </c>
      <c r="BF513" s="33">
        <v>0.1837</v>
      </c>
      <c r="BG513" s="33">
        <v>0.1595</v>
      </c>
      <c r="BH513" s="33">
        <v>0.1596</v>
      </c>
      <c r="BI513" s="33">
        <v>0.1459</v>
      </c>
      <c r="BJ513" s="33">
        <v>0.0</v>
      </c>
      <c r="BK513" s="3">
        <v>0.0</v>
      </c>
      <c r="BL513" s="33"/>
      <c r="BM513" s="33"/>
      <c r="BN513" s="33"/>
      <c r="BO513" s="33"/>
      <c r="BP513" s="33"/>
      <c r="BQ513" s="33"/>
      <c r="BR513" s="33"/>
      <c r="BS513" s="1"/>
      <c r="BT513" s="9"/>
      <c r="BU513" s="9"/>
      <c r="BV513" s="1"/>
      <c r="BW513" s="1"/>
      <c r="BX513" s="1"/>
      <c r="BY513" s="1"/>
      <c r="BZ513" s="1"/>
    </row>
    <row r="514">
      <c r="A514" s="3"/>
      <c r="B514" s="33"/>
      <c r="C514" s="155"/>
      <c r="D514" s="155" t="s">
        <v>257</v>
      </c>
      <c r="E514" s="134"/>
      <c r="F514" s="134"/>
      <c r="G514" s="14"/>
      <c r="H514" s="14"/>
      <c r="I514" s="14"/>
      <c r="J514" s="14"/>
      <c r="K514" s="14"/>
      <c r="L514" s="1"/>
      <c r="M514" s="1"/>
      <c r="N514" s="1"/>
      <c r="O514" s="1"/>
      <c r="P514" s="1"/>
      <c r="Q514" s="1"/>
      <c r="R514" s="140" t="s">
        <v>258</v>
      </c>
      <c r="S514" s="33">
        <v>0.0</v>
      </c>
      <c r="T514" s="33">
        <v>0.0</v>
      </c>
      <c r="U514" s="33">
        <v>0.0</v>
      </c>
      <c r="V514" s="33">
        <v>0.0</v>
      </c>
      <c r="W514" s="33">
        <v>0.0</v>
      </c>
      <c r="X514" s="33">
        <v>0.0</v>
      </c>
      <c r="Y514" s="33">
        <v>0.0</v>
      </c>
      <c r="Z514" s="33">
        <v>0.0</v>
      </c>
      <c r="AA514" s="33">
        <v>0.0</v>
      </c>
      <c r="AB514" s="33">
        <v>0.0</v>
      </c>
      <c r="AC514" s="33">
        <v>0.0</v>
      </c>
      <c r="AD514" s="33">
        <v>0.0</v>
      </c>
      <c r="AE514" s="33">
        <v>0.0</v>
      </c>
      <c r="AF514" s="33">
        <v>0.0</v>
      </c>
      <c r="AG514" s="33">
        <v>0.0</v>
      </c>
      <c r="AH514" s="33">
        <v>0.0</v>
      </c>
      <c r="AI514" s="33">
        <v>0.0</v>
      </c>
      <c r="AJ514" s="33">
        <v>0.0</v>
      </c>
      <c r="AK514" s="33">
        <v>0.0</v>
      </c>
      <c r="AL514" s="33">
        <v>0.0</v>
      </c>
      <c r="AM514" s="33">
        <v>0.0</v>
      </c>
      <c r="AN514" s="33">
        <v>0.0</v>
      </c>
      <c r="AO514" s="33">
        <v>0.0</v>
      </c>
      <c r="AP514" s="33">
        <v>0.0</v>
      </c>
      <c r="AQ514" s="33">
        <v>0.0</v>
      </c>
      <c r="AR514" s="33">
        <v>0.0</v>
      </c>
      <c r="AS514" s="33">
        <v>0.0</v>
      </c>
      <c r="AT514" s="3">
        <v>0.0</v>
      </c>
      <c r="AU514" s="33">
        <v>0.0</v>
      </c>
      <c r="AV514" s="3">
        <v>0.0</v>
      </c>
      <c r="AW514" s="3">
        <v>0.0</v>
      </c>
      <c r="AX514" s="33">
        <v>0.0</v>
      </c>
      <c r="AY514" s="33">
        <v>0.0</v>
      </c>
      <c r="AZ514" s="33">
        <v>0.0</v>
      </c>
      <c r="BA514" s="33">
        <v>0.0</v>
      </c>
      <c r="BB514" s="33">
        <v>0.0075</v>
      </c>
      <c r="BC514" s="33">
        <v>0.2153</v>
      </c>
      <c r="BD514" s="3">
        <v>0.0</v>
      </c>
      <c r="BE514" s="33">
        <v>0.0</v>
      </c>
      <c r="BF514" s="33">
        <v>0.0</v>
      </c>
      <c r="BG514" s="33">
        <v>0.4016</v>
      </c>
      <c r="BH514" s="3">
        <v>0.0</v>
      </c>
      <c r="BI514" s="3">
        <v>0.0</v>
      </c>
      <c r="BJ514" s="3">
        <v>0.0</v>
      </c>
      <c r="BK514" s="3">
        <v>0.0</v>
      </c>
      <c r="BL514" s="3"/>
      <c r="BM514" s="3"/>
      <c r="BN514" s="3"/>
      <c r="BO514" s="3"/>
      <c r="BP514" s="3"/>
      <c r="BQ514" s="3"/>
      <c r="BR514" s="3"/>
      <c r="BS514" s="1"/>
      <c r="BT514" s="9"/>
      <c r="BU514" s="9"/>
      <c r="BV514" s="1"/>
      <c r="BW514" s="1"/>
      <c r="BX514" s="1"/>
      <c r="BY514" s="1"/>
      <c r="BZ514" s="1"/>
    </row>
    <row r="515">
      <c r="A515" s="3"/>
      <c r="B515" s="33"/>
      <c r="C515" s="147"/>
      <c r="D515" s="147" t="s">
        <v>261</v>
      </c>
      <c r="E515" s="134"/>
      <c r="F515" s="134"/>
      <c r="G515" s="14"/>
      <c r="H515" s="14"/>
      <c r="I515" s="14"/>
      <c r="J515" s="14"/>
      <c r="K515" s="14"/>
      <c r="L515" s="1"/>
      <c r="M515" s="1"/>
      <c r="N515" s="1"/>
      <c r="O515" s="1"/>
      <c r="P515" s="1"/>
      <c r="Q515" s="1"/>
      <c r="R515" s="140" t="s">
        <v>261</v>
      </c>
      <c r="S515" s="33">
        <v>0.0</v>
      </c>
      <c r="T515" s="33">
        <v>0.0</v>
      </c>
      <c r="U515" s="33">
        <v>0.0</v>
      </c>
      <c r="V515" s="33">
        <v>0.0</v>
      </c>
      <c r="W515" s="33">
        <v>0.0</v>
      </c>
      <c r="X515" s="33">
        <v>0.0</v>
      </c>
      <c r="Y515" s="33">
        <v>0.0</v>
      </c>
      <c r="Z515" s="33">
        <v>0.0</v>
      </c>
      <c r="AA515" s="33">
        <v>0.0</v>
      </c>
      <c r="AB515" s="33">
        <v>0.0</v>
      </c>
      <c r="AC515" s="33">
        <v>0.0</v>
      </c>
      <c r="AD515" s="33">
        <v>0.0</v>
      </c>
      <c r="AE515" s="33">
        <v>0.0</v>
      </c>
      <c r="AF515" s="33">
        <v>0.0</v>
      </c>
      <c r="AG515" s="33">
        <v>0.0</v>
      </c>
      <c r="AH515" s="33">
        <v>0.0</v>
      </c>
      <c r="AI515" s="33">
        <v>0.0</v>
      </c>
      <c r="AJ515" s="33">
        <v>0.0</v>
      </c>
      <c r="AK515" s="33">
        <v>0.0</v>
      </c>
      <c r="AL515" s="33">
        <v>0.0</v>
      </c>
      <c r="AM515" s="33">
        <v>0.0</v>
      </c>
      <c r="AN515" s="33">
        <v>0.0</v>
      </c>
      <c r="AO515" s="33">
        <v>0.0</v>
      </c>
      <c r="AP515" s="33">
        <v>0.0</v>
      </c>
      <c r="AQ515" s="33">
        <v>0.3559</v>
      </c>
      <c r="AR515" s="33">
        <v>0.0852</v>
      </c>
      <c r="AS515" s="33">
        <v>0.28</v>
      </c>
      <c r="AT515" s="33">
        <v>0.2623</v>
      </c>
      <c r="AU515" s="3">
        <v>0.0</v>
      </c>
      <c r="AV515" s="3">
        <v>0.0</v>
      </c>
      <c r="AW515" s="3">
        <v>0.0</v>
      </c>
      <c r="AX515" s="3">
        <v>0.0</v>
      </c>
      <c r="AY515" s="33">
        <v>0.0</v>
      </c>
      <c r="AZ515" s="33">
        <v>0.3258</v>
      </c>
      <c r="BA515" s="33">
        <v>0.382</v>
      </c>
      <c r="BB515" s="3">
        <v>0.0</v>
      </c>
      <c r="BC515" s="3">
        <v>0.0</v>
      </c>
      <c r="BD515" s="3">
        <v>0.0</v>
      </c>
      <c r="BE515" s="33">
        <v>0.0</v>
      </c>
      <c r="BF515" s="33">
        <v>0.0</v>
      </c>
      <c r="BG515" s="33">
        <v>0.4918</v>
      </c>
      <c r="BH515" s="3">
        <v>0.0</v>
      </c>
      <c r="BI515" s="3">
        <v>0.0</v>
      </c>
      <c r="BJ515" s="3">
        <v>0.0</v>
      </c>
      <c r="BK515" s="3">
        <v>0.0</v>
      </c>
      <c r="BL515" s="33"/>
      <c r="BM515" s="33"/>
      <c r="BN515" s="33"/>
      <c r="BO515" s="33"/>
      <c r="BP515" s="33"/>
      <c r="BQ515" s="33"/>
      <c r="BR515" s="33"/>
      <c r="BS515" s="1"/>
      <c r="BT515" s="9"/>
      <c r="BU515" s="9"/>
      <c r="BV515" s="1"/>
      <c r="BW515" s="1"/>
      <c r="BX515" s="1"/>
      <c r="BY515" s="1"/>
      <c r="BZ515" s="1"/>
    </row>
    <row r="516">
      <c r="A516" s="3"/>
      <c r="B516" s="33"/>
      <c r="C516" s="146"/>
      <c r="D516" s="146"/>
      <c r="E516" s="134"/>
      <c r="F516" s="134"/>
      <c r="G516" s="14"/>
      <c r="H516" s="14"/>
      <c r="I516" s="14"/>
      <c r="J516" s="14"/>
      <c r="K516" s="1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9"/>
      <c r="BU516" s="9"/>
      <c r="BV516" s="1"/>
      <c r="BW516" s="1"/>
      <c r="BX516" s="1"/>
      <c r="BY516" s="1"/>
      <c r="BZ516" s="1"/>
    </row>
    <row r="517">
      <c r="A517" s="3"/>
      <c r="B517" s="33"/>
      <c r="C517" s="133"/>
      <c r="D517" s="133" t="s">
        <v>342</v>
      </c>
      <c r="E517" s="134"/>
      <c r="F517" s="134"/>
      <c r="G517" s="14"/>
      <c r="H517" s="14"/>
      <c r="I517" s="14"/>
      <c r="J517" s="14"/>
      <c r="K517" s="1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9"/>
      <c r="BU517" s="9"/>
      <c r="BV517" s="1"/>
      <c r="BW517" s="1"/>
      <c r="BX517" s="1"/>
      <c r="BY517" s="1"/>
      <c r="BZ517" s="1"/>
    </row>
    <row r="518">
      <c r="A518" s="3"/>
      <c r="B518" s="33"/>
      <c r="C518" s="147"/>
      <c r="D518" s="147" t="s">
        <v>246</v>
      </c>
      <c r="E518" s="134"/>
      <c r="F518" s="134"/>
      <c r="G518" s="14"/>
      <c r="H518" s="14"/>
      <c r="I518" s="14"/>
      <c r="J518" s="14"/>
      <c r="K518" s="14"/>
      <c r="L518" s="1"/>
      <c r="M518" s="1"/>
      <c r="N518" s="1"/>
      <c r="O518" s="1"/>
      <c r="P518" s="1"/>
      <c r="Q518" s="1"/>
      <c r="R518" s="140" t="s">
        <v>246</v>
      </c>
      <c r="S518" s="33">
        <v>0.2505</v>
      </c>
      <c r="T518" s="33">
        <v>0.1116</v>
      </c>
      <c r="U518" s="33">
        <v>0.1212</v>
      </c>
      <c r="V518" s="33">
        <v>0.0977</v>
      </c>
      <c r="W518" s="33">
        <v>0.0929</v>
      </c>
      <c r="X518" s="33">
        <v>0.1728</v>
      </c>
      <c r="Y518" s="33">
        <v>0.1887</v>
      </c>
      <c r="Z518" s="33">
        <v>0.1537</v>
      </c>
      <c r="AA518" s="33">
        <v>0.062</v>
      </c>
      <c r="AB518" s="33">
        <v>0.1265</v>
      </c>
      <c r="AC518" s="33">
        <v>0.1271</v>
      </c>
      <c r="AD518" s="33">
        <v>0.0753</v>
      </c>
      <c r="AE518" s="33">
        <v>0.0911</v>
      </c>
      <c r="AF518" s="33">
        <v>0.2164</v>
      </c>
      <c r="AG518" s="33">
        <v>0.2123</v>
      </c>
      <c r="AH518" s="33">
        <v>0.1741</v>
      </c>
      <c r="AI518" s="33">
        <v>0.2109</v>
      </c>
      <c r="AJ518" s="33">
        <v>0.2028</v>
      </c>
      <c r="AK518" s="33">
        <v>0.2422</v>
      </c>
      <c r="AL518" s="33">
        <v>0.2403</v>
      </c>
      <c r="AM518" s="33">
        <v>0.2319</v>
      </c>
      <c r="AN518" s="33">
        <v>0.2467</v>
      </c>
      <c r="AO518" s="33">
        <v>0.2625</v>
      </c>
      <c r="AP518" s="33">
        <v>0.2183</v>
      </c>
      <c r="AQ518" s="33">
        <v>0.2468</v>
      </c>
      <c r="AR518" s="33">
        <v>0.1417</v>
      </c>
      <c r="AS518" s="33">
        <v>0.157</v>
      </c>
      <c r="AT518" s="33">
        <v>0.2477</v>
      </c>
      <c r="AU518" s="33">
        <v>0.2394</v>
      </c>
      <c r="AV518" s="33">
        <v>0.2478</v>
      </c>
      <c r="AW518" s="33">
        <v>0.2663</v>
      </c>
      <c r="AX518" s="33">
        <v>0.2553</v>
      </c>
      <c r="AY518" s="33">
        <v>0.3033</v>
      </c>
      <c r="AZ518" s="33">
        <v>0.3253</v>
      </c>
      <c r="BA518" s="33">
        <v>0.2758</v>
      </c>
      <c r="BB518" s="33">
        <v>0.2566</v>
      </c>
      <c r="BC518" s="33">
        <v>0.2336</v>
      </c>
      <c r="BD518" s="33">
        <v>0.2237</v>
      </c>
      <c r="BE518" s="33">
        <v>0.179</v>
      </c>
      <c r="BF518" s="33">
        <v>0.26</v>
      </c>
      <c r="BG518" s="33">
        <v>0.2795</v>
      </c>
      <c r="BH518" s="33">
        <v>0.2484</v>
      </c>
      <c r="BI518" s="33">
        <v>0.239</v>
      </c>
      <c r="BJ518" s="33">
        <v>0.2002</v>
      </c>
      <c r="BK518" s="33">
        <v>0.1883</v>
      </c>
      <c r="BL518" s="33"/>
      <c r="BM518" s="33"/>
      <c r="BN518" s="33"/>
      <c r="BO518" s="33"/>
      <c r="BP518" s="33"/>
      <c r="BQ518" s="33"/>
      <c r="BR518" s="33"/>
      <c r="BS518" s="1"/>
      <c r="BT518" s="9"/>
      <c r="BU518" s="9"/>
      <c r="BV518" s="1"/>
      <c r="BW518" s="1"/>
      <c r="BX518" s="1"/>
      <c r="BY518" s="1"/>
      <c r="BZ518" s="1"/>
    </row>
    <row r="519">
      <c r="A519" s="3"/>
      <c r="B519" s="33"/>
      <c r="C519" s="147"/>
      <c r="D519" s="147" t="s">
        <v>248</v>
      </c>
      <c r="E519" s="134"/>
      <c r="F519" s="134"/>
      <c r="G519" s="14"/>
      <c r="H519" s="14"/>
      <c r="I519" s="14"/>
      <c r="J519" s="14"/>
      <c r="K519" s="14"/>
      <c r="L519" s="1"/>
      <c r="M519" s="1"/>
      <c r="N519" s="1"/>
      <c r="O519" s="1"/>
      <c r="P519" s="1"/>
      <c r="Q519" s="1"/>
      <c r="R519" s="140" t="s">
        <v>248</v>
      </c>
      <c r="S519" s="33">
        <v>0.3552</v>
      </c>
      <c r="T519" s="33">
        <v>0.364</v>
      </c>
      <c r="U519" s="33">
        <v>0.3779</v>
      </c>
      <c r="V519" s="33">
        <v>0.3991</v>
      </c>
      <c r="W519" s="33">
        <v>0.32</v>
      </c>
      <c r="X519" s="33">
        <v>0.2846</v>
      </c>
      <c r="Y519" s="33">
        <v>0.2936</v>
      </c>
      <c r="Z519" s="33">
        <v>0.3062</v>
      </c>
      <c r="AA519" s="33">
        <v>0.2726</v>
      </c>
      <c r="AB519" s="33">
        <v>0.2626</v>
      </c>
      <c r="AC519" s="33">
        <v>0.3048</v>
      </c>
      <c r="AD519" s="33">
        <v>0.2902</v>
      </c>
      <c r="AE519" s="33">
        <v>0.2945</v>
      </c>
      <c r="AF519" s="33">
        <v>0.3203</v>
      </c>
      <c r="AG519" s="33">
        <v>0.3083</v>
      </c>
      <c r="AH519" s="33">
        <v>0.2776</v>
      </c>
      <c r="AI519" s="33">
        <v>0.2941</v>
      </c>
      <c r="AJ519" s="33">
        <v>0.2702</v>
      </c>
      <c r="AK519" s="33">
        <v>0.3292</v>
      </c>
      <c r="AL519" s="33">
        <v>0.3398</v>
      </c>
      <c r="AM519" s="33">
        <v>0.3101</v>
      </c>
      <c r="AN519" s="33">
        <v>0.3312</v>
      </c>
      <c r="AO519" s="33">
        <v>0.3079</v>
      </c>
      <c r="AP519" s="33">
        <v>0.2832</v>
      </c>
      <c r="AQ519" s="33">
        <v>0.3084</v>
      </c>
      <c r="AR519" s="33">
        <v>0.2447</v>
      </c>
      <c r="AS519" s="33">
        <v>0.2386</v>
      </c>
      <c r="AT519" s="33">
        <v>0.2516</v>
      </c>
      <c r="AU519" s="33">
        <v>0.2698</v>
      </c>
      <c r="AV519" s="33">
        <v>0.2712</v>
      </c>
      <c r="AW519" s="33">
        <v>0.2625</v>
      </c>
      <c r="AX519" s="33">
        <v>0.2688</v>
      </c>
      <c r="AY519" s="33">
        <v>0.3467</v>
      </c>
      <c r="AZ519" s="33">
        <v>0.3354</v>
      </c>
      <c r="BA519" s="33">
        <v>0.2967</v>
      </c>
      <c r="BB519" s="33">
        <v>0.2846</v>
      </c>
      <c r="BC519" s="33">
        <v>0.3101</v>
      </c>
      <c r="BD519" s="33">
        <v>0.3111</v>
      </c>
      <c r="BE519" s="33">
        <v>0.3021</v>
      </c>
      <c r="BF519" s="33">
        <v>0.2779</v>
      </c>
      <c r="BG519" s="33">
        <v>0.3043</v>
      </c>
      <c r="BH519" s="33">
        <v>0.2293</v>
      </c>
      <c r="BI519" s="33">
        <v>0.309</v>
      </c>
      <c r="BJ519" s="33">
        <v>0.2619</v>
      </c>
      <c r="BK519" s="33">
        <v>0.2554</v>
      </c>
      <c r="BL519" s="33"/>
      <c r="BM519" s="33"/>
      <c r="BN519" s="33"/>
      <c r="BO519" s="33"/>
      <c r="BP519" s="33"/>
      <c r="BQ519" s="33"/>
      <c r="BR519" s="33"/>
      <c r="BS519" s="1"/>
      <c r="BT519" s="9"/>
      <c r="BU519" s="9"/>
      <c r="BV519" s="1"/>
      <c r="BW519" s="1"/>
      <c r="BX519" s="1"/>
      <c r="BY519" s="1"/>
      <c r="BZ519" s="1"/>
    </row>
    <row r="520">
      <c r="A520" s="3"/>
      <c r="B520" s="33"/>
      <c r="C520" s="147"/>
      <c r="D520" s="147" t="s">
        <v>251</v>
      </c>
      <c r="E520" s="134"/>
      <c r="F520" s="134"/>
      <c r="G520" s="14"/>
      <c r="H520" s="14"/>
      <c r="I520" s="14"/>
      <c r="J520" s="14"/>
      <c r="K520" s="14"/>
      <c r="L520" s="1"/>
      <c r="M520" s="1"/>
      <c r="N520" s="1"/>
      <c r="O520" s="1"/>
      <c r="P520" s="1"/>
      <c r="Q520" s="1"/>
      <c r="R520" s="140" t="s">
        <v>251</v>
      </c>
      <c r="S520" s="33">
        <v>0.23</v>
      </c>
      <c r="T520" s="33">
        <v>0.1917</v>
      </c>
      <c r="U520" s="33">
        <v>0.2352</v>
      </c>
      <c r="V520" s="33">
        <v>0.1578</v>
      </c>
      <c r="W520" s="33">
        <v>0.1103</v>
      </c>
      <c r="X520" s="33">
        <v>0.0906</v>
      </c>
      <c r="Y520" s="33">
        <v>0.1211</v>
      </c>
      <c r="Z520" s="33">
        <v>0.0993</v>
      </c>
      <c r="AA520" s="33">
        <v>0.0785</v>
      </c>
      <c r="AB520" s="33">
        <v>-0.0538</v>
      </c>
      <c r="AC520" s="33">
        <v>0.0392</v>
      </c>
      <c r="AD520" s="33">
        <v>0.047</v>
      </c>
      <c r="AE520" s="33">
        <v>0.0487</v>
      </c>
      <c r="AF520" s="33">
        <v>0.142</v>
      </c>
      <c r="AG520" s="33">
        <v>0.1204</v>
      </c>
      <c r="AH520" s="33">
        <v>0.1295</v>
      </c>
      <c r="AI520" s="33">
        <v>0.1835</v>
      </c>
      <c r="AJ520" s="33">
        <v>0.0685</v>
      </c>
      <c r="AK520" s="33">
        <v>0.188</v>
      </c>
      <c r="AL520" s="33">
        <v>0.1985</v>
      </c>
      <c r="AM520" s="33">
        <v>0.2025</v>
      </c>
      <c r="AN520" s="33">
        <v>0.1952</v>
      </c>
      <c r="AO520" s="33">
        <v>0.2497</v>
      </c>
      <c r="AP520" s="33">
        <v>0.2131</v>
      </c>
      <c r="AQ520" s="33">
        <v>0.2882</v>
      </c>
      <c r="AR520" s="33">
        <v>0.106</v>
      </c>
      <c r="AS520" s="33">
        <v>0.1882</v>
      </c>
      <c r="AT520" s="33">
        <v>0.2295</v>
      </c>
      <c r="AU520" s="33">
        <v>0.1779</v>
      </c>
      <c r="AV520" s="33">
        <v>0.2144</v>
      </c>
      <c r="AW520" s="33">
        <v>0.2341</v>
      </c>
      <c r="AX520" s="33">
        <v>0.2288</v>
      </c>
      <c r="AY520" s="33">
        <v>0.2634</v>
      </c>
      <c r="AZ520" s="33">
        <v>0.2731</v>
      </c>
      <c r="BA520" s="33">
        <v>0.2275</v>
      </c>
      <c r="BB520" s="33">
        <v>0.2129</v>
      </c>
      <c r="BC520" s="33">
        <v>0.2266</v>
      </c>
      <c r="BD520" s="33">
        <v>0.228</v>
      </c>
      <c r="BE520" s="33">
        <v>0.2208</v>
      </c>
      <c r="BF520" s="33">
        <v>0.2425</v>
      </c>
      <c r="BG520" s="33">
        <v>0.2994</v>
      </c>
      <c r="BH520" s="33">
        <v>0.3222</v>
      </c>
      <c r="BI520" s="33">
        <v>0.329</v>
      </c>
      <c r="BJ520" s="33">
        <v>0.3198</v>
      </c>
      <c r="BK520" s="33">
        <v>0.1901</v>
      </c>
      <c r="BL520" s="33"/>
      <c r="BM520" s="33"/>
      <c r="BN520" s="33"/>
      <c r="BO520" s="33"/>
      <c r="BP520" s="33"/>
      <c r="BQ520" s="33"/>
      <c r="BR520" s="33"/>
      <c r="BS520" s="1"/>
      <c r="BT520" s="9"/>
      <c r="BU520" s="9"/>
      <c r="BV520" s="1"/>
      <c r="BW520" s="1"/>
      <c r="BX520" s="1"/>
      <c r="BY520" s="1"/>
      <c r="BZ520" s="1"/>
    </row>
    <row r="521">
      <c r="A521" s="3"/>
      <c r="B521" s="33"/>
      <c r="C521" s="147"/>
      <c r="D521" s="147" t="s">
        <v>253</v>
      </c>
      <c r="E521" s="134"/>
      <c r="F521" s="134"/>
      <c r="G521" s="14"/>
      <c r="H521" s="14"/>
      <c r="I521" s="14"/>
      <c r="J521" s="14"/>
      <c r="K521" s="14"/>
      <c r="L521" s="1"/>
      <c r="M521" s="1"/>
      <c r="N521" s="1"/>
      <c r="O521" s="1"/>
      <c r="P521" s="1"/>
      <c r="Q521" s="1"/>
      <c r="R521" s="140" t="s">
        <v>253</v>
      </c>
      <c r="S521" s="33">
        <v>0.1722</v>
      </c>
      <c r="T521" s="33">
        <v>0.1234</v>
      </c>
      <c r="U521" s="33">
        <v>0.1906</v>
      </c>
      <c r="V521" s="33">
        <v>0.1965</v>
      </c>
      <c r="W521" s="33">
        <v>0.1288</v>
      </c>
      <c r="X521" s="33">
        <v>0.0845</v>
      </c>
      <c r="Y521" s="33">
        <v>0.1369</v>
      </c>
      <c r="Z521" s="33">
        <v>0.0835</v>
      </c>
      <c r="AA521" s="33">
        <v>0.0059</v>
      </c>
      <c r="AB521" s="33">
        <v>0.0726</v>
      </c>
      <c r="AC521" s="33">
        <v>0.0896</v>
      </c>
      <c r="AD521" s="33">
        <v>0.0813</v>
      </c>
      <c r="AE521" s="33">
        <v>0.0416</v>
      </c>
      <c r="AF521" s="33">
        <v>0.1654</v>
      </c>
      <c r="AG521" s="33">
        <v>0.1906</v>
      </c>
      <c r="AH521" s="33">
        <v>0.193</v>
      </c>
      <c r="AI521" s="33">
        <v>0.2002</v>
      </c>
      <c r="AJ521" s="33">
        <v>0.0808</v>
      </c>
      <c r="AK521" s="33">
        <v>0.1993</v>
      </c>
      <c r="AL521" s="33">
        <v>0.2353</v>
      </c>
      <c r="AM521" s="33">
        <v>0.2133</v>
      </c>
      <c r="AN521" s="33">
        <v>0.1824</v>
      </c>
      <c r="AO521" s="33">
        <v>0.2158</v>
      </c>
      <c r="AP521" s="33">
        <v>0.1829</v>
      </c>
      <c r="AQ521" s="33">
        <v>0.2061</v>
      </c>
      <c r="AR521" s="33">
        <v>0.1038</v>
      </c>
      <c r="AS521" s="33">
        <v>0.1537</v>
      </c>
      <c r="AT521" s="33">
        <v>0.279</v>
      </c>
      <c r="AU521" s="33">
        <v>0.2716</v>
      </c>
      <c r="AV521" s="33">
        <v>0.2164</v>
      </c>
      <c r="AW521" s="33">
        <v>0.1633</v>
      </c>
      <c r="AX521" s="33">
        <v>0.1373</v>
      </c>
      <c r="AY521" s="33">
        <v>0.2326</v>
      </c>
      <c r="AZ521" s="33">
        <v>0.2641</v>
      </c>
      <c r="BA521" s="33">
        <v>0.2375</v>
      </c>
      <c r="BB521" s="33">
        <v>0.2076</v>
      </c>
      <c r="BC521" s="33">
        <v>0.2103</v>
      </c>
      <c r="BD521" s="33">
        <v>0.2733</v>
      </c>
      <c r="BE521" s="33">
        <v>0.1343</v>
      </c>
      <c r="BF521" s="33">
        <v>0.2997</v>
      </c>
      <c r="BG521" s="33">
        <v>0.357</v>
      </c>
      <c r="BH521" s="33">
        <v>0.3837</v>
      </c>
      <c r="BI521" s="33">
        <v>0.3348</v>
      </c>
      <c r="BJ521" s="33">
        <v>0.3611</v>
      </c>
      <c r="BK521" s="33">
        <v>0.2906</v>
      </c>
      <c r="BL521" s="33"/>
      <c r="BM521" s="33"/>
      <c r="BN521" s="33"/>
      <c r="BO521" s="33"/>
      <c r="BP521" s="33"/>
      <c r="BQ521" s="33"/>
      <c r="BR521" s="33"/>
      <c r="BS521" s="1"/>
      <c r="BT521" s="9"/>
      <c r="BU521" s="9"/>
      <c r="BV521" s="1"/>
      <c r="BW521" s="1"/>
      <c r="BX521" s="1"/>
      <c r="BY521" s="1"/>
      <c r="BZ521" s="1"/>
    </row>
    <row r="522">
      <c r="A522" s="3"/>
      <c r="B522" s="33"/>
      <c r="C522" s="147"/>
      <c r="D522" s="147" t="s">
        <v>255</v>
      </c>
      <c r="E522" s="134"/>
      <c r="F522" s="134"/>
      <c r="G522" s="14"/>
      <c r="H522" s="14"/>
      <c r="I522" s="14"/>
      <c r="J522" s="14"/>
      <c r="K522" s="14"/>
      <c r="L522" s="1"/>
      <c r="M522" s="1"/>
      <c r="N522" s="1"/>
      <c r="O522" s="1"/>
      <c r="P522" s="1"/>
      <c r="Q522" s="1"/>
      <c r="R522" s="140" t="s">
        <v>255</v>
      </c>
      <c r="S522" s="33">
        <v>-0.0598</v>
      </c>
      <c r="T522" s="33">
        <v>-0.1147</v>
      </c>
      <c r="U522" s="33">
        <v>0.0137</v>
      </c>
      <c r="V522" s="33">
        <v>0.1144</v>
      </c>
      <c r="W522" s="33">
        <v>0.0846</v>
      </c>
      <c r="X522" s="33">
        <v>0.0874</v>
      </c>
      <c r="Y522" s="33">
        <v>0.1286</v>
      </c>
      <c r="Z522" s="33">
        <v>0.095</v>
      </c>
      <c r="AA522" s="33">
        <v>-0.0449</v>
      </c>
      <c r="AB522" s="33">
        <v>0.0853</v>
      </c>
      <c r="AC522" s="33">
        <v>0.0433</v>
      </c>
      <c r="AD522" s="33">
        <v>0.1387</v>
      </c>
      <c r="AE522" s="33">
        <v>0.0715</v>
      </c>
      <c r="AF522" s="33">
        <v>0.2327</v>
      </c>
      <c r="AG522" s="33">
        <v>0.1518</v>
      </c>
      <c r="AH522" s="33">
        <v>0.1582</v>
      </c>
      <c r="AI522" s="33">
        <v>0.2061</v>
      </c>
      <c r="AJ522" s="33">
        <v>0.0312</v>
      </c>
      <c r="AK522" s="33">
        <v>0.2021</v>
      </c>
      <c r="AL522" s="33">
        <v>0.2353</v>
      </c>
      <c r="AM522" s="33">
        <v>0.1857</v>
      </c>
      <c r="AN522" s="33">
        <v>0.2052</v>
      </c>
      <c r="AO522" s="33">
        <v>0.2898</v>
      </c>
      <c r="AP522" s="33">
        <v>0.2923</v>
      </c>
      <c r="AQ522" s="33">
        <v>0.3456</v>
      </c>
      <c r="AR522" s="33">
        <v>0.104</v>
      </c>
      <c r="AS522" s="33">
        <v>0.2848</v>
      </c>
      <c r="AT522" s="33">
        <v>0.2964</v>
      </c>
      <c r="AU522" s="33">
        <v>0.2624</v>
      </c>
      <c r="AV522" s="33">
        <v>0.2048</v>
      </c>
      <c r="AW522" s="33">
        <v>0.2311</v>
      </c>
      <c r="AX522" s="33">
        <v>0.2088</v>
      </c>
      <c r="AY522" s="33">
        <v>0.2424</v>
      </c>
      <c r="AZ522" s="33">
        <v>0.2418</v>
      </c>
      <c r="BA522" s="33">
        <v>0.2058</v>
      </c>
      <c r="BB522" s="33">
        <v>0.2274</v>
      </c>
      <c r="BC522" s="33">
        <v>0.1592</v>
      </c>
      <c r="BD522" s="33">
        <v>0.2824</v>
      </c>
      <c r="BE522" s="33">
        <v>0.1067</v>
      </c>
      <c r="BF522" s="33">
        <v>0.2843</v>
      </c>
      <c r="BG522" s="33">
        <v>0.2125</v>
      </c>
      <c r="BH522" s="33">
        <v>0.191</v>
      </c>
      <c r="BI522" s="33">
        <v>0.2142</v>
      </c>
      <c r="BJ522" s="33">
        <v>0.2946</v>
      </c>
      <c r="BK522" s="33">
        <v>0.3023</v>
      </c>
      <c r="BL522" s="33"/>
      <c r="BM522" s="33"/>
      <c r="BN522" s="33"/>
      <c r="BO522" s="33"/>
      <c r="BP522" s="33"/>
      <c r="BQ522" s="33"/>
      <c r="BR522" s="33"/>
      <c r="BS522" s="1"/>
      <c r="BT522" s="9"/>
      <c r="BU522" s="9"/>
      <c r="BV522" s="1"/>
      <c r="BW522" s="1"/>
      <c r="BX522" s="1"/>
      <c r="BY522" s="1"/>
      <c r="BZ522" s="1"/>
    </row>
    <row r="523">
      <c r="A523" s="3"/>
      <c r="B523" s="33"/>
      <c r="C523" s="155"/>
      <c r="D523" s="155" t="s">
        <v>257</v>
      </c>
      <c r="E523" s="134"/>
      <c r="F523" s="134"/>
      <c r="G523" s="14"/>
      <c r="H523" s="14"/>
      <c r="I523" s="14"/>
      <c r="J523" s="14"/>
      <c r="K523" s="14"/>
      <c r="L523" s="1"/>
      <c r="M523" s="1"/>
      <c r="N523" s="1"/>
      <c r="O523" s="1"/>
      <c r="P523" s="1"/>
      <c r="Q523" s="1"/>
      <c r="R523" s="140" t="s">
        <v>258</v>
      </c>
      <c r="S523" s="33">
        <v>-0.1716</v>
      </c>
      <c r="T523" s="33">
        <v>-0.6026</v>
      </c>
      <c r="U523" s="33">
        <v>0.0387</v>
      </c>
      <c r="V523" s="33">
        <v>0.2141</v>
      </c>
      <c r="W523" s="33">
        <v>0.196</v>
      </c>
      <c r="X523" s="33">
        <v>-0.2574</v>
      </c>
      <c r="Y523" s="33">
        <v>-0.0723</v>
      </c>
      <c r="Z523" s="33">
        <v>-0.4896</v>
      </c>
      <c r="AA523" s="33">
        <v>-0.5668</v>
      </c>
      <c r="AB523" s="33">
        <v>-0.3327</v>
      </c>
      <c r="AC523" s="33">
        <v>-0.2452</v>
      </c>
      <c r="AD523" s="33">
        <v>0.0924</v>
      </c>
      <c r="AE523" s="33">
        <v>0.0187</v>
      </c>
      <c r="AF523" s="33">
        <v>0.1338</v>
      </c>
      <c r="AG523" s="33">
        <v>0.1412</v>
      </c>
      <c r="AH523" s="33">
        <v>0.1901</v>
      </c>
      <c r="AI523" s="33">
        <v>0.2509</v>
      </c>
      <c r="AJ523" s="33">
        <v>0.1075</v>
      </c>
      <c r="AK523" s="33">
        <v>0.2015</v>
      </c>
      <c r="AL523" s="33">
        <v>0.254</v>
      </c>
      <c r="AM523" s="33">
        <v>0.2581</v>
      </c>
      <c r="AN523" s="33">
        <v>0.2031</v>
      </c>
      <c r="AO523" s="33">
        <v>0.1325</v>
      </c>
      <c r="AP523" s="33">
        <v>0.225</v>
      </c>
      <c r="AQ523" s="33">
        <v>0.2404</v>
      </c>
      <c r="AR523" s="33">
        <v>0.1024</v>
      </c>
      <c r="AS523" s="33">
        <v>0.1985</v>
      </c>
      <c r="AT523" s="33">
        <v>0.1972</v>
      </c>
      <c r="AU523" s="33">
        <v>0.1476</v>
      </c>
      <c r="AV523" s="33">
        <v>0.212</v>
      </c>
      <c r="AW523" s="33">
        <v>0.2152</v>
      </c>
      <c r="AX523" s="33">
        <v>0.2133</v>
      </c>
      <c r="AY523" s="33">
        <v>0.2498</v>
      </c>
      <c r="AZ523" s="33">
        <v>0.1483</v>
      </c>
      <c r="BA523" s="33">
        <v>0.119</v>
      </c>
      <c r="BB523" s="33">
        <v>0.3039</v>
      </c>
      <c r="BC523" s="33">
        <v>0.1429</v>
      </c>
      <c r="BD523" s="33">
        <v>0.3358</v>
      </c>
      <c r="BE523" s="33">
        <v>0.1422</v>
      </c>
      <c r="BF523" s="33">
        <v>0.2563</v>
      </c>
      <c r="BG523" s="33">
        <v>0.3203</v>
      </c>
      <c r="BH523" s="33">
        <v>0.3125</v>
      </c>
      <c r="BI523" s="33">
        <v>0.2996</v>
      </c>
      <c r="BJ523" s="33">
        <v>0.4075</v>
      </c>
      <c r="BK523" s="33">
        <v>0.4353</v>
      </c>
      <c r="BL523" s="33"/>
      <c r="BM523" s="33"/>
      <c r="BN523" s="33"/>
      <c r="BO523" s="33"/>
      <c r="BP523" s="33"/>
      <c r="BQ523" s="33"/>
      <c r="BR523" s="33"/>
      <c r="BS523" s="1"/>
      <c r="BT523" s="9"/>
      <c r="BU523" s="9"/>
      <c r="BV523" s="1"/>
      <c r="BW523" s="1"/>
      <c r="BX523" s="1"/>
      <c r="BY523" s="1"/>
      <c r="BZ523" s="1"/>
    </row>
    <row r="524">
      <c r="A524" s="3"/>
      <c r="B524" s="33"/>
      <c r="C524" s="147"/>
      <c r="D524" s="147" t="s">
        <v>261</v>
      </c>
      <c r="E524" s="134"/>
      <c r="F524" s="134"/>
      <c r="G524" s="14"/>
      <c r="H524" s="14"/>
      <c r="I524" s="14"/>
      <c r="J524" s="14"/>
      <c r="K524" s="14"/>
      <c r="L524" s="1"/>
      <c r="M524" s="1"/>
      <c r="N524" s="1"/>
      <c r="O524" s="1"/>
      <c r="P524" s="1"/>
      <c r="Q524" s="1"/>
      <c r="R524" s="140" t="s">
        <v>261</v>
      </c>
      <c r="S524" s="33">
        <v>0.0</v>
      </c>
      <c r="T524" s="33">
        <v>0.0</v>
      </c>
      <c r="U524" s="33">
        <v>0.4297</v>
      </c>
      <c r="V524" s="33">
        <v>0.2424</v>
      </c>
      <c r="W524" s="33">
        <v>0.298</v>
      </c>
      <c r="X524" s="33">
        <v>0.1786</v>
      </c>
      <c r="Y524" s="33">
        <v>0.2253</v>
      </c>
      <c r="Z524" s="33">
        <v>0.1482</v>
      </c>
      <c r="AA524" s="33">
        <v>0.1115</v>
      </c>
      <c r="AB524" s="33">
        <v>0.0933</v>
      </c>
      <c r="AC524" s="33">
        <v>0.091</v>
      </c>
      <c r="AD524" s="33">
        <v>0.1082</v>
      </c>
      <c r="AE524" s="33">
        <v>0.0801</v>
      </c>
      <c r="AF524" s="33">
        <v>0.0509</v>
      </c>
      <c r="AG524" s="33">
        <v>0.069</v>
      </c>
      <c r="AH524" s="33">
        <v>0.082</v>
      </c>
      <c r="AI524" s="33">
        <v>0.1416</v>
      </c>
      <c r="AJ524" s="33">
        <v>0.0872</v>
      </c>
      <c r="AK524" s="33">
        <v>0.1941</v>
      </c>
      <c r="AL524" s="33">
        <v>0.2533</v>
      </c>
      <c r="AM524" s="33">
        <v>0.2905</v>
      </c>
      <c r="AN524" s="33">
        <v>0.2797</v>
      </c>
      <c r="AO524" s="33">
        <v>0.2741</v>
      </c>
      <c r="AP524" s="33">
        <v>0.233</v>
      </c>
      <c r="AQ524" s="33">
        <v>0.1891</v>
      </c>
      <c r="AR524" s="33">
        <v>0.0981</v>
      </c>
      <c r="AS524" s="33">
        <v>0.0371</v>
      </c>
      <c r="AT524" s="33">
        <v>0.0415</v>
      </c>
      <c r="AU524" s="33">
        <v>0.0803</v>
      </c>
      <c r="AV524" s="33">
        <v>0.1228</v>
      </c>
      <c r="AW524" s="33">
        <v>0.0929</v>
      </c>
      <c r="AX524" s="33">
        <v>0.0696</v>
      </c>
      <c r="AY524" s="33">
        <v>0.1918</v>
      </c>
      <c r="AZ524" s="33">
        <v>0.1944</v>
      </c>
      <c r="BA524" s="33">
        <v>0.2657</v>
      </c>
      <c r="BB524" s="33">
        <v>0.302</v>
      </c>
      <c r="BC524" s="33">
        <v>0.1512</v>
      </c>
      <c r="BD524" s="33">
        <v>0.2342</v>
      </c>
      <c r="BE524" s="33">
        <v>0.1163</v>
      </c>
      <c r="BF524" s="33">
        <v>0.1493</v>
      </c>
      <c r="BG524" s="33">
        <v>0.1391</v>
      </c>
      <c r="BH524" s="33">
        <v>0.167</v>
      </c>
      <c r="BI524" s="33">
        <v>0.2706</v>
      </c>
      <c r="BJ524" s="33">
        <v>0.3329</v>
      </c>
      <c r="BK524" s="33">
        <v>0.2495</v>
      </c>
      <c r="BL524" s="33"/>
      <c r="BM524" s="33"/>
      <c r="BN524" s="33"/>
      <c r="BO524" s="33"/>
      <c r="BP524" s="33"/>
      <c r="BQ524" s="33"/>
      <c r="BR524" s="33"/>
      <c r="BS524" s="1"/>
      <c r="BT524" s="9"/>
      <c r="BU524" s="9"/>
      <c r="BV524" s="1"/>
      <c r="BW524" s="1"/>
      <c r="BX524" s="1"/>
      <c r="BY524" s="1"/>
      <c r="BZ524" s="1"/>
    </row>
    <row r="525">
      <c r="A525" s="3"/>
      <c r="B525" s="33"/>
      <c r="C525" s="106"/>
      <c r="D525" s="106"/>
      <c r="E525" s="134"/>
      <c r="F525" s="134"/>
      <c r="G525" s="14"/>
      <c r="H525" s="14"/>
      <c r="I525" s="14"/>
      <c r="J525" s="14"/>
      <c r="K525" s="1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9"/>
      <c r="BU525" s="9"/>
      <c r="BV525" s="1"/>
      <c r="BW525" s="1"/>
      <c r="BX525" s="1"/>
      <c r="BY525" s="1"/>
      <c r="BZ525" s="1"/>
    </row>
    <row r="526">
      <c r="A526" s="3"/>
      <c r="B526" s="33"/>
      <c r="C526" s="106"/>
      <c r="D526" s="106"/>
      <c r="E526" s="134"/>
      <c r="F526" s="134"/>
      <c r="G526" s="14"/>
      <c r="H526" s="14"/>
      <c r="I526" s="14"/>
      <c r="J526" s="14"/>
      <c r="K526" s="1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9"/>
      <c r="BU526" s="9"/>
      <c r="BV526" s="1"/>
      <c r="BW526" s="1"/>
      <c r="BX526" s="1"/>
      <c r="BY526" s="1"/>
      <c r="BZ526" s="1"/>
    </row>
    <row r="527">
      <c r="A527" s="3"/>
      <c r="B527" s="33"/>
      <c r="C527" s="106"/>
      <c r="D527" s="106" t="s">
        <v>343</v>
      </c>
      <c r="E527" s="134"/>
      <c r="F527" s="134"/>
      <c r="G527" s="14"/>
      <c r="H527" s="14"/>
      <c r="I527" s="14"/>
      <c r="J527" s="14"/>
      <c r="K527" s="14"/>
      <c r="L527" s="1"/>
      <c r="M527" s="1"/>
      <c r="N527" s="1"/>
      <c r="O527" s="1"/>
      <c r="P527" s="1"/>
      <c r="Q527" s="1"/>
      <c r="R527" s="1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33"/>
      <c r="BI527" s="33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9"/>
      <c r="BU527" s="9"/>
      <c r="BV527" s="1"/>
      <c r="BW527" s="1"/>
      <c r="BX527" s="1"/>
      <c r="BY527" s="1"/>
      <c r="BZ527" s="1"/>
    </row>
    <row r="528">
      <c r="A528" s="3"/>
      <c r="B528" s="33"/>
      <c r="C528" s="106"/>
      <c r="D528" s="106"/>
      <c r="E528" s="134"/>
      <c r="F528" s="134"/>
      <c r="G528" s="14"/>
      <c r="H528" s="14"/>
      <c r="I528" s="14"/>
      <c r="J528" s="14"/>
      <c r="K528" s="14"/>
      <c r="L528" s="1"/>
      <c r="M528" s="1"/>
      <c r="N528" s="1"/>
      <c r="O528" s="1"/>
      <c r="P528" s="1"/>
      <c r="Q528" s="1"/>
      <c r="R528" s="1"/>
      <c r="S528" s="33">
        <v>0.3007</v>
      </c>
      <c r="T528" s="33">
        <v>0.314</v>
      </c>
      <c r="U528" s="33">
        <v>0.3253</v>
      </c>
      <c r="V528" s="33">
        <v>0.3432</v>
      </c>
      <c r="W528" s="33">
        <v>0.3085</v>
      </c>
      <c r="X528" s="33">
        <v>0.2941</v>
      </c>
      <c r="Y528" s="33">
        <v>0.2623</v>
      </c>
      <c r="Z528" s="33">
        <v>0.2286</v>
      </c>
      <c r="AA528" s="33">
        <v>0.2028</v>
      </c>
      <c r="AB528" s="33">
        <v>0.2172</v>
      </c>
      <c r="AC528" s="33">
        <v>0.2462</v>
      </c>
      <c r="AD528" s="33">
        <v>0.1508</v>
      </c>
      <c r="AE528" s="33">
        <v>0.1989</v>
      </c>
      <c r="AF528" s="33">
        <v>0.3031</v>
      </c>
      <c r="AG528" s="33">
        <v>0.3033</v>
      </c>
      <c r="AH528" s="33">
        <v>0.272</v>
      </c>
      <c r="AI528" s="33">
        <v>0.2525</v>
      </c>
      <c r="AJ528" s="33">
        <v>0.2079</v>
      </c>
      <c r="AK528" s="33">
        <v>0.2957</v>
      </c>
      <c r="AL528" s="33">
        <v>0.3183</v>
      </c>
      <c r="AM528" s="33">
        <v>0.2745</v>
      </c>
      <c r="AN528" s="33">
        <v>0.2869</v>
      </c>
      <c r="AO528" s="33">
        <v>0.2946</v>
      </c>
      <c r="AP528" s="33">
        <v>0.2579</v>
      </c>
      <c r="AQ528" s="33">
        <v>0.2595</v>
      </c>
      <c r="AR528" s="33">
        <v>0.2457</v>
      </c>
      <c r="AS528" s="33">
        <v>0.2542</v>
      </c>
      <c r="AT528" s="33">
        <v>0.2867</v>
      </c>
      <c r="AU528" s="33">
        <v>0.2789</v>
      </c>
      <c r="AV528" s="33">
        <v>0.2697</v>
      </c>
      <c r="AW528" s="33">
        <v>0.2909</v>
      </c>
      <c r="AX528" s="33">
        <v>0.3016</v>
      </c>
      <c r="AY528" s="33">
        <v>0.3473</v>
      </c>
      <c r="AZ528" s="33">
        <v>0.3017</v>
      </c>
      <c r="BA528" s="33">
        <v>0.2661</v>
      </c>
      <c r="BB528" s="33">
        <v>0.2483</v>
      </c>
      <c r="BC528" s="33">
        <v>0.2504</v>
      </c>
      <c r="BD528" s="33">
        <v>0.2353</v>
      </c>
      <c r="BE528" s="33">
        <v>0.1546</v>
      </c>
      <c r="BF528" s="33">
        <v>0.267</v>
      </c>
      <c r="BG528" s="33">
        <v>0.3631</v>
      </c>
      <c r="BH528" s="33">
        <v>0.3874</v>
      </c>
      <c r="BI528" s="33">
        <v>0.3493</v>
      </c>
      <c r="BJ528" s="33">
        <v>0.241</v>
      </c>
      <c r="BK528" s="33">
        <v>0.317</v>
      </c>
      <c r="BL528" s="33"/>
      <c r="BM528" s="33"/>
      <c r="BN528" s="33"/>
      <c r="BO528" s="33"/>
      <c r="BP528" s="33"/>
      <c r="BQ528" s="33"/>
      <c r="BR528" s="33"/>
      <c r="BS528" s="1"/>
      <c r="BT528" s="9"/>
      <c r="BU528" s="9"/>
      <c r="BV528" s="1"/>
      <c r="BW528" s="1"/>
      <c r="BX528" s="1"/>
      <c r="BY528" s="1"/>
      <c r="BZ528" s="1"/>
    </row>
    <row r="529">
      <c r="A529" s="3"/>
      <c r="B529" s="33"/>
      <c r="C529" s="106"/>
      <c r="D529" s="106" t="s">
        <v>344</v>
      </c>
      <c r="E529" s="134"/>
      <c r="F529" s="134"/>
      <c r="G529" s="14"/>
      <c r="H529" s="14"/>
      <c r="I529" s="14"/>
      <c r="J529" s="14"/>
      <c r="K529" s="14"/>
      <c r="L529" s="1"/>
      <c r="M529" s="1"/>
      <c r="N529" s="1"/>
      <c r="O529" s="1"/>
      <c r="P529" s="1"/>
      <c r="Q529" s="1"/>
      <c r="R529" s="1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3"/>
      <c r="AD529" s="33"/>
      <c r="AE529" s="33"/>
      <c r="AF529" s="33"/>
      <c r="AG529" s="33"/>
      <c r="AH529" s="3"/>
      <c r="AI529" s="33"/>
      <c r="AJ529" s="33"/>
      <c r="AK529" s="3"/>
      <c r="AL529" s="3"/>
      <c r="AM529" s="3"/>
      <c r="AN529" s="33"/>
      <c r="AO529" s="33"/>
      <c r="AP529" s="33"/>
      <c r="AQ529" s="33"/>
      <c r="AR529" s="3"/>
      <c r="AS529" s="3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9"/>
      <c r="BU529" s="9"/>
      <c r="BV529" s="1"/>
      <c r="BW529" s="1"/>
      <c r="BX529" s="1"/>
      <c r="BY529" s="1"/>
      <c r="BZ529" s="1"/>
    </row>
    <row r="530">
      <c r="A530" s="3"/>
      <c r="B530" s="33"/>
      <c r="C530" s="106"/>
      <c r="D530" s="106"/>
      <c r="E530" s="134"/>
      <c r="F530" s="134"/>
      <c r="G530" s="14"/>
      <c r="H530" s="14"/>
      <c r="I530" s="14"/>
      <c r="J530" s="14"/>
      <c r="K530" s="14"/>
      <c r="L530" s="1"/>
      <c r="M530" s="1"/>
      <c r="N530" s="1"/>
      <c r="O530" s="1"/>
      <c r="P530" s="1"/>
      <c r="Q530" s="1"/>
      <c r="R530" s="1"/>
      <c r="S530" s="3" t="e">
        <v>#N/A</v>
      </c>
      <c r="T530" s="3" t="e">
        <v>#N/A</v>
      </c>
      <c r="U530" s="3" t="e">
        <v>#N/A</v>
      </c>
      <c r="V530" s="3" t="e">
        <v>#N/A</v>
      </c>
      <c r="W530" s="3" t="e">
        <v>#N/A</v>
      </c>
      <c r="X530" s="3" t="e">
        <v>#N/A</v>
      </c>
      <c r="Y530" s="3" t="e">
        <v>#N/A</v>
      </c>
      <c r="Z530" s="3" t="e">
        <v>#N/A</v>
      </c>
      <c r="AA530" s="3" t="e">
        <v>#N/A</v>
      </c>
      <c r="AB530" s="3" t="e">
        <v>#N/A</v>
      </c>
      <c r="AC530" s="33">
        <v>0.0</v>
      </c>
      <c r="AD530" s="33">
        <v>0.0149</v>
      </c>
      <c r="AE530" s="33">
        <v>0.0082</v>
      </c>
      <c r="AF530" s="33">
        <v>0.0</v>
      </c>
      <c r="AG530" s="33">
        <v>0.0</v>
      </c>
      <c r="AH530" s="3" t="e">
        <v>#N/A</v>
      </c>
      <c r="AI530" s="33">
        <v>0.0</v>
      </c>
      <c r="AJ530" s="33">
        <v>0.0189</v>
      </c>
      <c r="AK530" s="3" t="e">
        <v>#N/A</v>
      </c>
      <c r="AL530" s="3" t="e">
        <v>#N/A</v>
      </c>
      <c r="AM530" s="3" t="e">
        <v>#N/A</v>
      </c>
      <c r="AN530" s="33">
        <v>0.0999</v>
      </c>
      <c r="AO530" s="33">
        <v>0.0</v>
      </c>
      <c r="AP530" s="33">
        <v>0.0244</v>
      </c>
      <c r="AQ530" s="33">
        <v>0.0162</v>
      </c>
      <c r="AR530" s="3" t="e">
        <v>#N/A</v>
      </c>
      <c r="AS530" s="3" t="e">
        <v>#N/A</v>
      </c>
      <c r="AT530" s="3" t="e">
        <v>#N/A</v>
      </c>
      <c r="AU530" s="3" t="e">
        <v>#N/A</v>
      </c>
      <c r="AV530" s="3" t="e">
        <v>#N/A</v>
      </c>
      <c r="AW530" s="3" t="e">
        <v>#N/A</v>
      </c>
      <c r="AX530" s="3" t="e">
        <v>#N/A</v>
      </c>
      <c r="AY530" s="3" t="e">
        <v>#N/A</v>
      </c>
      <c r="AZ530" s="33">
        <v>0.0181</v>
      </c>
      <c r="BA530" s="3" t="e">
        <v>#N/A</v>
      </c>
      <c r="BB530" s="3" t="e">
        <v>#N/A</v>
      </c>
      <c r="BC530" s="3" t="e">
        <v>#N/A</v>
      </c>
      <c r="BD530" s="3" t="e">
        <v>#N/A</v>
      </c>
      <c r="BE530" s="33">
        <v>0.0</v>
      </c>
      <c r="BF530" s="33">
        <v>0.0</v>
      </c>
      <c r="BG530" s="33">
        <v>0.0236</v>
      </c>
      <c r="BH530" s="3" t="e">
        <v>#N/A</v>
      </c>
      <c r="BI530" s="3" t="e">
        <v>#N/A</v>
      </c>
      <c r="BJ530" s="3"/>
      <c r="BK530" s="3" t="e">
        <v>#N/A</v>
      </c>
      <c r="BL530" s="3"/>
      <c r="BM530" s="3"/>
      <c r="BN530" s="3"/>
      <c r="BO530" s="3"/>
      <c r="BP530" s="3"/>
      <c r="BQ530" s="3"/>
      <c r="BR530" s="3"/>
      <c r="BS530" s="1"/>
      <c r="BT530" s="9"/>
      <c r="BU530" s="9"/>
      <c r="BV530" s="1"/>
      <c r="BW530" s="1"/>
      <c r="BX530" s="1"/>
      <c r="BY530" s="1"/>
      <c r="BZ530" s="1"/>
    </row>
    <row r="531">
      <c r="A531" s="3"/>
      <c r="B531" s="33"/>
      <c r="C531" s="4"/>
      <c r="D531" s="4"/>
      <c r="E531" s="134"/>
      <c r="F531" s="134"/>
      <c r="G531" s="14"/>
      <c r="H531" s="14"/>
      <c r="I531" s="14"/>
      <c r="J531" s="14"/>
      <c r="K531" s="1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33"/>
      <c r="AU531" s="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1"/>
      <c r="BT531" s="9"/>
      <c r="BU531" s="9"/>
      <c r="BV531" s="1"/>
      <c r="BW531" s="1"/>
      <c r="BX531" s="1"/>
      <c r="BY531" s="1"/>
      <c r="BZ531" s="1"/>
    </row>
    <row r="532">
      <c r="A532" s="3"/>
      <c r="B532" s="33"/>
      <c r="C532" s="138"/>
      <c r="D532" s="138" t="s">
        <v>324</v>
      </c>
      <c r="E532" s="2"/>
      <c r="F532" s="2"/>
      <c r="G532" s="14"/>
      <c r="H532" s="14"/>
      <c r="I532" s="14"/>
      <c r="J532" s="14"/>
      <c r="K532" s="1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3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8"/>
      <c r="BU532" s="8"/>
      <c r="BV532" s="1"/>
      <c r="BW532" s="1"/>
      <c r="BX532" s="1"/>
      <c r="BY532" s="1"/>
      <c r="BZ532" s="1"/>
    </row>
    <row r="533">
      <c r="A533" s="3"/>
      <c r="B533" s="33"/>
      <c r="C533" s="122"/>
      <c r="D533" s="122" t="s">
        <v>289</v>
      </c>
      <c r="E533" s="2"/>
      <c r="F533" s="2"/>
      <c r="G533" s="14"/>
      <c r="H533" s="14"/>
      <c r="I533" s="14"/>
      <c r="J533" s="14"/>
      <c r="K533" s="1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33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33"/>
      <c r="BH533" s="33"/>
      <c r="BI533" s="33"/>
      <c r="BJ533" s="1"/>
      <c r="BK533" s="33"/>
      <c r="BL533" s="1"/>
      <c r="BM533" s="1"/>
      <c r="BN533" s="1"/>
      <c r="BO533" s="1"/>
      <c r="BP533" s="1"/>
      <c r="BQ533" s="1"/>
      <c r="BR533" s="1"/>
      <c r="BS533" s="1"/>
      <c r="BT533" s="8"/>
      <c r="BU533" s="8"/>
      <c r="BV533" s="1"/>
      <c r="BW533" s="1"/>
      <c r="BX533" s="1"/>
      <c r="BY533" s="1"/>
      <c r="BZ533" s="1"/>
    </row>
    <row r="534">
      <c r="A534" s="3"/>
      <c r="B534" s="33"/>
      <c r="C534" s="133"/>
      <c r="D534" s="133" t="s">
        <v>345</v>
      </c>
      <c r="E534" s="134"/>
      <c r="F534" s="134"/>
      <c r="G534" s="14"/>
      <c r="H534" s="14"/>
      <c r="I534" s="14"/>
      <c r="J534" s="14"/>
      <c r="K534" s="1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34"/>
      <c r="X534" s="134"/>
      <c r="Y534" s="14"/>
      <c r="Z534" s="2">
        <v>72332.0</v>
      </c>
      <c r="AA534" s="2">
        <v>75578.0</v>
      </c>
      <c r="AB534" s="2">
        <v>78921.0</v>
      </c>
      <c r="AC534" s="2">
        <v>89180.0</v>
      </c>
      <c r="AD534" s="2">
        <v>89284.0</v>
      </c>
      <c r="AE534" s="2">
        <v>82273.0</v>
      </c>
      <c r="AF534" s="2">
        <v>80155.0</v>
      </c>
      <c r="AG534" s="2">
        <v>74127.0</v>
      </c>
      <c r="AH534" s="2">
        <v>73755.0</v>
      </c>
      <c r="AI534" s="2">
        <v>74158.0</v>
      </c>
      <c r="AJ534" s="2">
        <v>82162.0</v>
      </c>
      <c r="AK534" s="2">
        <v>73926.0</v>
      </c>
      <c r="AL534" s="2">
        <v>71799.0</v>
      </c>
      <c r="AM534" s="2">
        <v>85390.0</v>
      </c>
      <c r="AN534" s="2">
        <v>97482.0</v>
      </c>
      <c r="AO534" s="2">
        <v>115478.0</v>
      </c>
      <c r="AP534" s="2">
        <v>117346.0</v>
      </c>
      <c r="AQ534" s="2">
        <v>129516.0</v>
      </c>
      <c r="AR534" s="2">
        <v>136036.0</v>
      </c>
      <c r="AS534" s="2">
        <v>133208.0</v>
      </c>
      <c r="AT534" s="2">
        <v>149410.0</v>
      </c>
      <c r="AU534" s="2">
        <v>155918.0</v>
      </c>
      <c r="AV534" s="2">
        <v>158453.0</v>
      </c>
      <c r="AW534" s="2">
        <v>151128.0</v>
      </c>
      <c r="AX534" s="2">
        <v>141845.0</v>
      </c>
      <c r="AY534" s="2">
        <v>130644.0</v>
      </c>
      <c r="AZ534" s="2">
        <v>121558.0</v>
      </c>
      <c r="BA534" s="2"/>
      <c r="BB534" s="2"/>
      <c r="BC534" s="2"/>
      <c r="BD534" s="2"/>
      <c r="BE534" s="2"/>
      <c r="BF534" s="2"/>
      <c r="BG534" s="40"/>
      <c r="BH534" s="40"/>
      <c r="BI534" s="40"/>
      <c r="BJ534" s="2"/>
      <c r="BK534" s="40"/>
      <c r="BL534" s="2"/>
      <c r="BM534" s="2"/>
      <c r="BN534" s="2"/>
      <c r="BO534" s="2"/>
      <c r="BP534" s="2"/>
      <c r="BQ534" s="2"/>
      <c r="BR534" s="2"/>
      <c r="BS534" s="1"/>
      <c r="BT534" s="72" t="s">
        <v>203</v>
      </c>
      <c r="BU534" s="9"/>
      <c r="BV534" s="1"/>
      <c r="BW534" s="1"/>
      <c r="BX534" s="1"/>
      <c r="BY534" s="1"/>
      <c r="BZ534" s="1"/>
    </row>
    <row r="535">
      <c r="A535" s="3"/>
      <c r="B535" s="33"/>
      <c r="C535" s="133"/>
      <c r="D535" s="133" t="s">
        <v>346</v>
      </c>
      <c r="E535" s="134"/>
      <c r="F535" s="134"/>
      <c r="G535" s="14"/>
      <c r="H535" s="14"/>
      <c r="I535" s="14"/>
      <c r="J535" s="14"/>
      <c r="K535" s="1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34"/>
      <c r="X535" s="134"/>
      <c r="Y535" s="14"/>
      <c r="Z535" s="2">
        <v>13805.0</v>
      </c>
      <c r="AA535" s="2">
        <v>10802.0</v>
      </c>
      <c r="AB535" s="2">
        <v>17450.0</v>
      </c>
      <c r="AC535" s="2">
        <v>10143.0</v>
      </c>
      <c r="AD535" s="2">
        <v>5986.0</v>
      </c>
      <c r="AE535" s="2">
        <v>11360.0</v>
      </c>
      <c r="AF535" s="2">
        <v>6289.0</v>
      </c>
      <c r="AG535" s="2">
        <v>14594.0</v>
      </c>
      <c r="AH535" s="2">
        <v>14883.0</v>
      </c>
      <c r="AI535" s="2">
        <v>18460.0</v>
      </c>
      <c r="AJ535" s="2">
        <v>6048.0</v>
      </c>
      <c r="AK535" s="2">
        <v>11353.0</v>
      </c>
      <c r="AL535" s="2">
        <v>26112.0</v>
      </c>
      <c r="AM535" s="2">
        <v>23755.0</v>
      </c>
      <c r="AN535" s="2">
        <v>29543.0</v>
      </c>
      <c r="AO535" s="2">
        <v>10857.0</v>
      </c>
      <c r="AP535" s="2">
        <v>27958.0</v>
      </c>
      <c r="AQ535" s="2">
        <v>22184.0</v>
      </c>
      <c r="AR535" s="2">
        <v>13275.0</v>
      </c>
      <c r="AS535" s="2">
        <v>26112.0</v>
      </c>
      <c r="AT535" s="2">
        <v>23517.0</v>
      </c>
      <c r="AU535" s="131">
        <v>16199.0</v>
      </c>
      <c r="AV535" s="2">
        <v>6835.0</v>
      </c>
      <c r="AW535" s="2">
        <v>927.0</v>
      </c>
      <c r="AX535" s="2">
        <v>1531.0</v>
      </c>
      <c r="AY535" s="2">
        <v>3627.0</v>
      </c>
      <c r="AZ535" s="2">
        <v>8005.0</v>
      </c>
      <c r="BA535" s="2"/>
      <c r="BB535" s="2"/>
      <c r="BC535" s="2"/>
      <c r="BD535" s="2"/>
      <c r="BE535" s="2"/>
      <c r="BF535" s="2"/>
      <c r="BG535" s="131"/>
      <c r="BH535" s="131"/>
      <c r="BI535" s="131"/>
      <c r="BJ535" s="2"/>
      <c r="BK535" s="131"/>
      <c r="BL535" s="2"/>
      <c r="BM535" s="2"/>
      <c r="BN535" s="2"/>
      <c r="BO535" s="2"/>
      <c r="BP535" s="2"/>
      <c r="BQ535" s="2"/>
      <c r="BR535" s="2"/>
      <c r="BS535" s="1"/>
      <c r="BT535" s="72" t="s">
        <v>203</v>
      </c>
      <c r="BU535" s="9"/>
      <c r="BV535" s="1"/>
      <c r="BW535" s="1"/>
      <c r="BX535" s="1"/>
      <c r="BY535" s="1"/>
      <c r="BZ535" s="1"/>
    </row>
    <row r="536">
      <c r="A536" s="3"/>
      <c r="B536" s="33"/>
      <c r="C536" s="133"/>
      <c r="D536" s="133" t="s">
        <v>347</v>
      </c>
      <c r="E536" s="134"/>
      <c r="F536" s="134"/>
      <c r="G536" s="14"/>
      <c r="H536" s="14"/>
      <c r="I536" s="14"/>
      <c r="J536" s="14"/>
      <c r="K536" s="1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34"/>
      <c r="X536" s="134"/>
      <c r="Y536" s="14"/>
      <c r="Z536" s="2">
        <v>12498.0</v>
      </c>
      <c r="AA536" s="2">
        <v>9201.0</v>
      </c>
      <c r="AB536" s="2">
        <v>15769.0</v>
      </c>
      <c r="AC536" s="2">
        <v>8643.0</v>
      </c>
      <c r="AD536" s="2">
        <v>3854.0</v>
      </c>
      <c r="AE536" s="2">
        <v>9585.0</v>
      </c>
      <c r="AF536" s="2">
        <v>3686.0</v>
      </c>
      <c r="AG536" s="2">
        <v>11743.0</v>
      </c>
      <c r="AH536" s="2">
        <v>11358.0</v>
      </c>
      <c r="AI536" s="2">
        <v>16724.0</v>
      </c>
      <c r="AJ536" s="2">
        <v>3399.0</v>
      </c>
      <c r="AK536" s="2">
        <v>9843.0</v>
      </c>
      <c r="AL536" s="2">
        <v>23637.0</v>
      </c>
      <c r="AM536" s="2">
        <v>22106.0</v>
      </c>
      <c r="AN536" s="2">
        <v>27673.0</v>
      </c>
      <c r="AO536" s="2">
        <v>9379.0</v>
      </c>
      <c r="AP536" s="2">
        <v>25558.0</v>
      </c>
      <c r="AQ536" s="2">
        <v>19977.0</v>
      </c>
      <c r="AR536" s="2">
        <v>11423.0</v>
      </c>
      <c r="AS536" s="2">
        <v>22378.0</v>
      </c>
      <c r="AT536" s="2">
        <v>19477.0</v>
      </c>
      <c r="AU536" s="131">
        <v>14881.0</v>
      </c>
      <c r="AV536" s="2">
        <v>4295.0</v>
      </c>
      <c r="AW536" s="2">
        <v>35.0</v>
      </c>
      <c r="AX536" s="2">
        <v>0.0</v>
      </c>
      <c r="AY536" s="2">
        <v>1040.0</v>
      </c>
      <c r="AZ536" s="2">
        <v>5299.0</v>
      </c>
      <c r="BA536" s="2"/>
      <c r="BB536" s="2"/>
      <c r="BC536" s="2"/>
      <c r="BD536" s="2"/>
      <c r="BE536" s="2"/>
      <c r="BF536" s="2"/>
      <c r="BG536" s="131"/>
      <c r="BH536" s="131"/>
      <c r="BI536" s="131"/>
      <c r="BJ536" s="2"/>
      <c r="BK536" s="131"/>
      <c r="BL536" s="2"/>
      <c r="BM536" s="2"/>
      <c r="BN536" s="2"/>
      <c r="BO536" s="2"/>
      <c r="BP536" s="2"/>
      <c r="BQ536" s="2"/>
      <c r="BR536" s="2"/>
      <c r="BS536" s="1"/>
      <c r="BT536" s="72" t="s">
        <v>203</v>
      </c>
      <c r="BU536" s="9"/>
      <c r="BV536" s="1"/>
      <c r="BW536" s="1"/>
      <c r="BX536" s="1"/>
      <c r="BY536" s="1"/>
      <c r="BZ536" s="1"/>
    </row>
    <row r="537">
      <c r="A537" s="3"/>
      <c r="B537" s="33"/>
      <c r="C537" s="133"/>
      <c r="D537" s="133" t="s">
        <v>348</v>
      </c>
      <c r="E537" s="134"/>
      <c r="F537" s="134"/>
      <c r="G537" s="14"/>
      <c r="H537" s="14"/>
      <c r="I537" s="14"/>
      <c r="J537" s="14"/>
      <c r="K537" s="1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34"/>
      <c r="X537" s="134"/>
      <c r="Y537" s="14"/>
      <c r="Z537" s="2">
        <v>9553.0</v>
      </c>
      <c r="AA537" s="2">
        <v>8367.0</v>
      </c>
      <c r="AB537" s="2">
        <v>8644.0</v>
      </c>
      <c r="AC537" s="2">
        <v>9125.0</v>
      </c>
      <c r="AD537" s="2">
        <v>11742.0</v>
      </c>
      <c r="AE537" s="2">
        <v>11483.0</v>
      </c>
      <c r="AF537" s="2">
        <v>11184.0</v>
      </c>
      <c r="AG537" s="2">
        <v>13468.0</v>
      </c>
      <c r="AH537" s="2">
        <v>13347.0</v>
      </c>
      <c r="AI537" s="2">
        <v>9547.0</v>
      </c>
      <c r="AJ537" s="2">
        <v>12222.0</v>
      </c>
      <c r="AK537" s="2">
        <v>12197.0</v>
      </c>
      <c r="AL537" s="2">
        <v>11315.0</v>
      </c>
      <c r="AM537" s="2">
        <v>10669.0</v>
      </c>
      <c r="AN537" s="2">
        <v>10921.0</v>
      </c>
      <c r="AO537" s="2">
        <v>12141.0</v>
      </c>
      <c r="AP537" s="2">
        <v>14307.0</v>
      </c>
      <c r="AQ537" s="2">
        <v>14071.0</v>
      </c>
      <c r="AR537" s="2">
        <v>14455.0</v>
      </c>
      <c r="AS537" s="2">
        <v>16133.0</v>
      </c>
      <c r="AT537" s="2">
        <v>15080.0</v>
      </c>
      <c r="AU537" s="2">
        <v>13059.0</v>
      </c>
      <c r="AV537" s="2">
        <v>13215.0</v>
      </c>
      <c r="AW537" s="2">
        <v>8575.0</v>
      </c>
      <c r="AX537" s="2">
        <v>7808.0</v>
      </c>
      <c r="AY537" s="2">
        <v>12713.0</v>
      </c>
      <c r="AZ537" s="2">
        <v>12378.0</v>
      </c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1"/>
      <c r="BT537" s="72" t="s">
        <v>203</v>
      </c>
      <c r="BU537" s="9"/>
      <c r="BV537" s="1"/>
      <c r="BW537" s="1"/>
      <c r="BX537" s="1"/>
      <c r="BY537" s="1"/>
      <c r="BZ537" s="1"/>
    </row>
    <row r="538">
      <c r="A538" s="3"/>
      <c r="B538" s="33"/>
      <c r="C538" s="133"/>
      <c r="D538" s="133" t="s">
        <v>349</v>
      </c>
      <c r="E538" s="134"/>
      <c r="F538" s="134"/>
      <c r="G538" s="14"/>
      <c r="H538" s="14"/>
      <c r="I538" s="14"/>
      <c r="J538" s="14"/>
      <c r="K538" s="1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34"/>
      <c r="X538" s="134"/>
      <c r="Y538" s="14"/>
      <c r="Z538" s="2">
        <v>7830.0</v>
      </c>
      <c r="AA538" s="2">
        <v>6467.0</v>
      </c>
      <c r="AB538" s="2">
        <v>6839.0</v>
      </c>
      <c r="AC538" s="2">
        <v>7653.0</v>
      </c>
      <c r="AD538" s="2">
        <v>9127.0</v>
      </c>
      <c r="AE538" s="2">
        <v>7057.0</v>
      </c>
      <c r="AF538" s="2">
        <v>7191.0</v>
      </c>
      <c r="AG538" s="2">
        <v>9482.0</v>
      </c>
      <c r="AH538" s="2">
        <v>9224.0</v>
      </c>
      <c r="AI538" s="2">
        <v>7578.0</v>
      </c>
      <c r="AJ538" s="2">
        <v>9424.0</v>
      </c>
      <c r="AK538" s="2">
        <v>10893.0</v>
      </c>
      <c r="AL538" s="2">
        <v>9156.0</v>
      </c>
      <c r="AM538" s="2">
        <v>9307.0</v>
      </c>
      <c r="AN538" s="2">
        <v>9195.0</v>
      </c>
      <c r="AO538" s="2">
        <v>10833.0</v>
      </c>
      <c r="AP538" s="2">
        <v>11726.0</v>
      </c>
      <c r="AQ538" s="2">
        <v>12322.0</v>
      </c>
      <c r="AR538" s="2">
        <v>12758.0</v>
      </c>
      <c r="AS538" s="2">
        <v>12540.0</v>
      </c>
      <c r="AT538" s="2">
        <v>11428.0</v>
      </c>
      <c r="AU538" s="131">
        <v>11385.0</v>
      </c>
      <c r="AV538" s="2">
        <v>11047.0</v>
      </c>
      <c r="AW538" s="2">
        <v>7984.0</v>
      </c>
      <c r="AX538" s="2">
        <v>6301.0</v>
      </c>
      <c r="AY538" s="2">
        <v>10159.0</v>
      </c>
      <c r="AZ538" s="2">
        <v>9341.0</v>
      </c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1"/>
      <c r="BT538" s="72" t="s">
        <v>203</v>
      </c>
      <c r="BU538" s="9"/>
      <c r="BV538" s="1"/>
      <c r="BW538" s="1"/>
      <c r="BX538" s="1"/>
      <c r="BY538" s="1"/>
      <c r="BZ538" s="1"/>
    </row>
    <row r="539">
      <c r="A539" s="3"/>
      <c r="B539" s="33"/>
      <c r="C539" s="133"/>
      <c r="D539" s="133" t="s">
        <v>350</v>
      </c>
      <c r="E539" s="134"/>
      <c r="F539" s="134"/>
      <c r="G539" s="14"/>
      <c r="H539" s="14"/>
      <c r="I539" s="14"/>
      <c r="J539" s="14"/>
      <c r="K539" s="1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34"/>
      <c r="X539" s="134"/>
      <c r="Y539" s="14"/>
      <c r="Z539" s="2">
        <v>76584.0</v>
      </c>
      <c r="AA539" s="2">
        <v>78013.0</v>
      </c>
      <c r="AB539" s="2">
        <v>87727.0</v>
      </c>
      <c r="AC539" s="2">
        <v>90198.0</v>
      </c>
      <c r="AD539" s="2">
        <v>83528.0</v>
      </c>
      <c r="AE539" s="2">
        <v>82150.0</v>
      </c>
      <c r="AF539" s="2">
        <v>75260.0</v>
      </c>
      <c r="AG539" s="2">
        <v>75253.0</v>
      </c>
      <c r="AH539" s="2">
        <v>75291.0</v>
      </c>
      <c r="AI539" s="2">
        <v>83071.0</v>
      </c>
      <c r="AJ539" s="2">
        <v>75988.0</v>
      </c>
      <c r="AK539" s="2">
        <v>73082.0</v>
      </c>
      <c r="AL539" s="2">
        <v>86596.0</v>
      </c>
      <c r="AM539" s="2">
        <v>98476.0</v>
      </c>
      <c r="AN539" s="2">
        <v>116104.0</v>
      </c>
      <c r="AO539" s="2">
        <v>114194.0</v>
      </c>
      <c r="AP539" s="2">
        <v>130997.0</v>
      </c>
      <c r="AQ539" s="2">
        <v>137629.0</v>
      </c>
      <c r="AR539" s="2">
        <v>134856.0</v>
      </c>
      <c r="AS539" s="2">
        <v>143187.0</v>
      </c>
      <c r="AT539" s="2">
        <v>157847.0</v>
      </c>
      <c r="AU539" s="131">
        <v>159058.0</v>
      </c>
      <c r="AV539" s="2">
        <v>152073.0</v>
      </c>
      <c r="AW539" s="2">
        <v>143480.0</v>
      </c>
      <c r="AX539" s="2">
        <v>135568.0</v>
      </c>
      <c r="AY539" s="2">
        <v>121558.0</v>
      </c>
      <c r="AZ539" s="2">
        <v>117185.0</v>
      </c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1"/>
      <c r="BT539" s="72" t="s">
        <v>203</v>
      </c>
      <c r="BU539" s="9"/>
      <c r="BV539" s="1"/>
      <c r="BW539" s="1"/>
      <c r="BX539" s="1"/>
      <c r="BY539" s="1"/>
      <c r="BZ539" s="1"/>
    </row>
    <row r="540">
      <c r="A540" s="3"/>
      <c r="B540" s="33"/>
      <c r="C540" s="133"/>
      <c r="D540" s="133" t="s">
        <v>351</v>
      </c>
      <c r="E540" s="134"/>
      <c r="F540" s="134"/>
      <c r="G540" s="14"/>
      <c r="H540" s="14"/>
      <c r="I540" s="14"/>
      <c r="J540" s="14"/>
      <c r="K540" s="1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34"/>
      <c r="X540" s="134"/>
      <c r="Y540" s="14"/>
      <c r="Z540" s="2">
        <v>76287.0</v>
      </c>
      <c r="AA540" s="2">
        <v>77703.0</v>
      </c>
      <c r="AB540" s="2">
        <v>87394.0</v>
      </c>
      <c r="AC540" s="2">
        <v>89955.0</v>
      </c>
      <c r="AD540" s="2">
        <v>83254.0</v>
      </c>
      <c r="AE540" s="2">
        <v>81921.0</v>
      </c>
      <c r="AF540" s="2">
        <v>75026.0</v>
      </c>
      <c r="AG540" s="2">
        <v>75021.0</v>
      </c>
      <c r="AH540" s="2">
        <v>74867.0</v>
      </c>
      <c r="AI540" s="2">
        <v>82773.0</v>
      </c>
      <c r="AJ540" s="2">
        <v>75659.0</v>
      </c>
      <c r="AK540" s="2">
        <v>72808.0</v>
      </c>
      <c r="AL540" s="2">
        <v>86343.0</v>
      </c>
      <c r="AM540" s="2">
        <v>98246.0</v>
      </c>
      <c r="AN540" s="2">
        <v>115843.0</v>
      </c>
      <c r="AO540" s="2">
        <v>113844.0</v>
      </c>
      <c r="AP540" s="2">
        <v>130660.0</v>
      </c>
      <c r="AQ540" s="2">
        <v>137269.0</v>
      </c>
      <c r="AR540" s="2">
        <v>134540.0</v>
      </c>
      <c r="AS540" s="2">
        <v>142847.0</v>
      </c>
      <c r="AT540" s="131">
        <v>157508.0</v>
      </c>
      <c r="AU540" s="131">
        <v>158740.0</v>
      </c>
      <c r="AV540" s="131">
        <v>151831.0</v>
      </c>
      <c r="AW540" s="131">
        <v>143202.0</v>
      </c>
      <c r="AX540" s="131">
        <v>135332.0</v>
      </c>
      <c r="AY540" s="131">
        <v>121342.0</v>
      </c>
      <c r="AZ540" s="131">
        <v>117001.0</v>
      </c>
      <c r="BA540" s="131"/>
      <c r="BB540" s="131"/>
      <c r="BC540" s="131"/>
      <c r="BD540" s="131"/>
      <c r="BE540" s="131"/>
      <c r="BF540" s="131"/>
      <c r="BG540" s="131"/>
      <c r="BH540" s="131"/>
      <c r="BI540" s="131"/>
      <c r="BJ540" s="131"/>
      <c r="BK540" s="131"/>
      <c r="BL540" s="131"/>
      <c r="BM540" s="131"/>
      <c r="BN540" s="131"/>
      <c r="BO540" s="131"/>
      <c r="BP540" s="131"/>
      <c r="BQ540" s="131"/>
      <c r="BR540" s="131"/>
      <c r="BS540" s="1"/>
      <c r="BT540" s="72" t="s">
        <v>203</v>
      </c>
      <c r="BU540" s="9"/>
      <c r="BV540" s="1"/>
      <c r="BW540" s="1"/>
      <c r="BX540" s="1"/>
      <c r="BY540" s="1"/>
      <c r="BZ540" s="1"/>
    </row>
    <row r="541">
      <c r="A541" s="3"/>
      <c r="B541" s="33"/>
      <c r="C541" s="133"/>
      <c r="D541" s="133" t="s">
        <v>352</v>
      </c>
      <c r="E541" s="134"/>
      <c r="F541" s="134"/>
      <c r="G541" s="14"/>
      <c r="H541" s="14"/>
      <c r="I541" s="14"/>
      <c r="J541" s="14"/>
      <c r="K541" s="1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34"/>
      <c r="X541" s="134"/>
      <c r="Y541" s="14"/>
      <c r="Z541" s="2">
        <v>297.0</v>
      </c>
      <c r="AA541" s="2">
        <v>310.0</v>
      </c>
      <c r="AB541" s="2">
        <v>333.0</v>
      </c>
      <c r="AC541" s="2">
        <v>243.0</v>
      </c>
      <c r="AD541" s="2">
        <v>274.0</v>
      </c>
      <c r="AE541" s="2">
        <v>229.0</v>
      </c>
      <c r="AF541" s="2">
        <v>234.0</v>
      </c>
      <c r="AG541" s="2">
        <v>232.0</v>
      </c>
      <c r="AH541" s="2">
        <v>424.0</v>
      </c>
      <c r="AI541" s="2">
        <v>298.0</v>
      </c>
      <c r="AJ541" s="2">
        <v>329.0</v>
      </c>
      <c r="AK541" s="2">
        <v>274.0</v>
      </c>
      <c r="AL541" s="2">
        <v>253.0</v>
      </c>
      <c r="AM541" s="2">
        <v>230.0</v>
      </c>
      <c r="AN541" s="2">
        <v>261.0</v>
      </c>
      <c r="AO541" s="2">
        <v>350.0</v>
      </c>
      <c r="AP541" s="2">
        <v>337.0</v>
      </c>
      <c r="AQ541" s="2">
        <v>360.0</v>
      </c>
      <c r="AR541" s="2">
        <v>316.0</v>
      </c>
      <c r="AS541" s="2">
        <v>340.0</v>
      </c>
      <c r="AT541" s="131">
        <v>339.0</v>
      </c>
      <c r="AU541" s="131">
        <v>318.0</v>
      </c>
      <c r="AV541" s="131">
        <v>242.0</v>
      </c>
      <c r="AW541" s="131">
        <v>278.0</v>
      </c>
      <c r="AX541" s="131">
        <v>236.0</v>
      </c>
      <c r="AY541" s="131">
        <v>216.0</v>
      </c>
      <c r="AZ541" s="131">
        <v>184.0</v>
      </c>
      <c r="BA541" s="131"/>
      <c r="BB541" s="131"/>
      <c r="BC541" s="131"/>
      <c r="BD541" s="131"/>
      <c r="BE541" s="131"/>
      <c r="BF541" s="131"/>
      <c r="BG541" s="131"/>
      <c r="BH541" s="131"/>
      <c r="BI541" s="131"/>
      <c r="BJ541" s="131"/>
      <c r="BK541" s="131"/>
      <c r="BL541" s="131"/>
      <c r="BM541" s="131"/>
      <c r="BN541" s="131"/>
      <c r="BO541" s="131"/>
      <c r="BP541" s="131"/>
      <c r="BQ541" s="131"/>
      <c r="BR541" s="131"/>
      <c r="BS541" s="1"/>
      <c r="BT541" s="72" t="s">
        <v>203</v>
      </c>
      <c r="BU541" s="9"/>
      <c r="BV541" s="1"/>
      <c r="BW541" s="1"/>
      <c r="BX541" s="1"/>
      <c r="BY541" s="1"/>
      <c r="BZ541" s="1"/>
    </row>
    <row r="542">
      <c r="A542" s="3"/>
      <c r="B542" s="33"/>
      <c r="C542" s="146"/>
      <c r="D542" s="146"/>
      <c r="E542" s="134"/>
      <c r="F542" s="134"/>
      <c r="G542" s="14"/>
      <c r="H542" s="14"/>
      <c r="I542" s="14"/>
      <c r="J542" s="14"/>
      <c r="K542" s="1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1"/>
      <c r="BT542" s="9"/>
      <c r="BU542" s="9"/>
      <c r="BV542" s="1"/>
      <c r="BW542" s="1"/>
      <c r="BX542" s="1"/>
      <c r="BY542" s="1"/>
      <c r="BZ542" s="1"/>
    </row>
    <row r="543">
      <c r="A543" s="3"/>
      <c r="B543" s="33"/>
      <c r="C543" s="122"/>
      <c r="D543" s="122" t="s">
        <v>353</v>
      </c>
      <c r="E543" s="134"/>
      <c r="F543" s="134"/>
      <c r="G543" s="14"/>
      <c r="H543" s="14"/>
      <c r="I543" s="14"/>
      <c r="J543" s="14"/>
      <c r="K543" s="1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3"/>
      <c r="BH543" s="3"/>
      <c r="BI543" s="1"/>
      <c r="BJ543" s="1"/>
      <c r="BK543" s="3"/>
      <c r="BL543" s="1"/>
      <c r="BM543" s="1"/>
      <c r="BN543" s="1"/>
      <c r="BO543" s="1"/>
      <c r="BP543" s="1"/>
      <c r="BQ543" s="1"/>
      <c r="BR543" s="1"/>
      <c r="BS543" s="1"/>
      <c r="BT543" s="9"/>
      <c r="BU543" s="9"/>
      <c r="BV543" s="1"/>
      <c r="BW543" s="1"/>
      <c r="BX543" s="1"/>
      <c r="BY543" s="1"/>
      <c r="BZ543" s="1"/>
    </row>
    <row r="544">
      <c r="A544" s="3"/>
      <c r="B544" s="33"/>
      <c r="C544" s="133"/>
      <c r="D544" s="133" t="s">
        <v>345</v>
      </c>
      <c r="E544" s="134"/>
      <c r="F544" s="134"/>
      <c r="G544" s="14"/>
      <c r="H544" s="14"/>
      <c r="I544" s="14"/>
      <c r="J544" s="14"/>
      <c r="K544" s="1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>
        <v>32143.0</v>
      </c>
      <c r="AA544" s="3">
        <v>32445.0</v>
      </c>
      <c r="AB544" s="3">
        <v>36124.0</v>
      </c>
      <c r="AC544" s="3">
        <v>47852.0</v>
      </c>
      <c r="AD544" s="3">
        <v>39478.0</v>
      </c>
      <c r="AE544" s="3">
        <v>34972.0</v>
      </c>
      <c r="AF544" s="3">
        <v>40889.0</v>
      </c>
      <c r="AG544" s="3">
        <v>38953.0</v>
      </c>
      <c r="AH544" s="3">
        <v>37474.0</v>
      </c>
      <c r="AI544" s="3">
        <v>34975.0</v>
      </c>
      <c r="AJ544" s="3">
        <v>43916.0</v>
      </c>
      <c r="AK544" s="3">
        <v>42236.0</v>
      </c>
      <c r="AL544" s="3">
        <v>42304.0</v>
      </c>
      <c r="AM544" s="3">
        <v>50587.0</v>
      </c>
      <c r="AN544" s="3">
        <v>56390.0</v>
      </c>
      <c r="AO544" s="3">
        <v>59287.0</v>
      </c>
      <c r="AP544" s="3">
        <v>50529.0</v>
      </c>
      <c r="AQ544" s="3">
        <v>56889.0</v>
      </c>
      <c r="AR544" s="3">
        <v>55858.0</v>
      </c>
      <c r="AS544" s="3">
        <v>66663.0</v>
      </c>
      <c r="AT544" s="3">
        <v>87354.0</v>
      </c>
      <c r="AU544" s="3">
        <v>76245.0</v>
      </c>
      <c r="AV544" s="3">
        <v>72102.0</v>
      </c>
      <c r="AW544" s="3">
        <v>64956.0</v>
      </c>
      <c r="AX544" s="3">
        <v>65028.0</v>
      </c>
      <c r="AY544" s="3">
        <v>76520.0</v>
      </c>
      <c r="AZ544" s="3">
        <v>72101.0</v>
      </c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1"/>
      <c r="BT544" s="9"/>
      <c r="BU544" s="9"/>
      <c r="BV544" s="1"/>
      <c r="BW544" s="1"/>
      <c r="BX544" s="1"/>
      <c r="BY544" s="1"/>
      <c r="BZ544" s="1"/>
    </row>
    <row r="545">
      <c r="A545" s="3"/>
      <c r="B545" s="33"/>
      <c r="C545" s="133"/>
      <c r="D545" s="133" t="s">
        <v>346</v>
      </c>
      <c r="E545" s="134"/>
      <c r="F545" s="134"/>
      <c r="G545" s="14"/>
      <c r="H545" s="14"/>
      <c r="I545" s="14"/>
      <c r="J545" s="14"/>
      <c r="K545" s="1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>
        <v>8362.0</v>
      </c>
      <c r="AA545" s="3">
        <v>5003.0</v>
      </c>
      <c r="AB545" s="3">
        <v>8909.0</v>
      </c>
      <c r="AC545" s="166">
        <v>5775.0</v>
      </c>
      <c r="AD545" s="166">
        <v>1489.0</v>
      </c>
      <c r="AE545" s="166">
        <v>5152.0</v>
      </c>
      <c r="AF545" s="166">
        <v>3704.0</v>
      </c>
      <c r="AG545" s="166">
        <v>8459.0</v>
      </c>
      <c r="AH545" s="3">
        <v>8262.0</v>
      </c>
      <c r="AI545" s="3">
        <v>10682.0</v>
      </c>
      <c r="AJ545" s="167">
        <v>3600.0</v>
      </c>
      <c r="AK545" s="3">
        <v>5636.0</v>
      </c>
      <c r="AL545" s="3">
        <v>16028.0</v>
      </c>
      <c r="AM545" s="3">
        <v>13596.0</v>
      </c>
      <c r="AN545" s="3">
        <v>16190.0</v>
      </c>
      <c r="AO545" s="3">
        <v>4347.0</v>
      </c>
      <c r="AP545" s="3">
        <v>14595.0</v>
      </c>
      <c r="AQ545" s="167">
        <v>13025.0</v>
      </c>
      <c r="AR545" s="3">
        <v>7758.0</v>
      </c>
      <c r="AS545" s="3">
        <v>16573.0</v>
      </c>
      <c r="AT545" s="3">
        <v>11319.0</v>
      </c>
      <c r="AU545" s="3">
        <v>7916.0</v>
      </c>
      <c r="AV545" s="3">
        <v>3275.0</v>
      </c>
      <c r="AW545" s="3">
        <v>622.0</v>
      </c>
      <c r="AX545" s="3">
        <v>831.0</v>
      </c>
      <c r="AY545" s="3">
        <v>2855.0</v>
      </c>
      <c r="AZ545" s="3">
        <v>4142.0</v>
      </c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1"/>
      <c r="BT545" s="60" t="s">
        <v>354</v>
      </c>
      <c r="BU545" s="9"/>
      <c r="BV545" s="1"/>
      <c r="BW545" s="1"/>
      <c r="BX545" s="1"/>
      <c r="BY545" s="1"/>
      <c r="BZ545" s="1"/>
    </row>
    <row r="546">
      <c r="A546" s="3"/>
      <c r="B546" s="33"/>
      <c r="C546" s="133"/>
      <c r="D546" s="133" t="s">
        <v>347</v>
      </c>
      <c r="E546" s="134"/>
      <c r="F546" s="134"/>
      <c r="G546" s="14"/>
      <c r="H546" s="14"/>
      <c r="I546" s="14"/>
      <c r="J546" s="14"/>
      <c r="K546" s="1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>
        <v>7490.0</v>
      </c>
      <c r="AA546" s="3">
        <v>4176.0</v>
      </c>
      <c r="AB546" s="3">
        <v>7947.0</v>
      </c>
      <c r="AC546" s="3">
        <v>4720.0</v>
      </c>
      <c r="AD546" s="3">
        <v>786.0</v>
      </c>
      <c r="AE546" s="3">
        <v>4089.0</v>
      </c>
      <c r="AF546" s="3">
        <v>1956.0</v>
      </c>
      <c r="AG546" s="3">
        <v>6655.0</v>
      </c>
      <c r="AH546" s="3">
        <v>7097.0</v>
      </c>
      <c r="AI546" s="3">
        <v>9470.0</v>
      </c>
      <c r="AJ546" s="3">
        <v>2062.0</v>
      </c>
      <c r="AK546" s="3">
        <v>4823.0</v>
      </c>
      <c r="AL546" s="3">
        <v>14473.0</v>
      </c>
      <c r="AM546" s="3">
        <v>12332.0</v>
      </c>
      <c r="AN546" s="3">
        <v>14801.0</v>
      </c>
      <c r="AO546" s="3">
        <v>3256.0</v>
      </c>
      <c r="AP546" s="3">
        <v>12924.0</v>
      </c>
      <c r="AQ546" s="3">
        <v>11172.0</v>
      </c>
      <c r="AR546" s="3">
        <v>6821.0</v>
      </c>
      <c r="AS546" s="3">
        <v>14612.0</v>
      </c>
      <c r="AT546" s="3">
        <v>8526.0</v>
      </c>
      <c r="AU546" s="3">
        <v>6979.0</v>
      </c>
      <c r="AV546" s="3">
        <v>1454.0</v>
      </c>
      <c r="AW546" s="3">
        <v>30.0</v>
      </c>
      <c r="AX546" s="3">
        <v>0.0</v>
      </c>
      <c r="AY546" s="3">
        <v>1040.0</v>
      </c>
      <c r="AZ546" s="3">
        <v>2172.0</v>
      </c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1"/>
      <c r="BT546" s="9"/>
      <c r="BU546" s="9"/>
      <c r="BV546" s="1"/>
      <c r="BW546" s="1"/>
      <c r="BX546" s="1"/>
      <c r="BY546" s="1"/>
      <c r="BZ546" s="1"/>
    </row>
    <row r="547">
      <c r="A547" s="3"/>
      <c r="B547" s="33"/>
      <c r="C547" s="133"/>
      <c r="D547" s="133" t="s">
        <v>348</v>
      </c>
      <c r="E547" s="134"/>
      <c r="F547" s="134"/>
      <c r="G547" s="14"/>
      <c r="H547" s="14"/>
      <c r="I547" s="14"/>
      <c r="J547" s="14"/>
      <c r="K547" s="1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>
        <v>5202.0</v>
      </c>
      <c r="AA547" s="3">
        <v>3718.0</v>
      </c>
      <c r="AB547" s="3">
        <v>4119.0</v>
      </c>
      <c r="AC547" s="3">
        <v>5310.0</v>
      </c>
      <c r="AD547" s="3">
        <v>4875.0</v>
      </c>
      <c r="AE547" s="3">
        <v>4375.0</v>
      </c>
      <c r="AF547" s="3">
        <v>5552.0</v>
      </c>
      <c r="AG547" s="3">
        <v>7434.0</v>
      </c>
      <c r="AH547" s="3">
        <v>6795.0</v>
      </c>
      <c r="AI547" s="3">
        <v>5440.0</v>
      </c>
      <c r="AJ547" s="3">
        <v>6440.0</v>
      </c>
      <c r="AK547" s="3">
        <v>6589.0</v>
      </c>
      <c r="AL547" s="3">
        <v>6637.0</v>
      </c>
      <c r="AM547" s="3">
        <v>6634.0</v>
      </c>
      <c r="AN547" s="3">
        <v>6486.0</v>
      </c>
      <c r="AO547" s="3">
        <v>7483.0</v>
      </c>
      <c r="AP547" s="3">
        <v>8321.0</v>
      </c>
      <c r="AQ547" s="3">
        <v>8035.0</v>
      </c>
      <c r="AR547" s="3">
        <v>6129.0</v>
      </c>
      <c r="AS547" s="3">
        <v>8181.0</v>
      </c>
      <c r="AT547" s="3">
        <v>9186.0</v>
      </c>
      <c r="AU547" s="3">
        <v>6258.0</v>
      </c>
      <c r="AV547" s="3">
        <v>6677.0</v>
      </c>
      <c r="AW547" s="3">
        <v>4040.0</v>
      </c>
      <c r="AX547" s="3">
        <v>3566.0</v>
      </c>
      <c r="AY547" s="3">
        <v>8067.0</v>
      </c>
      <c r="AZ547" s="3">
        <v>7605.0</v>
      </c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1"/>
      <c r="BT547" s="72" t="s">
        <v>203</v>
      </c>
      <c r="BU547" s="9"/>
      <c r="BV547" s="1"/>
      <c r="BW547" s="1"/>
      <c r="BX547" s="1"/>
      <c r="BY547" s="1"/>
      <c r="BZ547" s="1"/>
    </row>
    <row r="548">
      <c r="A548" s="3"/>
      <c r="B548" s="141"/>
      <c r="C548" s="133"/>
      <c r="D548" s="133" t="s">
        <v>349</v>
      </c>
      <c r="E548" s="2"/>
      <c r="F548" s="2"/>
      <c r="G548" s="14"/>
      <c r="H548" s="14"/>
      <c r="I548" s="14"/>
      <c r="J548" s="14"/>
      <c r="K548" s="1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>
        <v>4292.0</v>
      </c>
      <c r="AA548" s="3">
        <v>2875.0</v>
      </c>
      <c r="AB548" s="3">
        <v>3169.0</v>
      </c>
      <c r="AC548" s="3">
        <v>4263.0</v>
      </c>
      <c r="AD548" s="3">
        <v>4147.0</v>
      </c>
      <c r="AE548" s="3">
        <v>3168.0</v>
      </c>
      <c r="AF548" s="3">
        <v>3951.0</v>
      </c>
      <c r="AG548" s="3">
        <v>5664.0</v>
      </c>
      <c r="AH548" s="3">
        <v>5748.0</v>
      </c>
      <c r="AI548" s="3">
        <v>4243.0</v>
      </c>
      <c r="AJ548" s="3">
        <v>4870.0</v>
      </c>
      <c r="AK548" s="3">
        <v>5776.0</v>
      </c>
      <c r="AL548" s="3">
        <v>5188.0</v>
      </c>
      <c r="AM548" s="3">
        <v>5576.0</v>
      </c>
      <c r="AN548" s="3">
        <v>5185.0</v>
      </c>
      <c r="AO548" s="3">
        <v>6524.0</v>
      </c>
      <c r="AP548" s="3">
        <v>6405.0</v>
      </c>
      <c r="AQ548" s="3">
        <v>6579.0</v>
      </c>
      <c r="AR548" s="3">
        <v>5261.0</v>
      </c>
      <c r="AS548" s="3">
        <v>6273.0</v>
      </c>
      <c r="AT548" s="3">
        <v>6714.0</v>
      </c>
      <c r="AU548" s="3">
        <v>4898.0</v>
      </c>
      <c r="AV548" s="3">
        <v>5165.0</v>
      </c>
      <c r="AW548" s="3">
        <v>3694.0</v>
      </c>
      <c r="AX548" s="3">
        <v>2722.0</v>
      </c>
      <c r="AY548" s="3">
        <v>6222.0</v>
      </c>
      <c r="AZ548" s="3">
        <v>5275.0</v>
      </c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1"/>
      <c r="BT548" s="72" t="s">
        <v>203</v>
      </c>
      <c r="BU548" s="9"/>
      <c r="BV548" s="1"/>
      <c r="BW548" s="1"/>
      <c r="BX548" s="1"/>
      <c r="BY548" s="1"/>
      <c r="BZ548" s="1"/>
    </row>
    <row r="549">
      <c r="A549" s="3"/>
      <c r="B549" s="141"/>
      <c r="C549" s="133"/>
      <c r="D549" s="133" t="s">
        <v>350</v>
      </c>
      <c r="E549" s="2"/>
      <c r="F549" s="2"/>
      <c r="G549" s="14"/>
      <c r="H549" s="14"/>
      <c r="I549" s="14"/>
      <c r="J549" s="14"/>
      <c r="K549" s="1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>
        <v>35303.0</v>
      </c>
      <c r="AA549" s="3">
        <v>33730.0</v>
      </c>
      <c r="AB549" s="3">
        <v>40914.0</v>
      </c>
      <c r="AC549" s="3">
        <v>48317.0</v>
      </c>
      <c r="AD549" s="3">
        <v>36092.0</v>
      </c>
      <c r="AE549" s="3">
        <v>35749.0</v>
      </c>
      <c r="AF549" s="3">
        <v>39041.0</v>
      </c>
      <c r="AG549" s="3">
        <v>39978.0</v>
      </c>
      <c r="AH549" s="3">
        <v>38941.0</v>
      </c>
      <c r="AI549" s="3">
        <v>40217.0</v>
      </c>
      <c r="AJ549" s="3">
        <v>41076.0</v>
      </c>
      <c r="AK549" s="3">
        <v>41283.0</v>
      </c>
      <c r="AL549" s="3">
        <v>51695.0</v>
      </c>
      <c r="AM549" s="3">
        <v>57549.0</v>
      </c>
      <c r="AN549" s="3">
        <v>66094.0</v>
      </c>
      <c r="AO549" s="3">
        <v>56151.0</v>
      </c>
      <c r="AP549" s="3">
        <v>56803.0</v>
      </c>
      <c r="AQ549" s="3">
        <v>61879.0</v>
      </c>
      <c r="AR549" s="3">
        <v>57487.0</v>
      </c>
      <c r="AS549" s="3">
        <v>75055.0</v>
      </c>
      <c r="AT549" s="3">
        <v>89487.0</v>
      </c>
      <c r="AU549" s="3">
        <v>77903.0</v>
      </c>
      <c r="AV549" s="3">
        <v>68700.0</v>
      </c>
      <c r="AW549" s="3">
        <v>61538.0</v>
      </c>
      <c r="AX549" s="3">
        <v>62293.0</v>
      </c>
      <c r="AY549" s="3">
        <v>71308.0</v>
      </c>
      <c r="AZ549" s="3">
        <v>68638.0</v>
      </c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1"/>
      <c r="BT549" s="72" t="s">
        <v>203</v>
      </c>
      <c r="BU549" s="9"/>
      <c r="BV549" s="1"/>
      <c r="BW549" s="1"/>
      <c r="BX549" s="1"/>
      <c r="BY549" s="1"/>
      <c r="BZ549" s="1"/>
    </row>
    <row r="550">
      <c r="A550" s="3"/>
      <c r="B550" s="141"/>
      <c r="C550" s="133"/>
      <c r="D550" s="133" t="s">
        <v>351</v>
      </c>
      <c r="E550" s="2"/>
      <c r="F550" s="2"/>
      <c r="G550" s="14"/>
      <c r="H550" s="14"/>
      <c r="I550" s="14"/>
      <c r="J550" s="14"/>
      <c r="K550" s="1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>
        <v>35144.0</v>
      </c>
      <c r="AA550" s="3">
        <v>33598.0</v>
      </c>
      <c r="AB550" s="3">
        <v>40714.0</v>
      </c>
      <c r="AC550" s="3">
        <v>48177.0</v>
      </c>
      <c r="AD550" s="3">
        <v>35983.0</v>
      </c>
      <c r="AE550" s="3">
        <v>35646.0</v>
      </c>
      <c r="AF550" s="3">
        <v>38920.0</v>
      </c>
      <c r="AG550" s="3">
        <v>39852.0</v>
      </c>
      <c r="AH550" s="3">
        <v>38800.0</v>
      </c>
      <c r="AI550" s="3">
        <v>40049.0</v>
      </c>
      <c r="AJ550" s="3">
        <v>40954.0</v>
      </c>
      <c r="AK550" s="3">
        <v>41167.0</v>
      </c>
      <c r="AL550" s="3">
        <v>51550.0</v>
      </c>
      <c r="AM550" s="3">
        <v>57413.0</v>
      </c>
      <c r="AN550" s="3">
        <v>65955.0</v>
      </c>
      <c r="AO550" s="3">
        <v>55924.0</v>
      </c>
      <c r="AP550" s="3">
        <v>56579.0</v>
      </c>
      <c r="AQ550" s="3">
        <v>61615.0</v>
      </c>
      <c r="AR550" s="3">
        <v>57295.0</v>
      </c>
      <c r="AS550" s="3">
        <v>74831.0</v>
      </c>
      <c r="AT550" s="3">
        <v>89251.0</v>
      </c>
      <c r="AU550" s="3">
        <v>77705.0</v>
      </c>
      <c r="AV550" s="3">
        <v>68567.0</v>
      </c>
      <c r="AW550" s="3">
        <v>61390.0</v>
      </c>
      <c r="AX550" s="3">
        <v>62145.0</v>
      </c>
      <c r="AY550" s="3">
        <v>71171.0</v>
      </c>
      <c r="AZ550" s="3">
        <v>68506.0</v>
      </c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1"/>
      <c r="BT550" s="72" t="s">
        <v>203</v>
      </c>
      <c r="BU550" s="9"/>
      <c r="BV550" s="1"/>
      <c r="BW550" s="1"/>
      <c r="BX550" s="1"/>
      <c r="BY550" s="1"/>
      <c r="BZ550" s="1"/>
    </row>
    <row r="551">
      <c r="A551" s="3"/>
      <c r="B551" s="141"/>
      <c r="C551" s="133"/>
      <c r="D551" s="133" t="s">
        <v>352</v>
      </c>
      <c r="E551" s="2"/>
      <c r="F551" s="2"/>
      <c r="G551" s="14"/>
      <c r="H551" s="14"/>
      <c r="I551" s="14"/>
      <c r="J551" s="14"/>
      <c r="K551" s="1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>
        <v>159.0</v>
      </c>
      <c r="AA551" s="3">
        <v>132.0</v>
      </c>
      <c r="AB551" s="3">
        <v>200.0</v>
      </c>
      <c r="AC551" s="3">
        <v>140.0</v>
      </c>
      <c r="AD551" s="3">
        <v>109.0</v>
      </c>
      <c r="AE551" s="3">
        <v>103.0</v>
      </c>
      <c r="AF551" s="3">
        <v>121.0</v>
      </c>
      <c r="AG551" s="3">
        <v>126.0</v>
      </c>
      <c r="AH551" s="3">
        <v>141.0</v>
      </c>
      <c r="AI551" s="3">
        <v>168.0</v>
      </c>
      <c r="AJ551" s="3">
        <v>122.0</v>
      </c>
      <c r="AK551" s="3">
        <v>116.0</v>
      </c>
      <c r="AL551" s="3">
        <v>145.0</v>
      </c>
      <c r="AM551" s="3">
        <v>136.0</v>
      </c>
      <c r="AN551" s="3">
        <v>139.0</v>
      </c>
      <c r="AO551" s="3">
        <v>227.0</v>
      </c>
      <c r="AP551" s="3">
        <v>224.0</v>
      </c>
      <c r="AQ551" s="3">
        <v>264.0</v>
      </c>
      <c r="AR551" s="3">
        <v>192.0</v>
      </c>
      <c r="AS551" s="3">
        <v>224.0</v>
      </c>
      <c r="AT551" s="3">
        <v>236.0</v>
      </c>
      <c r="AU551" s="3">
        <v>198.0</v>
      </c>
      <c r="AV551" s="3">
        <v>133.0</v>
      </c>
      <c r="AW551" s="3">
        <v>148.0</v>
      </c>
      <c r="AX551" s="3">
        <v>148.0</v>
      </c>
      <c r="AY551" s="3">
        <v>137.0</v>
      </c>
      <c r="AZ551" s="3">
        <v>132.0</v>
      </c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1"/>
      <c r="BT551" s="72" t="s">
        <v>203</v>
      </c>
      <c r="BU551" s="9"/>
      <c r="BV551" s="1"/>
      <c r="BW551" s="1"/>
      <c r="BX551" s="1"/>
      <c r="BY551" s="1"/>
      <c r="BZ551" s="1"/>
    </row>
    <row r="552">
      <c r="A552" s="3"/>
      <c r="B552" s="141"/>
      <c r="C552" s="158"/>
      <c r="D552" s="158" t="s">
        <v>355</v>
      </c>
      <c r="E552" s="2"/>
      <c r="F552" s="2"/>
      <c r="G552" s="14"/>
      <c r="H552" s="14"/>
      <c r="I552" s="14"/>
      <c r="J552" s="14"/>
      <c r="K552" s="1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3">
        <v>0.4444</v>
      </c>
      <c r="AA552" s="33">
        <v>0.4293</v>
      </c>
      <c r="AB552" s="33">
        <v>0.4577</v>
      </c>
      <c r="AC552" s="33">
        <v>0.5366</v>
      </c>
      <c r="AD552" s="33">
        <v>0.4422</v>
      </c>
      <c r="AE552" s="33">
        <v>0.4251</v>
      </c>
      <c r="AF552" s="33">
        <v>0.5101</v>
      </c>
      <c r="AG552" s="33">
        <v>0.5255</v>
      </c>
      <c r="AH552" s="33">
        <v>0.5081</v>
      </c>
      <c r="AI552" s="33">
        <v>0.4716</v>
      </c>
      <c r="AJ552" s="33">
        <v>0.5345</v>
      </c>
      <c r="AK552" s="33">
        <v>0.5713</v>
      </c>
      <c r="AL552" s="33">
        <v>0.5892</v>
      </c>
      <c r="AM552" s="33">
        <v>0.5924</v>
      </c>
      <c r="AN552" s="33">
        <v>0.5785</v>
      </c>
      <c r="AO552" s="33">
        <v>0.5134</v>
      </c>
      <c r="AP552" s="33">
        <v>0.4306</v>
      </c>
      <c r="AQ552" s="33">
        <v>0.4392</v>
      </c>
      <c r="AR552" s="33">
        <v>0.4106</v>
      </c>
      <c r="AS552" s="33">
        <v>0.5004</v>
      </c>
      <c r="AT552" s="33">
        <v>0.5847</v>
      </c>
      <c r="AU552" s="33">
        <v>0.489</v>
      </c>
      <c r="AV552" s="33">
        <v>0.455</v>
      </c>
      <c r="AW552" s="33">
        <v>0.4298</v>
      </c>
      <c r="AX552" s="33">
        <v>0.4584</v>
      </c>
      <c r="AY552" s="33">
        <v>0.5857</v>
      </c>
      <c r="AZ552" s="33">
        <v>0.5931</v>
      </c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1"/>
      <c r="BT552" s="72" t="s">
        <v>203</v>
      </c>
      <c r="BU552" s="9"/>
      <c r="BV552" s="1"/>
      <c r="BW552" s="1"/>
      <c r="BX552" s="1"/>
      <c r="BY552" s="1"/>
      <c r="BZ552" s="1"/>
    </row>
    <row r="553">
      <c r="A553" s="3"/>
      <c r="B553" s="141"/>
      <c r="C553" s="146"/>
      <c r="D553" s="146"/>
      <c r="E553" s="2"/>
      <c r="F553" s="2"/>
      <c r="G553" s="14"/>
      <c r="H553" s="14"/>
      <c r="I553" s="14"/>
      <c r="J553" s="14"/>
      <c r="K553" s="1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1"/>
      <c r="BT553" s="72" t="s">
        <v>203</v>
      </c>
      <c r="BU553" s="9"/>
      <c r="BV553" s="1"/>
      <c r="BW553" s="1"/>
      <c r="BX553" s="1"/>
      <c r="BY553" s="1"/>
      <c r="BZ553" s="1"/>
    </row>
    <row r="554">
      <c r="A554" s="3"/>
      <c r="B554" s="141"/>
      <c r="C554" s="122"/>
      <c r="D554" s="122" t="s">
        <v>314</v>
      </c>
      <c r="E554" s="2"/>
      <c r="F554" s="2"/>
      <c r="G554" s="14"/>
      <c r="H554" s="14"/>
      <c r="I554" s="14"/>
      <c r="J554" s="14"/>
      <c r="K554" s="1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1"/>
      <c r="BT554" s="72" t="s">
        <v>203</v>
      </c>
      <c r="BU554" s="9"/>
      <c r="BV554" s="1"/>
      <c r="BW554" s="1"/>
      <c r="BX554" s="1"/>
      <c r="BY554" s="1"/>
      <c r="BZ554" s="1"/>
    </row>
    <row r="555">
      <c r="A555" s="3"/>
      <c r="B555" s="141"/>
      <c r="C555" s="133"/>
      <c r="D555" s="133" t="s">
        <v>345</v>
      </c>
      <c r="E555" s="2"/>
      <c r="F555" s="2"/>
      <c r="G555" s="14"/>
      <c r="H555" s="14"/>
      <c r="I555" s="14"/>
      <c r="J555" s="14"/>
      <c r="K555" s="1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>
        <v>40189.0</v>
      </c>
      <c r="AA555" s="3">
        <v>43133.0</v>
      </c>
      <c r="AB555" s="3">
        <v>42797.0</v>
      </c>
      <c r="AC555" s="3">
        <v>41328.0</v>
      </c>
      <c r="AD555" s="3">
        <v>49806.0</v>
      </c>
      <c r="AE555" s="3">
        <v>47301.0</v>
      </c>
      <c r="AF555" s="3">
        <v>39266.0</v>
      </c>
      <c r="AG555" s="3">
        <v>35174.0</v>
      </c>
      <c r="AH555" s="3">
        <v>36281.0</v>
      </c>
      <c r="AI555" s="3">
        <v>39183.0</v>
      </c>
      <c r="AJ555" s="3">
        <v>38246.0</v>
      </c>
      <c r="AK555" s="3">
        <v>31690.0</v>
      </c>
      <c r="AL555" s="3">
        <v>29495.0</v>
      </c>
      <c r="AM555" s="3">
        <v>34803.0</v>
      </c>
      <c r="AN555" s="3">
        <v>41092.0</v>
      </c>
      <c r="AO555" s="3">
        <v>56191.0</v>
      </c>
      <c r="AP555" s="3">
        <v>66817.0</v>
      </c>
      <c r="AQ555" s="3">
        <v>72627.0</v>
      </c>
      <c r="AR555" s="3">
        <v>80178.0</v>
      </c>
      <c r="AS555" s="3">
        <v>66545.0</v>
      </c>
      <c r="AT555" s="3">
        <v>62056.0</v>
      </c>
      <c r="AU555" s="3">
        <v>79673.0</v>
      </c>
      <c r="AV555" s="3">
        <v>86351.0</v>
      </c>
      <c r="AW555" s="3">
        <v>86172.0</v>
      </c>
      <c r="AX555" s="3">
        <v>76817.0</v>
      </c>
      <c r="AY555" s="3">
        <v>54124.0</v>
      </c>
      <c r="AZ555" s="3">
        <v>49457.0</v>
      </c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1"/>
      <c r="BT555" s="72" t="s">
        <v>203</v>
      </c>
      <c r="BU555" s="9"/>
      <c r="BV555" s="1"/>
      <c r="BW555" s="1"/>
      <c r="BX555" s="1"/>
      <c r="BY555" s="1"/>
      <c r="BZ555" s="1"/>
    </row>
    <row r="556">
      <c r="A556" s="3"/>
      <c r="B556" s="141"/>
      <c r="C556" s="158"/>
      <c r="D556" s="158" t="s">
        <v>346</v>
      </c>
      <c r="E556" s="2"/>
      <c r="F556" s="2"/>
      <c r="G556" s="14"/>
      <c r="H556" s="14"/>
      <c r="I556" s="14"/>
      <c r="J556" s="14"/>
      <c r="K556" s="1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>
        <v>5443.0</v>
      </c>
      <c r="AA556" s="3">
        <v>5799.0</v>
      </c>
      <c r="AB556" s="3">
        <v>8541.0</v>
      </c>
      <c r="AC556" s="3">
        <v>4368.0</v>
      </c>
      <c r="AD556" s="3">
        <v>4497.0</v>
      </c>
      <c r="AE556" s="3">
        <v>6208.0</v>
      </c>
      <c r="AF556" s="3">
        <v>2585.0</v>
      </c>
      <c r="AG556" s="3">
        <v>6135.0</v>
      </c>
      <c r="AH556" s="3">
        <v>6621.0</v>
      </c>
      <c r="AI556" s="3">
        <v>7778.0</v>
      </c>
      <c r="AJ556" s="3">
        <v>2448.0</v>
      </c>
      <c r="AK556" s="3">
        <v>5717.0</v>
      </c>
      <c r="AL556" s="3">
        <v>10084.0</v>
      </c>
      <c r="AM556" s="3">
        <v>10159.0</v>
      </c>
      <c r="AN556" s="3">
        <v>13353.0</v>
      </c>
      <c r="AO556" s="3">
        <v>6510.0</v>
      </c>
      <c r="AP556" s="3">
        <v>13363.0</v>
      </c>
      <c r="AQ556" s="3">
        <v>9159.0</v>
      </c>
      <c r="AR556" s="3">
        <v>5517.0</v>
      </c>
      <c r="AS556" s="3">
        <v>9539.0</v>
      </c>
      <c r="AT556" s="3">
        <v>12198.0</v>
      </c>
      <c r="AU556" s="3">
        <v>8283.0</v>
      </c>
      <c r="AV556" s="3">
        <v>3560.0</v>
      </c>
      <c r="AW556" s="3">
        <v>305.0</v>
      </c>
      <c r="AX556" s="3">
        <v>700.0</v>
      </c>
      <c r="AY556" s="3">
        <v>772.0</v>
      </c>
      <c r="AZ556" s="3">
        <v>3863.0</v>
      </c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1"/>
      <c r="BT556" s="9"/>
      <c r="BU556" s="9"/>
      <c r="BV556" s="1"/>
      <c r="BW556" s="1"/>
      <c r="BX556" s="1"/>
      <c r="BY556" s="1"/>
      <c r="BZ556" s="1"/>
    </row>
    <row r="557">
      <c r="A557" s="3"/>
      <c r="B557" s="141"/>
      <c r="C557" s="158"/>
      <c r="D557" s="158" t="s">
        <v>347</v>
      </c>
      <c r="E557" s="2"/>
      <c r="F557" s="2"/>
      <c r="G557" s="14"/>
      <c r="H557" s="14"/>
      <c r="I557" s="14"/>
      <c r="J557" s="14"/>
      <c r="K557" s="1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>
        <v>5008.0</v>
      </c>
      <c r="AA557" s="3">
        <v>5025.0</v>
      </c>
      <c r="AB557" s="3">
        <v>7822.0</v>
      </c>
      <c r="AC557" s="3">
        <v>3923.0</v>
      </c>
      <c r="AD557" s="3">
        <v>3068.0</v>
      </c>
      <c r="AE557" s="3">
        <v>5496.0</v>
      </c>
      <c r="AF557" s="3">
        <v>1730.0</v>
      </c>
      <c r="AG557" s="3">
        <v>5088.0</v>
      </c>
      <c r="AH557" s="3">
        <v>4261.0</v>
      </c>
      <c r="AI557" s="3">
        <v>7254.0</v>
      </c>
      <c r="AJ557" s="3">
        <v>1337.0</v>
      </c>
      <c r="AK557" s="3">
        <v>5020.0</v>
      </c>
      <c r="AL557" s="3">
        <v>9164.0</v>
      </c>
      <c r="AM557" s="3">
        <v>9774.0</v>
      </c>
      <c r="AN557" s="3">
        <v>12872.0</v>
      </c>
      <c r="AO557" s="3">
        <v>6123.0</v>
      </c>
      <c r="AP557" s="3">
        <v>12634.0</v>
      </c>
      <c r="AQ557" s="3">
        <v>8805.0</v>
      </c>
      <c r="AR557" s="3">
        <v>4602.0</v>
      </c>
      <c r="AS557" s="3">
        <v>7766.0</v>
      </c>
      <c r="AT557" s="3">
        <v>10951.0</v>
      </c>
      <c r="AU557" s="3">
        <v>7902.0</v>
      </c>
      <c r="AV557" s="3">
        <v>2841.0</v>
      </c>
      <c r="AW557" s="3">
        <v>5.0</v>
      </c>
      <c r="AX557" s="3">
        <v>0.0</v>
      </c>
      <c r="AY557" s="3">
        <v>0.0</v>
      </c>
      <c r="AZ557" s="3">
        <v>3127.0</v>
      </c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1"/>
      <c r="BT557" s="72" t="s">
        <v>203</v>
      </c>
      <c r="BU557" s="9"/>
      <c r="BV557" s="1"/>
      <c r="BW557" s="1"/>
      <c r="BX557" s="1"/>
      <c r="BY557" s="1"/>
      <c r="BZ557" s="1"/>
    </row>
    <row r="558">
      <c r="A558" s="3"/>
      <c r="B558" s="141"/>
      <c r="C558" s="133"/>
      <c r="D558" s="133" t="s">
        <v>348</v>
      </c>
      <c r="E558" s="2"/>
      <c r="F558" s="2"/>
      <c r="G558" s="14"/>
      <c r="H558" s="14"/>
      <c r="I558" s="14"/>
      <c r="J558" s="14"/>
      <c r="K558" s="1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>
        <v>4351.0</v>
      </c>
      <c r="AA558" s="3">
        <v>4649.0</v>
      </c>
      <c r="AB558" s="3">
        <v>4525.0</v>
      </c>
      <c r="AC558" s="3">
        <v>3815.0</v>
      </c>
      <c r="AD558" s="3">
        <v>6867.0</v>
      </c>
      <c r="AE558" s="3">
        <v>7108.0</v>
      </c>
      <c r="AF558" s="3">
        <v>5632.0</v>
      </c>
      <c r="AG558" s="3">
        <v>6034.0</v>
      </c>
      <c r="AH558" s="3">
        <v>6552.0</v>
      </c>
      <c r="AI558" s="3">
        <v>4107.0</v>
      </c>
      <c r="AJ558" s="3">
        <v>5782.0</v>
      </c>
      <c r="AK558" s="3">
        <v>5608.0</v>
      </c>
      <c r="AL558" s="3">
        <v>4678.0</v>
      </c>
      <c r="AM558" s="3">
        <v>4035.0</v>
      </c>
      <c r="AN558" s="3">
        <v>4435.0</v>
      </c>
      <c r="AO558" s="3">
        <v>4658.0</v>
      </c>
      <c r="AP558" s="3">
        <v>5986.0</v>
      </c>
      <c r="AQ558" s="3">
        <v>6036.0</v>
      </c>
      <c r="AR558" s="3">
        <v>8326.0</v>
      </c>
      <c r="AS558" s="3">
        <v>7952.0</v>
      </c>
      <c r="AT558" s="3">
        <v>5894.0</v>
      </c>
      <c r="AU558" s="3">
        <v>6801.0</v>
      </c>
      <c r="AV558" s="3">
        <v>6538.0</v>
      </c>
      <c r="AW558" s="3">
        <v>4535.0</v>
      </c>
      <c r="AX558" s="3">
        <v>4242.0</v>
      </c>
      <c r="AY558" s="3">
        <v>4646.0</v>
      </c>
      <c r="AZ558" s="3">
        <v>4773.0</v>
      </c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1"/>
      <c r="BT558" s="9"/>
      <c r="BU558" s="9"/>
      <c r="BV558" s="1"/>
      <c r="BW558" s="1"/>
      <c r="BX558" s="1"/>
      <c r="BY558" s="1"/>
      <c r="BZ558" s="1"/>
    </row>
    <row r="559">
      <c r="A559" s="3"/>
      <c r="B559" s="141"/>
      <c r="C559" s="133"/>
      <c r="D559" s="133" t="s">
        <v>349</v>
      </c>
      <c r="E559" s="2"/>
      <c r="F559" s="2"/>
      <c r="G559" s="14"/>
      <c r="H559" s="14"/>
      <c r="I559" s="14"/>
      <c r="J559" s="14"/>
      <c r="K559" s="1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>
        <v>3538.0</v>
      </c>
      <c r="AA559" s="3">
        <v>3592.0</v>
      </c>
      <c r="AB559" s="3">
        <v>3670.0</v>
      </c>
      <c r="AC559" s="3">
        <v>3390.0</v>
      </c>
      <c r="AD559" s="3">
        <v>4980.0</v>
      </c>
      <c r="AE559" s="3">
        <v>3889.0</v>
      </c>
      <c r="AF559" s="3">
        <v>3240.0</v>
      </c>
      <c r="AG559" s="3">
        <v>3818.0</v>
      </c>
      <c r="AH559" s="3">
        <v>3476.0</v>
      </c>
      <c r="AI559" s="3">
        <v>3335.0</v>
      </c>
      <c r="AJ559" s="3">
        <v>4554.0</v>
      </c>
      <c r="AK559" s="3">
        <v>5117.0</v>
      </c>
      <c r="AL559" s="3">
        <v>3968.0</v>
      </c>
      <c r="AM559" s="3">
        <v>3731.0</v>
      </c>
      <c r="AN559" s="3">
        <v>4010.0</v>
      </c>
      <c r="AO559" s="3">
        <v>4309.0</v>
      </c>
      <c r="AP559" s="3">
        <v>5321.0</v>
      </c>
      <c r="AQ559" s="3">
        <v>5743.0</v>
      </c>
      <c r="AR559" s="3">
        <v>7497.0</v>
      </c>
      <c r="AS559" s="3">
        <v>6267.0</v>
      </c>
      <c r="AT559" s="3">
        <v>4714.0</v>
      </c>
      <c r="AU559" s="3">
        <v>6487.0</v>
      </c>
      <c r="AV559" s="3">
        <v>5882.0</v>
      </c>
      <c r="AW559" s="3">
        <v>4290.0</v>
      </c>
      <c r="AX559" s="3">
        <v>3579.0</v>
      </c>
      <c r="AY559" s="3">
        <v>3937.0</v>
      </c>
      <c r="AZ559" s="3">
        <v>4066.0</v>
      </c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1"/>
      <c r="BT559" s="9"/>
      <c r="BU559" s="9"/>
      <c r="BV559" s="1"/>
      <c r="BW559" s="1"/>
      <c r="BX559" s="1"/>
      <c r="BY559" s="1"/>
      <c r="BZ559" s="1"/>
    </row>
    <row r="560">
      <c r="A560" s="3"/>
      <c r="B560" s="141"/>
      <c r="C560" s="133"/>
      <c r="D560" s="133" t="s">
        <v>350</v>
      </c>
      <c r="E560" s="2"/>
      <c r="F560" s="2"/>
      <c r="G560" s="14"/>
      <c r="H560" s="14"/>
      <c r="I560" s="14"/>
      <c r="J560" s="14"/>
      <c r="K560" s="1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>
        <v>41281.0</v>
      </c>
      <c r="AA560" s="3">
        <v>44283.0</v>
      </c>
      <c r="AB560" s="3">
        <v>46813.0</v>
      </c>
      <c r="AC560" s="3">
        <v>41881.0</v>
      </c>
      <c r="AD560" s="3">
        <v>47436.0</v>
      </c>
      <c r="AE560" s="3">
        <v>46401.0</v>
      </c>
      <c r="AF560" s="3">
        <v>36219.0</v>
      </c>
      <c r="AG560" s="3">
        <v>35275.0</v>
      </c>
      <c r="AH560" s="3">
        <v>36350.0</v>
      </c>
      <c r="AI560" s="3">
        <v>42854.0</v>
      </c>
      <c r="AJ560" s="3">
        <v>34912.0</v>
      </c>
      <c r="AK560" s="3">
        <v>31799.0</v>
      </c>
      <c r="AL560" s="3">
        <v>34901.0</v>
      </c>
      <c r="AM560" s="3">
        <v>40927.0</v>
      </c>
      <c r="AN560" s="3">
        <v>50010.0</v>
      </c>
      <c r="AO560" s="3">
        <v>58043.0</v>
      </c>
      <c r="AP560" s="3">
        <v>74194.0</v>
      </c>
      <c r="AQ560" s="3">
        <v>75750.0</v>
      </c>
      <c r="AR560" s="3">
        <v>77369.0</v>
      </c>
      <c r="AS560" s="3">
        <v>68132.0</v>
      </c>
      <c r="AT560" s="3">
        <v>68360.0</v>
      </c>
      <c r="AU560" s="3">
        <v>81155.0</v>
      </c>
      <c r="AV560" s="3">
        <v>83373.0</v>
      </c>
      <c r="AW560" s="3">
        <v>81942.0</v>
      </c>
      <c r="AX560" s="3">
        <v>73275.0</v>
      </c>
      <c r="AY560" s="3">
        <v>50250.0</v>
      </c>
      <c r="AZ560" s="3">
        <v>48547.0</v>
      </c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1"/>
      <c r="BT560" s="9"/>
      <c r="BU560" s="9"/>
      <c r="BV560" s="1"/>
      <c r="BW560" s="1"/>
      <c r="BX560" s="1"/>
      <c r="BY560" s="1"/>
      <c r="BZ560" s="1"/>
    </row>
    <row r="561">
      <c r="A561" s="3"/>
      <c r="B561" s="141"/>
      <c r="C561" s="133"/>
      <c r="D561" s="133" t="s">
        <v>351</v>
      </c>
      <c r="E561" s="2"/>
      <c r="F561" s="2"/>
      <c r="G561" s="14"/>
      <c r="H561" s="14"/>
      <c r="I561" s="14"/>
      <c r="J561" s="14"/>
      <c r="K561" s="1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>
        <v>41143.0</v>
      </c>
      <c r="AA561" s="3">
        <v>44105.0</v>
      </c>
      <c r="AB561" s="3">
        <v>46680.0</v>
      </c>
      <c r="AC561" s="3">
        <v>41778.0</v>
      </c>
      <c r="AD561" s="3">
        <v>47271.0</v>
      </c>
      <c r="AE561" s="3">
        <v>46275.0</v>
      </c>
      <c r="AF561" s="3">
        <v>36106.0</v>
      </c>
      <c r="AG561" s="3">
        <v>35169.0</v>
      </c>
      <c r="AH561" s="3">
        <v>36067.0</v>
      </c>
      <c r="AI561" s="3">
        <v>42724.0</v>
      </c>
      <c r="AJ561" s="3">
        <v>34705.0</v>
      </c>
      <c r="AK561" s="3">
        <v>31641.0</v>
      </c>
      <c r="AL561" s="3">
        <v>34793.0</v>
      </c>
      <c r="AM561" s="3">
        <v>40833.0</v>
      </c>
      <c r="AN561" s="3">
        <v>49888.0</v>
      </c>
      <c r="AO561" s="3">
        <v>57920.0</v>
      </c>
      <c r="AP561" s="3">
        <v>74081.0</v>
      </c>
      <c r="AQ561" s="3">
        <v>75654.0</v>
      </c>
      <c r="AR561" s="3">
        <v>77245.0</v>
      </c>
      <c r="AS561" s="3">
        <v>68016.0</v>
      </c>
      <c r="AT561" s="3">
        <v>68257.0</v>
      </c>
      <c r="AU561" s="3">
        <v>81035.0</v>
      </c>
      <c r="AV561" s="3">
        <v>83264.0</v>
      </c>
      <c r="AW561" s="3">
        <v>81812.0</v>
      </c>
      <c r="AX561" s="3">
        <v>73187.0</v>
      </c>
      <c r="AY561" s="3">
        <v>50171.0</v>
      </c>
      <c r="AZ561" s="3">
        <v>48495.0</v>
      </c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1"/>
      <c r="BT561" s="9"/>
      <c r="BU561" s="9"/>
      <c r="BV561" s="1"/>
      <c r="BW561" s="1"/>
      <c r="BX561" s="1"/>
      <c r="BY561" s="1"/>
      <c r="BZ561" s="1"/>
    </row>
    <row r="562">
      <c r="A562" s="3"/>
      <c r="B562" s="141"/>
      <c r="C562" s="133"/>
      <c r="D562" s="133" t="s">
        <v>352</v>
      </c>
      <c r="E562" s="2"/>
      <c r="F562" s="2"/>
      <c r="G562" s="14"/>
      <c r="H562" s="14"/>
      <c r="I562" s="14"/>
      <c r="J562" s="14"/>
      <c r="K562" s="1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>
        <v>138.0</v>
      </c>
      <c r="AA562" s="3">
        <v>178.0</v>
      </c>
      <c r="AB562" s="3">
        <v>133.0</v>
      </c>
      <c r="AC562" s="3">
        <v>103.0</v>
      </c>
      <c r="AD562" s="3">
        <v>165.0</v>
      </c>
      <c r="AE562" s="3">
        <v>126.0</v>
      </c>
      <c r="AF562" s="3">
        <v>113.0</v>
      </c>
      <c r="AG562" s="3">
        <v>106.0</v>
      </c>
      <c r="AH562" s="3">
        <v>283.0</v>
      </c>
      <c r="AI562" s="3">
        <v>130.0</v>
      </c>
      <c r="AJ562" s="3">
        <v>207.0</v>
      </c>
      <c r="AK562" s="3">
        <v>158.0</v>
      </c>
      <c r="AL562" s="3">
        <v>108.0</v>
      </c>
      <c r="AM562" s="3">
        <v>94.0</v>
      </c>
      <c r="AN562" s="3">
        <v>122.0</v>
      </c>
      <c r="AO562" s="3">
        <v>123.0</v>
      </c>
      <c r="AP562" s="3">
        <v>113.0</v>
      </c>
      <c r="AQ562" s="3">
        <v>96.0</v>
      </c>
      <c r="AR562" s="3">
        <v>124.0</v>
      </c>
      <c r="AS562" s="3">
        <v>116.0</v>
      </c>
      <c r="AT562" s="3">
        <v>103.0</v>
      </c>
      <c r="AU562" s="3">
        <v>120.0</v>
      </c>
      <c r="AV562" s="3">
        <v>109.0</v>
      </c>
      <c r="AW562" s="3">
        <v>130.0</v>
      </c>
      <c r="AX562" s="3">
        <v>88.0</v>
      </c>
      <c r="AY562" s="3">
        <v>79.0</v>
      </c>
      <c r="AZ562" s="3">
        <v>52.0</v>
      </c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1"/>
      <c r="BT562" s="9"/>
      <c r="BU562" s="9"/>
      <c r="BV562" s="1"/>
      <c r="BW562" s="1"/>
      <c r="BX562" s="1"/>
      <c r="BY562" s="1"/>
      <c r="BZ562" s="1"/>
    </row>
    <row r="563">
      <c r="A563" s="3"/>
      <c r="B563" s="141"/>
      <c r="C563" s="133"/>
      <c r="D563" s="133" t="s">
        <v>355</v>
      </c>
      <c r="E563" s="2"/>
      <c r="F563" s="2"/>
      <c r="G563" s="14"/>
      <c r="H563" s="14"/>
      <c r="I563" s="14"/>
      <c r="J563" s="14"/>
      <c r="K563" s="1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3">
        <v>0.5556</v>
      </c>
      <c r="AA563" s="33">
        <v>0.5707</v>
      </c>
      <c r="AB563" s="33">
        <v>0.5423</v>
      </c>
      <c r="AC563" s="33">
        <v>0.4634</v>
      </c>
      <c r="AD563" s="33">
        <v>0.5578</v>
      </c>
      <c r="AE563" s="33">
        <v>0.5749</v>
      </c>
      <c r="AF563" s="33">
        <v>0.4899</v>
      </c>
      <c r="AG563" s="33">
        <v>0.4745</v>
      </c>
      <c r="AH563" s="33">
        <v>0.4919</v>
      </c>
      <c r="AI563" s="33">
        <v>0.5284</v>
      </c>
      <c r="AJ563" s="33">
        <v>0.4655</v>
      </c>
      <c r="AK563" s="33">
        <v>0.4287</v>
      </c>
      <c r="AL563" s="33">
        <v>0.4108</v>
      </c>
      <c r="AM563" s="33">
        <v>0.4076</v>
      </c>
      <c r="AN563" s="33">
        <v>0.4215</v>
      </c>
      <c r="AO563" s="33">
        <v>0.4866</v>
      </c>
      <c r="AP563" s="33">
        <v>0.5694</v>
      </c>
      <c r="AQ563" s="33">
        <v>0.5608</v>
      </c>
      <c r="AR563" s="33">
        <v>0.5894</v>
      </c>
      <c r="AS563" s="33">
        <v>0.4996</v>
      </c>
      <c r="AT563" s="33">
        <v>0.4153</v>
      </c>
      <c r="AU563" s="33">
        <v>0.511</v>
      </c>
      <c r="AV563" s="33">
        <v>0.545</v>
      </c>
      <c r="AW563" s="33">
        <v>0.5702</v>
      </c>
      <c r="AX563" s="33">
        <v>0.5416</v>
      </c>
      <c r="AY563" s="33">
        <v>0.4143</v>
      </c>
      <c r="AZ563" s="33">
        <v>0.4069</v>
      </c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1"/>
      <c r="BT563" s="9"/>
      <c r="BU563" s="9"/>
      <c r="BV563" s="1"/>
      <c r="BW563" s="1"/>
      <c r="BX563" s="1"/>
      <c r="BY563" s="1"/>
      <c r="BZ563" s="1"/>
    </row>
    <row r="564">
      <c r="A564" s="3"/>
      <c r="B564" s="141"/>
      <c r="C564" s="146"/>
      <c r="D564" s="146"/>
      <c r="E564" s="2"/>
      <c r="F564" s="2"/>
      <c r="G564" s="14"/>
      <c r="H564" s="14"/>
      <c r="I564" s="14"/>
      <c r="J564" s="14"/>
      <c r="K564" s="1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1"/>
      <c r="BT564" s="9"/>
      <c r="BU564" s="9"/>
      <c r="BV564" s="1"/>
      <c r="BW564" s="1"/>
      <c r="BX564" s="1"/>
      <c r="BY564" s="1"/>
      <c r="BZ564" s="1"/>
    </row>
    <row r="565">
      <c r="A565" s="3"/>
      <c r="B565" s="141"/>
      <c r="C565" s="122"/>
      <c r="D565" s="122" t="s">
        <v>246</v>
      </c>
      <c r="E565" s="2"/>
      <c r="F565" s="2"/>
      <c r="G565" s="14"/>
      <c r="H565" s="14"/>
      <c r="I565" s="14"/>
      <c r="J565" s="14"/>
      <c r="K565" s="1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1"/>
      <c r="BT565" s="9"/>
      <c r="BU565" s="9"/>
      <c r="BV565" s="1"/>
      <c r="BW565" s="1"/>
      <c r="BX565" s="1"/>
      <c r="BY565" s="1"/>
      <c r="BZ565" s="1"/>
    </row>
    <row r="566">
      <c r="A566" s="3"/>
      <c r="B566" s="33"/>
      <c r="C566" s="133"/>
      <c r="D566" s="133" t="s">
        <v>345</v>
      </c>
      <c r="E566" s="2"/>
      <c r="F566" s="2"/>
      <c r="G566" s="14"/>
      <c r="H566" s="14"/>
      <c r="I566" s="14"/>
      <c r="J566" s="14"/>
      <c r="K566" s="1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>
        <v>47629.0</v>
      </c>
      <c r="AA566" s="3">
        <v>51145.0</v>
      </c>
      <c r="AB566" s="3">
        <v>53679.0</v>
      </c>
      <c r="AC566" s="3">
        <v>61829.0</v>
      </c>
      <c r="AD566" s="3">
        <v>61623.0</v>
      </c>
      <c r="AE566" s="3">
        <v>56433.0</v>
      </c>
      <c r="AF566" s="3">
        <v>54948.0</v>
      </c>
      <c r="AG566" s="3">
        <v>50288.0</v>
      </c>
      <c r="AH566" s="3">
        <v>51210.0</v>
      </c>
      <c r="AI566" s="3">
        <v>52437.0</v>
      </c>
      <c r="AJ566" s="3">
        <v>58906.0</v>
      </c>
      <c r="AK566" s="3">
        <v>52418.0</v>
      </c>
      <c r="AL566" s="3">
        <v>50918.0</v>
      </c>
      <c r="AM566" s="3">
        <v>64034.0</v>
      </c>
      <c r="AN566" s="3">
        <v>75567.0</v>
      </c>
      <c r="AO566" s="3">
        <v>89942.0</v>
      </c>
      <c r="AP566" s="3">
        <v>92722.0</v>
      </c>
      <c r="AQ566" s="3">
        <v>100224.0</v>
      </c>
      <c r="AR566" s="3">
        <v>104444.0</v>
      </c>
      <c r="AS566" s="3">
        <v>100893.0</v>
      </c>
      <c r="AT566" s="3">
        <v>112788.0</v>
      </c>
      <c r="AU566" s="3">
        <v>119171.0</v>
      </c>
      <c r="AV566" s="3">
        <v>121238.0</v>
      </c>
      <c r="AW566" s="3">
        <v>115856.0</v>
      </c>
      <c r="AX566" s="3">
        <v>108503.0</v>
      </c>
      <c r="AY566" s="3">
        <v>54124.0</v>
      </c>
      <c r="AZ566" s="3">
        <v>54124.0</v>
      </c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1"/>
      <c r="BT566" s="8"/>
      <c r="BU566" s="8"/>
      <c r="BV566" s="1"/>
      <c r="BW566" s="1"/>
      <c r="BX566" s="1"/>
      <c r="BY566" s="1"/>
      <c r="BZ566" s="1"/>
    </row>
    <row r="567">
      <c r="A567" s="3"/>
      <c r="B567" s="33"/>
      <c r="C567" s="133"/>
      <c r="D567" s="133" t="s">
        <v>346</v>
      </c>
      <c r="E567" s="78"/>
      <c r="F567" s="78"/>
      <c r="G567" s="78"/>
      <c r="H567" s="78"/>
      <c r="I567" s="78"/>
      <c r="J567" s="78"/>
      <c r="K567" s="78"/>
      <c r="L567" s="78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>
        <v>11174.0</v>
      </c>
      <c r="AA567" s="3">
        <v>7917.0</v>
      </c>
      <c r="AB567" s="3">
        <v>13752.0</v>
      </c>
      <c r="AC567" s="3">
        <v>7486.0</v>
      </c>
      <c r="AD567" s="3">
        <v>4953.0</v>
      </c>
      <c r="AE567" s="3">
        <v>9161.0</v>
      </c>
      <c r="AF567" s="3">
        <v>4751.0</v>
      </c>
      <c r="AG567" s="3">
        <v>12499.0</v>
      </c>
      <c r="AH567" s="3">
        <v>12477.0</v>
      </c>
      <c r="AI567" s="3">
        <v>14295.0</v>
      </c>
      <c r="AJ567" s="3">
        <v>4249.0</v>
      </c>
      <c r="AK567" s="3">
        <v>9341.0</v>
      </c>
      <c r="AL567" s="3">
        <v>22866.0</v>
      </c>
      <c r="AM567" s="3">
        <v>20351.0</v>
      </c>
      <c r="AN567" s="3">
        <v>23100.0</v>
      </c>
      <c r="AO567" s="3">
        <v>9764.0</v>
      </c>
      <c r="AP567" s="3">
        <v>19485.0</v>
      </c>
      <c r="AQ567" s="3">
        <v>16173.0</v>
      </c>
      <c r="AR567" s="3">
        <v>9491.0</v>
      </c>
      <c r="AS567" s="3">
        <v>19600.0</v>
      </c>
      <c r="AT567" s="3">
        <v>19365.0</v>
      </c>
      <c r="AU567" s="3">
        <v>12319.0</v>
      </c>
      <c r="AV567" s="3">
        <v>5493.0</v>
      </c>
      <c r="AW567" s="3">
        <v>633.0</v>
      </c>
      <c r="AX567" s="3">
        <v>785.0</v>
      </c>
      <c r="AY567" s="3">
        <v>772.0</v>
      </c>
      <c r="AZ567" s="3">
        <v>772.0</v>
      </c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1"/>
      <c r="BT567" s="8"/>
      <c r="BU567" s="8"/>
      <c r="BV567" s="1"/>
      <c r="BW567" s="1"/>
      <c r="BX567" s="1"/>
      <c r="BY567" s="1"/>
      <c r="BZ567" s="1"/>
    </row>
    <row r="568">
      <c r="A568" s="3"/>
      <c r="B568" s="33" t="s">
        <v>117</v>
      </c>
      <c r="C568" s="133"/>
      <c r="D568" s="133" t="s">
        <v>347</v>
      </c>
      <c r="E568" s="78"/>
      <c r="F568" s="78"/>
      <c r="G568" s="78"/>
      <c r="H568" s="78"/>
      <c r="I568" s="78"/>
      <c r="J568" s="78"/>
      <c r="K568" s="78"/>
      <c r="L568" s="78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>
        <v>10415.0</v>
      </c>
      <c r="AA568" s="3">
        <v>6963.0</v>
      </c>
      <c r="AB568" s="3">
        <v>12614.0</v>
      </c>
      <c r="AC568" s="3">
        <v>6723.0</v>
      </c>
      <c r="AD568" s="3">
        <v>3457.0</v>
      </c>
      <c r="AE568" s="3">
        <v>8138.0</v>
      </c>
      <c r="AF568" s="3">
        <v>3068.0</v>
      </c>
      <c r="AG568" s="3">
        <v>10258.0</v>
      </c>
      <c r="AH568" s="3">
        <v>9547.0</v>
      </c>
      <c r="AI568" s="3">
        <v>13271.0</v>
      </c>
      <c r="AJ568" s="3">
        <v>2454.0</v>
      </c>
      <c r="AK568" s="3">
        <v>8205.0</v>
      </c>
      <c r="AL568" s="3">
        <v>20986.0</v>
      </c>
      <c r="AM568" s="3">
        <v>19105.0</v>
      </c>
      <c r="AN568" s="3">
        <v>21824.0</v>
      </c>
      <c r="AO568" s="3">
        <v>8643.0</v>
      </c>
      <c r="AP568" s="3">
        <v>18050.0</v>
      </c>
      <c r="AQ568" s="3">
        <v>14403.0</v>
      </c>
      <c r="AR568" s="3">
        <v>8070.0</v>
      </c>
      <c r="AS568" s="3">
        <v>16665.0</v>
      </c>
      <c r="AT568" s="3">
        <v>16301.0</v>
      </c>
      <c r="AU568" s="3">
        <v>11545.0</v>
      </c>
      <c r="AV568" s="3">
        <v>3844.0</v>
      </c>
      <c r="AW568" s="3">
        <v>0.0</v>
      </c>
      <c r="AX568" s="3">
        <v>0.0</v>
      </c>
      <c r="AY568" s="3">
        <v>0.0</v>
      </c>
      <c r="AZ568" s="3">
        <v>0.0</v>
      </c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1"/>
      <c r="BT568" s="8"/>
      <c r="BU568" s="8"/>
      <c r="BV568" s="1"/>
      <c r="BW568" s="1"/>
      <c r="BX568" s="1"/>
      <c r="BY568" s="1"/>
      <c r="BZ568" s="1"/>
    </row>
    <row r="569">
      <c r="A569" s="3"/>
      <c r="B569" s="33" t="s">
        <v>117</v>
      </c>
      <c r="C569" s="133"/>
      <c r="D569" s="133" t="s">
        <v>348</v>
      </c>
      <c r="E569" s="2"/>
      <c r="F569" s="2"/>
      <c r="G569" s="14"/>
      <c r="H569" s="14"/>
      <c r="I569" s="14"/>
      <c r="J569" s="14"/>
      <c r="K569" s="1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>
        <v>6931.0</v>
      </c>
      <c r="AA569" s="3">
        <v>6241.0</v>
      </c>
      <c r="AB569" s="3">
        <v>6601.0</v>
      </c>
      <c r="AC569" s="3">
        <v>6945.0</v>
      </c>
      <c r="AD569" s="3">
        <v>9170.0</v>
      </c>
      <c r="AE569" s="3">
        <v>9089.0</v>
      </c>
      <c r="AF569" s="3">
        <v>8513.0</v>
      </c>
      <c r="AG569" s="3">
        <v>10391.0</v>
      </c>
      <c r="AH569" s="3">
        <v>10275.0</v>
      </c>
      <c r="AI569" s="3">
        <v>7104.0</v>
      </c>
      <c r="AJ569" s="3">
        <v>8946.0</v>
      </c>
      <c r="AK569" s="3">
        <v>9801.0</v>
      </c>
      <c r="AL569" s="3">
        <v>8797.0</v>
      </c>
      <c r="AM569" s="3">
        <v>8160.0</v>
      </c>
      <c r="AN569" s="3">
        <v>8444.0</v>
      </c>
      <c r="AO569" s="3">
        <v>9398.0</v>
      </c>
      <c r="AP569" s="3">
        <v>10608.0</v>
      </c>
      <c r="AQ569" s="3">
        <v>10911.0</v>
      </c>
      <c r="AR569" s="3">
        <v>11359.0</v>
      </c>
      <c r="AS569" s="3">
        <v>12872.0</v>
      </c>
      <c r="AT569" s="3">
        <v>11580.0</v>
      </c>
      <c r="AU569" s="3">
        <v>9650.0</v>
      </c>
      <c r="AV569" s="3">
        <v>9944.0</v>
      </c>
      <c r="AW569" s="3">
        <v>6659.0</v>
      </c>
      <c r="AX569" s="3">
        <v>5956.0</v>
      </c>
      <c r="AY569" s="3">
        <v>4646.0</v>
      </c>
      <c r="AZ569" s="3">
        <v>4646.0</v>
      </c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1"/>
      <c r="BT569" s="8"/>
      <c r="BU569" s="8"/>
      <c r="BV569" s="1"/>
      <c r="BW569" s="1"/>
      <c r="BX569" s="1"/>
      <c r="BY569" s="1"/>
      <c r="BZ569" s="1"/>
    </row>
    <row r="570">
      <c r="A570" s="3"/>
      <c r="B570" s="33"/>
      <c r="C570" s="133"/>
      <c r="D570" s="133" t="s">
        <v>349</v>
      </c>
      <c r="E570" s="2"/>
      <c r="F570" s="2"/>
      <c r="G570" s="14"/>
      <c r="H570" s="14"/>
      <c r="I570" s="14"/>
      <c r="J570" s="14"/>
      <c r="K570" s="1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>
        <v>5808.0</v>
      </c>
      <c r="AA570" s="3">
        <v>5066.0</v>
      </c>
      <c r="AB570" s="3">
        <v>5348.0</v>
      </c>
      <c r="AC570" s="3">
        <v>6220.0</v>
      </c>
      <c r="AD570" s="3">
        <v>7214.0</v>
      </c>
      <c r="AE570" s="3">
        <v>5562.0</v>
      </c>
      <c r="AF570" s="3">
        <v>5608.0</v>
      </c>
      <c r="AG570" s="3">
        <v>7209.0</v>
      </c>
      <c r="AH570" s="3">
        <v>6998.0</v>
      </c>
      <c r="AI570" s="3">
        <v>5819.0</v>
      </c>
      <c r="AJ570" s="3">
        <v>7035.0</v>
      </c>
      <c r="AK570" s="3">
        <v>8875.0</v>
      </c>
      <c r="AL570" s="3">
        <v>7215.0</v>
      </c>
      <c r="AM570" s="3">
        <v>7195.0</v>
      </c>
      <c r="AN570" s="3">
        <v>7273.0</v>
      </c>
      <c r="AO570" s="3">
        <v>8385.0</v>
      </c>
      <c r="AP570" s="3">
        <v>8914.0</v>
      </c>
      <c r="AQ570" s="3">
        <v>9576.0</v>
      </c>
      <c r="AR570" s="3">
        <v>10102.0</v>
      </c>
      <c r="AS570" s="3">
        <v>10002.0</v>
      </c>
      <c r="AT570" s="3">
        <v>8912.0</v>
      </c>
      <c r="AU570" s="3">
        <v>8495.0</v>
      </c>
      <c r="AV570" s="3">
        <v>8651.0</v>
      </c>
      <c r="AW570" s="3">
        <v>6298.0</v>
      </c>
      <c r="AX570" s="3">
        <v>5179.0</v>
      </c>
      <c r="AY570" s="3">
        <v>3937.0</v>
      </c>
      <c r="AZ570" s="3">
        <v>3937.0</v>
      </c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1"/>
      <c r="BT570" s="72" t="s">
        <v>203</v>
      </c>
      <c r="BU570" s="9"/>
      <c r="BV570" s="1"/>
      <c r="BW570" s="1"/>
      <c r="BX570" s="1"/>
      <c r="BY570" s="1"/>
      <c r="BZ570" s="1"/>
    </row>
    <row r="571">
      <c r="A571" s="3"/>
      <c r="B571" s="33"/>
      <c r="C571" s="133"/>
      <c r="D571" s="133" t="s">
        <v>350</v>
      </c>
      <c r="E571" s="2"/>
      <c r="F571" s="2"/>
      <c r="G571" s="14"/>
      <c r="H571" s="14"/>
      <c r="I571" s="14"/>
      <c r="J571" s="14"/>
      <c r="K571" s="1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>
        <v>51872.0</v>
      </c>
      <c r="AA571" s="3">
        <v>52821.0</v>
      </c>
      <c r="AB571" s="3">
        <v>60830.0</v>
      </c>
      <c r="AC571" s="3">
        <v>62370.0</v>
      </c>
      <c r="AD571" s="3">
        <v>57406.0</v>
      </c>
      <c r="AE571" s="3">
        <v>56505.0</v>
      </c>
      <c r="AF571" s="3">
        <v>51186.0</v>
      </c>
      <c r="AG571" s="3">
        <v>52396.0</v>
      </c>
      <c r="AH571" s="3">
        <v>53412.0</v>
      </c>
      <c r="AI571" s="3">
        <v>59628.0</v>
      </c>
      <c r="AJ571" s="3">
        <v>54209.0</v>
      </c>
      <c r="AK571" s="3">
        <v>51958.0</v>
      </c>
      <c r="AL571" s="3">
        <v>64987.0</v>
      </c>
      <c r="AM571" s="3">
        <v>76225.0</v>
      </c>
      <c r="AN571" s="3">
        <v>90223.0</v>
      </c>
      <c r="AO571" s="3">
        <v>90308.0</v>
      </c>
      <c r="AP571" s="3">
        <v>101599.0</v>
      </c>
      <c r="AQ571" s="3">
        <v>105486.0</v>
      </c>
      <c r="AR571" s="3">
        <v>102576.0</v>
      </c>
      <c r="AS571" s="3">
        <v>107621.0</v>
      </c>
      <c r="AT571" s="3">
        <v>120573.0</v>
      </c>
      <c r="AU571" s="3">
        <v>121840.0</v>
      </c>
      <c r="AV571" s="3">
        <v>116787.0</v>
      </c>
      <c r="AW571" s="3">
        <v>109830.0</v>
      </c>
      <c r="AX571" s="3">
        <v>103332.0</v>
      </c>
      <c r="AY571" s="3">
        <v>50250.0</v>
      </c>
      <c r="AZ571" s="3">
        <v>50250.0</v>
      </c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1"/>
      <c r="BT571" s="8"/>
      <c r="BU571" s="8"/>
      <c r="BV571" s="1"/>
      <c r="BW571" s="1"/>
      <c r="BX571" s="1"/>
      <c r="BY571" s="1"/>
      <c r="BZ571" s="1"/>
    </row>
    <row r="572">
      <c r="A572" s="3"/>
      <c r="B572" s="33"/>
      <c r="C572" s="133"/>
      <c r="D572" s="133" t="s">
        <v>351</v>
      </c>
      <c r="E572" s="2"/>
      <c r="F572" s="2"/>
      <c r="G572" s="14"/>
      <c r="H572" s="14"/>
      <c r="I572" s="14"/>
      <c r="J572" s="14"/>
      <c r="K572" s="1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>
        <v>51709.0</v>
      </c>
      <c r="AA572" s="3">
        <v>52655.0</v>
      </c>
      <c r="AB572" s="3">
        <v>60646.0</v>
      </c>
      <c r="AC572" s="3">
        <v>62217.0</v>
      </c>
      <c r="AD572" s="3">
        <v>57226.0</v>
      </c>
      <c r="AE572" s="3">
        <v>56370.0</v>
      </c>
      <c r="AF572" s="3">
        <v>51045.0</v>
      </c>
      <c r="AG572" s="3">
        <v>52266.0</v>
      </c>
      <c r="AH572" s="3">
        <v>53111.0</v>
      </c>
      <c r="AI572" s="3">
        <v>59457.0</v>
      </c>
      <c r="AJ572" s="3">
        <v>53964.0</v>
      </c>
      <c r="AK572" s="3">
        <v>51762.0</v>
      </c>
      <c r="AL572" s="3">
        <v>64823.0</v>
      </c>
      <c r="AM572" s="3">
        <v>76057.0</v>
      </c>
      <c r="AN572" s="3">
        <v>90061.0</v>
      </c>
      <c r="AO572" s="3">
        <v>90055.0</v>
      </c>
      <c r="AP572" s="3">
        <v>101381.0</v>
      </c>
      <c r="AQ572" s="3">
        <v>105289.0</v>
      </c>
      <c r="AR572" s="3">
        <v>102415.0</v>
      </c>
      <c r="AS572" s="3">
        <v>107432.0</v>
      </c>
      <c r="AT572" s="3">
        <v>120375.0</v>
      </c>
      <c r="AU572" s="3">
        <v>121652.0</v>
      </c>
      <c r="AV572" s="3">
        <v>116640.0</v>
      </c>
      <c r="AW572" s="3">
        <v>109666.0</v>
      </c>
      <c r="AX572" s="3">
        <v>103212.0</v>
      </c>
      <c r="AY572" s="3">
        <v>50171.0</v>
      </c>
      <c r="AZ572" s="3">
        <v>50171.0</v>
      </c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1"/>
      <c r="BT572" s="8"/>
      <c r="BU572" s="8"/>
      <c r="BV572" s="1"/>
      <c r="BW572" s="1"/>
      <c r="BX572" s="1"/>
      <c r="BY572" s="1"/>
      <c r="BZ572" s="1"/>
    </row>
    <row r="573">
      <c r="A573" s="3"/>
      <c r="B573" s="33"/>
      <c r="C573" s="133"/>
      <c r="D573" s="133" t="s">
        <v>352</v>
      </c>
      <c r="E573" s="2"/>
      <c r="F573" s="2"/>
      <c r="G573" s="14"/>
      <c r="H573" s="14"/>
      <c r="I573" s="14"/>
      <c r="J573" s="14"/>
      <c r="K573" s="1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>
        <v>163.0</v>
      </c>
      <c r="AA573" s="3">
        <v>166.0</v>
      </c>
      <c r="AB573" s="3">
        <v>184.0</v>
      </c>
      <c r="AC573" s="3">
        <v>153.0</v>
      </c>
      <c r="AD573" s="3">
        <v>180.0</v>
      </c>
      <c r="AE573" s="3">
        <v>135.0</v>
      </c>
      <c r="AF573" s="3">
        <v>141.0</v>
      </c>
      <c r="AG573" s="3">
        <v>130.0</v>
      </c>
      <c r="AH573" s="3">
        <v>301.0</v>
      </c>
      <c r="AI573" s="3">
        <v>171.0</v>
      </c>
      <c r="AJ573" s="3">
        <v>245.0</v>
      </c>
      <c r="AK573" s="3">
        <v>196.0</v>
      </c>
      <c r="AL573" s="3">
        <v>164.0</v>
      </c>
      <c r="AM573" s="3">
        <v>168.0</v>
      </c>
      <c r="AN573" s="3">
        <v>162.0</v>
      </c>
      <c r="AO573" s="3">
        <v>253.0</v>
      </c>
      <c r="AP573" s="3">
        <v>218.0</v>
      </c>
      <c r="AQ573" s="3">
        <v>197.0</v>
      </c>
      <c r="AR573" s="3">
        <v>161.0</v>
      </c>
      <c r="AS573" s="3">
        <v>189.0</v>
      </c>
      <c r="AT573" s="3">
        <v>198.0</v>
      </c>
      <c r="AU573" s="3">
        <v>188.0</v>
      </c>
      <c r="AV573" s="3">
        <v>147.0</v>
      </c>
      <c r="AW573" s="3">
        <v>164.0</v>
      </c>
      <c r="AX573" s="3">
        <v>120.0</v>
      </c>
      <c r="AY573" s="3">
        <v>79.0</v>
      </c>
      <c r="AZ573" s="3">
        <v>79.0</v>
      </c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1"/>
      <c r="BT573" s="8"/>
      <c r="BU573" s="8"/>
      <c r="BV573" s="1"/>
      <c r="BW573" s="1"/>
      <c r="BX573" s="1"/>
      <c r="BY573" s="1"/>
      <c r="BZ573" s="1"/>
    </row>
    <row r="574">
      <c r="A574" s="3"/>
      <c r="B574" s="33"/>
      <c r="C574" s="146"/>
      <c r="D574" s="146"/>
      <c r="E574" s="2"/>
      <c r="F574" s="2"/>
      <c r="G574" s="14"/>
      <c r="H574" s="14"/>
      <c r="I574" s="14"/>
      <c r="J574" s="14"/>
      <c r="K574" s="1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1"/>
      <c r="BT574" s="8"/>
      <c r="BU574" s="8"/>
      <c r="BV574" s="1"/>
      <c r="BW574" s="1"/>
      <c r="BX574" s="1"/>
      <c r="BY574" s="1"/>
      <c r="BZ574" s="1"/>
    </row>
    <row r="575">
      <c r="A575" s="3"/>
      <c r="B575" s="33"/>
      <c r="C575" s="122"/>
      <c r="D575" s="122" t="s">
        <v>248</v>
      </c>
      <c r="E575" s="2"/>
      <c r="F575" s="2"/>
      <c r="G575" s="14"/>
      <c r="H575" s="14"/>
      <c r="I575" s="14"/>
      <c r="J575" s="14"/>
      <c r="K575" s="1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1"/>
      <c r="BT575" s="8"/>
      <c r="BU575" s="8"/>
      <c r="BV575" s="1"/>
      <c r="BW575" s="1"/>
      <c r="BX575" s="1"/>
      <c r="BY575" s="1"/>
      <c r="BZ575" s="1"/>
    </row>
    <row r="576">
      <c r="A576" s="3"/>
      <c r="B576" s="33"/>
      <c r="C576" s="133"/>
      <c r="D576" s="133" t="s">
        <v>345</v>
      </c>
      <c r="E576" s="2"/>
      <c r="F576" s="2"/>
      <c r="G576" s="14"/>
      <c r="H576" s="14"/>
      <c r="I576" s="14"/>
      <c r="J576" s="14"/>
      <c r="K576" s="1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>
        <v>24460.0</v>
      </c>
      <c r="AA576" s="3">
        <v>24176.0</v>
      </c>
      <c r="AB576" s="3">
        <v>24940.0</v>
      </c>
      <c r="AC576" s="3">
        <v>27061.0</v>
      </c>
      <c r="AD576" s="3">
        <v>27374.0</v>
      </c>
      <c r="AE576" s="3">
        <v>25560.0</v>
      </c>
      <c r="AF576" s="3">
        <v>24916.0</v>
      </c>
      <c r="AG576" s="3">
        <v>23565.0</v>
      </c>
      <c r="AH576" s="3">
        <v>22278.0</v>
      </c>
      <c r="AI576" s="3">
        <v>21464.0</v>
      </c>
      <c r="AJ576" s="3">
        <v>23004.0</v>
      </c>
      <c r="AK576" s="3">
        <v>21344.0</v>
      </c>
      <c r="AL576" s="3">
        <v>20769.0</v>
      </c>
      <c r="AM576" s="3">
        <v>21225.0</v>
      </c>
      <c r="AN576" s="3">
        <v>21775.0</v>
      </c>
      <c r="AO576" s="3">
        <v>25361.0</v>
      </c>
      <c r="AP576" s="3">
        <v>24424.0</v>
      </c>
      <c r="AQ576" s="3">
        <v>29056.0</v>
      </c>
      <c r="AR576" s="3">
        <v>30387.0</v>
      </c>
      <c r="AS576" s="3">
        <v>30461.0</v>
      </c>
      <c r="AT576" s="3">
        <v>33700.0</v>
      </c>
      <c r="AU576" s="3">
        <v>32811.0</v>
      </c>
      <c r="AV576" s="3">
        <v>32924.0</v>
      </c>
      <c r="AW576" s="3">
        <v>31013.0</v>
      </c>
      <c r="AX576" s="3">
        <v>29209.0</v>
      </c>
      <c r="AY576" s="3">
        <v>27297.0</v>
      </c>
      <c r="AZ576" s="3">
        <v>26045.0</v>
      </c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1"/>
      <c r="BT576" s="8"/>
      <c r="BU576" s="8"/>
      <c r="BV576" s="1"/>
      <c r="BW576" s="1"/>
      <c r="BX576" s="1"/>
      <c r="BY576" s="1"/>
      <c r="BZ576" s="1"/>
    </row>
    <row r="577">
      <c r="A577" s="3"/>
      <c r="B577" s="33"/>
      <c r="C577" s="133"/>
      <c r="D577" s="133" t="s">
        <v>346</v>
      </c>
      <c r="E577" s="2"/>
      <c r="F577" s="2"/>
      <c r="G577" s="14"/>
      <c r="H577" s="14"/>
      <c r="I577" s="14"/>
      <c r="J577" s="14"/>
      <c r="K577" s="1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>
        <v>2610.0</v>
      </c>
      <c r="AA577" s="3">
        <v>2836.0</v>
      </c>
      <c r="AB577" s="3">
        <v>3698.0</v>
      </c>
      <c r="AC577" s="3">
        <v>2657.0</v>
      </c>
      <c r="AD577" s="3">
        <v>1030.0</v>
      </c>
      <c r="AE577" s="3">
        <v>2178.0</v>
      </c>
      <c r="AF577" s="3">
        <v>1524.0</v>
      </c>
      <c r="AG577" s="3">
        <v>2089.0</v>
      </c>
      <c r="AH577" s="3">
        <v>2402.0</v>
      </c>
      <c r="AI577" s="3">
        <v>4157.0</v>
      </c>
      <c r="AJ577" s="3">
        <v>1798.0</v>
      </c>
      <c r="AK577" s="3">
        <v>2008.0</v>
      </c>
      <c r="AL577" s="3">
        <v>3169.0</v>
      </c>
      <c r="AM577" s="3">
        <v>3344.0</v>
      </c>
      <c r="AN577" s="3">
        <v>6387.0</v>
      </c>
      <c r="AO577" s="3">
        <v>1037.0</v>
      </c>
      <c r="AP577" s="3">
        <v>8383.0</v>
      </c>
      <c r="AQ577" s="3">
        <v>4978.0</v>
      </c>
      <c r="AR577" s="3">
        <v>3184.0</v>
      </c>
      <c r="AS577" s="3">
        <v>5414.0</v>
      </c>
      <c r="AT577" s="3">
        <v>3037.0</v>
      </c>
      <c r="AU577" s="3">
        <v>3474.0</v>
      </c>
      <c r="AV577" s="3">
        <v>1291.0</v>
      </c>
      <c r="AW577" s="3">
        <v>282.0</v>
      </c>
      <c r="AX577" s="3">
        <v>724.0</v>
      </c>
      <c r="AY577" s="3">
        <v>1537.0</v>
      </c>
      <c r="AZ577" s="3">
        <v>2628.0</v>
      </c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1"/>
      <c r="BT577" s="8"/>
      <c r="BU577" s="8"/>
      <c r="BV577" s="1"/>
      <c r="BW577" s="1"/>
      <c r="BX577" s="1"/>
      <c r="BY577" s="1"/>
      <c r="BZ577" s="1"/>
    </row>
    <row r="578">
      <c r="A578" s="3"/>
      <c r="B578" s="33"/>
      <c r="C578" s="133"/>
      <c r="D578" s="133" t="s">
        <v>347</v>
      </c>
      <c r="E578" s="2"/>
      <c r="F578" s="2"/>
      <c r="G578" s="14"/>
      <c r="H578" s="14"/>
      <c r="I578" s="14"/>
      <c r="J578" s="14"/>
      <c r="K578" s="14"/>
      <c r="L578" s="1"/>
      <c r="M578" s="1"/>
      <c r="N578" s="1"/>
      <c r="O578" s="1"/>
      <c r="P578" s="1"/>
      <c r="Q578" s="1"/>
      <c r="R578" s="1"/>
      <c r="S578" s="1"/>
      <c r="T578" s="1"/>
      <c r="U578" s="71" t="str">
        <f>IFERROR(7*U570/T, "")</f>
        <v/>
      </c>
      <c r="V578" s="1"/>
      <c r="W578" s="1"/>
      <c r="X578" s="1"/>
      <c r="Y578" s="1"/>
      <c r="Z578" s="3">
        <v>2062.0</v>
      </c>
      <c r="AA578" s="3">
        <v>2189.0</v>
      </c>
      <c r="AB578" s="3">
        <v>3155.0</v>
      </c>
      <c r="AC578" s="3">
        <v>1920.0</v>
      </c>
      <c r="AD578" s="3">
        <v>397.0</v>
      </c>
      <c r="AE578" s="3">
        <v>1426.0</v>
      </c>
      <c r="AF578" s="3">
        <v>618.0</v>
      </c>
      <c r="AG578" s="3">
        <v>1485.0</v>
      </c>
      <c r="AH578" s="3">
        <v>1811.0</v>
      </c>
      <c r="AI578" s="3">
        <v>3446.0</v>
      </c>
      <c r="AJ578" s="3">
        <v>945.0</v>
      </c>
      <c r="AK578" s="3">
        <v>1638.0</v>
      </c>
      <c r="AL578" s="3">
        <v>2581.0</v>
      </c>
      <c r="AM578" s="3">
        <v>2945.0</v>
      </c>
      <c r="AN578" s="3">
        <v>5793.0</v>
      </c>
      <c r="AO578" s="3">
        <v>680.0</v>
      </c>
      <c r="AP578" s="3">
        <v>7421.0</v>
      </c>
      <c r="AQ578" s="3">
        <v>4544.0</v>
      </c>
      <c r="AR578" s="3">
        <v>2780.0</v>
      </c>
      <c r="AS578" s="3">
        <v>4647.0</v>
      </c>
      <c r="AT578" s="3">
        <v>2095.0</v>
      </c>
      <c r="AU578" s="3">
        <v>2941.0</v>
      </c>
      <c r="AV578" s="3">
        <v>411.0</v>
      </c>
      <c r="AW578" s="3">
        <v>35.0</v>
      </c>
      <c r="AX578" s="3">
        <v>0.0</v>
      </c>
      <c r="AY578" s="3">
        <v>578.0</v>
      </c>
      <c r="AZ578" s="3">
        <v>1891.0</v>
      </c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1"/>
      <c r="BT578" s="8"/>
      <c r="BU578" s="8"/>
      <c r="BV578" s="1"/>
      <c r="BW578" s="1"/>
      <c r="BX578" s="1"/>
      <c r="BY578" s="1"/>
      <c r="BZ578" s="1"/>
    </row>
    <row r="579">
      <c r="A579" s="3"/>
      <c r="B579" s="33"/>
      <c r="C579" s="133"/>
      <c r="D579" s="133" t="s">
        <v>348</v>
      </c>
      <c r="E579" s="2"/>
      <c r="F579" s="2"/>
      <c r="G579" s="14"/>
      <c r="H579" s="14"/>
      <c r="I579" s="14"/>
      <c r="J579" s="14"/>
      <c r="K579" s="1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>
        <v>2615.0</v>
      </c>
      <c r="AA579" s="3">
        <v>2122.0</v>
      </c>
      <c r="AB579" s="3">
        <v>2034.0</v>
      </c>
      <c r="AC579" s="3">
        <v>2177.0</v>
      </c>
      <c r="AD579" s="3">
        <v>2561.0</v>
      </c>
      <c r="AE579" s="3">
        <v>2388.0</v>
      </c>
      <c r="AF579" s="3">
        <v>2640.0</v>
      </c>
      <c r="AG579" s="3">
        <v>3068.0</v>
      </c>
      <c r="AH579" s="3">
        <v>3060.0</v>
      </c>
      <c r="AI579" s="3">
        <v>2432.0</v>
      </c>
      <c r="AJ579" s="3">
        <v>3202.0</v>
      </c>
      <c r="AK579" s="3">
        <v>2341.0</v>
      </c>
      <c r="AL579" s="3">
        <v>2495.0</v>
      </c>
      <c r="AM579" s="3">
        <v>2464.0</v>
      </c>
      <c r="AN579" s="3">
        <v>2443.0</v>
      </c>
      <c r="AO579" s="3">
        <v>2717.0</v>
      </c>
      <c r="AP579" s="3">
        <v>3648.0</v>
      </c>
      <c r="AQ579" s="3">
        <v>3105.0</v>
      </c>
      <c r="AR579" s="3">
        <v>3018.0</v>
      </c>
      <c r="AS579" s="3">
        <v>3161.0</v>
      </c>
      <c r="AT579" s="3">
        <v>3404.0</v>
      </c>
      <c r="AU579" s="3">
        <v>3352.0</v>
      </c>
      <c r="AV579" s="3">
        <v>3200.0</v>
      </c>
      <c r="AW579" s="3">
        <v>1806.0</v>
      </c>
      <c r="AX579" s="3">
        <v>1751.0</v>
      </c>
      <c r="AY579" s="3">
        <v>2789.0</v>
      </c>
      <c r="AZ579" s="3">
        <v>3014.0</v>
      </c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1"/>
      <c r="BT579" s="8"/>
      <c r="BU579" s="8"/>
      <c r="BV579" s="1"/>
      <c r="BW579" s="1"/>
      <c r="BX579" s="1"/>
      <c r="BY579" s="1"/>
      <c r="BZ579" s="1"/>
    </row>
    <row r="580">
      <c r="A580" s="3"/>
      <c r="B580" s="33" t="s">
        <v>117</v>
      </c>
      <c r="C580" s="133"/>
      <c r="D580" s="133" t="s">
        <v>349</v>
      </c>
      <c r="E580" s="2"/>
      <c r="F580" s="2"/>
      <c r="G580" s="14"/>
      <c r="H580" s="14"/>
      <c r="I580" s="14"/>
      <c r="J580" s="14"/>
      <c r="K580" s="1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>
        <v>2015.0</v>
      </c>
      <c r="AA580" s="3">
        <v>1397.0</v>
      </c>
      <c r="AB580" s="3">
        <v>1482.0</v>
      </c>
      <c r="AC580" s="3">
        <v>1430.0</v>
      </c>
      <c r="AD580" s="3">
        <v>1904.0</v>
      </c>
      <c r="AE580" s="3">
        <v>1489.0</v>
      </c>
      <c r="AF580" s="3">
        <v>1566.0</v>
      </c>
      <c r="AG580" s="3">
        <v>2270.0</v>
      </c>
      <c r="AH580" s="3">
        <v>2218.0</v>
      </c>
      <c r="AI580" s="3">
        <v>1749.0</v>
      </c>
      <c r="AJ580" s="3">
        <v>2315.0</v>
      </c>
      <c r="AK580" s="3">
        <v>1964.0</v>
      </c>
      <c r="AL580" s="3">
        <v>1924.0</v>
      </c>
      <c r="AM580" s="3">
        <v>2070.0</v>
      </c>
      <c r="AN580" s="3">
        <v>1888.0</v>
      </c>
      <c r="AO580" s="3">
        <v>2422.0</v>
      </c>
      <c r="AP580" s="3">
        <v>2763.0</v>
      </c>
      <c r="AQ580" s="3">
        <v>2692.0</v>
      </c>
      <c r="AR580" s="3">
        <v>2598.0</v>
      </c>
      <c r="AS580" s="3">
        <v>2469.0</v>
      </c>
      <c r="AT580" s="3">
        <v>2451.0</v>
      </c>
      <c r="AU580" s="3">
        <v>2843.0</v>
      </c>
      <c r="AV580" s="3">
        <v>2333.0</v>
      </c>
      <c r="AW580" s="3">
        <v>1587.0</v>
      </c>
      <c r="AX580" s="3">
        <v>1042.0</v>
      </c>
      <c r="AY580" s="3">
        <v>1839.0</v>
      </c>
      <c r="AZ580" s="3">
        <v>1800.0</v>
      </c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1"/>
      <c r="BT580" s="72" t="s">
        <v>203</v>
      </c>
      <c r="BU580" s="9"/>
      <c r="BV580" s="1"/>
      <c r="BW580" s="1"/>
      <c r="BX580" s="1"/>
      <c r="BY580" s="1"/>
      <c r="BZ580" s="1"/>
    </row>
    <row r="581">
      <c r="A581" s="3"/>
      <c r="B581" s="33"/>
      <c r="C581" s="133"/>
      <c r="D581" s="133" t="s">
        <v>350</v>
      </c>
      <c r="E581" s="2"/>
      <c r="F581" s="2"/>
      <c r="G581" s="14"/>
      <c r="H581" s="14"/>
      <c r="I581" s="14"/>
      <c r="J581" s="14"/>
      <c r="K581" s="1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>
        <v>24455.0</v>
      </c>
      <c r="AA581" s="3">
        <v>24890.0</v>
      </c>
      <c r="AB581" s="3">
        <v>26604.0</v>
      </c>
      <c r="AC581" s="3">
        <v>27541.0</v>
      </c>
      <c r="AD581" s="3">
        <v>25843.0</v>
      </c>
      <c r="AE581" s="3">
        <v>25350.0</v>
      </c>
      <c r="AF581" s="3">
        <v>23800.0</v>
      </c>
      <c r="AG581" s="3">
        <v>22586.0</v>
      </c>
      <c r="AH581" s="3">
        <v>21620.0</v>
      </c>
      <c r="AI581" s="3">
        <v>23189.0</v>
      </c>
      <c r="AJ581" s="3">
        <v>21600.0</v>
      </c>
      <c r="AK581" s="3">
        <v>21011.0</v>
      </c>
      <c r="AL581" s="3">
        <v>21443.0</v>
      </c>
      <c r="AM581" s="3">
        <v>22105.0</v>
      </c>
      <c r="AN581" s="3">
        <v>25719.0</v>
      </c>
      <c r="AO581" s="3">
        <v>23681.0</v>
      </c>
      <c r="AP581" s="3">
        <v>29159.0</v>
      </c>
      <c r="AQ581" s="3">
        <v>30929.0</v>
      </c>
      <c r="AR581" s="3">
        <v>30553.0</v>
      </c>
      <c r="AS581" s="3">
        <v>32714.0</v>
      </c>
      <c r="AT581" s="3">
        <v>33333.0</v>
      </c>
      <c r="AU581" s="3">
        <v>32933.0</v>
      </c>
      <c r="AV581" s="3">
        <v>31015.0</v>
      </c>
      <c r="AW581" s="3">
        <v>29489.0</v>
      </c>
      <c r="AX581" s="3">
        <v>28182.0</v>
      </c>
      <c r="AY581" s="3">
        <v>26045.0</v>
      </c>
      <c r="AZ581" s="3">
        <v>25659.0</v>
      </c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1"/>
      <c r="BT581" s="8"/>
      <c r="BU581" s="8"/>
      <c r="BV581" s="1"/>
      <c r="BW581" s="1"/>
      <c r="BX581" s="1"/>
      <c r="BY581" s="1"/>
      <c r="BZ581" s="1"/>
    </row>
    <row r="582">
      <c r="A582" s="3"/>
      <c r="B582" s="33"/>
      <c r="C582" s="133"/>
      <c r="D582" s="133" t="s">
        <v>351</v>
      </c>
      <c r="E582" s="2"/>
      <c r="F582" s="2"/>
      <c r="G582" s="14"/>
      <c r="H582" s="14"/>
      <c r="I582" s="14"/>
      <c r="J582" s="14"/>
      <c r="K582" s="1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>
        <v>24321.0</v>
      </c>
      <c r="AA582" s="3">
        <v>24746.0</v>
      </c>
      <c r="AB582" s="3">
        <v>26455.0</v>
      </c>
      <c r="AC582" s="3">
        <v>27451.0</v>
      </c>
      <c r="AD582" s="3">
        <v>25749.0</v>
      </c>
      <c r="AE582" s="3">
        <v>25256.0</v>
      </c>
      <c r="AF582" s="3">
        <v>23707.0</v>
      </c>
      <c r="AG582" s="3">
        <v>22484.0</v>
      </c>
      <c r="AH582" s="3">
        <v>21497.0</v>
      </c>
      <c r="AI582" s="3">
        <v>23063.0</v>
      </c>
      <c r="AJ582" s="3">
        <v>21517.0</v>
      </c>
      <c r="AK582" s="3">
        <v>20934.0</v>
      </c>
      <c r="AL582" s="3">
        <v>21355.0</v>
      </c>
      <c r="AM582" s="3">
        <v>22044.0</v>
      </c>
      <c r="AN582" s="3">
        <v>25620.0</v>
      </c>
      <c r="AO582" s="3">
        <v>23584.0</v>
      </c>
      <c r="AP582" s="3">
        <v>29040.0</v>
      </c>
      <c r="AQ582" s="3">
        <v>30766.0</v>
      </c>
      <c r="AR582" s="3">
        <v>30398.0</v>
      </c>
      <c r="AS582" s="3">
        <v>32566.0</v>
      </c>
      <c r="AT582" s="3">
        <v>33194.0</v>
      </c>
      <c r="AU582" s="3">
        <v>32805.0</v>
      </c>
      <c r="AV582" s="3">
        <v>30922.0</v>
      </c>
      <c r="AW582" s="3">
        <v>29378.0</v>
      </c>
      <c r="AX582" s="3">
        <v>28069.0</v>
      </c>
      <c r="AY582" s="3">
        <v>25961.0</v>
      </c>
      <c r="AZ582" s="3">
        <v>25564.0</v>
      </c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1"/>
      <c r="BT582" s="8"/>
      <c r="BU582" s="8"/>
      <c r="BV582" s="1"/>
      <c r="BW582" s="1"/>
      <c r="BX582" s="1"/>
      <c r="BY582" s="1"/>
      <c r="BZ582" s="1"/>
    </row>
    <row r="583">
      <c r="A583" s="3"/>
      <c r="B583" s="33"/>
      <c r="C583" s="133"/>
      <c r="D583" s="133" t="s">
        <v>352</v>
      </c>
      <c r="E583" s="2"/>
      <c r="F583" s="2"/>
      <c r="G583" s="14"/>
      <c r="H583" s="14"/>
      <c r="I583" s="14"/>
      <c r="J583" s="14"/>
      <c r="K583" s="1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>
        <v>134.0</v>
      </c>
      <c r="AA583" s="3">
        <v>144.0</v>
      </c>
      <c r="AB583" s="3">
        <v>149.0</v>
      </c>
      <c r="AC583" s="3">
        <v>90.0</v>
      </c>
      <c r="AD583" s="3">
        <v>94.0</v>
      </c>
      <c r="AE583" s="3">
        <v>94.0</v>
      </c>
      <c r="AF583" s="3">
        <v>93.0</v>
      </c>
      <c r="AG583" s="3">
        <v>102.0</v>
      </c>
      <c r="AH583" s="3">
        <v>123.0</v>
      </c>
      <c r="AI583" s="3">
        <v>126.0</v>
      </c>
      <c r="AJ583" s="3">
        <v>83.0</v>
      </c>
      <c r="AK583" s="3">
        <v>77.0</v>
      </c>
      <c r="AL583" s="3">
        <v>88.0</v>
      </c>
      <c r="AM583" s="3">
        <v>61.0</v>
      </c>
      <c r="AN583" s="3">
        <v>99.0</v>
      </c>
      <c r="AO583" s="3">
        <v>97.0</v>
      </c>
      <c r="AP583" s="3">
        <v>119.0</v>
      </c>
      <c r="AQ583" s="3">
        <v>163.0</v>
      </c>
      <c r="AR583" s="3">
        <v>155.0</v>
      </c>
      <c r="AS583" s="3">
        <v>148.0</v>
      </c>
      <c r="AT583" s="3">
        <v>139.0</v>
      </c>
      <c r="AU583" s="3">
        <v>128.0</v>
      </c>
      <c r="AV583" s="3">
        <v>93.0</v>
      </c>
      <c r="AW583" s="3">
        <v>111.0</v>
      </c>
      <c r="AX583" s="3">
        <v>113.0</v>
      </c>
      <c r="AY583" s="3">
        <v>84.0</v>
      </c>
      <c r="AZ583" s="3">
        <v>95.0</v>
      </c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1"/>
      <c r="BT583" s="8"/>
      <c r="BU583" s="8"/>
      <c r="BV583" s="1"/>
      <c r="BW583" s="1"/>
      <c r="BX583" s="1"/>
      <c r="BY583" s="1"/>
      <c r="BZ583" s="1"/>
    </row>
    <row r="584">
      <c r="A584" s="3"/>
      <c r="B584" s="33"/>
      <c r="C584" s="4"/>
      <c r="D584" s="4"/>
      <c r="E584" s="134"/>
      <c r="F584" s="134"/>
      <c r="G584" s="14"/>
      <c r="H584" s="14"/>
      <c r="I584" s="14"/>
      <c r="J584" s="14"/>
      <c r="K584" s="14"/>
      <c r="L584" s="1"/>
      <c r="M584" s="1"/>
      <c r="N584" s="1"/>
      <c r="O584" s="1"/>
      <c r="P584" s="1"/>
      <c r="Q584" s="1"/>
      <c r="R584" s="1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9"/>
      <c r="BU584" s="9"/>
      <c r="BV584" s="1"/>
      <c r="BW584" s="1"/>
      <c r="BX584" s="1"/>
      <c r="BY584" s="1"/>
      <c r="BZ584" s="1"/>
    </row>
    <row r="585">
      <c r="A585" s="3"/>
      <c r="B585" s="33"/>
      <c r="C585" s="5"/>
      <c r="D585" s="5" t="s">
        <v>356</v>
      </c>
      <c r="E585" s="134"/>
      <c r="F585" s="134"/>
      <c r="G585" s="14"/>
      <c r="H585" s="14"/>
      <c r="I585" s="14"/>
      <c r="J585" s="14"/>
      <c r="K585" s="14"/>
      <c r="L585" s="1"/>
      <c r="M585" s="1"/>
      <c r="N585" s="1"/>
      <c r="O585" s="1"/>
      <c r="P585" s="1"/>
      <c r="Q585" s="1"/>
      <c r="R585" s="1"/>
      <c r="S585" s="74">
        <v>1.1827028E7</v>
      </c>
      <c r="T585" s="74">
        <v>1.6624738E7</v>
      </c>
      <c r="U585" s="74">
        <v>1.5271425E7</v>
      </c>
      <c r="V585" s="74">
        <v>1.5286526E7</v>
      </c>
      <c r="W585" s="74">
        <v>1.4557105E7</v>
      </c>
      <c r="X585" s="74">
        <v>1.5398681E7</v>
      </c>
      <c r="Y585" s="74">
        <v>1.8588979E7</v>
      </c>
      <c r="Z585" s="74">
        <v>1.7410831E7</v>
      </c>
      <c r="AA585" s="74">
        <v>1.2686725E7</v>
      </c>
      <c r="AB585" s="74">
        <v>1.3185464E7</v>
      </c>
      <c r="AC585" s="74">
        <v>1.3519446E7</v>
      </c>
      <c r="AD585" s="74">
        <v>1.718787E7</v>
      </c>
      <c r="AE585" s="74">
        <v>1.5168951E7</v>
      </c>
      <c r="AF585" s="74">
        <v>1.3528955E7</v>
      </c>
      <c r="AG585" s="74">
        <v>1.988785E7</v>
      </c>
      <c r="AH585" s="74">
        <v>1.8350046E7</v>
      </c>
      <c r="AI585" s="74">
        <v>1.4582604E7</v>
      </c>
      <c r="AJ585" s="74">
        <v>2.0287542E7</v>
      </c>
      <c r="AK585" s="74">
        <v>1.9470638E7</v>
      </c>
      <c r="AL585" s="74">
        <v>1.6057924E7</v>
      </c>
      <c r="AM585" s="74">
        <v>1.8270717E7</v>
      </c>
      <c r="AN585" s="74">
        <v>1.8157262E7</v>
      </c>
      <c r="AO585" s="74">
        <v>2.1196421E7</v>
      </c>
      <c r="AP585" s="74">
        <v>2.4044572E7</v>
      </c>
      <c r="AQ585" s="74">
        <v>2.5681294E7</v>
      </c>
      <c r="AR585" s="74">
        <v>2.5132941E7</v>
      </c>
      <c r="AS585" s="74">
        <v>2.2474943E7</v>
      </c>
      <c r="AT585" s="74">
        <v>2.3002292E7</v>
      </c>
      <c r="AU585" s="74">
        <v>3.005869E7</v>
      </c>
      <c r="AV585" s="74">
        <v>2.0783004E7</v>
      </c>
      <c r="AW585" s="74">
        <v>1.5019935E7</v>
      </c>
      <c r="AX585" s="74">
        <v>1.6490091E7</v>
      </c>
      <c r="AY585" s="74">
        <v>1.7479843E7</v>
      </c>
      <c r="AZ585" s="74">
        <v>1.6634021E7</v>
      </c>
      <c r="BA585" s="3">
        <v>1.6074025E7</v>
      </c>
      <c r="BB585" s="74">
        <v>1.3745142E7</v>
      </c>
      <c r="BC585" s="74">
        <v>1.8235063E7</v>
      </c>
      <c r="BD585" s="74">
        <v>1.5906742E7</v>
      </c>
      <c r="BE585" s="74">
        <v>1.362794E7</v>
      </c>
      <c r="BF585" s="74">
        <v>2.281231E7</v>
      </c>
      <c r="BG585" s="74">
        <v>1.7196648E7</v>
      </c>
      <c r="BH585" s="74">
        <v>2.8768597E7</v>
      </c>
      <c r="BI585" s="74">
        <v>1.5103576E7</v>
      </c>
      <c r="BJ585" s="3">
        <v>1.5706141E7</v>
      </c>
      <c r="BK585" s="3">
        <v>1.518424E7</v>
      </c>
      <c r="BL585" s="3"/>
      <c r="BM585" s="3"/>
      <c r="BN585" s="3"/>
      <c r="BO585" s="3"/>
      <c r="BP585" s="3"/>
      <c r="BQ585" s="3"/>
      <c r="BR585" s="3"/>
      <c r="BS585" s="1"/>
      <c r="BT585" s="9"/>
      <c r="BU585" s="9"/>
      <c r="BV585" s="1"/>
      <c r="BW585" s="1"/>
      <c r="BX585" s="1"/>
      <c r="BY585" s="1"/>
      <c r="BZ585" s="1"/>
    </row>
    <row r="586">
      <c r="A586" s="3"/>
      <c r="B586" s="33"/>
      <c r="C586" s="4"/>
      <c r="D586" s="4" t="s">
        <v>332</v>
      </c>
      <c r="E586" s="134"/>
      <c r="F586" s="134"/>
      <c r="G586" s="14"/>
      <c r="H586" s="14"/>
      <c r="I586" s="14"/>
      <c r="J586" s="14"/>
      <c r="K586" s="14"/>
      <c r="L586" s="1"/>
      <c r="M586" s="1"/>
      <c r="N586" s="1"/>
      <c r="O586" s="1"/>
      <c r="P586" s="1"/>
      <c r="Q586" s="1"/>
      <c r="R586" s="1"/>
      <c r="S586" s="74">
        <v>1.1976451E7</v>
      </c>
      <c r="T586" s="74">
        <v>1.3586618E7</v>
      </c>
      <c r="U586" s="74">
        <v>1.4609387E7</v>
      </c>
      <c r="V586" s="74">
        <v>1.5309159E7</v>
      </c>
      <c r="W586" s="74">
        <v>1.3514382E7</v>
      </c>
      <c r="X586" s="74">
        <v>1.5218487E7</v>
      </c>
      <c r="Y586" s="74">
        <v>1.6340369E7</v>
      </c>
      <c r="Z586" s="74">
        <v>1.6097138E7</v>
      </c>
      <c r="AA586" s="74">
        <v>1.5290107E7</v>
      </c>
      <c r="AB586" s="74">
        <v>1.2405521E7</v>
      </c>
      <c r="AC586" s="74">
        <v>1.3343548E7</v>
      </c>
      <c r="AD586" s="74">
        <v>1.4610168E7</v>
      </c>
      <c r="AE586" s="74">
        <v>1.5407723E7</v>
      </c>
      <c r="AF586" s="74">
        <v>1.3812061E7</v>
      </c>
      <c r="AG586" s="74">
        <v>1.5347566E7</v>
      </c>
      <c r="AH586" s="74">
        <v>1.8831836E7</v>
      </c>
      <c r="AI586" s="74">
        <v>1.6020318E7</v>
      </c>
      <c r="AJ586" s="74">
        <v>1.576942E7</v>
      </c>
      <c r="AK586" s="74">
        <v>1.7799077E7</v>
      </c>
      <c r="AL586" s="74">
        <v>1.7146814E7</v>
      </c>
      <c r="AM586" s="74">
        <v>1.6202515E7</v>
      </c>
      <c r="AN586" s="74">
        <v>1.6265348E7</v>
      </c>
      <c r="AO586" s="74">
        <v>2.0145411E7</v>
      </c>
      <c r="AP586" s="74">
        <v>2.1719028E7</v>
      </c>
      <c r="AQ586" s="74">
        <v>2.1775882E7</v>
      </c>
      <c r="AR586" s="74">
        <v>2.4038821E7</v>
      </c>
      <c r="AS586" s="74">
        <v>2.3995686E7</v>
      </c>
      <c r="AT586" s="74">
        <v>2.0577902E7</v>
      </c>
      <c r="AU586" s="74">
        <v>2.2433842E7</v>
      </c>
      <c r="AV586" s="74">
        <v>2.0150399E7</v>
      </c>
      <c r="AW586" s="74">
        <v>1.5497982E7</v>
      </c>
      <c r="AX586" s="74">
        <v>1.6544736E7</v>
      </c>
      <c r="AY586" s="74">
        <v>1.6814911E7</v>
      </c>
      <c r="AZ586" s="74">
        <v>1.5699348E7</v>
      </c>
      <c r="BA586" s="74">
        <v>1.5873964E7</v>
      </c>
      <c r="BB586" s="74">
        <v>1.4541388E7</v>
      </c>
      <c r="BC586" s="74">
        <v>1.4881907E7</v>
      </c>
      <c r="BD586" s="74">
        <v>1.6721599E7</v>
      </c>
      <c r="BE586" s="74">
        <v>1.3708892E7</v>
      </c>
      <c r="BF586" s="74">
        <v>1.705092E7</v>
      </c>
      <c r="BG586" s="74">
        <v>1.7403561E7</v>
      </c>
      <c r="BH586" s="74">
        <v>2.1598332E7</v>
      </c>
      <c r="BI586" s="74">
        <v>1.7207211E7</v>
      </c>
      <c r="BJ586" s="74">
        <v>1.4679299E7</v>
      </c>
      <c r="BK586" s="74">
        <v>1.5644518E7</v>
      </c>
      <c r="BL586" s="74"/>
      <c r="BM586" s="74"/>
      <c r="BN586" s="74"/>
      <c r="BO586" s="74"/>
      <c r="BP586" s="74"/>
      <c r="BQ586" s="74"/>
      <c r="BR586" s="74"/>
      <c r="BS586" s="1"/>
      <c r="BT586" s="72" t="s">
        <v>203</v>
      </c>
      <c r="BU586" s="9"/>
      <c r="BV586" s="1"/>
      <c r="BW586" s="1"/>
      <c r="BX586" s="1"/>
      <c r="BY586" s="1"/>
      <c r="BZ586" s="1"/>
    </row>
    <row r="587">
      <c r="A587" s="3"/>
      <c r="B587" s="33"/>
      <c r="C587" s="168"/>
      <c r="D587" s="168" t="s">
        <v>335</v>
      </c>
      <c r="E587" s="101"/>
      <c r="F587" s="101"/>
      <c r="G587" s="101"/>
      <c r="H587" s="101"/>
      <c r="I587" s="101"/>
      <c r="J587" s="101"/>
      <c r="K587" s="101"/>
      <c r="L587" s="16"/>
      <c r="M587" s="1"/>
      <c r="N587" s="1"/>
      <c r="O587" s="1"/>
      <c r="P587" s="1"/>
      <c r="Q587" s="1"/>
      <c r="R587" s="1"/>
      <c r="S587" s="74">
        <v>1.2740905E7</v>
      </c>
      <c r="T587" s="74">
        <v>1.4453849E7</v>
      </c>
      <c r="U587" s="74">
        <v>1.5541901E7</v>
      </c>
      <c r="V587" s="74">
        <v>1.6286339E7</v>
      </c>
      <c r="W587" s="74">
        <v>1.4377002E7</v>
      </c>
      <c r="X587" s="74">
        <v>1.618988E7</v>
      </c>
      <c r="Y587" s="74">
        <v>1.7383371E7</v>
      </c>
      <c r="Z587" s="74">
        <v>1.7124615E7</v>
      </c>
      <c r="AA587" s="74">
        <v>1.6266071E7</v>
      </c>
      <c r="AB587" s="74">
        <v>1.3197363E7</v>
      </c>
      <c r="AC587" s="74">
        <v>1.4195264E7</v>
      </c>
      <c r="AD587" s="74">
        <v>1.5542732E7</v>
      </c>
      <c r="AE587" s="74">
        <v>1.6391195E7</v>
      </c>
      <c r="AF587" s="74">
        <v>1.4693682E7</v>
      </c>
      <c r="AG587" s="74">
        <v>1.6327198E7</v>
      </c>
      <c r="AH587" s="74">
        <v>2.0033868E7</v>
      </c>
      <c r="AI587" s="74">
        <v>1.7042891E7</v>
      </c>
      <c r="AJ587" s="74">
        <v>1.6775979E7</v>
      </c>
      <c r="AK587" s="74">
        <v>1.8935188E7</v>
      </c>
      <c r="AL587" s="74">
        <v>1.8241291E7</v>
      </c>
      <c r="AM587" s="74">
        <v>1.7236718E7</v>
      </c>
      <c r="AN587" s="74">
        <v>1.7303562E7</v>
      </c>
      <c r="AO587" s="74">
        <v>2.1431288E7</v>
      </c>
      <c r="AP587" s="74">
        <v>2.3105349E7</v>
      </c>
      <c r="AQ587" s="74">
        <v>2.3165832E7</v>
      </c>
      <c r="AR587" s="74">
        <v>2.5573214E7</v>
      </c>
      <c r="AS587" s="74">
        <v>2.5527326E7</v>
      </c>
      <c r="AT587" s="74">
        <v>2.1891385E7</v>
      </c>
      <c r="AU587" s="74">
        <v>2.3865789E7</v>
      </c>
      <c r="AV587" s="74">
        <v>2.1436595E7</v>
      </c>
      <c r="AW587" s="74">
        <v>1.6487215E7</v>
      </c>
      <c r="AX587" s="74">
        <v>1.7600783E7</v>
      </c>
      <c r="AY587" s="74">
        <v>1.7888203E7</v>
      </c>
      <c r="AZ587" s="74">
        <v>1.6701434E7</v>
      </c>
      <c r="BA587" s="74">
        <v>1.6887196E7</v>
      </c>
      <c r="BB587" s="74">
        <v>1.5469562E7</v>
      </c>
      <c r="BC587" s="74">
        <v>1.5831816E7</v>
      </c>
      <c r="BD587" s="74">
        <v>1.7788935E7</v>
      </c>
      <c r="BE587" s="74">
        <v>1.4583928E7</v>
      </c>
      <c r="BF587" s="74">
        <v>1.8139277E7</v>
      </c>
      <c r="BG587" s="74">
        <v>1.8514427E7</v>
      </c>
      <c r="BH587" s="74">
        <v>2.2976949E7</v>
      </c>
      <c r="BI587" s="74">
        <v>1.8305544E7</v>
      </c>
      <c r="BJ587" s="74">
        <v>1.5616276E7</v>
      </c>
      <c r="BK587" s="74">
        <v>1.6643104E7</v>
      </c>
      <c r="BL587" s="74"/>
      <c r="BM587" s="74"/>
      <c r="BN587" s="74"/>
      <c r="BO587" s="74"/>
      <c r="BP587" s="74"/>
      <c r="BQ587" s="74"/>
      <c r="BR587" s="74"/>
      <c r="BS587" s="1"/>
      <c r="BT587" s="72" t="s">
        <v>203</v>
      </c>
      <c r="BU587" s="9"/>
      <c r="BV587" s="1"/>
      <c r="BW587" s="1"/>
      <c r="BX587" s="1"/>
      <c r="BY587" s="1"/>
      <c r="BZ587" s="1"/>
    </row>
    <row r="588">
      <c r="A588" s="3"/>
      <c r="B588" s="33" t="s">
        <v>117</v>
      </c>
      <c r="C588" s="50"/>
      <c r="D588" s="50" t="s">
        <v>357</v>
      </c>
      <c r="E588" s="101"/>
      <c r="F588" s="101"/>
      <c r="G588" s="101"/>
      <c r="H588" s="101"/>
      <c r="I588" s="101"/>
      <c r="J588" s="101"/>
      <c r="K588" s="101"/>
      <c r="L588" s="16"/>
      <c r="M588" s="1"/>
      <c r="N588" s="1"/>
      <c r="O588" s="1"/>
      <c r="P588" s="1"/>
      <c r="Q588" s="1"/>
      <c r="R588" s="1"/>
      <c r="S588" s="33">
        <v>0.0277</v>
      </c>
      <c r="T588" s="33">
        <v>0.0691</v>
      </c>
      <c r="U588" s="33">
        <v>0.1386</v>
      </c>
      <c r="V588" s="33">
        <v>0.1655</v>
      </c>
      <c r="W588" s="33">
        <v>0.1077</v>
      </c>
      <c r="X588" s="33">
        <v>0.1038</v>
      </c>
      <c r="Y588" s="33">
        <v>0.12</v>
      </c>
      <c r="Z588" s="33">
        <v>0.1549</v>
      </c>
      <c r="AA588" s="33">
        <v>0.1214</v>
      </c>
      <c r="AB588" s="33">
        <v>0.0465</v>
      </c>
      <c r="AC588" s="33">
        <v>0.0489</v>
      </c>
      <c r="AD588" s="33">
        <v>0.1015</v>
      </c>
      <c r="AE588" s="33">
        <v>0.1091</v>
      </c>
      <c r="AF588" s="33">
        <v>0.0465</v>
      </c>
      <c r="AG588" s="33">
        <v>0.0851</v>
      </c>
      <c r="AH588" s="33">
        <v>0.1551</v>
      </c>
      <c r="AI588" s="33">
        <v>0.1035</v>
      </c>
      <c r="AJ588" s="33">
        <v>0.0655</v>
      </c>
      <c r="AK588" s="33">
        <v>0.1176</v>
      </c>
      <c r="AL588" s="33">
        <v>0.0583</v>
      </c>
      <c r="AM588" s="33">
        <v>0.0757</v>
      </c>
      <c r="AN588" s="33">
        <v>0.049</v>
      </c>
      <c r="AO588" s="33">
        <v>0.0787</v>
      </c>
      <c r="AP588" s="33">
        <v>0.1415</v>
      </c>
      <c r="AQ588" s="33">
        <v>0.159</v>
      </c>
      <c r="AR588" s="33">
        <v>0.1975</v>
      </c>
      <c r="AS588" s="33">
        <v>0.165</v>
      </c>
      <c r="AT588" s="33">
        <v>0.0819</v>
      </c>
      <c r="AU588" s="33">
        <v>0.1266</v>
      </c>
      <c r="AV588" s="33">
        <v>0.0427</v>
      </c>
      <c r="AW588" s="33">
        <v>0.0362</v>
      </c>
      <c r="AX588" s="33">
        <v>0.0227</v>
      </c>
      <c r="AY588" s="33">
        <v>-0.0335</v>
      </c>
      <c r="AZ588" s="33">
        <v>-0.0577</v>
      </c>
      <c r="BA588" s="33">
        <v>-0.0437</v>
      </c>
      <c r="BB588" s="33">
        <v>-0.0506</v>
      </c>
      <c r="BC588" s="33">
        <v>-0.056</v>
      </c>
      <c r="BD588" s="33">
        <v>-0.0532</v>
      </c>
      <c r="BE588" s="33">
        <v>-0.1001</v>
      </c>
      <c r="BF588" s="33">
        <v>0.221</v>
      </c>
      <c r="BG588" s="33">
        <v>0.0718</v>
      </c>
      <c r="BH588" s="33">
        <v>0.2004</v>
      </c>
      <c r="BI588" s="33">
        <v>0.0484</v>
      </c>
      <c r="BJ588" s="33">
        <v>-0.0386</v>
      </c>
      <c r="BK588" s="33">
        <v>-0.0746</v>
      </c>
      <c r="BL588" s="33"/>
      <c r="BM588" s="33"/>
      <c r="BN588" s="33"/>
      <c r="BO588" s="33"/>
      <c r="BP588" s="33"/>
      <c r="BQ588" s="33"/>
      <c r="BR588" s="33"/>
      <c r="BS588" s="1"/>
      <c r="BT588" s="72" t="s">
        <v>203</v>
      </c>
      <c r="BU588" s="9"/>
      <c r="BV588" s="1"/>
      <c r="BW588" s="1"/>
      <c r="BX588" s="1"/>
      <c r="BY588" s="1"/>
      <c r="BZ588" s="1"/>
    </row>
    <row r="589">
      <c r="A589" s="3"/>
      <c r="B589" s="33" t="s">
        <v>117</v>
      </c>
      <c r="C589" s="50"/>
      <c r="D589" s="50" t="s">
        <v>358</v>
      </c>
      <c r="E589" s="40"/>
      <c r="F589" s="40"/>
      <c r="G589" s="40"/>
      <c r="H589" s="40"/>
      <c r="I589" s="40"/>
      <c r="J589" s="40"/>
      <c r="K589" s="40"/>
      <c r="L589" s="40"/>
      <c r="M589" s="1"/>
      <c r="N589" s="1"/>
      <c r="O589" s="1"/>
      <c r="P589" s="1"/>
      <c r="Q589" s="1"/>
      <c r="R589" s="1"/>
      <c r="S589" s="33">
        <v>0.0933</v>
      </c>
      <c r="T589" s="33">
        <v>0.1373</v>
      </c>
      <c r="U589" s="33">
        <v>0.2113</v>
      </c>
      <c r="V589" s="33">
        <v>0.2399</v>
      </c>
      <c r="W589" s="33">
        <v>0.1784</v>
      </c>
      <c r="X589" s="33">
        <v>0.1742</v>
      </c>
      <c r="Y589" s="33">
        <v>0.1915</v>
      </c>
      <c r="Z589" s="33">
        <v>0.2287</v>
      </c>
      <c r="AA589" s="33">
        <v>0.1929</v>
      </c>
      <c r="AB589" s="33">
        <v>0.1132</v>
      </c>
      <c r="AC589" s="33">
        <v>0.1158</v>
      </c>
      <c r="AD589" s="33">
        <v>0.1718</v>
      </c>
      <c r="AE589" s="33">
        <v>0.1798</v>
      </c>
      <c r="AF589" s="33">
        <v>0.1132</v>
      </c>
      <c r="AG589" s="33">
        <v>0.1543</v>
      </c>
      <c r="AH589" s="33">
        <v>0.2292</v>
      </c>
      <c r="AI589" s="33">
        <v>0.1739</v>
      </c>
      <c r="AJ589" s="33">
        <v>0.1336</v>
      </c>
      <c r="AK589" s="33">
        <v>0.1889</v>
      </c>
      <c r="AL589" s="33">
        <v>0.1258</v>
      </c>
      <c r="AM589" s="33">
        <v>0.1443</v>
      </c>
      <c r="AN589" s="33">
        <v>0.116</v>
      </c>
      <c r="AO589" s="33">
        <v>0.1476</v>
      </c>
      <c r="AP589" s="33">
        <v>0.2144</v>
      </c>
      <c r="AQ589" s="33">
        <v>0.233</v>
      </c>
      <c r="AR589" s="33">
        <v>0.2739</v>
      </c>
      <c r="AS589" s="33">
        <v>0.2394</v>
      </c>
      <c r="AT589" s="33">
        <v>0.151</v>
      </c>
      <c r="AU589" s="33">
        <v>0.1986</v>
      </c>
      <c r="AV589" s="33">
        <v>0.1093</v>
      </c>
      <c r="AW589" s="33">
        <v>0.1023</v>
      </c>
      <c r="AX589" s="33">
        <v>0.0879</v>
      </c>
      <c r="AY589" s="33">
        <v>0.0282</v>
      </c>
      <c r="AZ589" s="33">
        <v>0.0024</v>
      </c>
      <c r="BA589" s="33">
        <v>0.0173</v>
      </c>
      <c r="BB589" s="33">
        <v>0.0789</v>
      </c>
      <c r="BC589" s="33">
        <v>0.0727</v>
      </c>
      <c r="BD589" s="33">
        <v>0.0759</v>
      </c>
      <c r="BE589" s="33">
        <v>0.0226</v>
      </c>
      <c r="BF589" s="33">
        <v>0.3876</v>
      </c>
      <c r="BG589" s="33">
        <v>0.2179</v>
      </c>
      <c r="BH589" s="33">
        <v>0.3641</v>
      </c>
      <c r="BI589" s="33">
        <v>0.1914</v>
      </c>
      <c r="BJ589" s="33">
        <v>0.0925</v>
      </c>
      <c r="BK589" s="33">
        <v>0.0515</v>
      </c>
      <c r="BL589" s="33"/>
      <c r="BM589" s="33"/>
      <c r="BN589" s="33"/>
      <c r="BO589" s="33"/>
      <c r="BP589" s="33"/>
      <c r="BQ589" s="33"/>
      <c r="BR589" s="33"/>
      <c r="BS589" s="1"/>
      <c r="BT589" s="72" t="s">
        <v>203</v>
      </c>
      <c r="BU589" s="9"/>
      <c r="BV589" s="1"/>
      <c r="BW589" s="1"/>
      <c r="BX589" s="1"/>
      <c r="BY589" s="1"/>
      <c r="BZ589" s="1"/>
    </row>
    <row r="590">
      <c r="A590" s="3"/>
      <c r="B590" s="33" t="s">
        <v>117</v>
      </c>
      <c r="C590" s="3"/>
      <c r="D590" s="3" t="s">
        <v>333</v>
      </c>
      <c r="E590" s="40"/>
      <c r="F590" s="40"/>
      <c r="G590" s="40"/>
      <c r="H590" s="40"/>
      <c r="I590" s="40"/>
      <c r="J590" s="40"/>
      <c r="K590" s="40"/>
      <c r="L590" s="40"/>
      <c r="M590" s="1"/>
      <c r="N590" s="1"/>
      <c r="O590" s="1"/>
      <c r="P590" s="1"/>
      <c r="Q590" s="1"/>
      <c r="R590" s="1"/>
      <c r="S590" s="74">
        <v>323187.0</v>
      </c>
      <c r="T590" s="74">
        <v>877816.0</v>
      </c>
      <c r="U590" s="74">
        <v>1778805.0</v>
      </c>
      <c r="V590" s="74">
        <v>2174180.0</v>
      </c>
      <c r="W590" s="74">
        <v>1313648.0</v>
      </c>
      <c r="X590" s="74">
        <v>1430567.0</v>
      </c>
      <c r="Y590" s="74">
        <v>1750553.0</v>
      </c>
      <c r="Z590" s="74">
        <v>2159394.0</v>
      </c>
      <c r="AA590" s="74">
        <v>1653885.0</v>
      </c>
      <c r="AB590" s="74">
        <v>550688.0</v>
      </c>
      <c r="AC590" s="74">
        <v>621664.0</v>
      </c>
      <c r="AD590" s="74">
        <v>1345927.0</v>
      </c>
      <c r="AE590" s="74">
        <v>1515857.0</v>
      </c>
      <c r="AF590" s="74">
        <v>613115.0</v>
      </c>
      <c r="AG590" s="74">
        <v>1203424.0</v>
      </c>
      <c r="AH590" s="74">
        <v>2534051.0</v>
      </c>
      <c r="AI590" s="74">
        <v>1502113.0</v>
      </c>
      <c r="AJ590" s="74">
        <v>969965.0</v>
      </c>
      <c r="AK590" s="74">
        <v>1872356.0</v>
      </c>
      <c r="AL590" s="74">
        <v>944053.0</v>
      </c>
      <c r="AM590" s="74">
        <v>1139976.0</v>
      </c>
      <c r="AN590" s="74">
        <v>759941.0</v>
      </c>
      <c r="AO590" s="74">
        <v>1470318.0</v>
      </c>
      <c r="AP590" s="74">
        <v>2692185.0</v>
      </c>
      <c r="AQ590" s="74">
        <v>3086357.0</v>
      </c>
      <c r="AR590" s="74">
        <v>3964439.0</v>
      </c>
      <c r="AS590" s="74">
        <v>3399283.0</v>
      </c>
      <c r="AT590" s="74">
        <v>1558062.0</v>
      </c>
      <c r="AU590" s="74">
        <v>2521694.0</v>
      </c>
      <c r="AV590" s="74">
        <v>825164.0</v>
      </c>
      <c r="AW590" s="74">
        <v>541411.0</v>
      </c>
      <c r="AX590" s="74">
        <v>366642.0</v>
      </c>
      <c r="AY590" s="74">
        <v>-582907.0</v>
      </c>
      <c r="AZ590" s="74">
        <v>-962177.0</v>
      </c>
      <c r="BA590" s="74">
        <v>-725281.0</v>
      </c>
      <c r="BB590" s="74">
        <v>-774339.0</v>
      </c>
      <c r="BC590" s="74">
        <v>-882853.0</v>
      </c>
      <c r="BD590" s="74">
        <v>-939814.0</v>
      </c>
      <c r="BE590" s="74">
        <v>-1525373.0</v>
      </c>
      <c r="BF590" s="74">
        <v>3086768.0</v>
      </c>
      <c r="BG590" s="74">
        <v>1165336.0</v>
      </c>
      <c r="BH590" s="74">
        <v>3605393.0</v>
      </c>
      <c r="BI590" s="74">
        <v>794932.0</v>
      </c>
      <c r="BJ590" s="74">
        <v>-589799.0</v>
      </c>
      <c r="BK590" s="74">
        <v>-1261905.0</v>
      </c>
      <c r="BL590" s="74"/>
      <c r="BM590" s="74"/>
      <c r="BN590" s="74"/>
      <c r="BO590" s="74"/>
      <c r="BP590" s="74"/>
      <c r="BQ590" s="74"/>
      <c r="BR590" s="74"/>
      <c r="BS590" s="1"/>
      <c r="BT590" s="72" t="s">
        <v>203</v>
      </c>
      <c r="BU590" s="9"/>
      <c r="BV590" s="1"/>
      <c r="BW590" s="1"/>
      <c r="BX590" s="1"/>
      <c r="BY590" s="1"/>
      <c r="BZ590" s="1"/>
    </row>
    <row r="591">
      <c r="A591" s="3"/>
      <c r="B591" s="33" t="s">
        <v>117</v>
      </c>
      <c r="C591" s="3"/>
      <c r="D591" s="3" t="s">
        <v>359</v>
      </c>
      <c r="E591" s="124"/>
      <c r="F591" s="124"/>
      <c r="G591" s="124"/>
      <c r="H591" s="124"/>
      <c r="I591" s="124"/>
      <c r="J591" s="124"/>
      <c r="K591" s="124"/>
      <c r="L591" s="124"/>
      <c r="M591" s="1"/>
      <c r="N591" s="1"/>
      <c r="O591" s="1"/>
      <c r="P591" s="1"/>
      <c r="Q591" s="1"/>
      <c r="R591" s="1"/>
      <c r="S591" s="74">
        <v>1087641.32</v>
      </c>
      <c r="T591" s="74">
        <v>1745046.94</v>
      </c>
      <c r="U591" s="74">
        <v>2711319.06</v>
      </c>
      <c r="V591" s="74">
        <v>3151360.36</v>
      </c>
      <c r="W591" s="74">
        <v>2176268.13</v>
      </c>
      <c r="X591" s="74">
        <v>2401959.79</v>
      </c>
      <c r="Y591" s="74">
        <v>2793555.28</v>
      </c>
      <c r="Z591" s="74">
        <v>3186870.89</v>
      </c>
      <c r="AA591" s="74">
        <v>2629350.64</v>
      </c>
      <c r="AB591" s="74">
        <v>1342529.77</v>
      </c>
      <c r="AC591" s="74">
        <v>1473379.83</v>
      </c>
      <c r="AD591" s="74">
        <v>2278490.91</v>
      </c>
      <c r="AE591" s="74">
        <v>2496990.4</v>
      </c>
      <c r="AF591" s="74">
        <v>1494735.91</v>
      </c>
      <c r="AG591" s="74">
        <v>2183055.87</v>
      </c>
      <c r="AH591" s="74">
        <v>3736083.09</v>
      </c>
      <c r="AI591" s="74">
        <v>2524686.49</v>
      </c>
      <c r="AJ591" s="74">
        <v>1976523.72</v>
      </c>
      <c r="AK591" s="74">
        <v>3008467.3</v>
      </c>
      <c r="AL591" s="74">
        <v>2038530.49</v>
      </c>
      <c r="AM591" s="74">
        <v>2174179.09</v>
      </c>
      <c r="AN591" s="74">
        <v>1798154.7</v>
      </c>
      <c r="AO591" s="74">
        <v>2756195.3</v>
      </c>
      <c r="AP591" s="74">
        <v>4078505.94</v>
      </c>
      <c r="AQ591" s="74">
        <v>4522206.6</v>
      </c>
      <c r="AR591" s="74">
        <v>5498831.83</v>
      </c>
      <c r="AS591" s="74">
        <v>4930922.53</v>
      </c>
      <c r="AT591" s="74">
        <v>2871545.11</v>
      </c>
      <c r="AU591" s="74">
        <v>3953641.36</v>
      </c>
      <c r="AV591" s="74">
        <v>2111359.68</v>
      </c>
      <c r="AW591" s="74">
        <v>1530643.89</v>
      </c>
      <c r="AX591" s="74">
        <v>1422688.98</v>
      </c>
      <c r="AY591" s="74">
        <v>490385.19</v>
      </c>
      <c r="AZ591" s="74">
        <v>39909.04</v>
      </c>
      <c r="BA591" s="74">
        <v>287950.74</v>
      </c>
      <c r="BB591" s="74">
        <v>1208577.55</v>
      </c>
      <c r="BC591" s="74">
        <v>1146497.95</v>
      </c>
      <c r="BD591" s="74">
        <v>1340404.05</v>
      </c>
      <c r="BE591" s="74">
        <v>344021.36</v>
      </c>
      <c r="BF591" s="74">
        <v>5411893.45</v>
      </c>
      <c r="BG591" s="74">
        <v>3538548.86</v>
      </c>
      <c r="BH591" s="74">
        <v>6550620.09</v>
      </c>
      <c r="BI591" s="74">
        <v>3141369.86</v>
      </c>
      <c r="BJ591" s="74">
        <v>1411923.59</v>
      </c>
      <c r="BK591" s="74">
        <v>871438.36</v>
      </c>
      <c r="BL591" s="74"/>
      <c r="BM591" s="74"/>
      <c r="BN591" s="74"/>
      <c r="BO591" s="74"/>
      <c r="BP591" s="74"/>
      <c r="BQ591" s="74"/>
      <c r="BR591" s="74"/>
      <c r="BS591" s="1"/>
      <c r="BT591" s="72" t="s">
        <v>203</v>
      </c>
      <c r="BU591" s="9"/>
      <c r="BV591" s="1"/>
      <c r="BW591" s="1"/>
      <c r="BX591" s="1"/>
      <c r="BY591" s="1"/>
      <c r="BZ591" s="1"/>
    </row>
    <row r="592">
      <c r="A592" s="3"/>
      <c r="B592" s="33" t="s">
        <v>117</v>
      </c>
      <c r="C592" s="3"/>
      <c r="D592" s="3" t="s">
        <v>360</v>
      </c>
      <c r="E592" s="78"/>
      <c r="F592" s="78"/>
      <c r="G592" s="78"/>
      <c r="H592" s="78"/>
      <c r="I592" s="78"/>
      <c r="J592" s="78"/>
      <c r="K592" s="169"/>
      <c r="L592" s="169"/>
      <c r="M592" s="1"/>
      <c r="N592" s="1"/>
      <c r="O592" s="1"/>
      <c r="P592" s="1"/>
      <c r="Q592" s="1"/>
      <c r="R592" s="1"/>
      <c r="S592" s="132">
        <f t="shared" ref="S592:AS592" si="166">S591-S590</f>
        <v>764454.32</v>
      </c>
      <c r="T592" s="132">
        <f t="shared" si="166"/>
        <v>867230.94</v>
      </c>
      <c r="U592" s="132">
        <f t="shared" si="166"/>
        <v>932514.06</v>
      </c>
      <c r="V592" s="132">
        <f t="shared" si="166"/>
        <v>977180.36</v>
      </c>
      <c r="W592" s="132">
        <f t="shared" si="166"/>
        <v>862620.13</v>
      </c>
      <c r="X592" s="132">
        <f t="shared" si="166"/>
        <v>971392.79</v>
      </c>
      <c r="Y592" s="132">
        <f t="shared" si="166"/>
        <v>1043002.28</v>
      </c>
      <c r="Z592" s="132">
        <f t="shared" si="166"/>
        <v>1027476.89</v>
      </c>
      <c r="AA592" s="132">
        <f t="shared" si="166"/>
        <v>975465.64</v>
      </c>
      <c r="AB592" s="132">
        <f t="shared" si="166"/>
        <v>791841.77</v>
      </c>
      <c r="AC592" s="132">
        <f t="shared" si="166"/>
        <v>851715.83</v>
      </c>
      <c r="AD592" s="132">
        <f t="shared" si="166"/>
        <v>932563.91</v>
      </c>
      <c r="AE592" s="132">
        <f t="shared" si="166"/>
        <v>981133.4</v>
      </c>
      <c r="AF592" s="132">
        <f t="shared" si="166"/>
        <v>881620.91</v>
      </c>
      <c r="AG592" s="132">
        <f t="shared" si="166"/>
        <v>979631.87</v>
      </c>
      <c r="AH592" s="132">
        <f t="shared" si="166"/>
        <v>1202032.09</v>
      </c>
      <c r="AI592" s="132">
        <f t="shared" si="166"/>
        <v>1022573.49</v>
      </c>
      <c r="AJ592" s="132">
        <f t="shared" si="166"/>
        <v>1006558.72</v>
      </c>
      <c r="AK592" s="132">
        <f t="shared" si="166"/>
        <v>1136111.3</v>
      </c>
      <c r="AL592" s="132">
        <f t="shared" si="166"/>
        <v>1094477.49</v>
      </c>
      <c r="AM592" s="132">
        <f t="shared" si="166"/>
        <v>1034203.09</v>
      </c>
      <c r="AN592" s="132">
        <f t="shared" si="166"/>
        <v>1038213.7</v>
      </c>
      <c r="AO592" s="132">
        <f t="shared" si="166"/>
        <v>1285877.3</v>
      </c>
      <c r="AP592" s="132">
        <f t="shared" si="166"/>
        <v>1386320.94</v>
      </c>
      <c r="AQ592" s="132">
        <f t="shared" si="166"/>
        <v>1435849.6</v>
      </c>
      <c r="AR592" s="132">
        <f t="shared" si="166"/>
        <v>1534392.83</v>
      </c>
      <c r="AS592" s="132">
        <f t="shared" si="166"/>
        <v>1531639.53</v>
      </c>
      <c r="AT592" s="74">
        <v>1313483.11</v>
      </c>
      <c r="AU592" s="74">
        <v>1431947.36</v>
      </c>
      <c r="AV592" s="74">
        <v>1286195.68</v>
      </c>
      <c r="AW592" s="74">
        <v>989232.89</v>
      </c>
      <c r="AX592" s="74">
        <v>1056046.98</v>
      </c>
      <c r="AY592" s="74">
        <v>1073292.19</v>
      </c>
      <c r="AZ592" s="74">
        <v>1002086.04</v>
      </c>
      <c r="BA592" s="74">
        <v>1013231.74</v>
      </c>
      <c r="BB592" s="74">
        <v>1982916.55</v>
      </c>
      <c r="BC592" s="74">
        <v>2029350.95</v>
      </c>
      <c r="BD592" s="74">
        <v>2280218.05</v>
      </c>
      <c r="BE592" s="74">
        <v>1869394.36</v>
      </c>
      <c r="BF592" s="74">
        <v>2325125.45</v>
      </c>
      <c r="BG592" s="74">
        <v>2373212.86</v>
      </c>
      <c r="BH592" s="74">
        <v>2945227.09</v>
      </c>
      <c r="BI592" s="74">
        <v>2346437.86</v>
      </c>
      <c r="BJ592" s="74">
        <v>2001722.59</v>
      </c>
      <c r="BK592" s="74">
        <v>2133343.36</v>
      </c>
      <c r="BL592" s="74"/>
      <c r="BM592" s="74"/>
      <c r="BN592" s="74"/>
      <c r="BO592" s="74"/>
      <c r="BP592" s="74"/>
      <c r="BQ592" s="74"/>
      <c r="BR592" s="74"/>
      <c r="BS592" s="1"/>
      <c r="BT592" s="72" t="s">
        <v>203</v>
      </c>
      <c r="BU592" s="9"/>
      <c r="BV592" s="1"/>
      <c r="BW592" s="1"/>
      <c r="BX592" s="1"/>
      <c r="BY592" s="1"/>
      <c r="BZ592" s="1"/>
    </row>
    <row r="593">
      <c r="A593" s="3"/>
      <c r="B593" s="33"/>
      <c r="C593" s="3"/>
      <c r="D593" s="3" t="s">
        <v>361</v>
      </c>
      <c r="E593" s="40"/>
      <c r="F593" s="134"/>
      <c r="G593" s="101"/>
      <c r="H593" s="101"/>
      <c r="I593" s="101"/>
      <c r="J593" s="101"/>
      <c r="K593" s="101"/>
      <c r="L593" s="16"/>
      <c r="M593" s="16"/>
      <c r="N593" s="16"/>
      <c r="O593" s="1"/>
      <c r="P593" s="1"/>
      <c r="Q593" s="1"/>
      <c r="R593" s="1"/>
      <c r="S593" s="3">
        <v>57661.0</v>
      </c>
      <c r="T593" s="3">
        <v>56264.0</v>
      </c>
      <c r="U593" s="3">
        <v>60495.0</v>
      </c>
      <c r="V593" s="3">
        <v>61534.0</v>
      </c>
      <c r="W593" s="3">
        <v>54033.0</v>
      </c>
      <c r="X593" s="3">
        <v>63660.0</v>
      </c>
      <c r="Y593" s="3">
        <v>68424.0</v>
      </c>
      <c r="Z593" s="3">
        <v>76427.0</v>
      </c>
      <c r="AA593" s="3">
        <v>73579.0</v>
      </c>
      <c r="AB593" s="3">
        <v>86668.0</v>
      </c>
      <c r="AC593" s="3">
        <v>80862.0</v>
      </c>
      <c r="AD593" s="3">
        <v>74688.0</v>
      </c>
      <c r="AE593" s="3">
        <v>74388.0</v>
      </c>
      <c r="AF593" s="74">
        <v>70080.0</v>
      </c>
      <c r="AG593" s="74">
        <v>71341.0</v>
      </c>
      <c r="AH593" s="74">
        <v>71216.0</v>
      </c>
      <c r="AI593" s="74">
        <v>79742.0</v>
      </c>
      <c r="AJ593" s="74">
        <v>70695.0</v>
      </c>
      <c r="AK593" s="74">
        <v>68468.0</v>
      </c>
      <c r="AL593" s="74">
        <v>73440.0</v>
      </c>
      <c r="AM593" s="74">
        <v>86010.0</v>
      </c>
      <c r="AN593" s="74">
        <v>109202.0</v>
      </c>
      <c r="AO593" s="74">
        <v>108903.0</v>
      </c>
      <c r="AP593" s="74">
        <v>121296.0</v>
      </c>
      <c r="AQ593" s="74">
        <v>127991.0</v>
      </c>
      <c r="AR593" s="74">
        <v>129999.0</v>
      </c>
      <c r="AS593" s="74">
        <v>152547.0</v>
      </c>
      <c r="AT593" s="74">
        <v>153611.0</v>
      </c>
      <c r="AU593" s="74">
        <v>155910.0</v>
      </c>
      <c r="AV593" s="74">
        <v>152073.0</v>
      </c>
      <c r="AW593" s="74">
        <v>143480.0</v>
      </c>
      <c r="AX593" s="74">
        <v>135568.0</v>
      </c>
      <c r="AY593" s="74">
        <v>121558.0</v>
      </c>
      <c r="AZ593" s="74">
        <v>117185.0</v>
      </c>
      <c r="BA593" s="74">
        <v>113686.0</v>
      </c>
      <c r="BB593" s="74">
        <v>110186.0</v>
      </c>
      <c r="BC593" s="74">
        <v>103020.0</v>
      </c>
      <c r="BD593" s="74">
        <v>97952.0</v>
      </c>
      <c r="BE593" s="74">
        <v>100228.0</v>
      </c>
      <c r="BF593" s="74">
        <v>94241.0</v>
      </c>
      <c r="BG593" s="74">
        <v>87928.0</v>
      </c>
      <c r="BH593" s="74">
        <v>77021.0</v>
      </c>
      <c r="BI593" s="74">
        <v>71721.0</v>
      </c>
      <c r="BJ593" s="74">
        <v>66030.0</v>
      </c>
      <c r="BK593" s="74">
        <v>64063.0</v>
      </c>
      <c r="BL593" s="74"/>
      <c r="BM593" s="74"/>
      <c r="BN593" s="74"/>
      <c r="BO593" s="74"/>
      <c r="BP593" s="74"/>
      <c r="BQ593" s="74"/>
      <c r="BR593" s="74"/>
      <c r="BS593" s="74"/>
      <c r="BT593" s="72" t="s">
        <v>203</v>
      </c>
      <c r="BU593" s="9"/>
      <c r="BV593" s="1"/>
      <c r="BW593" s="170" t="s">
        <v>203</v>
      </c>
      <c r="BX593" s="1"/>
      <c r="BY593" s="1"/>
      <c r="BZ593" s="1"/>
    </row>
    <row r="594">
      <c r="A594" s="3"/>
      <c r="B594" s="33"/>
      <c r="C594" s="3"/>
      <c r="D594" s="3" t="s">
        <v>362</v>
      </c>
      <c r="E594" s="40"/>
      <c r="F594" s="134"/>
      <c r="G594" s="101"/>
      <c r="H594" s="101"/>
      <c r="I594" s="101"/>
      <c r="J594" s="101"/>
      <c r="K594" s="101"/>
      <c r="L594" s="16"/>
      <c r="M594" s="16"/>
      <c r="N594" s="16"/>
      <c r="O594" s="1"/>
      <c r="P594" s="1"/>
      <c r="Q594" s="1"/>
      <c r="R594" s="1"/>
      <c r="S594" s="3">
        <v>6791.0</v>
      </c>
      <c r="T594" s="3">
        <v>11372.0</v>
      </c>
      <c r="U594" s="3">
        <v>10651.0</v>
      </c>
      <c r="V594" s="3">
        <v>10615.0</v>
      </c>
      <c r="W594" s="3">
        <v>8466.0</v>
      </c>
      <c r="X594" s="3">
        <v>9075.0</v>
      </c>
      <c r="Y594" s="3">
        <v>10267.0</v>
      </c>
      <c r="Z594" s="3">
        <v>9385.0</v>
      </c>
      <c r="AA594" s="3">
        <v>7640.0</v>
      </c>
      <c r="AB594" s="3">
        <v>7984.0</v>
      </c>
      <c r="AC594" s="3">
        <v>8812.0</v>
      </c>
      <c r="AD594" s="3">
        <v>10705.0</v>
      </c>
      <c r="AE594" s="3">
        <v>9385.0</v>
      </c>
      <c r="AF594" s="74">
        <v>8157.0</v>
      </c>
      <c r="AG594" s="74">
        <v>11542.0</v>
      </c>
      <c r="AH594" s="74">
        <v>10563.0</v>
      </c>
      <c r="AI594" s="74">
        <v>8511.0</v>
      </c>
      <c r="AJ594" s="74">
        <v>12556.0</v>
      </c>
      <c r="AK594" s="74">
        <v>13171.0</v>
      </c>
      <c r="AL594" s="74">
        <v>10316.0</v>
      </c>
      <c r="AM594" s="74">
        <v>11088.0</v>
      </c>
      <c r="AN594" s="74">
        <v>11302.0</v>
      </c>
      <c r="AO594" s="74">
        <v>12645.0</v>
      </c>
      <c r="AP594" s="74">
        <v>13851.0</v>
      </c>
      <c r="AQ594" s="74">
        <v>14800.0</v>
      </c>
      <c r="AR594" s="74">
        <v>16771.0</v>
      </c>
      <c r="AS594" s="74">
        <v>14200.0</v>
      </c>
      <c r="AT594" s="74">
        <v>13831.0</v>
      </c>
      <c r="AU594" s="74">
        <v>18257.0</v>
      </c>
      <c r="AV594" s="74">
        <v>12794.0</v>
      </c>
      <c r="AW594" s="74">
        <v>9834.0</v>
      </c>
      <c r="AX594" s="74">
        <v>11608.0</v>
      </c>
      <c r="AY594" s="74">
        <v>65589.0</v>
      </c>
      <c r="AZ594" s="74">
        <v>11223.0</v>
      </c>
      <c r="BA594" s="74">
        <v>11544.0</v>
      </c>
      <c r="BB594" s="74">
        <v>10338.0</v>
      </c>
      <c r="BC594" s="74">
        <v>12808.0</v>
      </c>
      <c r="BD594" s="74">
        <v>11156.0</v>
      </c>
      <c r="BE594" s="74">
        <v>10975.0</v>
      </c>
      <c r="BF594" s="74">
        <v>15158.0</v>
      </c>
      <c r="BG594" s="74">
        <v>11991.0</v>
      </c>
      <c r="BH594" s="74">
        <v>16599.0</v>
      </c>
      <c r="BI594" s="74">
        <v>10456.0</v>
      </c>
      <c r="BJ594" s="74">
        <v>10784.0</v>
      </c>
      <c r="BK594" s="74">
        <v>10757.0</v>
      </c>
      <c r="BL594" s="74"/>
      <c r="BM594" s="74"/>
      <c r="BN594" s="74"/>
      <c r="BO594" s="74"/>
      <c r="BP594" s="74"/>
      <c r="BQ594" s="74"/>
      <c r="BR594" s="74"/>
      <c r="BS594" s="74"/>
      <c r="BT594" s="72" t="s">
        <v>203</v>
      </c>
      <c r="BU594" s="9"/>
      <c r="BV594" s="1"/>
      <c r="BW594" s="3" t="s">
        <v>354</v>
      </c>
      <c r="BX594" s="1"/>
      <c r="BY594" s="1"/>
      <c r="BZ594" s="1"/>
    </row>
    <row r="595">
      <c r="A595" s="3"/>
      <c r="B595" s="33"/>
      <c r="C595" s="3"/>
      <c r="D595" s="3" t="s">
        <v>202</v>
      </c>
      <c r="E595" s="40"/>
      <c r="F595" s="134"/>
      <c r="G595" s="40"/>
      <c r="H595" s="40"/>
      <c r="I595" s="40"/>
      <c r="J595" s="40"/>
      <c r="K595" s="40"/>
      <c r="L595" s="33"/>
      <c r="M595" s="33"/>
      <c r="N595" s="33"/>
      <c r="O595" s="1"/>
      <c r="P595" s="1"/>
      <c r="Q595" s="1"/>
      <c r="R595" s="1"/>
      <c r="S595" s="3">
        <v>59.0</v>
      </c>
      <c r="T595" s="3">
        <v>35.0</v>
      </c>
      <c r="U595" s="3">
        <v>40.0</v>
      </c>
      <c r="V595" s="3">
        <v>41.0</v>
      </c>
      <c r="W595" s="3">
        <v>45.0</v>
      </c>
      <c r="X595" s="3">
        <v>49.0</v>
      </c>
      <c r="Y595" s="3">
        <v>47.0</v>
      </c>
      <c r="Z595" s="3">
        <v>57.0</v>
      </c>
      <c r="AA595" s="3">
        <v>67.0</v>
      </c>
      <c r="AB595" s="3">
        <v>76.0</v>
      </c>
      <c r="AC595" s="69">
        <v>64.0</v>
      </c>
      <c r="AD595" s="3">
        <v>49.0</v>
      </c>
      <c r="AE595" s="3">
        <v>55.0</v>
      </c>
      <c r="AF595" s="3">
        <v>60.0</v>
      </c>
      <c r="AG595" s="3">
        <v>43.0</v>
      </c>
      <c r="AH595" s="3">
        <v>47.0</v>
      </c>
      <c r="AI595" s="3">
        <v>66.0</v>
      </c>
      <c r="AJ595" s="3">
        <v>39.0</v>
      </c>
      <c r="AK595" s="3">
        <v>36.0</v>
      </c>
      <c r="AL595" s="3">
        <v>50.0</v>
      </c>
      <c r="AM595" s="3">
        <v>54.0</v>
      </c>
      <c r="AN595" s="3">
        <v>68.0</v>
      </c>
      <c r="AO595" s="3">
        <v>60.0</v>
      </c>
      <c r="AP595" s="3">
        <v>61.0</v>
      </c>
      <c r="AQ595" s="3">
        <v>61.0</v>
      </c>
      <c r="AR595" s="3">
        <v>54.0</v>
      </c>
      <c r="AS595" s="3">
        <v>75.0</v>
      </c>
      <c r="AT595" s="3">
        <v>78.0</v>
      </c>
      <c r="AU595" s="3">
        <v>60.0</v>
      </c>
      <c r="AV595" s="3">
        <v>83.0</v>
      </c>
      <c r="AW595" s="3">
        <v>102.0</v>
      </c>
      <c r="AX595" s="3">
        <v>82.0</v>
      </c>
      <c r="AY595" s="3">
        <v>13.0</v>
      </c>
      <c r="AZ595" s="3">
        <v>73.0</v>
      </c>
      <c r="BA595" s="3">
        <v>69.0</v>
      </c>
      <c r="BB595" s="3">
        <v>75.0</v>
      </c>
      <c r="BC595" s="3">
        <v>56.0</v>
      </c>
      <c r="BD595" s="3">
        <v>61.0</v>
      </c>
      <c r="BE595" s="3">
        <v>64.0</v>
      </c>
      <c r="BF595" s="3">
        <v>44.0</v>
      </c>
      <c r="BG595" s="3">
        <v>51.0</v>
      </c>
      <c r="BH595" s="3">
        <v>32.0</v>
      </c>
      <c r="BI595" s="3">
        <v>48.0</v>
      </c>
      <c r="BJ595" s="3">
        <v>43.0</v>
      </c>
      <c r="BK595" s="3">
        <v>42.0</v>
      </c>
      <c r="BL595" s="3"/>
      <c r="BM595" s="3"/>
      <c r="BN595" s="3"/>
      <c r="BO595" s="3"/>
      <c r="BP595" s="3"/>
      <c r="BQ595" s="3"/>
      <c r="BR595" s="3"/>
      <c r="BS595" s="3"/>
      <c r="BT595" s="72" t="s">
        <v>203</v>
      </c>
      <c r="BU595" s="9"/>
      <c r="BV595" s="1"/>
      <c r="BW595" s="3" t="s">
        <v>354</v>
      </c>
      <c r="BX595" s="1"/>
      <c r="BY595" s="1"/>
      <c r="BZ595" s="1"/>
    </row>
    <row r="596">
      <c r="A596" s="3"/>
      <c r="B596" s="33"/>
      <c r="C596" s="3"/>
      <c r="D596" s="3" t="s">
        <v>363</v>
      </c>
      <c r="E596" s="40"/>
      <c r="F596" s="134"/>
      <c r="G596" s="40"/>
      <c r="H596" s="40"/>
      <c r="I596" s="40"/>
      <c r="J596" s="40"/>
      <c r="K596" s="40"/>
      <c r="L596" s="33"/>
      <c r="M596" s="33"/>
      <c r="N596" s="33"/>
      <c r="O596" s="1"/>
      <c r="P596" s="1"/>
      <c r="Q596" s="1"/>
      <c r="R596" s="1"/>
      <c r="S596" s="74">
        <v>5.4349776E7</v>
      </c>
      <c r="T596" s="74">
        <v>5.4407319E7</v>
      </c>
      <c r="U596" s="74">
        <v>6.1667338E7</v>
      </c>
      <c r="V596" s="74">
        <v>6.4650887E7</v>
      </c>
      <c r="W596" s="74">
        <v>5.8971241E7</v>
      </c>
      <c r="X596" s="74">
        <v>6.3586126E7</v>
      </c>
      <c r="Y596" s="74">
        <v>6.6117877E7</v>
      </c>
      <c r="Z596" s="74">
        <v>7.0409522E7</v>
      </c>
      <c r="AA596" s="74">
        <v>6.8432782E7</v>
      </c>
      <c r="AB596" s="74">
        <v>6.7607661E7</v>
      </c>
      <c r="AC596" s="74">
        <v>6.4266888E7</v>
      </c>
      <c r="AD596" s="74">
        <v>5.9517206E7</v>
      </c>
      <c r="AE596" s="74">
        <v>5.8560437E7</v>
      </c>
      <c r="AF596" s="74">
        <v>5.5550007E7</v>
      </c>
      <c r="AG596" s="74">
        <v>5.43601E7</v>
      </c>
      <c r="AH596" s="74">
        <v>5.2950567E7</v>
      </c>
      <c r="AI596" s="74">
        <v>5.7847393E7</v>
      </c>
      <c r="AJ596" s="74">
        <v>5.2695511E7</v>
      </c>
      <c r="AK596" s="74">
        <v>5.1382697E7</v>
      </c>
      <c r="AL596" s="74">
        <v>5.213185E7</v>
      </c>
      <c r="AM596" s="74">
        <v>5.5263883E7</v>
      </c>
      <c r="AN596" s="74">
        <v>6.7584749E7</v>
      </c>
      <c r="AO596" s="74">
        <v>6.803875E7</v>
      </c>
      <c r="AP596" s="74">
        <v>7.6230686E7</v>
      </c>
      <c r="AQ596" s="74">
        <v>7.8924529E7</v>
      </c>
      <c r="AR596" s="74">
        <v>8.430078E7</v>
      </c>
      <c r="AS596" s="74">
        <v>9.6026241E7</v>
      </c>
      <c r="AT596" s="74">
        <v>9.4623551E7</v>
      </c>
      <c r="AU596" s="74">
        <v>9.5706399E7</v>
      </c>
      <c r="AV596" s="74">
        <v>9.372853E7</v>
      </c>
      <c r="AW596" s="74">
        <v>8.8933074E7</v>
      </c>
      <c r="AX596" s="74">
        <v>8.4674028E7</v>
      </c>
      <c r="AY596" s="74">
        <v>7.7684259E7</v>
      </c>
      <c r="AZ596" s="74">
        <v>7.5405591E7</v>
      </c>
      <c r="BA596" s="74">
        <v>7.2722581E7</v>
      </c>
      <c r="BB596" s="74">
        <v>7.0039571E7</v>
      </c>
      <c r="BC596" s="74">
        <v>6.5590686E7</v>
      </c>
      <c r="BD596" s="74">
        <v>6.307743E7</v>
      </c>
      <c r="BE596" s="74">
        <v>6.453175E7</v>
      </c>
      <c r="BF596" s="74">
        <v>6.0231751E7</v>
      </c>
      <c r="BG596" s="74">
        <v>5.6714537E7</v>
      </c>
      <c r="BH596" s="74">
        <v>4.9215696E7</v>
      </c>
      <c r="BI596" s="74">
        <v>4.6615681E7</v>
      </c>
      <c r="BJ596" s="74">
        <v>4.3757665E7</v>
      </c>
      <c r="BK596" s="74">
        <v>4.1795269E7</v>
      </c>
      <c r="BL596" s="74"/>
      <c r="BM596" s="74"/>
      <c r="BN596" s="74"/>
      <c r="BO596" s="74"/>
      <c r="BP596" s="74"/>
      <c r="BQ596" s="74"/>
      <c r="BR596" s="74"/>
      <c r="BS596" s="74"/>
      <c r="BT596" s="72" t="s">
        <v>203</v>
      </c>
      <c r="BU596" s="9"/>
      <c r="BV596" s="1"/>
      <c r="BW596" s="3" t="s">
        <v>354</v>
      </c>
      <c r="BX596" s="1"/>
      <c r="BY596" s="1"/>
      <c r="BZ596" s="1"/>
    </row>
    <row r="597">
      <c r="A597" s="3"/>
      <c r="B597" s="33"/>
      <c r="C597" s="106"/>
      <c r="D597" s="106"/>
      <c r="E597" s="134"/>
      <c r="F597" s="134"/>
      <c r="G597" s="14"/>
      <c r="H597" s="14"/>
      <c r="I597" s="14"/>
      <c r="J597" s="14"/>
      <c r="K597" s="1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32">
        <f t="shared" ref="AW597:BK597" si="167">AW592/AW4</f>
        <v>0.06614035329</v>
      </c>
      <c r="AX597" s="32">
        <f t="shared" si="167"/>
        <v>0.06527635736</v>
      </c>
      <c r="AY597" s="32">
        <f t="shared" si="167"/>
        <v>0.06169119541</v>
      </c>
      <c r="AZ597" s="32">
        <f t="shared" si="167"/>
        <v>0.0601473664</v>
      </c>
      <c r="BA597" s="32">
        <f t="shared" si="167"/>
        <v>0.06104083656</v>
      </c>
      <c r="BB597" s="32">
        <f t="shared" si="167"/>
        <v>0.1294693355</v>
      </c>
      <c r="BC597" s="32">
        <f t="shared" si="167"/>
        <v>0.1287270356</v>
      </c>
      <c r="BD597" s="32">
        <f t="shared" si="167"/>
        <v>0.1291073325</v>
      </c>
      <c r="BE597" s="32">
        <f t="shared" si="167"/>
        <v>0.1227098894</v>
      </c>
      <c r="BF597" s="32">
        <f t="shared" si="167"/>
        <v>0.1665067059</v>
      </c>
      <c r="BG597" s="32">
        <f t="shared" si="167"/>
        <v>0.1460987812</v>
      </c>
      <c r="BH597" s="32">
        <f t="shared" si="167"/>
        <v>0.163502826</v>
      </c>
      <c r="BI597" s="32">
        <f t="shared" si="167"/>
        <v>0.1428805519</v>
      </c>
      <c r="BJ597" s="32">
        <f t="shared" si="167"/>
        <v>0.1308646258</v>
      </c>
      <c r="BK597" s="32">
        <f t="shared" si="167"/>
        <v>0.1261473979</v>
      </c>
      <c r="BL597" s="1"/>
      <c r="BM597" s="1"/>
      <c r="BN597" s="1"/>
      <c r="BO597" s="1"/>
      <c r="BP597" s="1"/>
      <c r="BQ597" s="1"/>
      <c r="BR597" s="1"/>
      <c r="BS597" s="1"/>
      <c r="BT597" s="9"/>
      <c r="BU597" s="9"/>
      <c r="BV597" s="1"/>
      <c r="BW597" s="1"/>
      <c r="BX597" s="1"/>
      <c r="BY597" s="1"/>
      <c r="BZ597" s="1"/>
    </row>
    <row r="598">
      <c r="A598" s="3"/>
      <c r="B598" s="33"/>
      <c r="C598" s="106"/>
      <c r="D598" s="106"/>
      <c r="E598" s="134"/>
      <c r="F598" s="134"/>
      <c r="G598" s="14"/>
      <c r="H598" s="14"/>
      <c r="I598" s="14"/>
      <c r="J598" s="14"/>
      <c r="K598" s="1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9"/>
      <c r="BU598" s="9"/>
      <c r="BV598" s="1"/>
      <c r="BW598" s="1"/>
      <c r="BX598" s="1"/>
      <c r="BY598" s="1"/>
      <c r="BZ598" s="1"/>
    </row>
    <row r="599">
      <c r="A599" s="3"/>
      <c r="B599" s="33"/>
      <c r="C599" s="171"/>
      <c r="D599" s="171" t="s">
        <v>324</v>
      </c>
      <c r="E599" s="2"/>
      <c r="F599" s="2"/>
      <c r="G599" s="14"/>
      <c r="H599" s="14"/>
      <c r="I599" s="14"/>
      <c r="J599" s="14"/>
      <c r="K599" s="1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1"/>
      <c r="BT599" s="8"/>
      <c r="BU599" s="8"/>
      <c r="BV599" s="1"/>
      <c r="BW599" s="1"/>
      <c r="BX599" s="1"/>
      <c r="BY599" s="1"/>
      <c r="BZ599" s="1"/>
    </row>
    <row r="600">
      <c r="A600" s="3"/>
      <c r="B600" s="33"/>
      <c r="C600" s="172"/>
      <c r="D600" s="172" t="s">
        <v>289</v>
      </c>
      <c r="E600" s="2"/>
      <c r="F600" s="2"/>
      <c r="G600" s="14"/>
      <c r="H600" s="14"/>
      <c r="I600" s="14"/>
      <c r="J600" s="14"/>
      <c r="K600" s="1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  <c r="AA600" s="3"/>
      <c r="AB600" s="3"/>
      <c r="AC600" s="3">
        <v>80862.0</v>
      </c>
      <c r="AD600" s="3">
        <v>74688.0</v>
      </c>
      <c r="AE600" s="3">
        <v>74388.0</v>
      </c>
      <c r="AF600" s="3">
        <v>70080.0</v>
      </c>
      <c r="AG600" s="3">
        <v>71341.0</v>
      </c>
      <c r="AH600" s="3">
        <v>71216.0</v>
      </c>
      <c r="AI600" s="3">
        <v>79742.0</v>
      </c>
      <c r="AJ600" s="3">
        <v>70695.0</v>
      </c>
      <c r="AK600" s="3">
        <v>68468.0</v>
      </c>
      <c r="AL600" s="3">
        <v>73440.0</v>
      </c>
      <c r="AM600" s="3">
        <v>86010.0</v>
      </c>
      <c r="AN600" s="3">
        <v>109202.0</v>
      </c>
      <c r="AO600" s="3">
        <v>108903.0</v>
      </c>
      <c r="AP600" s="3">
        <v>121296.0</v>
      </c>
      <c r="AQ600" s="3">
        <v>127991.0</v>
      </c>
      <c r="AR600" s="3">
        <v>129999.0</v>
      </c>
      <c r="AS600" s="3">
        <v>152547.0</v>
      </c>
      <c r="AT600" s="3">
        <v>153611.0</v>
      </c>
      <c r="AU600" s="3">
        <v>155910.0</v>
      </c>
      <c r="AV600" s="3">
        <v>152073.0</v>
      </c>
      <c r="AW600" s="3">
        <v>143480.0</v>
      </c>
      <c r="AX600" s="3">
        <v>135568.0</v>
      </c>
      <c r="AY600" s="74">
        <v>121558.0</v>
      </c>
      <c r="AZ600" s="3">
        <v>117185.0</v>
      </c>
      <c r="BA600" s="3">
        <v>113686.0</v>
      </c>
      <c r="BB600" s="3">
        <v>110186.0</v>
      </c>
      <c r="BC600" s="3">
        <v>103020.0</v>
      </c>
      <c r="BD600" s="3">
        <v>97952.0</v>
      </c>
      <c r="BE600" s="3">
        <v>100228.0</v>
      </c>
      <c r="BF600" s="3">
        <v>94241.0</v>
      </c>
      <c r="BG600" s="3">
        <v>87928.0</v>
      </c>
      <c r="BH600" s="3">
        <v>77021.0</v>
      </c>
      <c r="BI600" s="3">
        <v>71721.0</v>
      </c>
      <c r="BJ600" s="3">
        <v>66030.0</v>
      </c>
      <c r="BK600" s="3">
        <v>64063.0</v>
      </c>
      <c r="BL600" s="3"/>
      <c r="BM600" s="3"/>
      <c r="BN600" s="3"/>
      <c r="BO600" s="3"/>
      <c r="BP600" s="3"/>
      <c r="BQ600" s="3"/>
      <c r="BR600" s="3"/>
      <c r="BS600" s="1"/>
      <c r="BT600" s="8"/>
      <c r="BU600" s="8"/>
      <c r="BV600" s="1"/>
      <c r="BW600" s="1"/>
      <c r="BX600" s="1"/>
      <c r="BY600" s="1"/>
      <c r="BZ600" s="1"/>
    </row>
    <row r="601">
      <c r="A601" s="3"/>
      <c r="B601" s="33"/>
      <c r="C601" s="159"/>
      <c r="D601" s="159"/>
      <c r="E601" s="2"/>
      <c r="F601" s="2"/>
      <c r="G601" s="14"/>
      <c r="H601" s="14"/>
      <c r="I601" s="14"/>
      <c r="J601" s="14"/>
      <c r="K601" s="1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1"/>
      <c r="BT601" s="8"/>
      <c r="BU601" s="8"/>
      <c r="BV601" s="1"/>
      <c r="BW601" s="1"/>
      <c r="BX601" s="1"/>
      <c r="BY601" s="1"/>
      <c r="BZ601" s="1"/>
    </row>
    <row r="602">
      <c r="A602" s="3"/>
      <c r="B602" s="33"/>
      <c r="C602" s="173"/>
      <c r="D602" s="173" t="s">
        <v>246</v>
      </c>
      <c r="E602" s="2"/>
      <c r="F602" s="2"/>
      <c r="G602" s="14"/>
      <c r="H602" s="14"/>
      <c r="I602" s="14"/>
      <c r="J602" s="14"/>
      <c r="K602" s="1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  <c r="AA602" s="3"/>
      <c r="AB602" s="3"/>
      <c r="AC602" s="3">
        <v>36950.0</v>
      </c>
      <c r="AD602" s="3">
        <v>33912.0</v>
      </c>
      <c r="AE602" s="3">
        <v>34878.0</v>
      </c>
      <c r="AF602" s="3">
        <v>32900.0</v>
      </c>
      <c r="AG602" s="3">
        <v>35293.0</v>
      </c>
      <c r="AH602" s="3">
        <v>36574.0</v>
      </c>
      <c r="AI602" s="3">
        <v>43139.0</v>
      </c>
      <c r="AJ602" s="3">
        <v>38104.0</v>
      </c>
      <c r="AK602" s="3">
        <v>37590.0</v>
      </c>
      <c r="AL602" s="3">
        <v>42233.0</v>
      </c>
      <c r="AM602" s="3">
        <v>50569.0</v>
      </c>
      <c r="AN602" s="3">
        <v>61951.0</v>
      </c>
      <c r="AO602" s="3">
        <v>57375.0</v>
      </c>
      <c r="AP602" s="3">
        <v>64159.0</v>
      </c>
      <c r="AQ602" s="3">
        <v>70095.0</v>
      </c>
      <c r="AR602" s="3">
        <v>73775.0</v>
      </c>
      <c r="AS602" s="3">
        <v>87389.0</v>
      </c>
      <c r="AT602" s="3">
        <v>86345.0</v>
      </c>
      <c r="AU602" s="3">
        <v>86703.0</v>
      </c>
      <c r="AV602" s="3">
        <v>83945.0</v>
      </c>
      <c r="AW602" s="3">
        <v>79628.0</v>
      </c>
      <c r="AX602" s="3">
        <v>75380.0</v>
      </c>
      <c r="AY602" s="3">
        <v>68045.0</v>
      </c>
      <c r="AZ602" s="3">
        <v>64783.0</v>
      </c>
      <c r="BA602" s="3">
        <v>62543.0</v>
      </c>
      <c r="BB602" s="3">
        <v>60302.0</v>
      </c>
      <c r="BC602" s="3">
        <v>55742.0</v>
      </c>
      <c r="BD602" s="3">
        <v>52994.0</v>
      </c>
      <c r="BE602" s="3">
        <v>52897.0</v>
      </c>
      <c r="BF602" s="3">
        <v>49909.0</v>
      </c>
      <c r="BG602" s="3">
        <v>47048.0</v>
      </c>
      <c r="BH602" s="3">
        <v>40269.0</v>
      </c>
      <c r="BI602" s="3">
        <v>37487.0</v>
      </c>
      <c r="BJ602" s="3">
        <v>33153.0</v>
      </c>
      <c r="BK602" s="3">
        <v>31904.0</v>
      </c>
      <c r="BL602" s="3"/>
      <c r="BM602" s="3"/>
      <c r="BN602" s="3"/>
      <c r="BO602" s="3"/>
      <c r="BP602" s="3"/>
      <c r="BQ602" s="3"/>
      <c r="BR602" s="3"/>
      <c r="BS602" s="1"/>
      <c r="BT602" s="8"/>
      <c r="BU602" s="8"/>
      <c r="BV602" s="1"/>
      <c r="BW602" s="1"/>
      <c r="BX602" s="1"/>
      <c r="BY602" s="1"/>
      <c r="BZ602" s="1"/>
    </row>
    <row r="603">
      <c r="A603" s="3"/>
      <c r="B603" s="33"/>
      <c r="C603" s="173"/>
      <c r="D603" s="173" t="s">
        <v>248</v>
      </c>
      <c r="E603" s="2"/>
      <c r="F603" s="2"/>
      <c r="G603" s="14"/>
      <c r="H603" s="14"/>
      <c r="I603" s="14"/>
      <c r="J603" s="14"/>
      <c r="K603" s="1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  <c r="AA603" s="3"/>
      <c r="AB603" s="3"/>
      <c r="AC603" s="3">
        <v>19077.0</v>
      </c>
      <c r="AD603" s="3">
        <v>18154.0</v>
      </c>
      <c r="AE603" s="3">
        <v>17931.0</v>
      </c>
      <c r="AF603" s="3">
        <v>17107.0</v>
      </c>
      <c r="AG603" s="3">
        <v>16421.0</v>
      </c>
      <c r="AH603" s="3">
        <v>15653.0</v>
      </c>
      <c r="AI603" s="3">
        <v>16990.0</v>
      </c>
      <c r="AJ603" s="3">
        <v>15728.0</v>
      </c>
      <c r="AK603" s="3">
        <v>15288.0</v>
      </c>
      <c r="AL603" s="3">
        <v>14360.0</v>
      </c>
      <c r="AM603" s="3">
        <v>14271.0</v>
      </c>
      <c r="AN603" s="3">
        <v>17600.0</v>
      </c>
      <c r="AO603" s="3">
        <v>19074.0</v>
      </c>
      <c r="AP603" s="3">
        <v>21235.0</v>
      </c>
      <c r="AQ603" s="3">
        <v>21956.0</v>
      </c>
      <c r="AR603" s="3">
        <v>22613.0</v>
      </c>
      <c r="AS603" s="3">
        <v>25755.0</v>
      </c>
      <c r="AT603" s="3">
        <v>25260.0</v>
      </c>
      <c r="AU603" s="3">
        <v>26259.0</v>
      </c>
      <c r="AV603" s="3">
        <v>26168.0</v>
      </c>
      <c r="AW603" s="3">
        <v>25006.0</v>
      </c>
      <c r="AX603" s="3">
        <v>23929.0</v>
      </c>
      <c r="AY603" s="3">
        <v>22459.0</v>
      </c>
      <c r="AZ603" s="3">
        <v>22109.0</v>
      </c>
      <c r="BA603" s="3">
        <v>21236.0</v>
      </c>
      <c r="BB603" s="3">
        <v>20363.0</v>
      </c>
      <c r="BC603" s="3">
        <v>19065.0</v>
      </c>
      <c r="BD603" s="3">
        <v>18591.0</v>
      </c>
      <c r="BE603" s="3">
        <v>19266.0</v>
      </c>
      <c r="BF603" s="3">
        <v>18319.0</v>
      </c>
      <c r="BG603" s="3">
        <v>17240.0</v>
      </c>
      <c r="BH603" s="3">
        <v>14830.0</v>
      </c>
      <c r="BI603" s="3">
        <v>14114.0</v>
      </c>
      <c r="BJ603" s="3">
        <v>13406.0</v>
      </c>
      <c r="BK603" s="3">
        <v>12516.0</v>
      </c>
      <c r="BL603" s="3"/>
      <c r="BM603" s="3"/>
      <c r="BN603" s="3"/>
      <c r="BO603" s="3"/>
      <c r="BP603" s="3"/>
      <c r="BQ603" s="3"/>
      <c r="BR603" s="3"/>
      <c r="BS603" s="1"/>
      <c r="BT603" s="8"/>
      <c r="BU603" s="8"/>
      <c r="BV603" s="1"/>
      <c r="BW603" s="1"/>
      <c r="BX603" s="1"/>
      <c r="BY603" s="1"/>
      <c r="BZ603" s="1"/>
    </row>
    <row r="604">
      <c r="A604" s="3"/>
      <c r="B604" s="33"/>
      <c r="C604" s="173"/>
      <c r="D604" s="173" t="s">
        <v>251</v>
      </c>
      <c r="E604" s="2"/>
      <c r="F604" s="2"/>
      <c r="G604" s="14"/>
      <c r="H604" s="14"/>
      <c r="I604" s="14"/>
      <c r="J604" s="14"/>
      <c r="K604" s="1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>
        <v>5036.0</v>
      </c>
      <c r="AD604" s="3">
        <v>4603.0</v>
      </c>
      <c r="AE604" s="3">
        <v>4341.0</v>
      </c>
      <c r="AF604" s="3">
        <v>4066.0</v>
      </c>
      <c r="AG604" s="3">
        <v>3720.0</v>
      </c>
      <c r="AH604" s="3">
        <v>3523.0</v>
      </c>
      <c r="AI604" s="3">
        <v>3675.0</v>
      </c>
      <c r="AJ604" s="3">
        <v>3387.0</v>
      </c>
      <c r="AK604" s="3">
        <v>3251.0</v>
      </c>
      <c r="AL604" s="3">
        <v>3226.0</v>
      </c>
      <c r="AM604" s="3">
        <v>2895.0</v>
      </c>
      <c r="AN604" s="3">
        <v>3593.0</v>
      </c>
      <c r="AO604" s="3">
        <v>3889.0</v>
      </c>
      <c r="AP604" s="3">
        <v>4853.0</v>
      </c>
      <c r="AQ604" s="3">
        <v>5108.0</v>
      </c>
      <c r="AR604" s="3">
        <v>5109.0</v>
      </c>
      <c r="AS604" s="3">
        <v>5103.0</v>
      </c>
      <c r="AT604" s="3">
        <v>4902.0</v>
      </c>
      <c r="AU604" s="3">
        <v>4449.0</v>
      </c>
      <c r="AV604" s="3">
        <v>4141.0</v>
      </c>
      <c r="AW604" s="3">
        <v>3842.0</v>
      </c>
      <c r="AX604" s="3">
        <v>3673.0</v>
      </c>
      <c r="AY604" s="3">
        <v>3155.0</v>
      </c>
      <c r="AZ604" s="3">
        <v>3006.0</v>
      </c>
      <c r="BA604" s="3">
        <v>2876.0</v>
      </c>
      <c r="BB604" s="3">
        <v>2745.0</v>
      </c>
      <c r="BC604" s="3">
        <v>2594.0</v>
      </c>
      <c r="BD604" s="3">
        <v>2464.0</v>
      </c>
      <c r="BE604" s="3">
        <v>2593.0</v>
      </c>
      <c r="BF604" s="3">
        <v>1984.0</v>
      </c>
      <c r="BG604" s="3">
        <v>1784.0</v>
      </c>
      <c r="BH604" s="3">
        <v>1660.0</v>
      </c>
      <c r="BI604" s="3">
        <v>1610.0</v>
      </c>
      <c r="BJ604" s="3">
        <v>1474.0</v>
      </c>
      <c r="BK604" s="3">
        <v>1623.0</v>
      </c>
      <c r="BL604" s="3"/>
      <c r="BM604" s="3"/>
      <c r="BN604" s="3"/>
      <c r="BO604" s="3"/>
      <c r="BP604" s="3"/>
      <c r="BQ604" s="3"/>
      <c r="BR604" s="3"/>
      <c r="BS604" s="1"/>
      <c r="BT604" s="8"/>
      <c r="BU604" s="8"/>
      <c r="BV604" s="1"/>
      <c r="BW604" s="1"/>
      <c r="BX604" s="1"/>
      <c r="BY604" s="1"/>
      <c r="BZ604" s="1"/>
    </row>
    <row r="605">
      <c r="A605" s="3"/>
      <c r="B605" s="33"/>
      <c r="C605" s="173"/>
      <c r="D605" s="173" t="s">
        <v>253</v>
      </c>
      <c r="E605" s="2"/>
      <c r="F605" s="2"/>
      <c r="G605" s="14"/>
      <c r="H605" s="14"/>
      <c r="I605" s="14"/>
      <c r="J605" s="14"/>
      <c r="K605" s="1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>
        <v>6256.0</v>
      </c>
      <c r="AD605" s="3">
        <v>5757.0</v>
      </c>
      <c r="AE605" s="3">
        <v>5631.0</v>
      </c>
      <c r="AF605" s="3">
        <v>5147.0</v>
      </c>
      <c r="AG605" s="3">
        <v>5219.0</v>
      </c>
      <c r="AH605" s="3">
        <v>5234.0</v>
      </c>
      <c r="AI605" s="3">
        <v>5575.0</v>
      </c>
      <c r="AJ605" s="3">
        <v>4905.0</v>
      </c>
      <c r="AK605" s="3">
        <v>5372.0</v>
      </c>
      <c r="AL605" s="3">
        <v>5698.0</v>
      </c>
      <c r="AM605" s="3">
        <v>6740.0</v>
      </c>
      <c r="AN605" s="3">
        <v>7844.0</v>
      </c>
      <c r="AO605" s="3">
        <v>7707.0</v>
      </c>
      <c r="AP605" s="3">
        <v>7988.0</v>
      </c>
      <c r="AQ605" s="3">
        <v>8817.0</v>
      </c>
      <c r="AR605" s="3">
        <v>8469.0</v>
      </c>
      <c r="AS605" s="3">
        <v>10953.0</v>
      </c>
      <c r="AT605" s="3">
        <v>11550.0</v>
      </c>
      <c r="AU605" s="3">
        <v>12176.0</v>
      </c>
      <c r="AV605" s="3">
        <v>11686.0</v>
      </c>
      <c r="AW605" s="3">
        <v>10446.0</v>
      </c>
      <c r="AX605" s="3">
        <v>9452.0</v>
      </c>
      <c r="AY605" s="3">
        <v>7949.0</v>
      </c>
      <c r="AZ605" s="3">
        <v>7727.0</v>
      </c>
      <c r="BA605" s="3">
        <v>7532.0</v>
      </c>
      <c r="BB605" s="3">
        <v>7337.0</v>
      </c>
      <c r="BC605" s="3">
        <v>6538.0</v>
      </c>
      <c r="BD605" s="3">
        <v>5978.0</v>
      </c>
      <c r="BE605" s="3">
        <v>5960.0</v>
      </c>
      <c r="BF605" s="3">
        <v>5916.0</v>
      </c>
      <c r="BG605" s="3">
        <v>5612.0</v>
      </c>
      <c r="BH605" s="3">
        <v>5154.0</v>
      </c>
      <c r="BI605" s="3">
        <v>5035.0</v>
      </c>
      <c r="BJ605" s="3">
        <v>6234.0</v>
      </c>
      <c r="BK605" s="3">
        <v>6414.0</v>
      </c>
      <c r="BL605" s="3"/>
      <c r="BM605" s="3"/>
      <c r="BN605" s="3"/>
      <c r="BO605" s="3"/>
      <c r="BP605" s="3"/>
      <c r="BQ605" s="3"/>
      <c r="BR605" s="3"/>
      <c r="BS605" s="1"/>
      <c r="BT605" s="8"/>
      <c r="BU605" s="8"/>
      <c r="BV605" s="1"/>
      <c r="BW605" s="1"/>
      <c r="BX605" s="1"/>
      <c r="BY605" s="1"/>
      <c r="BZ605" s="1"/>
    </row>
    <row r="606">
      <c r="A606" s="3"/>
      <c r="B606" s="33"/>
      <c r="C606" s="173"/>
      <c r="D606" s="173" t="s">
        <v>255</v>
      </c>
      <c r="E606" s="2"/>
      <c r="F606" s="2"/>
      <c r="G606" s="14"/>
      <c r="H606" s="14"/>
      <c r="I606" s="14"/>
      <c r="J606" s="14"/>
      <c r="K606" s="1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>
        <v>7508.0</v>
      </c>
      <c r="AD606" s="3">
        <v>7796.0</v>
      </c>
      <c r="AE606" s="3">
        <v>7564.0</v>
      </c>
      <c r="AF606" s="3">
        <v>6948.0</v>
      </c>
      <c r="AG606" s="3">
        <v>7221.0</v>
      </c>
      <c r="AH606" s="3">
        <v>6795.0</v>
      </c>
      <c r="AI606" s="3">
        <v>6766.0</v>
      </c>
      <c r="AJ606" s="3">
        <v>5296.0</v>
      </c>
      <c r="AK606" s="3">
        <v>3880.0</v>
      </c>
      <c r="AL606" s="3">
        <v>4798.0</v>
      </c>
      <c r="AM606" s="3">
        <v>8198.0</v>
      </c>
      <c r="AN606" s="3">
        <v>14731.0</v>
      </c>
      <c r="AO606" s="3">
        <v>17215.0</v>
      </c>
      <c r="AP606" s="3">
        <v>19602.0</v>
      </c>
      <c r="AQ606" s="3">
        <v>17449.0</v>
      </c>
      <c r="AR606" s="3">
        <v>14794.0</v>
      </c>
      <c r="AS606" s="3">
        <v>17299.0</v>
      </c>
      <c r="AT606" s="3">
        <v>18737.0</v>
      </c>
      <c r="AU606" s="3">
        <v>19501.0</v>
      </c>
      <c r="AV606" s="3">
        <v>19520.0</v>
      </c>
      <c r="AW606" s="3">
        <v>18226.0</v>
      </c>
      <c r="AX606" s="3">
        <v>17040.0</v>
      </c>
      <c r="AY606" s="3">
        <v>14369.0</v>
      </c>
      <c r="AZ606" s="3">
        <v>13734.0</v>
      </c>
      <c r="BA606" s="3">
        <v>13225.0</v>
      </c>
      <c r="BB606" s="3">
        <v>12715.0</v>
      </c>
      <c r="BC606" s="3">
        <v>12701.0</v>
      </c>
      <c r="BD606" s="3">
        <v>11832.0</v>
      </c>
      <c r="BE606" s="3">
        <v>13478.0</v>
      </c>
      <c r="BF606" s="3">
        <v>12657.0</v>
      </c>
      <c r="BG606" s="3">
        <v>10952.0</v>
      </c>
      <c r="BH606" s="3">
        <v>9885.0</v>
      </c>
      <c r="BI606" s="3">
        <v>8235.0</v>
      </c>
      <c r="BJ606" s="3">
        <v>6821.0</v>
      </c>
      <c r="BK606" s="3">
        <v>6895.0</v>
      </c>
      <c r="BL606" s="3"/>
      <c r="BM606" s="3"/>
      <c r="BN606" s="3"/>
      <c r="BO606" s="3"/>
      <c r="BP606" s="3"/>
      <c r="BQ606" s="3"/>
      <c r="BR606" s="3"/>
      <c r="BS606" s="1"/>
      <c r="BT606" s="8"/>
      <c r="BU606" s="8"/>
      <c r="BV606" s="1"/>
      <c r="BW606" s="1"/>
      <c r="BX606" s="1"/>
      <c r="BY606" s="1"/>
      <c r="BZ606" s="1"/>
    </row>
    <row r="607">
      <c r="A607" s="3"/>
      <c r="B607" s="33"/>
      <c r="C607" s="137"/>
      <c r="D607" s="137" t="s">
        <v>257</v>
      </c>
      <c r="E607" s="2"/>
      <c r="F607" s="2"/>
      <c r="G607" s="14"/>
      <c r="H607" s="14"/>
      <c r="I607" s="14"/>
      <c r="J607" s="14"/>
      <c r="K607" s="1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>
        <v>2019.0</v>
      </c>
      <c r="AD607" s="3">
        <v>1834.0</v>
      </c>
      <c r="AE607" s="3">
        <v>1717.0</v>
      </c>
      <c r="AF607" s="3">
        <v>1654.0</v>
      </c>
      <c r="AG607" s="3">
        <v>1436.0</v>
      </c>
      <c r="AH607" s="3">
        <v>1484.0</v>
      </c>
      <c r="AI607" s="3">
        <v>1609.0</v>
      </c>
      <c r="AJ607" s="3">
        <v>1486.0</v>
      </c>
      <c r="AK607" s="3">
        <v>1399.0</v>
      </c>
      <c r="AL607" s="3">
        <v>1547.0</v>
      </c>
      <c r="AM607" s="3">
        <v>1589.0</v>
      </c>
      <c r="AN607" s="3">
        <v>1540.0</v>
      </c>
      <c r="AO607" s="3">
        <v>1589.0</v>
      </c>
      <c r="AP607" s="3">
        <v>1648.0</v>
      </c>
      <c r="AQ607" s="3">
        <v>1685.0</v>
      </c>
      <c r="AR607" s="3">
        <v>1583.0</v>
      </c>
      <c r="AS607" s="3">
        <v>1462.0</v>
      </c>
      <c r="AT607" s="3">
        <v>1172.0</v>
      </c>
      <c r="AU607" s="3">
        <v>803.0</v>
      </c>
      <c r="AV607" s="3">
        <v>706.0</v>
      </c>
      <c r="AW607" s="3">
        <v>641.0</v>
      </c>
      <c r="AX607" s="3">
        <v>580.0</v>
      </c>
      <c r="AY607" s="3">
        <v>431.0</v>
      </c>
      <c r="AZ607" s="3">
        <v>544.0</v>
      </c>
      <c r="BA607" s="3">
        <v>882.0</v>
      </c>
      <c r="BB607" s="3">
        <v>1219.0</v>
      </c>
      <c r="BC607" s="3">
        <v>1131.0</v>
      </c>
      <c r="BD607" s="3">
        <v>1084.0</v>
      </c>
      <c r="BE607" s="3">
        <v>1020.0</v>
      </c>
      <c r="BF607" s="3">
        <v>862.0</v>
      </c>
      <c r="BG607" s="3">
        <v>780.0</v>
      </c>
      <c r="BH607" s="3">
        <v>806.0</v>
      </c>
      <c r="BI607" s="3">
        <v>857.0</v>
      </c>
      <c r="BJ607" s="3">
        <v>854.0</v>
      </c>
      <c r="BK607" s="3">
        <v>862.0</v>
      </c>
      <c r="BL607" s="3"/>
      <c r="BM607" s="3"/>
      <c r="BN607" s="3"/>
      <c r="BO607" s="3"/>
      <c r="BP607" s="3"/>
      <c r="BQ607" s="3"/>
      <c r="BR607" s="3"/>
      <c r="BS607" s="1"/>
      <c r="BT607" s="8"/>
      <c r="BU607" s="8"/>
      <c r="BV607" s="1"/>
      <c r="BW607" s="1"/>
      <c r="BX607" s="1"/>
      <c r="BY607" s="1"/>
      <c r="BZ607" s="1"/>
    </row>
    <row r="608">
      <c r="A608" s="3"/>
      <c r="B608" s="33"/>
      <c r="C608" s="173"/>
      <c r="D608" s="173" t="s">
        <v>261</v>
      </c>
      <c r="E608" s="2"/>
      <c r="F608" s="2"/>
      <c r="G608" s="14"/>
      <c r="H608" s="14"/>
      <c r="I608" s="14"/>
      <c r="J608" s="14"/>
      <c r="K608" s="1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>
        <v>3062.0</v>
      </c>
      <c r="AD608" s="3">
        <v>1706.0</v>
      </c>
      <c r="AE608" s="3">
        <v>1399.0</v>
      </c>
      <c r="AF608" s="3">
        <v>1366.0</v>
      </c>
      <c r="AG608" s="3">
        <v>1177.0</v>
      </c>
      <c r="AH608" s="3">
        <v>1145.0</v>
      </c>
      <c r="AI608" s="3">
        <v>1189.0</v>
      </c>
      <c r="AJ608" s="3">
        <v>1152.0</v>
      </c>
      <c r="AK608" s="3">
        <v>1120.0</v>
      </c>
      <c r="AL608" s="3">
        <v>1081.0</v>
      </c>
      <c r="AM608" s="3">
        <v>1073.0</v>
      </c>
      <c r="AN608" s="3">
        <v>1140.0</v>
      </c>
      <c r="AO608" s="3">
        <v>1130.0</v>
      </c>
      <c r="AP608" s="3">
        <v>1106.0</v>
      </c>
      <c r="AQ608" s="3">
        <v>1090.0</v>
      </c>
      <c r="AR608" s="3">
        <v>1007.0</v>
      </c>
      <c r="AS608" s="3">
        <v>1073.0</v>
      </c>
      <c r="AT608" s="3">
        <v>1120.0</v>
      </c>
      <c r="AU608" s="3">
        <v>1101.0</v>
      </c>
      <c r="AV608" s="3">
        <v>1031.0</v>
      </c>
      <c r="AW608" s="3">
        <v>943.0</v>
      </c>
      <c r="AX608" s="3">
        <v>893.0</v>
      </c>
      <c r="AY608" s="3">
        <v>814.0</v>
      </c>
      <c r="AZ608" s="3">
        <v>892.0</v>
      </c>
      <c r="BA608" s="3">
        <v>939.0</v>
      </c>
      <c r="BB608" s="3">
        <v>985.0</v>
      </c>
      <c r="BC608" s="3">
        <v>987.0</v>
      </c>
      <c r="BD608" s="3">
        <v>956.0</v>
      </c>
      <c r="BE608" s="3">
        <v>957.0</v>
      </c>
      <c r="BF608" s="3">
        <v>611.0</v>
      </c>
      <c r="BG608" s="3">
        <v>676.0</v>
      </c>
      <c r="BH608" s="3">
        <v>716.0</v>
      </c>
      <c r="BI608" s="3">
        <v>719.0</v>
      </c>
      <c r="BJ608" s="3">
        <v>695.0</v>
      </c>
      <c r="BK608" s="3">
        <v>686.0</v>
      </c>
      <c r="BL608" s="3"/>
      <c r="BM608" s="3"/>
      <c r="BN608" s="3"/>
      <c r="BO608" s="3"/>
      <c r="BP608" s="3"/>
      <c r="BQ608" s="3"/>
      <c r="BR608" s="3"/>
      <c r="BS608" s="1"/>
      <c r="BT608" s="8"/>
      <c r="BU608" s="8"/>
      <c r="BV608" s="1"/>
      <c r="BW608" s="1"/>
      <c r="BX608" s="1"/>
      <c r="BY608" s="1"/>
      <c r="BZ608" s="1"/>
    </row>
    <row r="609">
      <c r="A609" s="3"/>
      <c r="B609" s="33"/>
      <c r="C609" s="174"/>
      <c r="D609" s="174"/>
      <c r="E609" s="2"/>
      <c r="F609" s="2"/>
      <c r="G609" s="14"/>
      <c r="H609" s="14"/>
      <c r="I609" s="14"/>
      <c r="J609" s="14"/>
      <c r="K609" s="1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8"/>
      <c r="BU609" s="8"/>
      <c r="BV609" s="1"/>
      <c r="BW609" s="1"/>
      <c r="BX609" s="1"/>
      <c r="BY609" s="1"/>
      <c r="BZ609" s="1"/>
    </row>
    <row r="610">
      <c r="A610" s="3"/>
      <c r="B610" s="33"/>
      <c r="C610" s="174"/>
      <c r="D610" s="174"/>
      <c r="E610" s="2"/>
      <c r="F610" s="2"/>
      <c r="G610" s="14"/>
      <c r="H610" s="14"/>
      <c r="I610" s="14"/>
      <c r="J610" s="14"/>
      <c r="K610" s="1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8"/>
      <c r="BU610" s="8"/>
      <c r="BV610" s="1"/>
      <c r="BW610" s="1"/>
      <c r="BX610" s="1"/>
      <c r="BY610" s="1"/>
      <c r="BZ610" s="1"/>
    </row>
    <row r="611">
      <c r="A611" s="3"/>
      <c r="B611" s="33"/>
      <c r="C611" s="4"/>
      <c r="D611" s="4" t="s">
        <v>364</v>
      </c>
      <c r="E611" s="2"/>
      <c r="F611" s="2"/>
      <c r="G611" s="14"/>
      <c r="H611" s="14"/>
      <c r="I611" s="14"/>
      <c r="J611" s="14"/>
      <c r="K611" s="1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8"/>
      <c r="BU611" s="8"/>
      <c r="BV611" s="1"/>
      <c r="BW611" s="1"/>
      <c r="BX611" s="1"/>
      <c r="BY611" s="1"/>
      <c r="BZ611" s="1"/>
    </row>
    <row r="612">
      <c r="A612" s="3"/>
      <c r="B612" s="33"/>
      <c r="C612" s="173"/>
      <c r="D612" s="173" t="s">
        <v>247</v>
      </c>
      <c r="E612" s="2"/>
      <c r="F612" s="2"/>
      <c r="G612" s="14"/>
      <c r="H612" s="14"/>
      <c r="I612" s="14"/>
      <c r="J612" s="14"/>
      <c r="K612" s="1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40" t="s">
        <v>247</v>
      </c>
      <c r="AC612" s="33">
        <v>0.457</v>
      </c>
      <c r="AD612" s="33">
        <v>0.454</v>
      </c>
      <c r="AE612" s="33">
        <v>0.4689</v>
      </c>
      <c r="AF612" s="33">
        <v>0.4695</v>
      </c>
      <c r="AG612" s="33">
        <v>0.4947</v>
      </c>
      <c r="AH612" s="33">
        <v>0.5136</v>
      </c>
      <c r="AI612" s="33">
        <v>0.541</v>
      </c>
      <c r="AJ612" s="33">
        <v>0.539</v>
      </c>
      <c r="AK612" s="33">
        <v>0.549</v>
      </c>
      <c r="AL612" s="33">
        <v>0.5751</v>
      </c>
      <c r="AM612" s="33">
        <v>0.5879</v>
      </c>
      <c r="AN612" s="33">
        <v>0.5673</v>
      </c>
      <c r="AO612" s="33">
        <v>0.5268</v>
      </c>
      <c r="AP612" s="33">
        <v>0.5289</v>
      </c>
      <c r="AQ612" s="33">
        <v>0.5477</v>
      </c>
      <c r="AR612" s="33">
        <v>0.5675</v>
      </c>
      <c r="AS612" s="33">
        <v>0.5729</v>
      </c>
      <c r="AT612" s="33">
        <v>0.5621</v>
      </c>
      <c r="AU612" s="33">
        <v>0.5561</v>
      </c>
      <c r="AV612" s="33">
        <v>0.552</v>
      </c>
      <c r="AW612" s="33">
        <v>0.555</v>
      </c>
      <c r="AX612" s="33">
        <v>0.556</v>
      </c>
      <c r="AY612" s="33">
        <v>0.5598</v>
      </c>
      <c r="AZ612" s="33">
        <v>0.5528</v>
      </c>
      <c r="BA612" s="33">
        <v>0.5501</v>
      </c>
      <c r="BB612" s="33">
        <v>0.5473</v>
      </c>
      <c r="BC612" s="33">
        <v>0.5411</v>
      </c>
      <c r="BD612" s="33">
        <v>0.541</v>
      </c>
      <c r="BE612" s="33">
        <v>0.5278</v>
      </c>
      <c r="BF612" s="33">
        <v>0.5296</v>
      </c>
      <c r="BG612" s="33">
        <v>0.5351</v>
      </c>
      <c r="BH612" s="33">
        <v>0.5228</v>
      </c>
      <c r="BI612" s="33">
        <v>0.5227</v>
      </c>
      <c r="BJ612" s="33">
        <v>0.5021</v>
      </c>
      <c r="BK612" s="33">
        <v>0.498</v>
      </c>
      <c r="BL612" s="33"/>
      <c r="BM612" s="33"/>
      <c r="BN612" s="33"/>
      <c r="BO612" s="33"/>
      <c r="BP612" s="33"/>
      <c r="BQ612" s="33"/>
      <c r="BR612" s="33"/>
      <c r="BS612" s="1"/>
      <c r="BT612" s="8"/>
      <c r="BU612" s="8"/>
      <c r="BV612" s="1"/>
      <c r="BW612" s="1"/>
      <c r="BX612" s="1"/>
      <c r="BY612" s="1"/>
      <c r="BZ612" s="1"/>
    </row>
    <row r="613">
      <c r="A613" s="3"/>
      <c r="B613" s="33"/>
      <c r="C613" s="173"/>
      <c r="D613" s="173" t="s">
        <v>250</v>
      </c>
      <c r="E613" s="2"/>
      <c r="F613" s="2"/>
      <c r="G613" s="14"/>
      <c r="H613" s="14"/>
      <c r="I613" s="14"/>
      <c r="J613" s="14"/>
      <c r="K613" s="1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40" t="s">
        <v>250</v>
      </c>
      <c r="AC613" s="33">
        <v>0.2359</v>
      </c>
      <c r="AD613" s="33">
        <v>0.2431</v>
      </c>
      <c r="AE613" s="33">
        <v>0.241</v>
      </c>
      <c r="AF613" s="33">
        <v>0.2441</v>
      </c>
      <c r="AG613" s="33">
        <v>0.2302</v>
      </c>
      <c r="AH613" s="33">
        <v>0.2198</v>
      </c>
      <c r="AI613" s="33">
        <v>0.2131</v>
      </c>
      <c r="AJ613" s="33">
        <v>0.2225</v>
      </c>
      <c r="AK613" s="33">
        <v>0.2233</v>
      </c>
      <c r="AL613" s="33">
        <v>0.1955</v>
      </c>
      <c r="AM613" s="33">
        <v>0.1659</v>
      </c>
      <c r="AN613" s="33">
        <v>0.1612</v>
      </c>
      <c r="AO613" s="33">
        <v>0.1751</v>
      </c>
      <c r="AP613" s="33">
        <v>0.1751</v>
      </c>
      <c r="AQ613" s="33">
        <v>0.1715</v>
      </c>
      <c r="AR613" s="33">
        <v>0.1739</v>
      </c>
      <c r="AS613" s="33">
        <v>0.1688</v>
      </c>
      <c r="AT613" s="33">
        <v>0.1644</v>
      </c>
      <c r="AU613" s="33">
        <v>0.1684</v>
      </c>
      <c r="AV613" s="33">
        <v>0.1721</v>
      </c>
      <c r="AW613" s="33">
        <v>0.1743</v>
      </c>
      <c r="AX613" s="33">
        <v>0.1765</v>
      </c>
      <c r="AY613" s="33">
        <v>0.1848</v>
      </c>
      <c r="AZ613" s="33">
        <v>0.1887</v>
      </c>
      <c r="BA613" s="33">
        <v>0.1868</v>
      </c>
      <c r="BB613" s="33">
        <v>0.1848</v>
      </c>
      <c r="BC613" s="33">
        <v>0.1851</v>
      </c>
      <c r="BD613" s="33">
        <v>0.1898</v>
      </c>
      <c r="BE613" s="33">
        <v>0.1922</v>
      </c>
      <c r="BF613" s="33">
        <v>0.1944</v>
      </c>
      <c r="BG613" s="33">
        <v>0.1961</v>
      </c>
      <c r="BH613" s="33">
        <v>0.1925</v>
      </c>
      <c r="BI613" s="33">
        <v>0.1968</v>
      </c>
      <c r="BJ613" s="33">
        <v>0.203</v>
      </c>
      <c r="BK613" s="33">
        <v>0.1954</v>
      </c>
      <c r="BL613" s="33"/>
      <c r="BM613" s="33"/>
      <c r="BN613" s="33"/>
      <c r="BO613" s="33"/>
      <c r="BP613" s="33"/>
      <c r="BQ613" s="33"/>
      <c r="BR613" s="33"/>
      <c r="BS613" s="1"/>
      <c r="BT613" s="8"/>
      <c r="BU613" s="8"/>
      <c r="BV613" s="1"/>
      <c r="BW613" s="1"/>
      <c r="BX613" s="1"/>
      <c r="BY613" s="1"/>
      <c r="BZ613" s="1"/>
    </row>
    <row r="614">
      <c r="A614" s="3"/>
      <c r="B614" s="33"/>
      <c r="C614" s="173"/>
      <c r="D614" s="173" t="s">
        <v>252</v>
      </c>
      <c r="E614" s="2"/>
      <c r="F614" s="2"/>
      <c r="G614" s="14"/>
      <c r="H614" s="14"/>
      <c r="I614" s="14"/>
      <c r="J614" s="14"/>
      <c r="K614" s="1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40" t="s">
        <v>252</v>
      </c>
      <c r="AC614" s="33">
        <v>0.0623</v>
      </c>
      <c r="AD614" s="33">
        <v>0.0616</v>
      </c>
      <c r="AE614" s="33">
        <v>0.0584</v>
      </c>
      <c r="AF614" s="33">
        <v>0.058</v>
      </c>
      <c r="AG614" s="33">
        <v>0.0521</v>
      </c>
      <c r="AH614" s="33">
        <v>0.0495</v>
      </c>
      <c r="AI614" s="33">
        <v>0.0461</v>
      </c>
      <c r="AJ614" s="33">
        <v>0.0479</v>
      </c>
      <c r="AK614" s="33">
        <v>0.0475</v>
      </c>
      <c r="AL614" s="33">
        <v>0.0439</v>
      </c>
      <c r="AM614" s="33">
        <v>0.0337</v>
      </c>
      <c r="AN614" s="33">
        <v>0.0329</v>
      </c>
      <c r="AO614" s="33">
        <v>0.0357</v>
      </c>
      <c r="AP614" s="33">
        <v>0.04</v>
      </c>
      <c r="AQ614" s="33">
        <v>0.0399</v>
      </c>
      <c r="AR614" s="33">
        <v>0.0393</v>
      </c>
      <c r="AS614" s="33">
        <v>0.0335</v>
      </c>
      <c r="AT614" s="33">
        <v>0.0319</v>
      </c>
      <c r="AU614" s="33">
        <v>0.0285</v>
      </c>
      <c r="AV614" s="33">
        <v>0.0272</v>
      </c>
      <c r="AW614" s="33">
        <v>0.0268</v>
      </c>
      <c r="AX614" s="33">
        <v>0.0271</v>
      </c>
      <c r="AY614" s="33">
        <v>0.026</v>
      </c>
      <c r="AZ614" s="33">
        <v>0.0257</v>
      </c>
      <c r="BA614" s="33">
        <v>0.0253</v>
      </c>
      <c r="BB614" s="33">
        <v>0.0249</v>
      </c>
      <c r="BC614" s="33">
        <v>0.0252</v>
      </c>
      <c r="BD614" s="33">
        <v>0.0252</v>
      </c>
      <c r="BE614" s="33">
        <v>0.0259</v>
      </c>
      <c r="BF614" s="33">
        <v>0.0211</v>
      </c>
      <c r="BG614" s="33">
        <v>0.0203</v>
      </c>
      <c r="BH614" s="33">
        <v>0.0216</v>
      </c>
      <c r="BI614" s="33">
        <v>0.0224</v>
      </c>
      <c r="BJ614" s="33">
        <v>0.0223</v>
      </c>
      <c r="BK614" s="33">
        <v>0.0253</v>
      </c>
      <c r="BL614" s="33"/>
      <c r="BM614" s="33"/>
      <c r="BN614" s="33"/>
      <c r="BO614" s="33"/>
      <c r="BP614" s="33"/>
      <c r="BQ614" s="33"/>
      <c r="BR614" s="33"/>
      <c r="BS614" s="1"/>
      <c r="BT614" s="8"/>
      <c r="BU614" s="8"/>
      <c r="BV614" s="1"/>
      <c r="BW614" s="1"/>
      <c r="BX614" s="1"/>
      <c r="BY614" s="1"/>
      <c r="BZ614" s="1"/>
    </row>
    <row r="615">
      <c r="A615" s="3"/>
      <c r="B615" s="33"/>
      <c r="C615" s="173"/>
      <c r="D615" s="173" t="s">
        <v>254</v>
      </c>
      <c r="E615" s="134"/>
      <c r="F615" s="134"/>
      <c r="G615" s="14"/>
      <c r="H615" s="14"/>
      <c r="I615" s="14"/>
      <c r="J615" s="14"/>
      <c r="K615" s="1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40" t="s">
        <v>254</v>
      </c>
      <c r="AC615" s="33">
        <v>0.0774</v>
      </c>
      <c r="AD615" s="33">
        <v>0.0771</v>
      </c>
      <c r="AE615" s="33">
        <v>0.0757</v>
      </c>
      <c r="AF615" s="33">
        <v>0.0734</v>
      </c>
      <c r="AG615" s="33">
        <v>0.0732</v>
      </c>
      <c r="AH615" s="33">
        <v>0.0735</v>
      </c>
      <c r="AI615" s="33">
        <v>0.0699</v>
      </c>
      <c r="AJ615" s="33">
        <v>0.0694</v>
      </c>
      <c r="AK615" s="33">
        <v>0.0785</v>
      </c>
      <c r="AL615" s="33">
        <v>0.0776</v>
      </c>
      <c r="AM615" s="33">
        <v>0.0784</v>
      </c>
      <c r="AN615" s="33">
        <v>0.0718</v>
      </c>
      <c r="AO615" s="33">
        <v>0.0708</v>
      </c>
      <c r="AP615" s="33">
        <v>0.0659</v>
      </c>
      <c r="AQ615" s="33">
        <v>0.0689</v>
      </c>
      <c r="AR615" s="33">
        <v>0.0651</v>
      </c>
      <c r="AS615" s="33">
        <v>0.0718</v>
      </c>
      <c r="AT615" s="33">
        <v>0.0752</v>
      </c>
      <c r="AU615" s="33">
        <v>0.0781</v>
      </c>
      <c r="AV615" s="33">
        <v>0.0768</v>
      </c>
      <c r="AW615" s="33">
        <v>0.0728</v>
      </c>
      <c r="AX615" s="33">
        <v>0.0697</v>
      </c>
      <c r="AY615" s="33">
        <v>0.0654</v>
      </c>
      <c r="AZ615" s="33">
        <v>0.0659</v>
      </c>
      <c r="BA615" s="33">
        <v>0.0663</v>
      </c>
      <c r="BB615" s="33">
        <v>0.0666</v>
      </c>
      <c r="BC615" s="33">
        <v>0.0635</v>
      </c>
      <c r="BD615" s="33">
        <v>0.061</v>
      </c>
      <c r="BE615" s="33">
        <v>0.0595</v>
      </c>
      <c r="BF615" s="33">
        <v>0.0628</v>
      </c>
      <c r="BG615" s="33">
        <v>0.0638</v>
      </c>
      <c r="BH615" s="33">
        <v>0.0669</v>
      </c>
      <c r="BI615" s="33">
        <v>0.0702</v>
      </c>
      <c r="BJ615" s="33">
        <v>0.0944</v>
      </c>
      <c r="BK615" s="33">
        <v>0.1001</v>
      </c>
      <c r="BL615" s="33"/>
      <c r="BM615" s="33"/>
      <c r="BN615" s="33"/>
      <c r="BO615" s="33"/>
      <c r="BP615" s="33"/>
      <c r="BQ615" s="33"/>
      <c r="BR615" s="33"/>
      <c r="BS615" s="1"/>
      <c r="BT615" s="9"/>
      <c r="BU615" s="9"/>
      <c r="BV615" s="1"/>
      <c r="BW615" s="1"/>
      <c r="BX615" s="1"/>
      <c r="BY615" s="1"/>
      <c r="BZ615" s="1"/>
    </row>
    <row r="616">
      <c r="A616" s="3"/>
      <c r="B616" s="33"/>
      <c r="C616" s="173"/>
      <c r="D616" s="173" t="s">
        <v>256</v>
      </c>
      <c r="E616" s="134"/>
      <c r="F616" s="134"/>
      <c r="G616" s="14"/>
      <c r="H616" s="14"/>
      <c r="I616" s="14"/>
      <c r="J616" s="14"/>
      <c r="K616" s="1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40" t="s">
        <v>256</v>
      </c>
      <c r="AC616" s="33">
        <v>0.0928</v>
      </c>
      <c r="AD616" s="33">
        <v>0.1044</v>
      </c>
      <c r="AE616" s="33">
        <v>0.1017</v>
      </c>
      <c r="AF616" s="33">
        <v>0.0991</v>
      </c>
      <c r="AG616" s="33">
        <v>0.1012</v>
      </c>
      <c r="AH616" s="33">
        <v>0.0954</v>
      </c>
      <c r="AI616" s="33">
        <v>0.0848</v>
      </c>
      <c r="AJ616" s="33">
        <v>0.0749</v>
      </c>
      <c r="AK616" s="33">
        <v>0.0567</v>
      </c>
      <c r="AL616" s="33">
        <v>0.0653</v>
      </c>
      <c r="AM616" s="33">
        <v>0.0953</v>
      </c>
      <c r="AN616" s="33">
        <v>0.1349</v>
      </c>
      <c r="AO616" s="33">
        <v>0.1581</v>
      </c>
      <c r="AP616" s="33">
        <v>0.1616</v>
      </c>
      <c r="AQ616" s="33">
        <v>0.1363</v>
      </c>
      <c r="AR616" s="33">
        <v>0.1138</v>
      </c>
      <c r="AS616" s="33">
        <v>0.1134</v>
      </c>
      <c r="AT616" s="33">
        <v>0.122</v>
      </c>
      <c r="AU616" s="33">
        <v>0.1251</v>
      </c>
      <c r="AV616" s="33">
        <v>0.1284</v>
      </c>
      <c r="AW616" s="33">
        <v>0.127</v>
      </c>
      <c r="AX616" s="33">
        <v>0.1257</v>
      </c>
      <c r="AY616" s="33">
        <v>0.1182</v>
      </c>
      <c r="AZ616" s="33">
        <v>0.1172</v>
      </c>
      <c r="BA616" s="33">
        <v>0.1163</v>
      </c>
      <c r="BB616" s="33">
        <v>0.1154</v>
      </c>
      <c r="BC616" s="33">
        <v>0.1233</v>
      </c>
      <c r="BD616" s="33">
        <v>0.1208</v>
      </c>
      <c r="BE616" s="33">
        <v>0.1345</v>
      </c>
      <c r="BF616" s="33">
        <v>0.1343</v>
      </c>
      <c r="BG616" s="33">
        <v>0.1246</v>
      </c>
      <c r="BH616" s="33">
        <v>0.1283</v>
      </c>
      <c r="BI616" s="33">
        <v>0.1148</v>
      </c>
      <c r="BJ616" s="33">
        <v>0.1033</v>
      </c>
      <c r="BK616" s="33">
        <v>0.1076</v>
      </c>
      <c r="BL616" s="33"/>
      <c r="BM616" s="33"/>
      <c r="BN616" s="33"/>
      <c r="BO616" s="33"/>
      <c r="BP616" s="33"/>
      <c r="BQ616" s="33"/>
      <c r="BR616" s="33"/>
      <c r="BS616" s="1"/>
      <c r="BT616" s="9"/>
      <c r="BU616" s="9"/>
      <c r="BV616" s="1"/>
      <c r="BW616" s="1"/>
      <c r="BX616" s="1"/>
      <c r="BY616" s="1"/>
      <c r="BZ616" s="1"/>
    </row>
    <row r="617">
      <c r="A617" s="3"/>
      <c r="B617" s="33"/>
      <c r="C617" s="137"/>
      <c r="D617" s="137" t="s">
        <v>259</v>
      </c>
      <c r="E617" s="134"/>
      <c r="F617" s="134"/>
      <c r="G617" s="14"/>
      <c r="H617" s="14"/>
      <c r="I617" s="14"/>
      <c r="J617" s="14"/>
      <c r="K617" s="1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3" t="s">
        <v>259</v>
      </c>
      <c r="AC617" s="33">
        <v>0.025</v>
      </c>
      <c r="AD617" s="33">
        <v>0.0246</v>
      </c>
      <c r="AE617" s="33">
        <v>0.0231</v>
      </c>
      <c r="AF617" s="33">
        <v>0.0236</v>
      </c>
      <c r="AG617" s="33">
        <v>0.0201</v>
      </c>
      <c r="AH617" s="33">
        <v>0.0208</v>
      </c>
      <c r="AI617" s="33">
        <v>0.0202</v>
      </c>
      <c r="AJ617" s="175">
        <v>0.021</v>
      </c>
      <c r="AK617" s="33">
        <v>0.0204</v>
      </c>
      <c r="AL617" s="33">
        <v>0.0211</v>
      </c>
      <c r="AM617" s="33">
        <v>0.0185</v>
      </c>
      <c r="AN617" s="33">
        <v>0.0141</v>
      </c>
      <c r="AO617" s="33">
        <v>0.0146</v>
      </c>
      <c r="AP617" s="33">
        <v>0.0136</v>
      </c>
      <c r="AQ617" s="175">
        <v>0.0132</v>
      </c>
      <c r="AR617" s="33">
        <v>0.0122</v>
      </c>
      <c r="AS617" s="33">
        <v>0.0096</v>
      </c>
      <c r="AT617" s="33">
        <v>0.0076</v>
      </c>
      <c r="AU617" s="33">
        <v>0.0052</v>
      </c>
      <c r="AV617" s="33">
        <v>0.0046</v>
      </c>
      <c r="AW617" s="33">
        <v>0.0045</v>
      </c>
      <c r="AX617" s="33">
        <v>0.0043</v>
      </c>
      <c r="AY617" s="33">
        <v>0.0035</v>
      </c>
      <c r="AZ617" s="33">
        <v>0.0046</v>
      </c>
      <c r="BA617" s="33">
        <v>0.0078</v>
      </c>
      <c r="BB617" s="33">
        <v>0.0111</v>
      </c>
      <c r="BC617" s="33">
        <v>0.011</v>
      </c>
      <c r="BD617" s="33">
        <v>0.0111</v>
      </c>
      <c r="BE617" s="33">
        <v>0.0102</v>
      </c>
      <c r="BF617" s="33">
        <v>0.0091</v>
      </c>
      <c r="BG617" s="33">
        <v>0.0089</v>
      </c>
      <c r="BH617" s="33">
        <v>0.0105</v>
      </c>
      <c r="BI617" s="33">
        <v>0.0119</v>
      </c>
      <c r="BJ617" s="33">
        <v>0.0129</v>
      </c>
      <c r="BK617" s="33">
        <v>0.0135</v>
      </c>
      <c r="BL617" s="33"/>
      <c r="BM617" s="33"/>
      <c r="BN617" s="33"/>
      <c r="BO617" s="33"/>
      <c r="BP617" s="33"/>
      <c r="BQ617" s="33"/>
      <c r="BR617" s="33"/>
      <c r="BS617" s="1"/>
      <c r="BT617" s="72" t="s">
        <v>203</v>
      </c>
      <c r="BU617" s="9"/>
      <c r="BV617" s="1"/>
      <c r="BW617" s="1"/>
      <c r="BX617" s="1"/>
      <c r="BY617" s="1"/>
      <c r="BZ617" s="1"/>
    </row>
    <row r="618">
      <c r="A618" s="3"/>
      <c r="B618" s="33"/>
      <c r="C618" s="173"/>
      <c r="D618" s="173" t="s">
        <v>262</v>
      </c>
      <c r="E618" s="134"/>
      <c r="F618" s="134"/>
      <c r="G618" s="14"/>
      <c r="H618" s="14"/>
      <c r="I618" s="14"/>
      <c r="J618" s="14"/>
      <c r="K618" s="1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40" t="s">
        <v>262</v>
      </c>
      <c r="AC618" s="33">
        <v>0.0379</v>
      </c>
      <c r="AD618" s="33">
        <v>0.0228</v>
      </c>
      <c r="AE618" s="33">
        <v>0.0188</v>
      </c>
      <c r="AF618" s="33">
        <v>0.0195</v>
      </c>
      <c r="AG618" s="33">
        <v>0.0165</v>
      </c>
      <c r="AH618" s="33">
        <v>0.0161</v>
      </c>
      <c r="AI618" s="33">
        <v>0.0149</v>
      </c>
      <c r="AJ618" s="175">
        <v>0.0163</v>
      </c>
      <c r="AK618" s="33">
        <v>0.0164</v>
      </c>
      <c r="AL618" s="33">
        <v>0.0147</v>
      </c>
      <c r="AM618" s="33">
        <v>0.0125</v>
      </c>
      <c r="AN618" s="33">
        <v>0.0104</v>
      </c>
      <c r="AO618" s="33">
        <v>0.0104</v>
      </c>
      <c r="AP618" s="33">
        <v>0.0091</v>
      </c>
      <c r="AQ618" s="175">
        <v>0.0085</v>
      </c>
      <c r="AR618" s="33">
        <v>0.0077</v>
      </c>
      <c r="AS618" s="33">
        <v>0.007</v>
      </c>
      <c r="AT618" s="33">
        <v>0.0073</v>
      </c>
      <c r="AU618" s="33">
        <v>0.0071</v>
      </c>
      <c r="AV618" s="33">
        <v>0.0068</v>
      </c>
      <c r="AW618" s="33">
        <v>0.0066</v>
      </c>
      <c r="AX618" s="33">
        <v>0.0066</v>
      </c>
      <c r="AY618" s="33">
        <v>0.0067</v>
      </c>
      <c r="AZ618" s="33">
        <v>0.0076</v>
      </c>
      <c r="BA618" s="33">
        <v>0.0083</v>
      </c>
      <c r="BB618" s="33">
        <v>0.0089</v>
      </c>
      <c r="BC618" s="33">
        <v>0.0096</v>
      </c>
      <c r="BD618" s="33">
        <v>0.0098</v>
      </c>
      <c r="BE618" s="33">
        <v>0.0095</v>
      </c>
      <c r="BF618" s="33">
        <v>0.0065</v>
      </c>
      <c r="BG618" s="33">
        <v>0.0077</v>
      </c>
      <c r="BH618" s="33">
        <v>0.0093</v>
      </c>
      <c r="BI618" s="33">
        <v>0.01</v>
      </c>
      <c r="BJ618" s="33">
        <v>0.0105</v>
      </c>
      <c r="BK618" s="33">
        <v>0.0107</v>
      </c>
      <c r="BL618" s="33"/>
      <c r="BM618" s="33"/>
      <c r="BN618" s="33"/>
      <c r="BO618" s="33"/>
      <c r="BP618" s="33"/>
      <c r="BQ618" s="33"/>
      <c r="BR618" s="33"/>
      <c r="BS618" s="1"/>
      <c r="BT618" s="60" t="s">
        <v>354</v>
      </c>
      <c r="BU618" s="9"/>
      <c r="BV618" s="1"/>
      <c r="BW618" s="1"/>
      <c r="BX618" s="1"/>
      <c r="BY618" s="1"/>
      <c r="BZ618" s="1"/>
    </row>
    <row r="619">
      <c r="A619" s="3"/>
      <c r="B619" s="33"/>
      <c r="C619" s="174"/>
      <c r="D619" s="174"/>
      <c r="E619" s="134"/>
      <c r="F619" s="134"/>
      <c r="G619" s="14"/>
      <c r="H619" s="14"/>
      <c r="I619" s="14"/>
      <c r="J619" s="14"/>
      <c r="K619" s="1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3"/>
      <c r="AC619" s="3"/>
      <c r="AD619" s="166"/>
      <c r="AE619" s="166"/>
      <c r="AF619" s="166"/>
      <c r="AG619" s="166"/>
      <c r="AH619" s="3"/>
      <c r="AI619" s="3"/>
      <c r="AJ619" s="167"/>
      <c r="AK619" s="3"/>
      <c r="AL619" s="3"/>
      <c r="AM619" s="3"/>
      <c r="AN619" s="3"/>
      <c r="AO619" s="3"/>
      <c r="AP619" s="3"/>
      <c r="AQ619" s="167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1"/>
      <c r="BT619" s="60" t="s">
        <v>354</v>
      </c>
      <c r="BU619" s="9"/>
      <c r="BV619" s="1"/>
      <c r="BW619" s="1"/>
      <c r="BX619" s="1"/>
      <c r="BY619" s="1"/>
      <c r="BZ619" s="1"/>
    </row>
    <row r="620">
      <c r="A620" s="3"/>
      <c r="B620" s="33"/>
      <c r="C620" s="174"/>
      <c r="D620" s="174"/>
      <c r="E620" s="134"/>
      <c r="F620" s="134"/>
      <c r="G620" s="14"/>
      <c r="H620" s="14"/>
      <c r="I620" s="14"/>
      <c r="J620" s="14"/>
      <c r="K620" s="1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3"/>
      <c r="AC620" s="3"/>
      <c r="AD620" s="166"/>
      <c r="AE620" s="166"/>
      <c r="AF620" s="166"/>
      <c r="AG620" s="166"/>
      <c r="AH620" s="3"/>
      <c r="AI620" s="3"/>
      <c r="AJ620" s="167"/>
      <c r="AK620" s="3"/>
      <c r="AL620" s="3"/>
      <c r="AM620" s="3"/>
      <c r="AN620" s="3"/>
      <c r="AO620" s="3"/>
      <c r="AP620" s="3"/>
      <c r="AQ620" s="167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1"/>
      <c r="BT620" s="72" t="s">
        <v>203</v>
      </c>
      <c r="BU620" s="9"/>
      <c r="BV620" s="1"/>
      <c r="BW620" s="1"/>
      <c r="BX620" s="1"/>
      <c r="BY620" s="1"/>
      <c r="BZ620" s="1"/>
    </row>
    <row r="621">
      <c r="A621" s="3"/>
      <c r="B621" s="33"/>
      <c r="C621" s="146"/>
      <c r="D621" s="146"/>
      <c r="E621" s="134"/>
      <c r="F621" s="134"/>
      <c r="G621" s="14"/>
      <c r="H621" s="14"/>
      <c r="I621" s="14"/>
      <c r="J621" s="14"/>
      <c r="K621" s="1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3"/>
      <c r="AC621" s="3"/>
      <c r="AD621" s="166"/>
      <c r="AE621" s="166"/>
      <c r="AF621" s="166"/>
      <c r="AG621" s="166"/>
      <c r="AH621" s="3"/>
      <c r="AI621" s="3"/>
      <c r="AJ621" s="167"/>
      <c r="AK621" s="3"/>
      <c r="AL621" s="3"/>
      <c r="AM621" s="3"/>
      <c r="AN621" s="3"/>
      <c r="AO621" s="3"/>
      <c r="AP621" s="3"/>
      <c r="AQ621" s="167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1"/>
      <c r="BT621" s="60" t="s">
        <v>354</v>
      </c>
      <c r="BU621" s="9"/>
      <c r="BV621" s="1"/>
      <c r="BW621" s="1"/>
      <c r="BX621" s="1"/>
      <c r="BY621" s="1"/>
      <c r="BZ621" s="1"/>
    </row>
    <row r="622">
      <c r="A622" s="3"/>
      <c r="B622" s="33"/>
      <c r="C622" s="146"/>
      <c r="D622" s="146"/>
      <c r="E622" s="134"/>
      <c r="F622" s="134"/>
      <c r="G622" s="14"/>
      <c r="H622" s="14"/>
      <c r="I622" s="14"/>
      <c r="J622" s="14"/>
      <c r="K622" s="1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3"/>
      <c r="AC622" s="3"/>
      <c r="AD622" s="166"/>
      <c r="AE622" s="166"/>
      <c r="AF622" s="166"/>
      <c r="AG622" s="166"/>
      <c r="AH622" s="3"/>
      <c r="AI622" s="3"/>
      <c r="AJ622" s="167"/>
      <c r="AK622" s="3"/>
      <c r="AL622" s="3"/>
      <c r="AM622" s="3"/>
      <c r="AN622" s="3"/>
      <c r="AO622" s="3"/>
      <c r="AP622" s="3"/>
      <c r="AQ622" s="167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1"/>
      <c r="BT622" s="60" t="s">
        <v>354</v>
      </c>
      <c r="BU622" s="9"/>
      <c r="BV622" s="1"/>
      <c r="BW622" s="1"/>
      <c r="BX622" s="1"/>
      <c r="BY622" s="1"/>
      <c r="BZ622" s="1"/>
    </row>
    <row r="623">
      <c r="A623" s="3"/>
      <c r="B623" s="33"/>
      <c r="C623" s="176"/>
      <c r="D623" s="176" t="s">
        <v>315</v>
      </c>
      <c r="E623" s="134"/>
      <c r="F623" s="134"/>
      <c r="G623" s="14"/>
      <c r="H623" s="14"/>
      <c r="I623" s="14"/>
      <c r="J623" s="14"/>
      <c r="K623" s="1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3"/>
      <c r="AC623" s="3"/>
      <c r="AD623" s="166"/>
      <c r="AE623" s="166"/>
      <c r="AF623" s="166"/>
      <c r="AG623" s="166"/>
      <c r="AH623" s="3"/>
      <c r="AI623" s="3"/>
      <c r="AJ623" s="167"/>
      <c r="AK623" s="3"/>
      <c r="AL623" s="3"/>
      <c r="AM623" s="3"/>
      <c r="AN623" s="3"/>
      <c r="AO623" s="3"/>
      <c r="AP623" s="3"/>
      <c r="AQ623" s="167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1"/>
      <c r="BT623" s="60" t="s">
        <v>354</v>
      </c>
      <c r="BU623" s="9"/>
      <c r="BV623" s="1"/>
      <c r="BW623" s="1"/>
      <c r="BX623" s="1"/>
      <c r="BY623" s="1"/>
      <c r="BZ623" s="1"/>
    </row>
    <row r="624">
      <c r="A624" s="3"/>
      <c r="B624" s="33"/>
      <c r="C624" s="142"/>
      <c r="D624" s="142" t="s">
        <v>263</v>
      </c>
      <c r="E624" s="2"/>
      <c r="F624" s="2"/>
      <c r="G624" s="14"/>
      <c r="H624" s="14"/>
      <c r="I624" s="14"/>
      <c r="J624" s="14"/>
      <c r="K624" s="1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74">
        <v>1.2721884E7</v>
      </c>
      <c r="AD624" s="74">
        <v>1.3264241E7</v>
      </c>
      <c r="AE624" s="74">
        <v>1.388837E7</v>
      </c>
      <c r="AF624" s="74">
        <v>1.3198946E7</v>
      </c>
      <c r="AG624" s="74">
        <v>1.4144142E7</v>
      </c>
      <c r="AH624" s="74">
        <v>1.6297785E7</v>
      </c>
      <c r="AI624" s="74">
        <v>1.4518205E7</v>
      </c>
      <c r="AJ624" s="74">
        <v>1.4799455E7</v>
      </c>
      <c r="AK624" s="74">
        <v>1.5926721E7</v>
      </c>
      <c r="AL624" s="74">
        <v>1.6202761E7</v>
      </c>
      <c r="AM624" s="74">
        <v>1.5062539E7</v>
      </c>
      <c r="AN624" s="74">
        <v>1.5505407E7</v>
      </c>
      <c r="AO624" s="74">
        <v>1.8675093E7</v>
      </c>
      <c r="AP624" s="74">
        <v>1.9026843E7</v>
      </c>
      <c r="AQ624" s="74">
        <v>1.9053266E7</v>
      </c>
      <c r="AR624" s="74">
        <v>2.0074382E7</v>
      </c>
      <c r="AS624" s="74">
        <v>2.0596403E7</v>
      </c>
      <c r="AT624" s="74">
        <v>1.901984E7</v>
      </c>
      <c r="AU624" s="74">
        <v>1.9912148E7</v>
      </c>
      <c r="AV624" s="74">
        <v>1.9325235E7</v>
      </c>
      <c r="AW624" s="74">
        <v>1.4956571E7</v>
      </c>
      <c r="AX624" s="74">
        <v>1.6178094E7</v>
      </c>
      <c r="AY624" s="74">
        <v>1.7397818E7</v>
      </c>
      <c r="AZ624" s="74">
        <v>1.6661525E7</v>
      </c>
      <c r="BA624" s="74">
        <v>1.6599245E7</v>
      </c>
      <c r="BB624" s="74">
        <v>1.5315727E7</v>
      </c>
      <c r="BC624" s="74">
        <v>1.576476E7</v>
      </c>
      <c r="BD624" s="74">
        <v>1.7661413E7</v>
      </c>
      <c r="BE624" s="74">
        <v>1.5234265E7</v>
      </c>
      <c r="BF624" s="74">
        <v>1.3964152E7</v>
      </c>
      <c r="BG624" s="74">
        <v>1.6238225E7</v>
      </c>
      <c r="BH624" s="74">
        <v>1.7992939E7</v>
      </c>
      <c r="BI624" s="74">
        <v>1.6412279E7</v>
      </c>
      <c r="BJ624" s="74">
        <v>1.5269098E7</v>
      </c>
      <c r="BK624" s="74">
        <v>1.6906423E7</v>
      </c>
      <c r="BL624" s="74"/>
      <c r="BM624" s="74"/>
      <c r="BN624" s="74"/>
      <c r="BO624" s="74"/>
      <c r="BP624" s="74"/>
      <c r="BQ624" s="74"/>
      <c r="BR624" s="74"/>
      <c r="BS624" s="1"/>
      <c r="BT624" s="8"/>
      <c r="BU624" s="8"/>
      <c r="BV624" s="1"/>
      <c r="BW624" s="1"/>
      <c r="BX624" s="1"/>
      <c r="BY624" s="1"/>
      <c r="BZ624" s="1"/>
    </row>
    <row r="625">
      <c r="A625" s="3"/>
      <c r="B625" s="33"/>
      <c r="C625" s="173"/>
      <c r="D625" s="173" t="s">
        <v>246</v>
      </c>
      <c r="E625" s="2"/>
      <c r="F625" s="2"/>
      <c r="G625" s="14"/>
      <c r="H625" s="14"/>
      <c r="I625" s="14"/>
      <c r="J625" s="14"/>
      <c r="K625" s="1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74">
        <v>4053961.0</v>
      </c>
      <c r="AD625" s="74">
        <v>4274937.0</v>
      </c>
      <c r="AE625" s="74">
        <v>4461090.0</v>
      </c>
      <c r="AF625" s="74">
        <v>4123219.0</v>
      </c>
      <c r="AG625" s="74">
        <v>4472484.0</v>
      </c>
      <c r="AH625" s="74">
        <v>4996715.0</v>
      </c>
      <c r="AI625" s="74">
        <v>4249638.0</v>
      </c>
      <c r="AJ625" s="74">
        <v>4135452.0</v>
      </c>
      <c r="AK625" s="74">
        <v>4696570.0</v>
      </c>
      <c r="AL625" s="74">
        <v>4990927.0</v>
      </c>
      <c r="AM625" s="74">
        <v>4473827.0</v>
      </c>
      <c r="AN625" s="74">
        <v>4763319.0</v>
      </c>
      <c r="AO625" s="74">
        <v>5622700.0</v>
      </c>
      <c r="AP625" s="74">
        <v>5350074.0</v>
      </c>
      <c r="AQ625" s="74">
        <v>5515310.0</v>
      </c>
      <c r="AR625" s="74">
        <v>5877650.0</v>
      </c>
      <c r="AS625" s="74">
        <v>6835018.0</v>
      </c>
      <c r="AT625" s="74">
        <v>5949875.0</v>
      </c>
      <c r="AU625" s="74">
        <v>5853537.0</v>
      </c>
      <c r="AV625" s="74">
        <v>5941535.0</v>
      </c>
      <c r="AW625" s="74">
        <v>4366363.0</v>
      </c>
      <c r="AX625" s="74">
        <v>5059308.0</v>
      </c>
      <c r="AY625" s="74">
        <v>5586801.0</v>
      </c>
      <c r="AZ625" s="74">
        <v>5316143.0</v>
      </c>
      <c r="BA625" s="74">
        <v>5182778.0</v>
      </c>
      <c r="BB625" s="74">
        <v>4974819.0</v>
      </c>
      <c r="BC625" s="74">
        <v>4737021.0</v>
      </c>
      <c r="BD625" s="74">
        <v>5680287.0</v>
      </c>
      <c r="BE625" s="74">
        <v>5339461.0</v>
      </c>
      <c r="BF625" s="74">
        <v>5017341.0</v>
      </c>
      <c r="BG625" s="74">
        <v>5718880.0</v>
      </c>
      <c r="BH625" s="74">
        <v>6057816.0</v>
      </c>
      <c r="BI625" s="74">
        <v>5168691.0</v>
      </c>
      <c r="BJ625" s="74">
        <v>4974671.0</v>
      </c>
      <c r="BK625" s="74">
        <v>5418966.0</v>
      </c>
      <c r="BL625" s="74"/>
      <c r="BM625" s="74"/>
      <c r="BN625" s="74"/>
      <c r="BO625" s="74"/>
      <c r="BP625" s="74"/>
      <c r="BQ625" s="74"/>
      <c r="BR625" s="74"/>
      <c r="BS625" s="1"/>
      <c r="BT625" s="8"/>
      <c r="BU625" s="8"/>
      <c r="BV625" s="1"/>
      <c r="BW625" s="1"/>
      <c r="BX625" s="1"/>
      <c r="BY625" s="1"/>
      <c r="BZ625" s="1"/>
    </row>
    <row r="626">
      <c r="A626" s="3"/>
      <c r="B626" s="33"/>
      <c r="C626" s="173"/>
      <c r="D626" s="173" t="s">
        <v>247</v>
      </c>
      <c r="E626" s="2"/>
      <c r="F626" s="2"/>
      <c r="G626" s="14"/>
      <c r="H626" s="14"/>
      <c r="I626" s="14"/>
      <c r="J626" s="14"/>
      <c r="K626" s="1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3">
        <v>0.3187</v>
      </c>
      <c r="AD626" s="33">
        <v>0.3223</v>
      </c>
      <c r="AE626" s="33">
        <v>0.3212</v>
      </c>
      <c r="AF626" s="33">
        <v>0.3124</v>
      </c>
      <c r="AG626" s="33">
        <v>0.3162</v>
      </c>
      <c r="AH626" s="33">
        <v>0.3066</v>
      </c>
      <c r="AI626" s="33">
        <v>0.2927</v>
      </c>
      <c r="AJ626" s="33">
        <v>0.2794</v>
      </c>
      <c r="AK626" s="33">
        <v>0.2949</v>
      </c>
      <c r="AL626" s="33">
        <v>0.308</v>
      </c>
      <c r="AM626" s="33">
        <v>0.297</v>
      </c>
      <c r="AN626" s="33">
        <v>0.3072</v>
      </c>
      <c r="AO626" s="33">
        <v>0.3011</v>
      </c>
      <c r="AP626" s="33">
        <v>0.2812</v>
      </c>
      <c r="AQ626" s="33">
        <v>0.2895</v>
      </c>
      <c r="AR626" s="33">
        <v>0.2928</v>
      </c>
      <c r="AS626" s="33">
        <v>0.3319</v>
      </c>
      <c r="AT626" s="33">
        <v>0.3128</v>
      </c>
      <c r="AU626" s="33">
        <v>0.294</v>
      </c>
      <c r="AV626" s="33">
        <v>0.3074</v>
      </c>
      <c r="AW626" s="33">
        <v>0.2919</v>
      </c>
      <c r="AX626" s="33">
        <v>0.3127</v>
      </c>
      <c r="AY626" s="33">
        <v>0.3211</v>
      </c>
      <c r="AZ626" s="33">
        <v>0.3191</v>
      </c>
      <c r="BA626" s="33">
        <v>0.3122</v>
      </c>
      <c r="BB626" s="33">
        <v>0.3248</v>
      </c>
      <c r="BC626" s="33">
        <v>0.3005</v>
      </c>
      <c r="BD626" s="33">
        <v>0.3216</v>
      </c>
      <c r="BE626" s="33">
        <v>0.3505</v>
      </c>
      <c r="BF626" s="33">
        <v>0.3593</v>
      </c>
      <c r="BG626" s="33">
        <v>0.3522</v>
      </c>
      <c r="BH626" s="33">
        <v>0.3367</v>
      </c>
      <c r="BI626" s="33">
        <v>0.3149</v>
      </c>
      <c r="BJ626" s="33">
        <v>0.3258</v>
      </c>
      <c r="BK626" s="33">
        <v>0.3205</v>
      </c>
      <c r="BL626" s="33"/>
      <c r="BM626" s="33"/>
      <c r="BN626" s="33"/>
      <c r="BO626" s="33"/>
      <c r="BP626" s="33"/>
      <c r="BQ626" s="33"/>
      <c r="BR626" s="33"/>
      <c r="BS626" s="1"/>
      <c r="BT626" s="8"/>
      <c r="BU626" s="8"/>
      <c r="BV626" s="1"/>
      <c r="BW626" s="1"/>
      <c r="BX626" s="1"/>
      <c r="BY626" s="1"/>
      <c r="BZ626" s="1"/>
    </row>
    <row r="627">
      <c r="A627" s="3"/>
      <c r="B627" s="33"/>
      <c r="C627" s="173"/>
      <c r="D627" s="173" t="s">
        <v>248</v>
      </c>
      <c r="E627" s="2"/>
      <c r="F627" s="2"/>
      <c r="G627" s="14"/>
      <c r="H627" s="14"/>
      <c r="I627" s="14"/>
      <c r="J627" s="14"/>
      <c r="K627" s="1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74">
        <v>6273265.0</v>
      </c>
      <c r="AD627" s="74">
        <v>6761539.0</v>
      </c>
      <c r="AE627" s="74">
        <v>7227248.0</v>
      </c>
      <c r="AF627" s="74">
        <v>6997431.0</v>
      </c>
      <c r="AG627" s="74">
        <v>7090219.0</v>
      </c>
      <c r="AH627" s="74">
        <v>8874149.0</v>
      </c>
      <c r="AI627" s="74">
        <v>8011787.0</v>
      </c>
      <c r="AJ627" s="74">
        <v>8290416.0</v>
      </c>
      <c r="AK627" s="74">
        <v>8498759.0</v>
      </c>
      <c r="AL627" s="74">
        <v>8227067.0</v>
      </c>
      <c r="AM627" s="74">
        <v>8159652.0</v>
      </c>
      <c r="AN627" s="74">
        <v>8030347.0</v>
      </c>
      <c r="AO627" s="74">
        <v>1.0000374E7</v>
      </c>
      <c r="AP627" s="74">
        <v>1.0697219E7</v>
      </c>
      <c r="AQ627" s="74">
        <v>1.0639124E7</v>
      </c>
      <c r="AR627" s="74">
        <v>1.0856719E7</v>
      </c>
      <c r="AS627" s="74">
        <v>1.0162093E7</v>
      </c>
      <c r="AT627" s="74">
        <v>9529184.0</v>
      </c>
      <c r="AU627" s="74">
        <v>9985171.0</v>
      </c>
      <c r="AV627" s="74">
        <v>9338252.0</v>
      </c>
      <c r="AW627" s="74">
        <v>7793543.0</v>
      </c>
      <c r="AX627" s="74">
        <v>8019673.0</v>
      </c>
      <c r="AY627" s="74">
        <v>8305279.0</v>
      </c>
      <c r="AZ627" s="74">
        <v>7800483.0</v>
      </c>
      <c r="BA627" s="74">
        <v>7781535.0</v>
      </c>
      <c r="BB627" s="74">
        <v>6752120.0</v>
      </c>
      <c r="BC627" s="74">
        <v>7745032.0</v>
      </c>
      <c r="BD627" s="74">
        <v>8505052.0</v>
      </c>
      <c r="BE627" s="74">
        <v>6315586.0</v>
      </c>
      <c r="BF627" s="74">
        <v>5404176.0</v>
      </c>
      <c r="BG627" s="74">
        <v>7406174.0</v>
      </c>
      <c r="BH627" s="74">
        <v>9058747.0</v>
      </c>
      <c r="BI627" s="74">
        <v>8599229.0</v>
      </c>
      <c r="BJ627" s="74">
        <v>6922584.0</v>
      </c>
      <c r="BK627" s="74">
        <v>7271777.0</v>
      </c>
      <c r="BL627" s="74"/>
      <c r="BM627" s="74"/>
      <c r="BN627" s="74"/>
      <c r="BO627" s="74"/>
      <c r="BP627" s="74"/>
      <c r="BQ627" s="74"/>
      <c r="BR627" s="74"/>
      <c r="BS627" s="1"/>
      <c r="BT627" s="8"/>
      <c r="BU627" s="8"/>
      <c r="BV627" s="1"/>
      <c r="BW627" s="1"/>
      <c r="BX627" s="1"/>
      <c r="BY627" s="1"/>
      <c r="BZ627" s="1"/>
    </row>
    <row r="628">
      <c r="A628" s="3"/>
      <c r="B628" s="33"/>
      <c r="C628" s="173"/>
      <c r="D628" s="173" t="s">
        <v>250</v>
      </c>
      <c r="E628" s="2"/>
      <c r="F628" s="2"/>
      <c r="G628" s="14"/>
      <c r="H628" s="14"/>
      <c r="I628" s="14"/>
      <c r="J628" s="14"/>
      <c r="K628" s="1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3">
        <v>0.4931</v>
      </c>
      <c r="AD628" s="33">
        <v>0.5098</v>
      </c>
      <c r="AE628" s="33">
        <v>0.5204</v>
      </c>
      <c r="AF628" s="33">
        <v>0.5302</v>
      </c>
      <c r="AG628" s="33">
        <v>0.5013</v>
      </c>
      <c r="AH628" s="33">
        <v>0.5445</v>
      </c>
      <c r="AI628" s="33">
        <v>0.5518</v>
      </c>
      <c r="AJ628" s="33">
        <v>0.5602</v>
      </c>
      <c r="AK628" s="33">
        <v>0.5336</v>
      </c>
      <c r="AL628" s="33">
        <v>0.5078</v>
      </c>
      <c r="AM628" s="33">
        <v>0.5417</v>
      </c>
      <c r="AN628" s="33">
        <v>0.5179</v>
      </c>
      <c r="AO628" s="33">
        <v>0.5355</v>
      </c>
      <c r="AP628" s="33">
        <v>0.5622</v>
      </c>
      <c r="AQ628" s="33">
        <v>0.5584</v>
      </c>
      <c r="AR628" s="33">
        <v>0.5408</v>
      </c>
      <c r="AS628" s="33">
        <v>0.4934</v>
      </c>
      <c r="AT628" s="33">
        <v>0.501</v>
      </c>
      <c r="AU628" s="33">
        <v>0.5015</v>
      </c>
      <c r="AV628" s="33">
        <v>0.4832</v>
      </c>
      <c r="AW628" s="33">
        <v>0.5211</v>
      </c>
      <c r="AX628" s="33">
        <v>0.4957</v>
      </c>
      <c r="AY628" s="33">
        <v>0.4774</v>
      </c>
      <c r="AZ628" s="33">
        <v>0.4682</v>
      </c>
      <c r="BA628" s="33">
        <v>0.4688</v>
      </c>
      <c r="BB628" s="33">
        <v>0.4409</v>
      </c>
      <c r="BC628" s="33">
        <v>0.4913</v>
      </c>
      <c r="BD628" s="33">
        <v>0.4816</v>
      </c>
      <c r="BE628" s="33">
        <v>0.4146</v>
      </c>
      <c r="BF628" s="33">
        <v>0.387</v>
      </c>
      <c r="BG628" s="33">
        <v>0.4561</v>
      </c>
      <c r="BH628" s="33">
        <v>0.5035</v>
      </c>
      <c r="BI628" s="33">
        <v>0.524</v>
      </c>
      <c r="BJ628" s="33">
        <v>0.4534</v>
      </c>
      <c r="BK628" s="33">
        <v>0.4301</v>
      </c>
      <c r="BL628" s="33"/>
      <c r="BM628" s="33"/>
      <c r="BN628" s="33"/>
      <c r="BO628" s="33"/>
      <c r="BP628" s="33"/>
      <c r="BQ628" s="33"/>
      <c r="BR628" s="33"/>
      <c r="BS628" s="1"/>
      <c r="BT628" s="8"/>
      <c r="BU628" s="8"/>
      <c r="BV628" s="1"/>
      <c r="BW628" s="1"/>
      <c r="BX628" s="1"/>
      <c r="BY628" s="1"/>
      <c r="BZ628" s="1"/>
    </row>
    <row r="629">
      <c r="A629" s="3"/>
      <c r="B629" s="33"/>
      <c r="C629" s="173"/>
      <c r="D629" s="173" t="s">
        <v>251</v>
      </c>
      <c r="E629" s="2"/>
      <c r="F629" s="2"/>
      <c r="G629" s="14"/>
      <c r="H629" s="14"/>
      <c r="I629" s="14"/>
      <c r="J629" s="14"/>
      <c r="K629" s="1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74">
        <v>1198721.0</v>
      </c>
      <c r="AD629" s="74">
        <v>1024478.0</v>
      </c>
      <c r="AE629" s="74">
        <v>981055.0</v>
      </c>
      <c r="AF629" s="74">
        <v>970671.0</v>
      </c>
      <c r="AG629" s="74">
        <v>1327326.0</v>
      </c>
      <c r="AH629" s="74">
        <v>1168296.0</v>
      </c>
      <c r="AI629" s="74">
        <v>991919.0</v>
      </c>
      <c r="AJ629" s="74">
        <v>1039434.0</v>
      </c>
      <c r="AK629" s="74">
        <v>1162972.0</v>
      </c>
      <c r="AL629" s="74">
        <v>1319509.0</v>
      </c>
      <c r="AM629" s="74">
        <v>1087439.0</v>
      </c>
      <c r="AN629" s="74">
        <v>1335130.0</v>
      </c>
      <c r="AO629" s="74">
        <v>1435793.0</v>
      </c>
      <c r="AP629" s="74">
        <v>1301546.0</v>
      </c>
      <c r="AQ629" s="74">
        <v>1252053.0</v>
      </c>
      <c r="AR629" s="74">
        <v>1493186.0</v>
      </c>
      <c r="AS629" s="74">
        <v>1573504.0</v>
      </c>
      <c r="AT629" s="74">
        <v>1702442.0</v>
      </c>
      <c r="AU629" s="74">
        <v>2282580.0</v>
      </c>
      <c r="AV629" s="74">
        <v>1944806.0</v>
      </c>
      <c r="AW629" s="74">
        <v>1210381.0</v>
      </c>
      <c r="AX629" s="74">
        <v>1208538.0</v>
      </c>
      <c r="AY629" s="74">
        <v>1393660.0</v>
      </c>
      <c r="AZ629" s="74">
        <v>1424894.0</v>
      </c>
      <c r="BA629" s="74">
        <v>1355847.0</v>
      </c>
      <c r="BB629" s="74">
        <v>1389022.0</v>
      </c>
      <c r="BC629" s="74">
        <v>1309387.0</v>
      </c>
      <c r="BD629" s="74">
        <v>1347085.0</v>
      </c>
      <c r="BE629" s="74">
        <v>1456237.0</v>
      </c>
      <c r="BF629" s="74">
        <v>1421353.0</v>
      </c>
      <c r="BG629" s="74">
        <v>1233280.0</v>
      </c>
      <c r="BH629" s="74">
        <v>1093775.0</v>
      </c>
      <c r="BI629" s="74">
        <v>1007392.0</v>
      </c>
      <c r="BJ629" s="74">
        <v>1167178.0</v>
      </c>
      <c r="BK629" s="74">
        <v>1327208.0</v>
      </c>
      <c r="BL629" s="74"/>
      <c r="BM629" s="74"/>
      <c r="BN629" s="74"/>
      <c r="BO629" s="74"/>
      <c r="BP629" s="74"/>
      <c r="BQ629" s="74"/>
      <c r="BR629" s="74"/>
      <c r="BS629" s="1"/>
      <c r="BT629" s="8"/>
      <c r="BU629" s="8"/>
      <c r="BV629" s="1"/>
      <c r="BW629" s="1"/>
      <c r="BX629" s="1"/>
      <c r="BY629" s="1"/>
      <c r="BZ629" s="1"/>
    </row>
    <row r="630">
      <c r="A630" s="3"/>
      <c r="B630" s="33"/>
      <c r="C630" s="173"/>
      <c r="D630" s="173" t="s">
        <v>252</v>
      </c>
      <c r="E630" s="2"/>
      <c r="F630" s="2"/>
      <c r="G630" s="14"/>
      <c r="H630" s="14"/>
      <c r="I630" s="14"/>
      <c r="J630" s="14"/>
      <c r="K630" s="1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3">
        <v>0.0942</v>
      </c>
      <c r="AD630" s="33">
        <v>0.0772</v>
      </c>
      <c r="AE630" s="33">
        <v>0.0706</v>
      </c>
      <c r="AF630" s="33">
        <v>0.0735</v>
      </c>
      <c r="AG630" s="33">
        <v>0.0938</v>
      </c>
      <c r="AH630" s="33">
        <v>0.0717</v>
      </c>
      <c r="AI630" s="33">
        <v>0.0683</v>
      </c>
      <c r="AJ630" s="33">
        <v>0.0702</v>
      </c>
      <c r="AK630" s="33">
        <v>0.073</v>
      </c>
      <c r="AL630" s="33">
        <v>0.0814</v>
      </c>
      <c r="AM630" s="33">
        <v>0.0722</v>
      </c>
      <c r="AN630" s="33">
        <v>0.0861</v>
      </c>
      <c r="AO630" s="33">
        <v>0.0769</v>
      </c>
      <c r="AP630" s="33">
        <v>0.0684</v>
      </c>
      <c r="AQ630" s="33">
        <v>0.0657</v>
      </c>
      <c r="AR630" s="33">
        <v>0.0744</v>
      </c>
      <c r="AS630" s="33">
        <v>0.0764</v>
      </c>
      <c r="AT630" s="33">
        <v>0.0895</v>
      </c>
      <c r="AU630" s="33">
        <v>0.1146</v>
      </c>
      <c r="AV630" s="33">
        <v>0.1006</v>
      </c>
      <c r="AW630" s="33">
        <v>0.0809</v>
      </c>
      <c r="AX630" s="33">
        <v>0.0747</v>
      </c>
      <c r="AY630" s="33">
        <v>0.0801</v>
      </c>
      <c r="AZ630" s="33">
        <v>0.0855</v>
      </c>
      <c r="BA630" s="33">
        <v>0.0817</v>
      </c>
      <c r="BB630" s="33">
        <v>0.0907</v>
      </c>
      <c r="BC630" s="33">
        <v>0.0831</v>
      </c>
      <c r="BD630" s="33">
        <v>0.0763</v>
      </c>
      <c r="BE630" s="33">
        <v>0.0956</v>
      </c>
      <c r="BF630" s="33">
        <v>0.1018</v>
      </c>
      <c r="BG630" s="33">
        <v>0.0759</v>
      </c>
      <c r="BH630" s="33">
        <v>0.0608</v>
      </c>
      <c r="BI630" s="33">
        <v>0.0614</v>
      </c>
      <c r="BJ630" s="33">
        <v>0.0764</v>
      </c>
      <c r="BK630" s="33">
        <v>0.0785</v>
      </c>
      <c r="BL630" s="33"/>
      <c r="BM630" s="33"/>
      <c r="BN630" s="33"/>
      <c r="BO630" s="33"/>
      <c r="BP630" s="33"/>
      <c r="BQ630" s="33"/>
      <c r="BR630" s="33"/>
      <c r="BS630" s="1"/>
      <c r="BT630" s="8"/>
      <c r="BU630" s="8"/>
      <c r="BV630" s="1"/>
      <c r="BW630" s="1"/>
      <c r="BX630" s="1"/>
      <c r="BY630" s="1"/>
      <c r="BZ630" s="1"/>
    </row>
    <row r="631">
      <c r="A631" s="3"/>
      <c r="B631" s="33"/>
      <c r="C631" s="173"/>
      <c r="D631" s="173" t="s">
        <v>253</v>
      </c>
      <c r="E631" s="2"/>
      <c r="F631" s="2"/>
      <c r="G631" s="14"/>
      <c r="H631" s="14"/>
      <c r="I631" s="14"/>
      <c r="J631" s="14"/>
      <c r="K631" s="1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74">
        <v>680766.0</v>
      </c>
      <c r="AD631" s="74">
        <v>643301.0</v>
      </c>
      <c r="AE631" s="74">
        <v>610184.0</v>
      </c>
      <c r="AF631" s="74">
        <v>534631.0</v>
      </c>
      <c r="AG631" s="74">
        <v>586609.0</v>
      </c>
      <c r="AH631" s="74">
        <v>616173.0</v>
      </c>
      <c r="AI631" s="74">
        <v>629724.0</v>
      </c>
      <c r="AJ631" s="74">
        <v>654969.0</v>
      </c>
      <c r="AK631" s="74">
        <v>644337.0</v>
      </c>
      <c r="AL631" s="74">
        <v>772984.0</v>
      </c>
      <c r="AM631" s="74">
        <v>551557.0</v>
      </c>
      <c r="AN631" s="74">
        <v>626979.0</v>
      </c>
      <c r="AO631" s="74">
        <v>797958.0</v>
      </c>
      <c r="AP631" s="74">
        <v>796807.0</v>
      </c>
      <c r="AQ631" s="74">
        <v>787278.0</v>
      </c>
      <c r="AR631" s="74">
        <v>892539.0</v>
      </c>
      <c r="AS631" s="74">
        <v>1000017.0</v>
      </c>
      <c r="AT631" s="74">
        <v>810869.0</v>
      </c>
      <c r="AU631" s="74">
        <v>783998.0</v>
      </c>
      <c r="AV631" s="74">
        <v>998899.0</v>
      </c>
      <c r="AW631" s="74">
        <v>786909.0</v>
      </c>
      <c r="AX631" s="74">
        <v>930151.0</v>
      </c>
      <c r="AY631" s="74">
        <v>914121.0</v>
      </c>
      <c r="AZ631" s="74">
        <v>882501.0</v>
      </c>
      <c r="BA631" s="74">
        <v>916163.0</v>
      </c>
      <c r="BB631" s="74">
        <v>852888.0</v>
      </c>
      <c r="BC631" s="74">
        <v>854449.0</v>
      </c>
      <c r="BD631" s="74">
        <v>892176.0</v>
      </c>
      <c r="BE631" s="74">
        <v>906683.0</v>
      </c>
      <c r="BF631" s="74">
        <v>831530.0</v>
      </c>
      <c r="BG631" s="74">
        <v>752149.0</v>
      </c>
      <c r="BH631" s="74">
        <v>744495.0</v>
      </c>
      <c r="BI631" s="74">
        <v>587710.0</v>
      </c>
      <c r="BJ631" s="74">
        <v>679335.0</v>
      </c>
      <c r="BK631" s="74">
        <v>1079667.0</v>
      </c>
      <c r="BL631" s="74"/>
      <c r="BM631" s="74"/>
      <c r="BN631" s="74"/>
      <c r="BO631" s="74"/>
      <c r="BP631" s="74"/>
      <c r="BQ631" s="74"/>
      <c r="BR631" s="74"/>
      <c r="BS631" s="1"/>
      <c r="BT631" s="8"/>
      <c r="BU631" s="8"/>
      <c r="BV631" s="1"/>
      <c r="BW631" s="1"/>
      <c r="BX631" s="1"/>
      <c r="BY631" s="1"/>
      <c r="BZ631" s="1"/>
    </row>
    <row r="632">
      <c r="A632" s="3"/>
      <c r="B632" s="33"/>
      <c r="C632" s="173"/>
      <c r="D632" s="173" t="s">
        <v>254</v>
      </c>
      <c r="E632" s="2"/>
      <c r="F632" s="2"/>
      <c r="G632" s="14"/>
      <c r="H632" s="14"/>
      <c r="I632" s="14"/>
      <c r="J632" s="14"/>
      <c r="K632" s="1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3">
        <v>0.0535</v>
      </c>
      <c r="AD632" s="33">
        <v>0.0485</v>
      </c>
      <c r="AE632" s="33">
        <v>0.0439</v>
      </c>
      <c r="AF632" s="33">
        <v>0.0405</v>
      </c>
      <c r="AG632" s="33">
        <v>0.0415</v>
      </c>
      <c r="AH632" s="33">
        <v>0.0378</v>
      </c>
      <c r="AI632" s="33">
        <v>0.0434</v>
      </c>
      <c r="AJ632" s="33">
        <v>0.0443</v>
      </c>
      <c r="AK632" s="33">
        <v>0.0405</v>
      </c>
      <c r="AL632" s="33">
        <v>0.0477</v>
      </c>
      <c r="AM632" s="33">
        <v>0.0366</v>
      </c>
      <c r="AN632" s="33">
        <v>0.0404</v>
      </c>
      <c r="AO632" s="33">
        <v>0.0427</v>
      </c>
      <c r="AP632" s="33">
        <v>0.0419</v>
      </c>
      <c r="AQ632" s="33">
        <v>0.0413</v>
      </c>
      <c r="AR632" s="33">
        <v>0.0445</v>
      </c>
      <c r="AS632" s="33">
        <v>0.0486</v>
      </c>
      <c r="AT632" s="33">
        <v>0.0426</v>
      </c>
      <c r="AU632" s="33">
        <v>0.0394</v>
      </c>
      <c r="AV632" s="33">
        <v>0.0517</v>
      </c>
      <c r="AW632" s="33">
        <v>0.0526</v>
      </c>
      <c r="AX632" s="33">
        <v>0.0575</v>
      </c>
      <c r="AY632" s="33">
        <v>0.0525</v>
      </c>
      <c r="AZ632" s="33">
        <v>0.053</v>
      </c>
      <c r="BA632" s="33">
        <v>0.0552</v>
      </c>
      <c r="BB632" s="33">
        <v>0.0557</v>
      </c>
      <c r="BC632" s="33">
        <v>0.0542</v>
      </c>
      <c r="BD632" s="33">
        <v>0.0505</v>
      </c>
      <c r="BE632" s="33">
        <v>0.0595</v>
      </c>
      <c r="BF632" s="33">
        <v>0.0595</v>
      </c>
      <c r="BG632" s="33">
        <v>0.0463</v>
      </c>
      <c r="BH632" s="33">
        <v>0.0414</v>
      </c>
      <c r="BI632" s="33">
        <v>0.0358</v>
      </c>
      <c r="BJ632" s="33">
        <v>0.0445</v>
      </c>
      <c r="BK632" s="33">
        <v>0.0639</v>
      </c>
      <c r="BL632" s="33"/>
      <c r="BM632" s="33"/>
      <c r="BN632" s="33"/>
      <c r="BO632" s="33"/>
      <c r="BP632" s="33"/>
      <c r="BQ632" s="33"/>
      <c r="BR632" s="33"/>
      <c r="BS632" s="1"/>
      <c r="BT632" s="8"/>
      <c r="BU632" s="8"/>
      <c r="BV632" s="1"/>
      <c r="BW632" s="1"/>
      <c r="BX632" s="1"/>
      <c r="BY632" s="1"/>
      <c r="BZ632" s="1"/>
    </row>
    <row r="633">
      <c r="A633" s="3"/>
      <c r="B633" s="33"/>
      <c r="C633" s="173"/>
      <c r="D633" s="173" t="s">
        <v>255</v>
      </c>
      <c r="E633" s="2"/>
      <c r="F633" s="2"/>
      <c r="G633" s="14"/>
      <c r="H633" s="14"/>
      <c r="I633" s="14"/>
      <c r="J633" s="14"/>
      <c r="K633" s="1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74">
        <v>346189.0</v>
      </c>
      <c r="AD633" s="74">
        <v>334976.0</v>
      </c>
      <c r="AE633" s="74">
        <v>329034.0</v>
      </c>
      <c r="AF633" s="74">
        <v>347429.0</v>
      </c>
      <c r="AG633" s="74">
        <v>370993.0</v>
      </c>
      <c r="AH633" s="74">
        <v>366175.0</v>
      </c>
      <c r="AI633" s="74">
        <v>386459.0</v>
      </c>
      <c r="AJ633" s="74">
        <v>424077.0</v>
      </c>
      <c r="AK633" s="74">
        <v>535528.0</v>
      </c>
      <c r="AL633" s="74">
        <v>581943.0</v>
      </c>
      <c r="AM633" s="74">
        <v>462780.0</v>
      </c>
      <c r="AN633" s="74">
        <v>502694.0</v>
      </c>
      <c r="AO633" s="74">
        <v>547738.0</v>
      </c>
      <c r="AP633" s="74">
        <v>609323.0</v>
      </c>
      <c r="AQ633" s="74">
        <v>602304.0</v>
      </c>
      <c r="AR633" s="74">
        <v>636538.0</v>
      </c>
      <c r="AS633" s="74">
        <v>619522.0</v>
      </c>
      <c r="AT633" s="74">
        <v>563263.0</v>
      </c>
      <c r="AU633" s="74">
        <v>563405.0</v>
      </c>
      <c r="AV633" s="74">
        <v>575484.0</v>
      </c>
      <c r="AW633" s="74">
        <v>460431.0</v>
      </c>
      <c r="AX633" s="74">
        <v>565059.0</v>
      </c>
      <c r="AY633" s="74">
        <v>675678.0</v>
      </c>
      <c r="AZ633" s="74">
        <v>681728.0</v>
      </c>
      <c r="BA633" s="74">
        <v>677115.0</v>
      </c>
      <c r="BB633" s="74">
        <v>589954.0</v>
      </c>
      <c r="BC633" s="74">
        <v>615398.0</v>
      </c>
      <c r="BD633" s="74">
        <v>683047.0</v>
      </c>
      <c r="BE633" s="74">
        <v>575790.0</v>
      </c>
      <c r="BF633" s="74">
        <v>585927.0</v>
      </c>
      <c r="BG633" s="74">
        <v>555551.0</v>
      </c>
      <c r="BH633" s="74">
        <v>613485.0</v>
      </c>
      <c r="BI633" s="74">
        <v>571932.0</v>
      </c>
      <c r="BJ633" s="74">
        <v>514066.0</v>
      </c>
      <c r="BK633" s="74">
        <v>516655.0</v>
      </c>
      <c r="BL633" s="74"/>
      <c r="BM633" s="74"/>
      <c r="BN633" s="74"/>
      <c r="BO633" s="74"/>
      <c r="BP633" s="74"/>
      <c r="BQ633" s="74"/>
      <c r="BR633" s="74"/>
      <c r="BS633" s="1"/>
      <c r="BT633" s="8"/>
      <c r="BU633" s="8"/>
      <c r="BV633" s="1"/>
      <c r="BW633" s="1"/>
      <c r="BX633" s="1"/>
      <c r="BY633" s="1"/>
      <c r="BZ633" s="1"/>
    </row>
    <row r="634">
      <c r="A634" s="3"/>
      <c r="B634" s="33"/>
      <c r="C634" s="173"/>
      <c r="D634" s="173" t="s">
        <v>256</v>
      </c>
      <c r="E634" s="2"/>
      <c r="F634" s="2"/>
      <c r="G634" s="14"/>
      <c r="H634" s="14"/>
      <c r="I634" s="14"/>
      <c r="J634" s="14"/>
      <c r="K634" s="1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3">
        <v>0.0272</v>
      </c>
      <c r="AD634" s="33">
        <v>0.0253</v>
      </c>
      <c r="AE634" s="33">
        <v>0.0237</v>
      </c>
      <c r="AF634" s="33">
        <v>0.0263</v>
      </c>
      <c r="AG634" s="33">
        <v>0.0262</v>
      </c>
      <c r="AH634" s="33">
        <v>0.0225</v>
      </c>
      <c r="AI634" s="33">
        <v>0.0266</v>
      </c>
      <c r="AJ634" s="33">
        <v>0.0287</v>
      </c>
      <c r="AK634" s="33">
        <v>0.0336</v>
      </c>
      <c r="AL634" s="33">
        <v>0.0359</v>
      </c>
      <c r="AM634" s="33">
        <v>0.0307</v>
      </c>
      <c r="AN634" s="33">
        <v>0.0324</v>
      </c>
      <c r="AO634" s="33">
        <v>0.0293</v>
      </c>
      <c r="AP634" s="33">
        <v>0.032</v>
      </c>
      <c r="AQ634" s="33">
        <v>0.0316</v>
      </c>
      <c r="AR634" s="33">
        <v>0.0317</v>
      </c>
      <c r="AS634" s="33">
        <v>0.0301</v>
      </c>
      <c r="AT634" s="33">
        <v>0.0296</v>
      </c>
      <c r="AU634" s="33">
        <v>0.0283</v>
      </c>
      <c r="AV634" s="33">
        <v>0.0298</v>
      </c>
      <c r="AW634" s="33">
        <v>0.0308</v>
      </c>
      <c r="AX634" s="33">
        <v>0.0349</v>
      </c>
      <c r="AY634" s="33">
        <v>0.0388</v>
      </c>
      <c r="AZ634" s="33">
        <v>0.0409</v>
      </c>
      <c r="BA634" s="33">
        <v>0.0408</v>
      </c>
      <c r="BB634" s="33">
        <v>0.0385</v>
      </c>
      <c r="BC634" s="33">
        <v>0.039</v>
      </c>
      <c r="BD634" s="33">
        <v>0.0387</v>
      </c>
      <c r="BE634" s="33">
        <v>0.0378</v>
      </c>
      <c r="BF634" s="33">
        <v>0.042</v>
      </c>
      <c r="BG634" s="33">
        <v>0.0342</v>
      </c>
      <c r="BH634" s="33">
        <v>0.0341</v>
      </c>
      <c r="BI634" s="33">
        <v>0.0348</v>
      </c>
      <c r="BJ634" s="33">
        <v>0.0337</v>
      </c>
      <c r="BK634" s="33">
        <v>0.0306</v>
      </c>
      <c r="BL634" s="33"/>
      <c r="BM634" s="33"/>
      <c r="BN634" s="33"/>
      <c r="BO634" s="33"/>
      <c r="BP634" s="33"/>
      <c r="BQ634" s="33"/>
      <c r="BR634" s="33"/>
      <c r="BS634" s="1"/>
      <c r="BT634" s="8"/>
      <c r="BU634" s="8"/>
      <c r="BV634" s="1"/>
      <c r="BW634" s="1"/>
      <c r="BX634" s="1"/>
      <c r="BY634" s="1"/>
      <c r="BZ634" s="1"/>
    </row>
    <row r="635">
      <c r="A635" s="3"/>
      <c r="B635" s="33"/>
      <c r="C635" s="137"/>
      <c r="D635" s="137" t="s">
        <v>257</v>
      </c>
      <c r="E635" s="2"/>
      <c r="F635" s="2"/>
      <c r="G635" s="14"/>
      <c r="H635" s="14"/>
      <c r="I635" s="14"/>
      <c r="J635" s="14"/>
      <c r="K635" s="1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74">
        <v>94980.0</v>
      </c>
      <c r="AD635" s="74">
        <v>115146.0</v>
      </c>
      <c r="AE635" s="74">
        <v>168658.0</v>
      </c>
      <c r="AF635" s="74">
        <v>113607.0</v>
      </c>
      <c r="AG635" s="74">
        <v>146846.0</v>
      </c>
      <c r="AH635" s="74">
        <v>157914.0</v>
      </c>
      <c r="AI635" s="74">
        <v>131558.0</v>
      </c>
      <c r="AJ635" s="74">
        <v>137538.0</v>
      </c>
      <c r="AK635" s="74">
        <v>190301.0</v>
      </c>
      <c r="AL635" s="74">
        <v>181898.0</v>
      </c>
      <c r="AM635" s="74">
        <v>170020.0</v>
      </c>
      <c r="AN635" s="74">
        <v>104718.0</v>
      </c>
      <c r="AO635" s="74">
        <v>104689.0</v>
      </c>
      <c r="AP635" s="74">
        <v>118617.0</v>
      </c>
      <c r="AQ635" s="74">
        <v>82331.0</v>
      </c>
      <c r="AR635" s="74">
        <v>134035.0</v>
      </c>
      <c r="AS635" s="74">
        <v>165175.0</v>
      </c>
      <c r="AT635" s="74">
        <v>203264.0</v>
      </c>
      <c r="AU635" s="74">
        <v>225400.0</v>
      </c>
      <c r="AV635" s="74">
        <v>244561.0</v>
      </c>
      <c r="AW635" s="74">
        <v>90311.0</v>
      </c>
      <c r="AX635" s="74">
        <v>104315.0</v>
      </c>
      <c r="AY635" s="74">
        <v>129616.0</v>
      </c>
      <c r="AZ635" s="74">
        <v>142490.0</v>
      </c>
      <c r="BA635" s="74">
        <v>143235.0</v>
      </c>
      <c r="BB635" s="74">
        <v>76507.0</v>
      </c>
      <c r="BC635" s="74">
        <v>88779.0</v>
      </c>
      <c r="BD635" s="74">
        <v>98178.0</v>
      </c>
      <c r="BE635" s="74">
        <v>130884.0</v>
      </c>
      <c r="BF635" s="74">
        <v>141890.0</v>
      </c>
      <c r="BG635" s="74">
        <v>97162.0</v>
      </c>
      <c r="BH635" s="74">
        <v>82893.0</v>
      </c>
      <c r="BI635" s="74">
        <v>86727.0</v>
      </c>
      <c r="BJ635" s="74">
        <v>46174.0</v>
      </c>
      <c r="BK635" s="74">
        <v>80338.0</v>
      </c>
      <c r="BL635" s="74"/>
      <c r="BM635" s="74"/>
      <c r="BN635" s="74"/>
      <c r="BO635" s="74"/>
      <c r="BP635" s="74"/>
      <c r="BQ635" s="74"/>
      <c r="BR635" s="74"/>
      <c r="BS635" s="1"/>
      <c r="BT635" s="8"/>
      <c r="BU635" s="8"/>
      <c r="BV635" s="1"/>
      <c r="BW635" s="1"/>
      <c r="BX635" s="1"/>
      <c r="BY635" s="1"/>
      <c r="BZ635" s="1"/>
    </row>
    <row r="636">
      <c r="A636" s="3"/>
      <c r="B636" s="33"/>
      <c r="C636" s="137"/>
      <c r="D636" s="137" t="s">
        <v>259</v>
      </c>
      <c r="E636" s="2"/>
      <c r="F636" s="2"/>
      <c r="G636" s="14"/>
      <c r="H636" s="14"/>
      <c r="I636" s="14"/>
      <c r="J636" s="14"/>
      <c r="K636" s="1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3">
        <v>0.0075</v>
      </c>
      <c r="AD636" s="33">
        <v>0.0087</v>
      </c>
      <c r="AE636" s="33">
        <v>0.0121</v>
      </c>
      <c r="AF636" s="33">
        <v>0.0086</v>
      </c>
      <c r="AG636" s="33">
        <v>0.0104</v>
      </c>
      <c r="AH636" s="33">
        <v>0.0097</v>
      </c>
      <c r="AI636" s="33">
        <v>0.0091</v>
      </c>
      <c r="AJ636" s="33">
        <v>0.0093</v>
      </c>
      <c r="AK636" s="33">
        <v>0.0119</v>
      </c>
      <c r="AL636" s="33">
        <v>0.0112</v>
      </c>
      <c r="AM636" s="33">
        <v>0.0113</v>
      </c>
      <c r="AN636" s="33">
        <v>0.0068</v>
      </c>
      <c r="AO636" s="33">
        <v>0.0056</v>
      </c>
      <c r="AP636" s="33">
        <v>0.0062</v>
      </c>
      <c r="AQ636" s="33">
        <v>0.0043</v>
      </c>
      <c r="AR636" s="33">
        <v>0.0067</v>
      </c>
      <c r="AS636" s="33">
        <v>0.008</v>
      </c>
      <c r="AT636" s="33">
        <v>0.0107</v>
      </c>
      <c r="AU636" s="33">
        <v>0.0113</v>
      </c>
      <c r="AV636" s="33">
        <v>0.0127</v>
      </c>
      <c r="AW636" s="33">
        <v>0.006</v>
      </c>
      <c r="AX636" s="33">
        <v>0.0064</v>
      </c>
      <c r="AY636" s="33">
        <v>0.0075</v>
      </c>
      <c r="AZ636" s="33">
        <v>0.0086</v>
      </c>
      <c r="BA636" s="33">
        <v>0.0086</v>
      </c>
      <c r="BB636" s="33">
        <v>0.005</v>
      </c>
      <c r="BC636" s="33">
        <v>0.0056</v>
      </c>
      <c r="BD636" s="33">
        <v>0.0056</v>
      </c>
      <c r="BE636" s="33">
        <v>0.0086</v>
      </c>
      <c r="BF636" s="33">
        <v>0.0102</v>
      </c>
      <c r="BG636" s="33">
        <v>0.006</v>
      </c>
      <c r="BH636" s="33">
        <v>0.0046</v>
      </c>
      <c r="BI636" s="33">
        <v>0.0053</v>
      </c>
      <c r="BJ636" s="33">
        <v>0.003</v>
      </c>
      <c r="BK636" s="33">
        <v>0.0048</v>
      </c>
      <c r="BL636" s="33"/>
      <c r="BM636" s="33"/>
      <c r="BN636" s="33"/>
      <c r="BO636" s="33"/>
      <c r="BP636" s="33"/>
      <c r="BQ636" s="33"/>
      <c r="BR636" s="33"/>
      <c r="BS636" s="1"/>
      <c r="BT636" s="8"/>
      <c r="BU636" s="8"/>
      <c r="BV636" s="1"/>
      <c r="BW636" s="1"/>
      <c r="BX636" s="1"/>
      <c r="BY636" s="1"/>
      <c r="BZ636" s="1"/>
    </row>
    <row r="637">
      <c r="A637" s="3"/>
      <c r="B637" s="33"/>
      <c r="C637" s="173"/>
      <c r="D637" s="173" t="s">
        <v>261</v>
      </c>
      <c r="E637" s="2"/>
      <c r="F637" s="2"/>
      <c r="G637" s="14"/>
      <c r="H637" s="14"/>
      <c r="I637" s="14"/>
      <c r="J637" s="14"/>
      <c r="K637" s="1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74">
        <v>53579.0</v>
      </c>
      <c r="AD637" s="74">
        <v>82527.0</v>
      </c>
      <c r="AE637" s="74">
        <v>77327.0</v>
      </c>
      <c r="AF637" s="74">
        <v>56522.0</v>
      </c>
      <c r="AG637" s="74">
        <v>124760.0</v>
      </c>
      <c r="AH637" s="74">
        <v>85476.0</v>
      </c>
      <c r="AI637" s="74">
        <v>84449.0</v>
      </c>
      <c r="AJ637" s="74">
        <v>67073.0</v>
      </c>
      <c r="AK637" s="74">
        <v>88132.0</v>
      </c>
      <c r="AL637" s="74">
        <v>79104.0</v>
      </c>
      <c r="AM637" s="74">
        <v>69679.0</v>
      </c>
      <c r="AN637" s="74">
        <v>86959.0</v>
      </c>
      <c r="AO637" s="74">
        <v>91929.0</v>
      </c>
      <c r="AP637" s="74">
        <v>79466.0</v>
      </c>
      <c r="AQ637" s="74">
        <v>93252.0</v>
      </c>
      <c r="AR637" s="74">
        <v>85212.0</v>
      </c>
      <c r="AS637" s="74">
        <v>139639.0</v>
      </c>
      <c r="AT637" s="74">
        <v>144466.0</v>
      </c>
      <c r="AU637" s="74">
        <v>137338.0</v>
      </c>
      <c r="AV637" s="74">
        <v>140588.0</v>
      </c>
      <c r="AW637" s="74">
        <v>125734.0</v>
      </c>
      <c r="AX637" s="74">
        <v>106966.0</v>
      </c>
      <c r="AY637" s="74">
        <v>119770.0</v>
      </c>
      <c r="AZ637" s="74">
        <v>91467.0</v>
      </c>
      <c r="BA637" s="74">
        <v>90196.0</v>
      </c>
      <c r="BB637" s="74">
        <v>85823.0</v>
      </c>
      <c r="BC637" s="74">
        <v>77935.0</v>
      </c>
      <c r="BD637" s="74">
        <v>83473.0</v>
      </c>
      <c r="BE637" s="74">
        <v>91124.0</v>
      </c>
      <c r="BF637" s="74">
        <v>116064.0</v>
      </c>
      <c r="BG637" s="74">
        <v>75308.0</v>
      </c>
      <c r="BH637" s="74">
        <v>81955.0</v>
      </c>
      <c r="BI637" s="74">
        <v>86493.0</v>
      </c>
      <c r="BJ637" s="74">
        <v>96396.0</v>
      </c>
      <c r="BK637" s="74">
        <v>57366.0</v>
      </c>
      <c r="BL637" s="74"/>
      <c r="BM637" s="74"/>
      <c r="BN637" s="74"/>
      <c r="BO637" s="74"/>
      <c r="BP637" s="74"/>
      <c r="BQ637" s="74"/>
      <c r="BR637" s="74"/>
      <c r="BS637" s="1"/>
      <c r="BT637" s="8"/>
      <c r="BU637" s="8"/>
      <c r="BV637" s="1"/>
      <c r="BW637" s="1"/>
      <c r="BX637" s="1"/>
      <c r="BY637" s="1"/>
      <c r="BZ637" s="1"/>
    </row>
    <row r="638">
      <c r="A638" s="3"/>
      <c r="B638" s="33"/>
      <c r="C638" s="173"/>
      <c r="D638" s="173" t="s">
        <v>262</v>
      </c>
      <c r="E638" s="2"/>
      <c r="F638" s="2"/>
      <c r="G638" s="14"/>
      <c r="H638" s="14"/>
      <c r="I638" s="14"/>
      <c r="J638" s="14"/>
      <c r="K638" s="1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3">
        <v>0.0042</v>
      </c>
      <c r="AD638" s="33">
        <v>0.0062</v>
      </c>
      <c r="AE638" s="33">
        <v>0.0056</v>
      </c>
      <c r="AF638" s="33">
        <v>0.0043</v>
      </c>
      <c r="AG638" s="33">
        <v>0.0088</v>
      </c>
      <c r="AH638" s="33">
        <v>0.0052</v>
      </c>
      <c r="AI638" s="33">
        <v>0.0058</v>
      </c>
      <c r="AJ638" s="33">
        <v>0.0045</v>
      </c>
      <c r="AK638" s="33">
        <v>0.0055</v>
      </c>
      <c r="AL638" s="33">
        <v>0.0049</v>
      </c>
      <c r="AM638" s="33">
        <v>0.0046</v>
      </c>
      <c r="AN638" s="33">
        <v>0.0056</v>
      </c>
      <c r="AO638" s="33">
        <v>0.0049</v>
      </c>
      <c r="AP638" s="33">
        <v>0.0042</v>
      </c>
      <c r="AQ638" s="33">
        <v>0.0049</v>
      </c>
      <c r="AR638" s="33">
        <v>0.0042</v>
      </c>
      <c r="AS638" s="33">
        <v>0.0068</v>
      </c>
      <c r="AT638" s="33">
        <v>0.0076</v>
      </c>
      <c r="AU638" s="33">
        <v>0.0069</v>
      </c>
      <c r="AV638" s="33">
        <v>0.0073</v>
      </c>
      <c r="AW638" s="33">
        <v>0.0084</v>
      </c>
      <c r="AX638" s="33">
        <v>0.0066</v>
      </c>
      <c r="AY638" s="33">
        <v>0.0069</v>
      </c>
      <c r="AZ638" s="33">
        <v>0.0055</v>
      </c>
      <c r="BA638" s="33">
        <v>0.0054</v>
      </c>
      <c r="BB638" s="33">
        <v>0.0056</v>
      </c>
      <c r="BC638" s="33">
        <v>0.0049</v>
      </c>
      <c r="BD638" s="33">
        <v>0.0047</v>
      </c>
      <c r="BE638" s="33">
        <v>0.006</v>
      </c>
      <c r="BF638" s="33">
        <v>0.0083</v>
      </c>
      <c r="BG638" s="33">
        <v>0.0046</v>
      </c>
      <c r="BH638" s="33">
        <v>0.0046</v>
      </c>
      <c r="BI638" s="33">
        <v>0.0053</v>
      </c>
      <c r="BJ638" s="33">
        <v>0.0063</v>
      </c>
      <c r="BK638" s="33">
        <v>0.0034</v>
      </c>
      <c r="BL638" s="33"/>
      <c r="BM638" s="33"/>
      <c r="BN638" s="33"/>
      <c r="BO638" s="33"/>
      <c r="BP638" s="33"/>
      <c r="BQ638" s="33"/>
      <c r="BR638" s="33"/>
      <c r="BS638" s="1"/>
      <c r="BT638" s="8"/>
      <c r="BU638" s="8"/>
      <c r="BV638" s="1"/>
      <c r="BW638" s="1"/>
      <c r="BX638" s="1"/>
      <c r="BY638" s="1"/>
      <c r="BZ638" s="1"/>
    </row>
    <row r="639">
      <c r="A639" s="3"/>
      <c r="B639" s="33"/>
      <c r="C639" s="156"/>
      <c r="D639" s="156"/>
      <c r="E639" s="2"/>
      <c r="F639" s="2"/>
      <c r="G639" s="14"/>
      <c r="H639" s="14"/>
      <c r="I639" s="14"/>
      <c r="J639" s="14"/>
      <c r="K639" s="1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8"/>
      <c r="BU639" s="8"/>
      <c r="BV639" s="1"/>
      <c r="BW639" s="1"/>
      <c r="BX639" s="1"/>
      <c r="BY639" s="1"/>
      <c r="BZ639" s="1"/>
    </row>
    <row r="640">
      <c r="A640" s="3"/>
      <c r="B640" s="33"/>
      <c r="C640" s="4"/>
      <c r="D640" s="4" t="s">
        <v>365</v>
      </c>
      <c r="E640" s="2"/>
      <c r="F640" s="2"/>
      <c r="G640" s="14"/>
      <c r="H640" s="14"/>
      <c r="I640" s="14"/>
      <c r="J640" s="14"/>
      <c r="K640" s="1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8"/>
      <c r="BU640" s="8"/>
      <c r="BV640" s="1"/>
      <c r="BW640" s="1"/>
      <c r="BX640" s="1"/>
      <c r="BY640" s="1"/>
      <c r="BZ640" s="1"/>
    </row>
    <row r="641">
      <c r="A641" s="3"/>
      <c r="B641" s="33"/>
      <c r="C641" s="142"/>
      <c r="D641" s="142" t="s">
        <v>263</v>
      </c>
      <c r="E641" s="2"/>
      <c r="F641" s="2"/>
      <c r="G641" s="14"/>
      <c r="H641" s="14"/>
      <c r="I641" s="14"/>
      <c r="J641" s="14"/>
      <c r="K641" s="1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74">
        <v>8379.0</v>
      </c>
      <c r="AD641" s="74">
        <v>9238.0</v>
      </c>
      <c r="AE641" s="74">
        <v>9653.0</v>
      </c>
      <c r="AF641" s="74">
        <v>8567.0</v>
      </c>
      <c r="AG641" s="74">
        <v>9298.0</v>
      </c>
      <c r="AH641" s="74">
        <v>10888.0</v>
      </c>
      <c r="AI641" s="74">
        <v>9450.0</v>
      </c>
      <c r="AJ641" s="74">
        <v>9269.0</v>
      </c>
      <c r="AK641" s="74">
        <v>11767.0</v>
      </c>
      <c r="AL641" s="74">
        <v>11190.0</v>
      </c>
      <c r="AM641" s="74">
        <v>10016.0</v>
      </c>
      <c r="AN641" s="74">
        <v>10272.0</v>
      </c>
      <c r="AO641" s="74">
        <v>12371.0</v>
      </c>
      <c r="AP641" s="74">
        <v>12695.0</v>
      </c>
      <c r="AQ641" s="74">
        <v>13001.0</v>
      </c>
      <c r="AR641" s="74">
        <v>14781.0</v>
      </c>
      <c r="AS641" s="74">
        <v>15786.0</v>
      </c>
      <c r="AT641" s="74">
        <v>13055.0</v>
      </c>
      <c r="AU641" s="74">
        <v>12962.0</v>
      </c>
      <c r="AV641" s="74">
        <v>12753.0</v>
      </c>
      <c r="AW641" s="74">
        <v>9703.0</v>
      </c>
      <c r="AX641" s="74">
        <v>11324.0</v>
      </c>
      <c r="AY641" s="74">
        <v>11544.0</v>
      </c>
      <c r="AZ641" s="74">
        <v>10791.0</v>
      </c>
      <c r="BA641" s="74">
        <v>11276.0</v>
      </c>
      <c r="BB641" s="74">
        <v>10660.0</v>
      </c>
      <c r="BC641" s="74">
        <v>10778.0</v>
      </c>
      <c r="BD641" s="74">
        <v>12145.0</v>
      </c>
      <c r="BE641" s="74">
        <v>10265.0</v>
      </c>
      <c r="BF641" s="74">
        <v>12505.0</v>
      </c>
      <c r="BG641" s="74">
        <v>11740.0</v>
      </c>
      <c r="BH641" s="74">
        <v>14022.0</v>
      </c>
      <c r="BI641" s="74">
        <v>11034.0</v>
      </c>
      <c r="BJ641" s="74">
        <v>10251.0</v>
      </c>
      <c r="BK641" s="74">
        <v>11174.0</v>
      </c>
      <c r="BL641" s="74"/>
      <c r="BM641" s="74"/>
      <c r="BN641" s="74"/>
      <c r="BO641" s="74"/>
      <c r="BP641" s="74"/>
      <c r="BQ641" s="74"/>
      <c r="BR641" s="74"/>
      <c r="BS641" s="1"/>
      <c r="BT641" s="8"/>
      <c r="BU641" s="8"/>
      <c r="BV641" s="1"/>
      <c r="BW641" s="1"/>
      <c r="BX641" s="1"/>
      <c r="BY641" s="1"/>
      <c r="BZ641" s="1"/>
    </row>
    <row r="642">
      <c r="A642" s="3"/>
      <c r="B642" s="33"/>
      <c r="C642" s="173"/>
      <c r="D642" s="173" t="s">
        <v>246</v>
      </c>
      <c r="E642" s="2"/>
      <c r="F642" s="2"/>
      <c r="G642" s="14"/>
      <c r="H642" s="14"/>
      <c r="I642" s="14"/>
      <c r="J642" s="14"/>
      <c r="K642" s="1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74">
        <v>4639.0</v>
      </c>
      <c r="AD642" s="74">
        <v>5381.0</v>
      </c>
      <c r="AE642" s="74">
        <v>5606.0</v>
      </c>
      <c r="AF642" s="74">
        <v>4865.0</v>
      </c>
      <c r="AG642" s="74">
        <v>5145.0</v>
      </c>
      <c r="AH642" s="74">
        <v>6344.0</v>
      </c>
      <c r="AI642" s="74">
        <v>5205.0</v>
      </c>
      <c r="AJ642" s="74">
        <v>4730.0</v>
      </c>
      <c r="AK642" s="74">
        <v>6679.0</v>
      </c>
      <c r="AL642" s="74">
        <v>6012.0</v>
      </c>
      <c r="AM642" s="74">
        <v>5516.0</v>
      </c>
      <c r="AN642" s="74">
        <v>5645.0</v>
      </c>
      <c r="AO642" s="74">
        <v>6791.0</v>
      </c>
      <c r="AP642" s="74">
        <v>6563.0</v>
      </c>
      <c r="AQ642" s="74">
        <v>6892.0</v>
      </c>
      <c r="AR642" s="74">
        <v>7959.0</v>
      </c>
      <c r="AS642" s="74">
        <v>9151.0</v>
      </c>
      <c r="AT642" s="74">
        <v>7279.0</v>
      </c>
      <c r="AU642" s="74">
        <v>6939.0</v>
      </c>
      <c r="AV642" s="74">
        <v>6731.0</v>
      </c>
      <c r="AW642" s="74">
        <v>4966.0</v>
      </c>
      <c r="AX642" s="74">
        <v>5978.0</v>
      </c>
      <c r="AY642" s="74">
        <v>5988.0</v>
      </c>
      <c r="AZ642" s="74">
        <v>5377.0</v>
      </c>
      <c r="BA642" s="74">
        <v>5603.0</v>
      </c>
      <c r="BB642" s="74">
        <v>5524.0</v>
      </c>
      <c r="BC642" s="74">
        <v>5604.0</v>
      </c>
      <c r="BD642" s="74">
        <v>6572.0</v>
      </c>
      <c r="BE642" s="74">
        <v>5562.0</v>
      </c>
      <c r="BF642" s="74">
        <v>7517.0</v>
      </c>
      <c r="BG642" s="74">
        <v>6856.0</v>
      </c>
      <c r="BH642" s="74">
        <v>8285.0</v>
      </c>
      <c r="BI642" s="74">
        <v>6123.0</v>
      </c>
      <c r="BJ642" s="74">
        <v>5765.0</v>
      </c>
      <c r="BK642" s="74">
        <v>6032.0</v>
      </c>
      <c r="BL642" s="74"/>
      <c r="BM642" s="74"/>
      <c r="BN642" s="74"/>
      <c r="BO642" s="74"/>
      <c r="BP642" s="74"/>
      <c r="BQ642" s="74"/>
      <c r="BR642" s="74"/>
      <c r="BS642" s="1"/>
      <c r="BT642" s="8"/>
      <c r="BU642" s="8"/>
      <c r="BV642" s="1"/>
      <c r="BW642" s="1"/>
      <c r="BX642" s="1"/>
      <c r="BY642" s="1"/>
      <c r="BZ642" s="1"/>
    </row>
    <row r="643">
      <c r="A643" s="3"/>
      <c r="B643" s="33"/>
      <c r="C643" s="173"/>
      <c r="D643" s="173" t="s">
        <v>248</v>
      </c>
      <c r="E643" s="2"/>
      <c r="F643" s="2"/>
      <c r="G643" s="14"/>
      <c r="H643" s="14"/>
      <c r="I643" s="14"/>
      <c r="J643" s="14"/>
      <c r="K643" s="1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74">
        <v>1263.0</v>
      </c>
      <c r="AD643" s="74">
        <v>1409.0</v>
      </c>
      <c r="AE643" s="74">
        <v>1515.0</v>
      </c>
      <c r="AF643" s="74">
        <v>1417.0</v>
      </c>
      <c r="AG643" s="74">
        <v>1455.0</v>
      </c>
      <c r="AH643" s="74">
        <v>2020.0</v>
      </c>
      <c r="AI643" s="74">
        <v>1752.0</v>
      </c>
      <c r="AJ643" s="74">
        <v>1745.0</v>
      </c>
      <c r="AK643" s="74">
        <v>1776.0</v>
      </c>
      <c r="AL643" s="74">
        <v>1677.0</v>
      </c>
      <c r="AM643" s="74">
        <v>1737.0</v>
      </c>
      <c r="AN643" s="74">
        <v>1652.0</v>
      </c>
      <c r="AO643" s="74">
        <v>2118.0</v>
      </c>
      <c r="AP643" s="74">
        <v>2428.0</v>
      </c>
      <c r="AQ643" s="74">
        <v>2426.0</v>
      </c>
      <c r="AR643" s="74">
        <v>2594.0</v>
      </c>
      <c r="AS643" s="74">
        <v>2292.0</v>
      </c>
      <c r="AT643" s="74">
        <v>2013.0</v>
      </c>
      <c r="AU643" s="74">
        <v>2111.0</v>
      </c>
      <c r="AV643" s="74">
        <v>1862.0</v>
      </c>
      <c r="AW643" s="74">
        <v>1573.0</v>
      </c>
      <c r="AX643" s="74">
        <v>1596.0</v>
      </c>
      <c r="AY643" s="74">
        <v>1547.0</v>
      </c>
      <c r="AZ643" s="74">
        <v>1444.0</v>
      </c>
      <c r="BA643" s="74">
        <v>1493.0</v>
      </c>
      <c r="BB643" s="74">
        <v>1277.0</v>
      </c>
      <c r="BC643" s="74">
        <v>1442.0</v>
      </c>
      <c r="BD643" s="74">
        <v>1570.0</v>
      </c>
      <c r="BE643" s="74">
        <v>1084.0</v>
      </c>
      <c r="BF643" s="74">
        <v>1156.0</v>
      </c>
      <c r="BG643" s="74">
        <v>1507.0</v>
      </c>
      <c r="BH643" s="74">
        <v>2112.0</v>
      </c>
      <c r="BI643" s="74">
        <v>1780.0</v>
      </c>
      <c r="BJ643" s="74">
        <v>1381.0</v>
      </c>
      <c r="BK643" s="74">
        <v>1396.0</v>
      </c>
      <c r="BL643" s="74"/>
      <c r="BM643" s="74"/>
      <c r="BN643" s="74"/>
      <c r="BO643" s="74"/>
      <c r="BP643" s="74"/>
      <c r="BQ643" s="74"/>
      <c r="BR643" s="74"/>
      <c r="BS643" s="1"/>
      <c r="BT643" s="8"/>
      <c r="BU643" s="8"/>
      <c r="BV643" s="1"/>
      <c r="BW643" s="1"/>
      <c r="BX643" s="1"/>
      <c r="BY643" s="1"/>
      <c r="BZ643" s="1"/>
    </row>
    <row r="644">
      <c r="A644" s="3"/>
      <c r="B644" s="33"/>
      <c r="C644" s="173"/>
      <c r="D644" s="173" t="s">
        <v>251</v>
      </c>
      <c r="E644" s="2"/>
      <c r="F644" s="2"/>
      <c r="G644" s="14"/>
      <c r="H644" s="14"/>
      <c r="I644" s="14"/>
      <c r="J644" s="14"/>
      <c r="K644" s="1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>
        <v>337.0</v>
      </c>
      <c r="AD644" s="3">
        <v>299.0</v>
      </c>
      <c r="AE644" s="3">
        <v>306.0</v>
      </c>
      <c r="AF644" s="3">
        <v>294.0</v>
      </c>
      <c r="AG644" s="3">
        <v>522.0</v>
      </c>
      <c r="AH644" s="3">
        <v>362.0</v>
      </c>
      <c r="AI644" s="3">
        <v>272.0</v>
      </c>
      <c r="AJ644" s="3">
        <v>291.0</v>
      </c>
      <c r="AK644" s="3">
        <v>323.0</v>
      </c>
      <c r="AL644" s="3">
        <v>365.0</v>
      </c>
      <c r="AM644" s="3">
        <v>301.0</v>
      </c>
      <c r="AN644" s="3">
        <v>359.0</v>
      </c>
      <c r="AO644" s="3">
        <v>382.0</v>
      </c>
      <c r="AP644" s="3">
        <v>350.0</v>
      </c>
      <c r="AQ644" s="3">
        <v>340.0</v>
      </c>
      <c r="AR644" s="3">
        <v>422.0</v>
      </c>
      <c r="AS644" s="3">
        <v>437.0</v>
      </c>
      <c r="AT644" s="3">
        <v>475.0</v>
      </c>
      <c r="AU644" s="3">
        <v>717.0</v>
      </c>
      <c r="AV644" s="3">
        <v>558.0</v>
      </c>
      <c r="AW644" s="3">
        <v>337.0</v>
      </c>
      <c r="AX644" s="3">
        <v>322.0</v>
      </c>
      <c r="AY644" s="3">
        <v>365.0</v>
      </c>
      <c r="AZ644" s="3">
        <v>367.0</v>
      </c>
      <c r="BA644" s="3">
        <v>348.0</v>
      </c>
      <c r="BB644" s="3">
        <v>362.0</v>
      </c>
      <c r="BC644" s="3">
        <v>332.0</v>
      </c>
      <c r="BD644" s="3">
        <v>333.0</v>
      </c>
      <c r="BE644" s="3">
        <v>346.0</v>
      </c>
      <c r="BF644" s="3">
        <v>587.0</v>
      </c>
      <c r="BG644" s="3">
        <v>445.0</v>
      </c>
      <c r="BH644" s="3">
        <v>327.0</v>
      </c>
      <c r="BI644" s="3">
        <v>242.0</v>
      </c>
      <c r="BJ644" s="3">
        <v>264.0</v>
      </c>
      <c r="BK644" s="3">
        <v>337.0</v>
      </c>
      <c r="BL644" s="3"/>
      <c r="BM644" s="3"/>
      <c r="BN644" s="3"/>
      <c r="BO644" s="3"/>
      <c r="BP644" s="3"/>
      <c r="BQ644" s="3"/>
      <c r="BR644" s="3"/>
      <c r="BS644" s="1"/>
      <c r="BT644" s="8"/>
      <c r="BU644" s="8"/>
      <c r="BV644" s="1"/>
      <c r="BW644" s="1"/>
      <c r="BX644" s="1"/>
      <c r="BY644" s="1"/>
      <c r="BZ644" s="1"/>
    </row>
    <row r="645">
      <c r="A645" s="3"/>
      <c r="B645" s="33"/>
      <c r="C645" s="173"/>
      <c r="D645" s="173" t="s">
        <v>253</v>
      </c>
      <c r="E645" s="2"/>
      <c r="F645" s="2"/>
      <c r="G645" s="14"/>
      <c r="H645" s="14"/>
      <c r="I645" s="14"/>
      <c r="J645" s="14"/>
      <c r="K645" s="1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>
        <v>896.0</v>
      </c>
      <c r="AD645" s="3">
        <v>875.0</v>
      </c>
      <c r="AE645" s="3">
        <v>856.0</v>
      </c>
      <c r="AF645" s="3">
        <v>718.0</v>
      </c>
      <c r="AG645" s="3">
        <v>746.0</v>
      </c>
      <c r="AH645" s="3">
        <v>789.0</v>
      </c>
      <c r="AI645" s="3">
        <v>835.0</v>
      </c>
      <c r="AJ645" s="3">
        <v>901.0</v>
      </c>
      <c r="AK645" s="3">
        <v>846.0</v>
      </c>
      <c r="AL645" s="74">
        <v>1007.0</v>
      </c>
      <c r="AM645" s="3">
        <v>721.0</v>
      </c>
      <c r="AN645" s="3">
        <v>816.0</v>
      </c>
      <c r="AO645" s="74">
        <v>1064.0</v>
      </c>
      <c r="AP645" s="74">
        <v>1131.0</v>
      </c>
      <c r="AQ645" s="74">
        <v>1149.0</v>
      </c>
      <c r="AR645" s="74">
        <v>1311.0</v>
      </c>
      <c r="AS645" s="74">
        <v>1440.0</v>
      </c>
      <c r="AT645" s="74">
        <v>1051.0</v>
      </c>
      <c r="AU645" s="74">
        <v>996.0</v>
      </c>
      <c r="AV645" s="74">
        <v>1345.0</v>
      </c>
      <c r="AW645" s="74">
        <v>1168.0</v>
      </c>
      <c r="AX645" s="74">
        <v>1396.0</v>
      </c>
      <c r="AY645" s="74">
        <v>1211.0</v>
      </c>
      <c r="AZ645" s="74">
        <v>1129.0</v>
      </c>
      <c r="BA645" s="74">
        <v>1173.0</v>
      </c>
      <c r="BB645" s="74">
        <v>1105.0</v>
      </c>
      <c r="BC645" s="74">
        <v>1057.0</v>
      </c>
      <c r="BD645" s="74">
        <v>1064.0</v>
      </c>
      <c r="BE645" s="74">
        <v>1091.0</v>
      </c>
      <c r="BF645" s="74">
        <v>958.0</v>
      </c>
      <c r="BG645" s="74">
        <v>816.0</v>
      </c>
      <c r="BH645" s="74">
        <v>842.0</v>
      </c>
      <c r="BI645" s="74">
        <v>686.0</v>
      </c>
      <c r="BJ645" s="74">
        <v>791.0</v>
      </c>
      <c r="BK645" s="74">
        <v>1369.0</v>
      </c>
      <c r="BL645" s="74"/>
      <c r="BM645" s="74"/>
      <c r="BN645" s="74"/>
      <c r="BO645" s="74"/>
      <c r="BP645" s="74"/>
      <c r="BQ645" s="74"/>
      <c r="BR645" s="74"/>
      <c r="BS645" s="1"/>
      <c r="BT645" s="8"/>
      <c r="BU645" s="8"/>
      <c r="BV645" s="1"/>
      <c r="BW645" s="1"/>
      <c r="BX645" s="1"/>
      <c r="BY645" s="1"/>
      <c r="BZ645" s="1"/>
    </row>
    <row r="646">
      <c r="A646" s="3"/>
      <c r="B646" s="33"/>
      <c r="C646" s="173"/>
      <c r="D646" s="173" t="s">
        <v>255</v>
      </c>
      <c r="E646" s="2"/>
      <c r="F646" s="2"/>
      <c r="G646" s="14"/>
      <c r="H646" s="14"/>
      <c r="I646" s="14"/>
      <c r="J646" s="14"/>
      <c r="K646" s="1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74">
        <v>1086.0</v>
      </c>
      <c r="AD646" s="74">
        <v>1049.0</v>
      </c>
      <c r="AE646" s="74">
        <v>1047.0</v>
      </c>
      <c r="AF646" s="74">
        <v>1059.0</v>
      </c>
      <c r="AG646" s="74">
        <v>1117.0</v>
      </c>
      <c r="AH646" s="74">
        <v>1116.0</v>
      </c>
      <c r="AI646" s="74">
        <v>1159.0</v>
      </c>
      <c r="AJ646" s="74">
        <v>1339.0</v>
      </c>
      <c r="AK646" s="74">
        <v>1716.0</v>
      </c>
      <c r="AL646" s="74">
        <v>1840.0</v>
      </c>
      <c r="AM646" s="74">
        <v>1415.0</v>
      </c>
      <c r="AN646" s="74">
        <v>1572.0</v>
      </c>
      <c r="AO646" s="74">
        <v>1740.0</v>
      </c>
      <c r="AP646" s="74">
        <v>1934.0</v>
      </c>
      <c r="AQ646" s="74">
        <v>1916.0</v>
      </c>
      <c r="AR646" s="74">
        <v>2128.0</v>
      </c>
      <c r="AS646" s="74">
        <v>2035.0</v>
      </c>
      <c r="AT646" s="74">
        <v>1724.0</v>
      </c>
      <c r="AU646" s="74">
        <v>1679.0</v>
      </c>
      <c r="AV646" s="74">
        <v>1714.0</v>
      </c>
      <c r="AW646" s="74">
        <v>1364.0</v>
      </c>
      <c r="AX646" s="74">
        <v>1699.0</v>
      </c>
      <c r="AY646" s="74">
        <v>2026.0</v>
      </c>
      <c r="AZ646" s="74">
        <v>2060.0</v>
      </c>
      <c r="BA646" s="74">
        <v>2132.0</v>
      </c>
      <c r="BB646" s="74">
        <v>1909.0</v>
      </c>
      <c r="BC646" s="74">
        <v>2009.0</v>
      </c>
      <c r="BD646" s="74">
        <v>2176.0</v>
      </c>
      <c r="BE646" s="74">
        <v>1785.0</v>
      </c>
      <c r="BF646" s="74">
        <v>1779.0</v>
      </c>
      <c r="BG646" s="74">
        <v>1712.0</v>
      </c>
      <c r="BH646" s="74">
        <v>2168.0</v>
      </c>
      <c r="BI646" s="74">
        <v>1921.0</v>
      </c>
      <c r="BJ646" s="74">
        <v>1684.0</v>
      </c>
      <c r="BK646" s="74">
        <v>1581.0</v>
      </c>
      <c r="BL646" s="74"/>
      <c r="BM646" s="74"/>
      <c r="BN646" s="74"/>
      <c r="BO646" s="74"/>
      <c r="BP646" s="74"/>
      <c r="BQ646" s="74"/>
      <c r="BR646" s="74"/>
      <c r="BS646" s="1"/>
      <c r="BT646" s="8"/>
      <c r="BU646" s="8"/>
      <c r="BV646" s="1"/>
      <c r="BW646" s="1"/>
      <c r="BX646" s="1"/>
      <c r="BY646" s="1"/>
      <c r="BZ646" s="1"/>
    </row>
    <row r="647">
      <c r="A647" s="3"/>
      <c r="B647" s="33"/>
      <c r="C647" s="137"/>
      <c r="D647" s="137" t="s">
        <v>257</v>
      </c>
      <c r="E647" s="2"/>
      <c r="F647" s="2"/>
      <c r="G647" s="14"/>
      <c r="H647" s="14"/>
      <c r="I647" s="14"/>
      <c r="J647" s="14"/>
      <c r="K647" s="1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>
        <v>100.0</v>
      </c>
      <c r="AD647" s="3">
        <v>134.0</v>
      </c>
      <c r="AE647" s="3">
        <v>222.0</v>
      </c>
      <c r="AF647" s="3">
        <v>121.0</v>
      </c>
      <c r="AG647" s="3">
        <v>165.0</v>
      </c>
      <c r="AH647" s="3">
        <v>147.0</v>
      </c>
      <c r="AI647" s="3">
        <v>126.0</v>
      </c>
      <c r="AJ647" s="3">
        <v>147.0</v>
      </c>
      <c r="AK647" s="3">
        <v>195.0</v>
      </c>
      <c r="AL647" s="3">
        <v>170.0</v>
      </c>
      <c r="AM647" s="3">
        <v>158.0</v>
      </c>
      <c r="AN647" s="3">
        <v>101.0</v>
      </c>
      <c r="AO647" s="3">
        <v>115.0</v>
      </c>
      <c r="AP647" s="3">
        <v>128.0</v>
      </c>
      <c r="AQ647" s="3">
        <v>87.0</v>
      </c>
      <c r="AR647" s="3">
        <v>154.0</v>
      </c>
      <c r="AS647" s="3">
        <v>180.0</v>
      </c>
      <c r="AT647" s="3">
        <v>243.0</v>
      </c>
      <c r="AU647" s="3">
        <v>324.0</v>
      </c>
      <c r="AV647" s="3">
        <v>336.0</v>
      </c>
      <c r="AW647" s="3">
        <v>94.0</v>
      </c>
      <c r="AX647" s="3">
        <v>85.0</v>
      </c>
      <c r="AY647" s="3">
        <v>119.0</v>
      </c>
      <c r="AZ647" s="3">
        <v>185.0</v>
      </c>
      <c r="BA647" s="3">
        <v>192.0</v>
      </c>
      <c r="BB647" s="3">
        <v>77.0</v>
      </c>
      <c r="BC647" s="3">
        <v>84.0</v>
      </c>
      <c r="BD647" s="3">
        <v>89.0</v>
      </c>
      <c r="BE647" s="3">
        <v>124.0</v>
      </c>
      <c r="BF647" s="3">
        <v>173.0</v>
      </c>
      <c r="BG647" s="3">
        <v>110.0</v>
      </c>
      <c r="BH647" s="3">
        <v>78.0</v>
      </c>
      <c r="BI647" s="3">
        <v>82.0</v>
      </c>
      <c r="BJ647" s="3">
        <v>44.0</v>
      </c>
      <c r="BK647" s="3">
        <v>67.0</v>
      </c>
      <c r="BL647" s="3"/>
      <c r="BM647" s="3"/>
      <c r="BN647" s="3"/>
      <c r="BO647" s="3"/>
      <c r="BP647" s="3"/>
      <c r="BQ647" s="3"/>
      <c r="BR647" s="3"/>
      <c r="BS647" s="1"/>
      <c r="BT647" s="8"/>
      <c r="BU647" s="8"/>
      <c r="BV647" s="1"/>
      <c r="BW647" s="1"/>
      <c r="BX647" s="1"/>
      <c r="BY647" s="1"/>
      <c r="BZ647" s="1"/>
    </row>
    <row r="648">
      <c r="A648" s="3"/>
      <c r="B648" s="33"/>
      <c r="C648" s="173"/>
      <c r="D648" s="173" t="s">
        <v>261</v>
      </c>
      <c r="E648" s="2"/>
      <c r="F648" s="2"/>
      <c r="G648" s="14"/>
      <c r="H648" s="14"/>
      <c r="I648" s="14"/>
      <c r="J648" s="14"/>
      <c r="K648" s="1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>
        <v>33.0</v>
      </c>
      <c r="AD648" s="3">
        <v>55.0</v>
      </c>
      <c r="AE648" s="3">
        <v>56.0</v>
      </c>
      <c r="AF648" s="3">
        <v>43.0</v>
      </c>
      <c r="AG648" s="3">
        <v>115.0</v>
      </c>
      <c r="AH648" s="3">
        <v>67.0</v>
      </c>
      <c r="AI648" s="3">
        <v>60.0</v>
      </c>
      <c r="AJ648" s="3">
        <v>42.0</v>
      </c>
      <c r="AK648" s="3">
        <v>54.0</v>
      </c>
      <c r="AL648" s="3">
        <v>49.0</v>
      </c>
      <c r="AM648" s="3">
        <v>39.0</v>
      </c>
      <c r="AN648" s="3">
        <v>49.0</v>
      </c>
      <c r="AO648" s="3">
        <v>58.0</v>
      </c>
      <c r="AP648" s="3">
        <v>51.0</v>
      </c>
      <c r="AQ648" s="3">
        <v>59.0</v>
      </c>
      <c r="AR648" s="3">
        <v>58.0</v>
      </c>
      <c r="AS648" s="3">
        <v>93.0</v>
      </c>
      <c r="AT648" s="3">
        <v>94.0</v>
      </c>
      <c r="AU648" s="3">
        <v>91.0</v>
      </c>
      <c r="AV648" s="3">
        <v>84.0</v>
      </c>
      <c r="AW648" s="3">
        <v>86.0</v>
      </c>
      <c r="AX648" s="3">
        <v>66.0</v>
      </c>
      <c r="AY648" s="3">
        <v>66.0</v>
      </c>
      <c r="AZ648" s="3">
        <v>50.0</v>
      </c>
      <c r="BA648" s="3">
        <v>48.0</v>
      </c>
      <c r="BB648" s="3">
        <v>48.0</v>
      </c>
      <c r="BC648" s="3">
        <v>41.0</v>
      </c>
      <c r="BD648" s="3">
        <v>41.0</v>
      </c>
      <c r="BE648" s="3">
        <v>45.0</v>
      </c>
      <c r="BF648" s="3">
        <v>124.0</v>
      </c>
      <c r="BG648" s="3">
        <v>116.0</v>
      </c>
      <c r="BH648" s="3">
        <v>48.0</v>
      </c>
      <c r="BI648" s="3">
        <v>39.0</v>
      </c>
      <c r="BJ648" s="3">
        <v>41.0</v>
      </c>
      <c r="BK648" s="3">
        <v>24.0</v>
      </c>
      <c r="BL648" s="3"/>
      <c r="BM648" s="3"/>
      <c r="BN648" s="3"/>
      <c r="BO648" s="3"/>
      <c r="BP648" s="3"/>
      <c r="BQ648" s="3"/>
      <c r="BR648" s="3"/>
      <c r="BS648" s="1"/>
      <c r="BT648" s="8"/>
      <c r="BU648" s="8"/>
      <c r="BV648" s="1"/>
      <c r="BW648" s="1"/>
      <c r="BX648" s="1"/>
      <c r="BY648" s="1"/>
      <c r="BZ648" s="1"/>
    </row>
    <row r="649">
      <c r="A649" s="3"/>
      <c r="B649" s="33"/>
      <c r="C649" s="156"/>
      <c r="D649" s="156"/>
      <c r="E649" s="2"/>
      <c r="F649" s="2"/>
      <c r="G649" s="14"/>
      <c r="H649" s="14"/>
      <c r="I649" s="14"/>
      <c r="J649" s="14"/>
      <c r="K649" s="1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8"/>
      <c r="BU649" s="8"/>
      <c r="BV649" s="1"/>
      <c r="BW649" s="1"/>
      <c r="BX649" s="1"/>
      <c r="BY649" s="1"/>
      <c r="BZ649" s="1"/>
    </row>
    <row r="650">
      <c r="A650" s="3"/>
      <c r="B650" s="33"/>
      <c r="C650" s="156"/>
      <c r="D650" s="156"/>
      <c r="E650" s="2"/>
      <c r="F650" s="2"/>
      <c r="G650" s="14"/>
      <c r="H650" s="14"/>
      <c r="I650" s="14"/>
      <c r="J650" s="14"/>
      <c r="K650" s="1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8"/>
      <c r="BU650" s="8"/>
      <c r="BV650" s="1"/>
      <c r="BW650" s="1"/>
      <c r="BX650" s="1"/>
      <c r="BY650" s="1"/>
      <c r="BZ650" s="1"/>
    </row>
    <row r="651">
      <c r="A651" s="3"/>
      <c r="B651" s="33"/>
      <c r="C651" s="176"/>
      <c r="D651" s="176" t="s">
        <v>202</v>
      </c>
      <c r="E651" s="2"/>
      <c r="F651" s="2"/>
      <c r="G651" s="14"/>
      <c r="H651" s="14"/>
      <c r="I651" s="14"/>
      <c r="J651" s="14"/>
      <c r="K651" s="1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8"/>
      <c r="BU651" s="8"/>
      <c r="BV651" s="1"/>
      <c r="BW651" s="1"/>
      <c r="BX651" s="1"/>
      <c r="BY651" s="1"/>
      <c r="BZ651" s="1"/>
    </row>
    <row r="652">
      <c r="A652" s="3"/>
      <c r="B652" s="33"/>
      <c r="C652" s="159"/>
      <c r="D652" s="159"/>
      <c r="E652" s="2"/>
      <c r="F652" s="2"/>
      <c r="G652" s="14"/>
      <c r="H652" s="14"/>
      <c r="I652" s="14"/>
      <c r="J652" s="14"/>
      <c r="K652" s="1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8"/>
      <c r="BU652" s="8"/>
      <c r="BV652" s="1"/>
      <c r="BW652" s="1"/>
      <c r="BX652" s="1"/>
      <c r="BY652" s="1"/>
      <c r="BZ652" s="1"/>
    </row>
    <row r="653">
      <c r="A653" s="3"/>
      <c r="B653" s="33"/>
      <c r="C653" s="173"/>
      <c r="D653" s="173" t="s">
        <v>246</v>
      </c>
      <c r="E653" s="2"/>
      <c r="F653" s="2"/>
      <c r="G653" s="14"/>
      <c r="H653" s="14"/>
      <c r="I653" s="14"/>
      <c r="J653" s="14"/>
      <c r="K653" s="1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40"/>
      <c r="AC653" s="140" t="s">
        <v>246</v>
      </c>
      <c r="AD653" s="3">
        <v>44.12</v>
      </c>
      <c r="AE653" s="3">
        <v>43.55</v>
      </c>
      <c r="AF653" s="3">
        <v>47.34</v>
      </c>
      <c r="AG653" s="3">
        <v>48.02</v>
      </c>
      <c r="AH653" s="3">
        <v>40.36</v>
      </c>
      <c r="AI653" s="3">
        <v>58.02</v>
      </c>
      <c r="AJ653" s="3">
        <v>56.39</v>
      </c>
      <c r="AK653" s="3">
        <v>39.4</v>
      </c>
      <c r="AL653" s="3">
        <v>49.17</v>
      </c>
      <c r="AM653" s="3">
        <v>64.17</v>
      </c>
      <c r="AN653" s="3">
        <v>76.82</v>
      </c>
      <c r="AO653" s="3">
        <v>59.14</v>
      </c>
      <c r="AP653" s="3">
        <v>68.43</v>
      </c>
      <c r="AQ653" s="3">
        <v>71.19</v>
      </c>
      <c r="AR653" s="3">
        <v>64.89</v>
      </c>
      <c r="AS653" s="3">
        <v>66.85</v>
      </c>
      <c r="AT653" s="3">
        <v>83.04</v>
      </c>
      <c r="AU653" s="3">
        <v>87.47</v>
      </c>
      <c r="AV653" s="3">
        <v>87.3</v>
      </c>
      <c r="AW653" s="3">
        <v>112.24</v>
      </c>
      <c r="AX653" s="3">
        <v>88.27</v>
      </c>
      <c r="AY653" s="3">
        <v>79.54</v>
      </c>
      <c r="AZ653" s="3">
        <v>84.34</v>
      </c>
      <c r="BA653" s="3">
        <v>78.14</v>
      </c>
      <c r="BB653" s="3">
        <v>76.41</v>
      </c>
      <c r="BC653" s="3">
        <v>69.63</v>
      </c>
      <c r="BD653" s="3">
        <v>56.45</v>
      </c>
      <c r="BE653" s="3">
        <v>66.57</v>
      </c>
      <c r="BF653" s="3">
        <v>46.48</v>
      </c>
      <c r="BG653" s="3">
        <v>48.04</v>
      </c>
      <c r="BH653" s="3">
        <v>34.02</v>
      </c>
      <c r="BI653" s="3">
        <v>42.86</v>
      </c>
      <c r="BJ653" s="3">
        <v>40.26</v>
      </c>
      <c r="BK653" s="3">
        <v>37.02</v>
      </c>
      <c r="BL653" s="3"/>
      <c r="BM653" s="3"/>
      <c r="BN653" s="3"/>
      <c r="BO653" s="3"/>
      <c r="BP653" s="3"/>
      <c r="BQ653" s="3"/>
      <c r="BR653" s="3"/>
      <c r="BS653" s="1"/>
      <c r="BT653" s="8"/>
      <c r="BU653" s="8"/>
      <c r="BV653" s="1"/>
      <c r="BW653" s="1"/>
      <c r="BX653" s="1"/>
      <c r="BY653" s="1"/>
      <c r="BZ653" s="1"/>
    </row>
    <row r="654">
      <c r="A654" s="3"/>
      <c r="B654" s="33"/>
      <c r="C654" s="173"/>
      <c r="D654" s="173" t="s">
        <v>248</v>
      </c>
      <c r="E654" s="2"/>
      <c r="F654" s="2"/>
      <c r="G654" s="14"/>
      <c r="H654" s="14"/>
      <c r="I654" s="14"/>
      <c r="J654" s="14"/>
      <c r="K654" s="1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40"/>
      <c r="AC654" s="140" t="s">
        <v>248</v>
      </c>
      <c r="AD654" s="3">
        <v>90.19</v>
      </c>
      <c r="AE654" s="3">
        <v>82.85</v>
      </c>
      <c r="AF654" s="3">
        <v>84.51</v>
      </c>
      <c r="AG654" s="3">
        <v>79.0</v>
      </c>
      <c r="AH654" s="3">
        <v>54.24</v>
      </c>
      <c r="AI654" s="3">
        <v>67.88</v>
      </c>
      <c r="AJ654" s="3">
        <v>63.09</v>
      </c>
      <c r="AK654" s="3">
        <v>60.26</v>
      </c>
      <c r="AL654" s="3">
        <v>59.94</v>
      </c>
      <c r="AM654" s="3">
        <v>57.51</v>
      </c>
      <c r="AN654" s="3">
        <v>74.58</v>
      </c>
      <c r="AO654" s="3">
        <v>63.04</v>
      </c>
      <c r="AP654" s="3">
        <v>61.22</v>
      </c>
      <c r="AQ654" s="3">
        <v>63.35</v>
      </c>
      <c r="AR654" s="3">
        <v>61.02</v>
      </c>
      <c r="AS654" s="3">
        <v>78.66</v>
      </c>
      <c r="AT654" s="3">
        <v>87.84</v>
      </c>
      <c r="AU654" s="3">
        <v>87.07</v>
      </c>
      <c r="AV654" s="3">
        <v>98.38</v>
      </c>
      <c r="AW654" s="3">
        <v>111.28</v>
      </c>
      <c r="AX654" s="3">
        <v>104.95</v>
      </c>
      <c r="AY654" s="3">
        <v>101.62</v>
      </c>
      <c r="AZ654" s="3">
        <v>107.18</v>
      </c>
      <c r="BA654" s="3">
        <v>99.57</v>
      </c>
      <c r="BB654" s="3">
        <v>111.62</v>
      </c>
      <c r="BC654" s="3">
        <v>92.55</v>
      </c>
      <c r="BD654" s="3">
        <v>82.89</v>
      </c>
      <c r="BE654" s="3">
        <v>124.41</v>
      </c>
      <c r="BF654" s="3">
        <v>110.93</v>
      </c>
      <c r="BG654" s="3">
        <v>80.08</v>
      </c>
      <c r="BH654" s="3">
        <v>49.15</v>
      </c>
      <c r="BI654" s="3">
        <v>55.5</v>
      </c>
      <c r="BJ654" s="3">
        <v>67.95</v>
      </c>
      <c r="BK654" s="3">
        <v>62.76</v>
      </c>
      <c r="BL654" s="3"/>
      <c r="BM654" s="3"/>
      <c r="BN654" s="3"/>
      <c r="BO654" s="3"/>
      <c r="BP654" s="3"/>
      <c r="BQ654" s="3"/>
      <c r="BR654" s="3"/>
      <c r="BS654" s="1"/>
      <c r="BT654" s="8"/>
      <c r="BU654" s="8"/>
      <c r="BV654" s="1"/>
      <c r="BW654" s="1"/>
      <c r="BX654" s="1"/>
      <c r="BY654" s="1"/>
      <c r="BZ654" s="1"/>
    </row>
    <row r="655">
      <c r="A655" s="3"/>
      <c r="B655" s="33"/>
      <c r="C655" s="173"/>
      <c r="D655" s="173" t="s">
        <v>251</v>
      </c>
      <c r="E655" s="2"/>
      <c r="F655" s="2"/>
      <c r="G655" s="14"/>
      <c r="H655" s="14"/>
      <c r="I655" s="14"/>
      <c r="J655" s="14"/>
      <c r="K655" s="1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40"/>
      <c r="AC655" s="140" t="s">
        <v>251</v>
      </c>
      <c r="AD655" s="3">
        <v>107.76</v>
      </c>
      <c r="AE655" s="3">
        <v>99.3</v>
      </c>
      <c r="AF655" s="3">
        <v>96.81</v>
      </c>
      <c r="AG655" s="3">
        <v>49.89</v>
      </c>
      <c r="AH655" s="3">
        <v>68.12</v>
      </c>
      <c r="AI655" s="3">
        <v>94.58</v>
      </c>
      <c r="AJ655" s="3">
        <v>81.47</v>
      </c>
      <c r="AK655" s="3">
        <v>70.46</v>
      </c>
      <c r="AL655" s="3">
        <v>61.87</v>
      </c>
      <c r="AM655" s="3">
        <v>67.33</v>
      </c>
      <c r="AN655" s="3">
        <v>70.06</v>
      </c>
      <c r="AO655" s="3">
        <v>71.26</v>
      </c>
      <c r="AP655" s="3">
        <v>97.06</v>
      </c>
      <c r="AQ655" s="3">
        <v>105.16</v>
      </c>
      <c r="AR655" s="3">
        <v>84.75</v>
      </c>
      <c r="AS655" s="3">
        <v>81.74</v>
      </c>
      <c r="AT655" s="3">
        <v>72.24</v>
      </c>
      <c r="AU655" s="3">
        <v>43.44</v>
      </c>
      <c r="AV655" s="3">
        <v>51.95</v>
      </c>
      <c r="AW655" s="3">
        <v>79.8</v>
      </c>
      <c r="AX655" s="3">
        <v>79.85</v>
      </c>
      <c r="AY655" s="3">
        <v>60.51</v>
      </c>
      <c r="AZ655" s="3">
        <v>57.34</v>
      </c>
      <c r="BA655" s="3">
        <v>57.84</v>
      </c>
      <c r="BB655" s="3">
        <v>53.08</v>
      </c>
      <c r="BC655" s="3">
        <v>54.69</v>
      </c>
      <c r="BD655" s="3">
        <v>51.8</v>
      </c>
      <c r="BE655" s="3">
        <v>52.46</v>
      </c>
      <c r="BF655" s="3">
        <v>23.66</v>
      </c>
      <c r="BG655" s="3">
        <v>28.06</v>
      </c>
      <c r="BH655" s="3">
        <v>35.54</v>
      </c>
      <c r="BI655" s="3">
        <v>46.57</v>
      </c>
      <c r="BJ655" s="3">
        <v>39.08</v>
      </c>
      <c r="BK655" s="3">
        <v>33.71</v>
      </c>
      <c r="BL655" s="3"/>
      <c r="BM655" s="3"/>
      <c r="BN655" s="3"/>
      <c r="BO655" s="3"/>
      <c r="BP655" s="3"/>
      <c r="BQ655" s="3"/>
      <c r="BR655" s="3"/>
      <c r="BS655" s="1"/>
      <c r="BT655" s="8"/>
      <c r="BU655" s="8"/>
      <c r="BV655" s="1"/>
      <c r="BW655" s="1"/>
      <c r="BX655" s="1"/>
      <c r="BY655" s="1"/>
      <c r="BZ655" s="1"/>
    </row>
    <row r="656">
      <c r="A656" s="3"/>
      <c r="B656" s="33"/>
      <c r="C656" s="173"/>
      <c r="D656" s="173" t="s">
        <v>253</v>
      </c>
      <c r="E656" s="2"/>
      <c r="F656" s="2"/>
      <c r="G656" s="14"/>
      <c r="H656" s="14"/>
      <c r="I656" s="14"/>
      <c r="J656" s="14"/>
      <c r="K656" s="1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40"/>
      <c r="AC656" s="140" t="s">
        <v>253</v>
      </c>
      <c r="AD656" s="3">
        <v>46.06</v>
      </c>
      <c r="AE656" s="3">
        <v>46.05</v>
      </c>
      <c r="AF656" s="3">
        <v>50.18</v>
      </c>
      <c r="AG656" s="3">
        <v>48.97</v>
      </c>
      <c r="AH656" s="3">
        <v>46.44</v>
      </c>
      <c r="AI656" s="3">
        <v>46.74</v>
      </c>
      <c r="AJ656" s="3">
        <v>38.11</v>
      </c>
      <c r="AK656" s="3">
        <v>44.45</v>
      </c>
      <c r="AL656" s="3">
        <v>39.61</v>
      </c>
      <c r="AM656" s="3">
        <v>65.44</v>
      </c>
      <c r="AN656" s="3">
        <v>67.29</v>
      </c>
      <c r="AO656" s="3">
        <v>50.7</v>
      </c>
      <c r="AP656" s="3">
        <v>49.44</v>
      </c>
      <c r="AQ656" s="3">
        <v>53.72</v>
      </c>
      <c r="AR656" s="3">
        <v>45.22</v>
      </c>
      <c r="AS656" s="3">
        <v>53.24</v>
      </c>
      <c r="AT656" s="3">
        <v>76.93</v>
      </c>
      <c r="AU656" s="3">
        <v>85.57</v>
      </c>
      <c r="AV656" s="3">
        <v>60.82</v>
      </c>
      <c r="AW656" s="3">
        <v>62.6</v>
      </c>
      <c r="AX656" s="3">
        <v>47.4</v>
      </c>
      <c r="AY656" s="3">
        <v>45.95</v>
      </c>
      <c r="AZ656" s="3">
        <v>47.91</v>
      </c>
      <c r="BA656" s="3">
        <v>44.95</v>
      </c>
      <c r="BB656" s="3">
        <v>46.48</v>
      </c>
      <c r="BC656" s="3">
        <v>43.3</v>
      </c>
      <c r="BD656" s="3">
        <v>39.33</v>
      </c>
      <c r="BE656" s="3">
        <v>38.24</v>
      </c>
      <c r="BF656" s="3">
        <v>43.23</v>
      </c>
      <c r="BG656" s="3">
        <v>48.14</v>
      </c>
      <c r="BH656" s="3">
        <v>42.85</v>
      </c>
      <c r="BI656" s="3">
        <v>51.38</v>
      </c>
      <c r="BJ656" s="3">
        <v>55.17</v>
      </c>
      <c r="BK656" s="3">
        <v>32.8</v>
      </c>
      <c r="BL656" s="3"/>
      <c r="BM656" s="3"/>
      <c r="BN656" s="3"/>
      <c r="BO656" s="3"/>
      <c r="BP656" s="3"/>
      <c r="BQ656" s="3"/>
      <c r="BR656" s="3"/>
      <c r="BS656" s="1"/>
      <c r="BT656" s="8"/>
      <c r="BU656" s="8"/>
      <c r="BV656" s="1"/>
      <c r="BW656" s="1"/>
      <c r="BX656" s="1"/>
      <c r="BY656" s="1"/>
      <c r="BZ656" s="1"/>
    </row>
    <row r="657">
      <c r="A657" s="3"/>
      <c r="B657" s="33"/>
      <c r="C657" s="173"/>
      <c r="D657" s="173" t="s">
        <v>255</v>
      </c>
      <c r="E657" s="2"/>
      <c r="F657" s="2"/>
      <c r="G657" s="14"/>
      <c r="H657" s="14"/>
      <c r="I657" s="14"/>
      <c r="J657" s="14"/>
      <c r="K657" s="1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40"/>
      <c r="AC657" s="140" t="s">
        <v>255</v>
      </c>
      <c r="AD657" s="3">
        <v>52.02</v>
      </c>
      <c r="AE657" s="3">
        <v>50.57</v>
      </c>
      <c r="AF657" s="3">
        <v>45.93</v>
      </c>
      <c r="AG657" s="3">
        <v>45.25</v>
      </c>
      <c r="AH657" s="3">
        <v>42.62</v>
      </c>
      <c r="AI657" s="3">
        <v>40.86</v>
      </c>
      <c r="AJ657" s="3">
        <v>27.69</v>
      </c>
      <c r="AK657" s="3">
        <v>15.83</v>
      </c>
      <c r="AL657" s="3">
        <v>18.25</v>
      </c>
      <c r="AM657" s="3">
        <v>40.56</v>
      </c>
      <c r="AN657" s="3">
        <v>65.6</v>
      </c>
      <c r="AO657" s="3">
        <v>69.26</v>
      </c>
      <c r="AP657" s="3">
        <v>70.95</v>
      </c>
      <c r="AQ657" s="3">
        <v>63.75</v>
      </c>
      <c r="AR657" s="3">
        <v>48.66</v>
      </c>
      <c r="AS657" s="3">
        <v>59.51</v>
      </c>
      <c r="AT657" s="3">
        <v>76.08</v>
      </c>
      <c r="AU657" s="3">
        <v>81.3</v>
      </c>
      <c r="AV657" s="3">
        <v>79.72</v>
      </c>
      <c r="AW657" s="3">
        <v>93.54</v>
      </c>
      <c r="AX657" s="3">
        <v>70.21</v>
      </c>
      <c r="AY657" s="3">
        <v>49.65</v>
      </c>
      <c r="AZ657" s="3">
        <v>46.67</v>
      </c>
      <c r="BA657" s="3">
        <v>43.42</v>
      </c>
      <c r="BB657" s="3">
        <v>46.62</v>
      </c>
      <c r="BC657" s="3">
        <v>44.25</v>
      </c>
      <c r="BD657" s="3">
        <v>38.06</v>
      </c>
      <c r="BE657" s="3">
        <v>52.85</v>
      </c>
      <c r="BF657" s="3">
        <v>49.8</v>
      </c>
      <c r="BG657" s="3">
        <v>44.78</v>
      </c>
      <c r="BH657" s="3">
        <v>31.92</v>
      </c>
      <c r="BI657" s="3">
        <v>30.01</v>
      </c>
      <c r="BJ657" s="3">
        <v>28.35</v>
      </c>
      <c r="BK657" s="3">
        <v>30.53</v>
      </c>
      <c r="BL657" s="3"/>
      <c r="BM657" s="3"/>
      <c r="BN657" s="3"/>
      <c r="BO657" s="3"/>
      <c r="BP657" s="3"/>
      <c r="BQ657" s="3"/>
      <c r="BR657" s="3"/>
      <c r="BS657" s="1"/>
      <c r="BT657" s="8"/>
      <c r="BU657" s="8"/>
      <c r="BV657" s="1"/>
      <c r="BW657" s="1"/>
      <c r="BX657" s="1"/>
      <c r="BY657" s="1"/>
      <c r="BZ657" s="1"/>
    </row>
    <row r="658">
      <c r="A658" s="3"/>
      <c r="B658" s="33"/>
      <c r="C658" s="137"/>
      <c r="D658" s="137" t="s">
        <v>257</v>
      </c>
      <c r="E658" s="2"/>
      <c r="F658" s="2"/>
      <c r="G658" s="14"/>
      <c r="H658" s="14"/>
      <c r="I658" s="14"/>
      <c r="J658" s="14"/>
      <c r="K658" s="1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40"/>
      <c r="AC658" s="3" t="s">
        <v>257</v>
      </c>
      <c r="AD658" s="3">
        <v>95.81</v>
      </c>
      <c r="AE658" s="3">
        <v>54.14</v>
      </c>
      <c r="AF658" s="3">
        <v>95.69</v>
      </c>
      <c r="AG658" s="3">
        <v>60.92</v>
      </c>
      <c r="AH658" s="3">
        <v>70.67</v>
      </c>
      <c r="AI658" s="3">
        <v>89.39</v>
      </c>
      <c r="AJ658" s="3">
        <v>70.76</v>
      </c>
      <c r="AK658" s="3">
        <v>50.22</v>
      </c>
      <c r="AL658" s="3">
        <v>63.7</v>
      </c>
      <c r="AM658" s="3">
        <v>70.4</v>
      </c>
      <c r="AN658" s="3">
        <v>106.73</v>
      </c>
      <c r="AO658" s="3">
        <v>96.72</v>
      </c>
      <c r="AP658" s="3">
        <v>90.13</v>
      </c>
      <c r="AQ658" s="3">
        <v>135.57</v>
      </c>
      <c r="AR658" s="3">
        <v>71.95</v>
      </c>
      <c r="AS658" s="3">
        <v>56.86</v>
      </c>
      <c r="AT658" s="3">
        <v>33.76</v>
      </c>
      <c r="AU658" s="3">
        <v>17.35</v>
      </c>
      <c r="AV658" s="3">
        <v>14.71</v>
      </c>
      <c r="AW658" s="3">
        <v>47.73</v>
      </c>
      <c r="AX658" s="3">
        <v>47.76</v>
      </c>
      <c r="AY658" s="3">
        <v>25.35</v>
      </c>
      <c r="AZ658" s="3">
        <v>20.58</v>
      </c>
      <c r="BA658" s="3">
        <v>32.14</v>
      </c>
      <c r="BB658" s="3">
        <v>110.82</v>
      </c>
      <c r="BC658" s="3">
        <v>94.25</v>
      </c>
      <c r="BD658" s="3">
        <v>85.26</v>
      </c>
      <c r="BE658" s="3">
        <v>57.58</v>
      </c>
      <c r="BF658" s="3">
        <v>34.88</v>
      </c>
      <c r="BG658" s="3">
        <v>49.64</v>
      </c>
      <c r="BH658" s="3">
        <v>72.33</v>
      </c>
      <c r="BI658" s="3">
        <v>73.16</v>
      </c>
      <c r="BJ658" s="3">
        <v>135.86</v>
      </c>
      <c r="BK658" s="3">
        <v>90.06</v>
      </c>
      <c r="BL658" s="3"/>
      <c r="BM658" s="3"/>
      <c r="BN658" s="3"/>
      <c r="BO658" s="3"/>
      <c r="BP658" s="3"/>
      <c r="BQ658" s="3"/>
      <c r="BR658" s="3"/>
      <c r="BS658" s="1"/>
      <c r="BT658" s="8"/>
      <c r="BU658" s="8"/>
      <c r="BV658" s="1"/>
      <c r="BW658" s="1"/>
      <c r="BX658" s="1"/>
      <c r="BY658" s="1"/>
      <c r="BZ658" s="1"/>
    </row>
    <row r="659">
      <c r="A659" s="3"/>
      <c r="B659" s="33"/>
      <c r="C659" s="173"/>
      <c r="D659" s="173" t="s">
        <v>261</v>
      </c>
      <c r="E659" s="2"/>
      <c r="F659" s="2"/>
      <c r="G659" s="14"/>
      <c r="H659" s="14"/>
      <c r="I659" s="14"/>
      <c r="J659" s="14"/>
      <c r="K659" s="1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40"/>
      <c r="AC659" s="140" t="s">
        <v>261</v>
      </c>
      <c r="AD659" s="3">
        <v>217.13</v>
      </c>
      <c r="AE659" s="3">
        <v>174.88</v>
      </c>
      <c r="AF659" s="3">
        <v>222.37</v>
      </c>
      <c r="AG659" s="3">
        <v>71.64</v>
      </c>
      <c r="AH659" s="3">
        <v>119.63</v>
      </c>
      <c r="AI659" s="3">
        <v>138.72</v>
      </c>
      <c r="AJ659" s="3">
        <v>192.0</v>
      </c>
      <c r="AK659" s="3">
        <v>145.19</v>
      </c>
      <c r="AL659" s="3">
        <v>154.43</v>
      </c>
      <c r="AM659" s="3">
        <v>192.59</v>
      </c>
      <c r="AN659" s="3">
        <v>162.86</v>
      </c>
      <c r="AO659" s="3">
        <v>136.38</v>
      </c>
      <c r="AP659" s="3">
        <v>151.8</v>
      </c>
      <c r="AQ659" s="3">
        <v>129.32</v>
      </c>
      <c r="AR659" s="3">
        <v>121.53</v>
      </c>
      <c r="AS659" s="3">
        <v>80.76</v>
      </c>
      <c r="AT659" s="3">
        <v>83.4</v>
      </c>
      <c r="AU659" s="3">
        <v>84.69</v>
      </c>
      <c r="AV659" s="3">
        <v>85.92</v>
      </c>
      <c r="AW659" s="3">
        <v>76.76</v>
      </c>
      <c r="AX659" s="3">
        <v>94.71</v>
      </c>
      <c r="AY659" s="3">
        <v>86.33</v>
      </c>
      <c r="AZ659" s="3">
        <v>124.88</v>
      </c>
      <c r="BA659" s="3">
        <v>136.86</v>
      </c>
      <c r="BB659" s="3">
        <v>143.65</v>
      </c>
      <c r="BC659" s="3">
        <v>168.51</v>
      </c>
      <c r="BD659" s="3">
        <v>163.22</v>
      </c>
      <c r="BE659" s="3">
        <v>148.87</v>
      </c>
      <c r="BF659" s="3">
        <v>34.49</v>
      </c>
      <c r="BG659" s="3">
        <v>40.79</v>
      </c>
      <c r="BH659" s="3">
        <v>104.42</v>
      </c>
      <c r="BI659" s="3">
        <v>129.05</v>
      </c>
      <c r="BJ659" s="3">
        <v>118.66</v>
      </c>
      <c r="BK659" s="3">
        <v>200.08</v>
      </c>
      <c r="BL659" s="3"/>
      <c r="BM659" s="3"/>
      <c r="BN659" s="3"/>
      <c r="BO659" s="3"/>
      <c r="BP659" s="3"/>
      <c r="BQ659" s="3"/>
      <c r="BR659" s="3"/>
      <c r="BS659" s="1"/>
      <c r="BT659" s="8"/>
      <c r="BU659" s="8"/>
      <c r="BV659" s="1"/>
      <c r="BW659" s="1"/>
      <c r="BX659" s="1"/>
      <c r="BY659" s="1"/>
      <c r="BZ659" s="1"/>
    </row>
    <row r="660">
      <c r="A660" s="3"/>
      <c r="B660" s="33"/>
      <c r="C660" s="3"/>
      <c r="D660" s="3"/>
      <c r="E660" s="2"/>
      <c r="F660" s="2"/>
      <c r="G660" s="14"/>
      <c r="H660" s="14"/>
      <c r="I660" s="14"/>
      <c r="J660" s="14"/>
      <c r="K660" s="1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8"/>
      <c r="BU660" s="8"/>
      <c r="BV660" s="1"/>
      <c r="BW660" s="1"/>
      <c r="BX660" s="1"/>
      <c r="BY660" s="1"/>
      <c r="BZ660" s="1"/>
    </row>
    <row r="661">
      <c r="A661" s="3"/>
      <c r="B661" s="33"/>
      <c r="C661" s="3"/>
      <c r="D661" s="3"/>
      <c r="E661" s="2"/>
      <c r="F661" s="2"/>
      <c r="G661" s="14"/>
      <c r="H661" s="14"/>
      <c r="I661" s="14"/>
      <c r="J661" s="14"/>
      <c r="K661" s="1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8"/>
      <c r="BU661" s="8"/>
      <c r="BV661" s="1"/>
      <c r="BW661" s="1"/>
      <c r="BX661" s="1"/>
      <c r="BY661" s="1"/>
      <c r="BZ661" s="1"/>
    </row>
    <row r="662">
      <c r="A662" s="3"/>
      <c r="B662" s="33"/>
      <c r="C662" s="3"/>
      <c r="D662" s="3"/>
      <c r="E662" s="2"/>
      <c r="F662" s="2"/>
      <c r="G662" s="14"/>
      <c r="H662" s="14"/>
      <c r="I662" s="14"/>
      <c r="J662" s="14"/>
      <c r="K662" s="1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8"/>
      <c r="BU662" s="8"/>
      <c r="BV662" s="1"/>
      <c r="BW662" s="1"/>
      <c r="BX662" s="1"/>
      <c r="BY662" s="1"/>
      <c r="BZ662" s="1"/>
    </row>
    <row r="663">
      <c r="A663" s="3"/>
      <c r="B663" s="33"/>
      <c r="C663" s="3"/>
      <c r="D663" s="3"/>
      <c r="E663" s="2"/>
      <c r="F663" s="2"/>
      <c r="G663" s="14"/>
      <c r="H663" s="14"/>
      <c r="I663" s="14"/>
      <c r="J663" s="14"/>
      <c r="K663" s="1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8"/>
      <c r="BU663" s="8"/>
      <c r="BV663" s="1"/>
      <c r="BW663" s="1"/>
      <c r="BX663" s="1"/>
      <c r="BY663" s="1"/>
      <c r="BZ663" s="1"/>
    </row>
    <row r="664">
      <c r="A664" s="3"/>
      <c r="B664" s="33"/>
      <c r="C664" s="3"/>
      <c r="D664" s="3"/>
      <c r="E664" s="2"/>
      <c r="F664" s="2"/>
      <c r="G664" s="14"/>
      <c r="H664" s="14"/>
      <c r="I664" s="14"/>
      <c r="J664" s="14"/>
      <c r="K664" s="1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8"/>
      <c r="BU664" s="8"/>
      <c r="BV664" s="1"/>
      <c r="BW664" s="1"/>
      <c r="BX664" s="1"/>
      <c r="BY664" s="1"/>
      <c r="BZ664" s="1"/>
    </row>
    <row r="665">
      <c r="A665" s="3"/>
      <c r="B665" s="33"/>
      <c r="C665" s="177"/>
      <c r="D665" s="177" t="s">
        <v>366</v>
      </c>
      <c r="E665" s="13"/>
      <c r="F665" s="13"/>
      <c r="G665" s="13"/>
      <c r="H665" s="2"/>
      <c r="I665" s="14"/>
      <c r="J665" s="2"/>
      <c r="K665" s="2"/>
      <c r="L665" s="3"/>
      <c r="M665" s="1"/>
      <c r="N665" s="1"/>
      <c r="O665" s="1"/>
      <c r="P665" s="1"/>
      <c r="Q665" s="1"/>
      <c r="R665" s="32"/>
      <c r="S665" s="32">
        <f t="shared" ref="S665:BK665" si="168">S61/S596</f>
        <v>0.06653409206</v>
      </c>
      <c r="T665" s="32">
        <f t="shared" si="168"/>
        <v>0.06082687607</v>
      </c>
      <c r="U665" s="32">
        <f t="shared" si="168"/>
        <v>0.05489932126</v>
      </c>
      <c r="V665" s="32">
        <f t="shared" si="168"/>
        <v>0.05534027708</v>
      </c>
      <c r="W665" s="32">
        <f t="shared" si="168"/>
        <v>0.04023603641</v>
      </c>
      <c r="X665" s="32">
        <f t="shared" si="168"/>
        <v>0.0434146279</v>
      </c>
      <c r="Y665" s="32">
        <f t="shared" si="168"/>
        <v>0.0427993476</v>
      </c>
      <c r="Z665" s="32">
        <f t="shared" si="168"/>
        <v>0.03703111349</v>
      </c>
      <c r="AA665" s="32">
        <f t="shared" si="168"/>
        <v>0.02343848888</v>
      </c>
      <c r="AB665" s="32">
        <f t="shared" si="168"/>
        <v>0.03332716983</v>
      </c>
      <c r="AC665" s="32">
        <f t="shared" si="168"/>
        <v>0.03436575301</v>
      </c>
      <c r="AD665" s="32">
        <f t="shared" si="168"/>
        <v>0.03384149115</v>
      </c>
      <c r="AE665" s="32">
        <f t="shared" si="168"/>
        <v>0.02750351743</v>
      </c>
      <c r="AF665" s="32">
        <f t="shared" si="168"/>
        <v>0.05409381857</v>
      </c>
      <c r="AG665" s="32">
        <f t="shared" si="168"/>
        <v>0.05114227163</v>
      </c>
      <c r="AH665" s="32">
        <f t="shared" si="168"/>
        <v>0.06588435587</v>
      </c>
      <c r="AI665" s="32">
        <f t="shared" si="168"/>
        <v>0.06642702118</v>
      </c>
      <c r="AJ665" s="32">
        <f t="shared" si="168"/>
        <v>0.05343396328</v>
      </c>
      <c r="AK665" s="32">
        <f t="shared" si="168"/>
        <v>0.07579925203</v>
      </c>
      <c r="AL665" s="32">
        <f t="shared" si="168"/>
        <v>0.08435890919</v>
      </c>
      <c r="AM665" s="32">
        <f t="shared" si="168"/>
        <v>0.06974730675</v>
      </c>
      <c r="AN665" s="32">
        <f t="shared" si="168"/>
        <v>0.06080240085</v>
      </c>
      <c r="AO665" s="32">
        <f t="shared" si="168"/>
        <v>0.07769616579</v>
      </c>
      <c r="AP665" s="32">
        <f t="shared" si="168"/>
        <v>0.06368451151</v>
      </c>
      <c r="AQ665" s="32">
        <f t="shared" si="168"/>
        <v>0.0585613631</v>
      </c>
      <c r="AR665" s="32">
        <f t="shared" si="168"/>
        <v>0.02711473132</v>
      </c>
      <c r="AS665" s="32">
        <f t="shared" si="168"/>
        <v>0.03578421694</v>
      </c>
      <c r="AT665" s="32">
        <f t="shared" si="168"/>
        <v>0.04251549078</v>
      </c>
      <c r="AU665" s="32">
        <f t="shared" si="168"/>
        <v>0.04399392354</v>
      </c>
      <c r="AV665" s="32">
        <f t="shared" si="168"/>
        <v>0.05154289734</v>
      </c>
      <c r="AW665" s="32">
        <f t="shared" si="168"/>
        <v>0.03304958288</v>
      </c>
      <c r="AX665" s="32">
        <f t="shared" si="168"/>
        <v>0.04640892955</v>
      </c>
      <c r="AY665" s="32">
        <f t="shared" si="168"/>
        <v>0.06631620184</v>
      </c>
      <c r="AZ665" s="32">
        <f t="shared" si="168"/>
        <v>0.06185209794</v>
      </c>
      <c r="BA665" s="32">
        <f t="shared" si="168"/>
        <v>0.06212602658</v>
      </c>
      <c r="BB665" s="32">
        <f t="shared" si="168"/>
        <v>0.05895042575</v>
      </c>
      <c r="BC665" s="32">
        <f t="shared" si="168"/>
        <v>0.05926574697</v>
      </c>
      <c r="BD665" s="32">
        <f t="shared" si="168"/>
        <v>0.06761549258</v>
      </c>
      <c r="BE665" s="32">
        <f t="shared" si="168"/>
        <v>0.03821317414</v>
      </c>
      <c r="BF665" s="32">
        <f t="shared" si="168"/>
        <v>0.01099069824</v>
      </c>
      <c r="BG665" s="32">
        <f t="shared" si="168"/>
        <v>0.04968511424</v>
      </c>
      <c r="BH665" s="32">
        <f t="shared" si="168"/>
        <v>0.02815101914</v>
      </c>
      <c r="BI665" s="32">
        <f t="shared" si="168"/>
        <v>0.0888047522</v>
      </c>
      <c r="BJ665" s="32">
        <f t="shared" si="168"/>
        <v>0.06922110675</v>
      </c>
      <c r="BK665" s="32">
        <f t="shared" si="168"/>
        <v>0.06360040415</v>
      </c>
      <c r="BL665" s="32"/>
      <c r="BM665" s="32"/>
      <c r="BN665" s="32"/>
      <c r="BO665" s="32"/>
      <c r="BP665" s="32"/>
      <c r="BQ665" s="32"/>
      <c r="BR665" s="32"/>
      <c r="BS665" s="1"/>
      <c r="BT665" s="75" t="s">
        <v>367</v>
      </c>
      <c r="BU665" s="75"/>
      <c r="BV665" s="1"/>
      <c r="BW665" s="1"/>
      <c r="BX665" s="1"/>
      <c r="BY665" s="1"/>
      <c r="BZ665" s="1"/>
    </row>
    <row r="666">
      <c r="A666" s="3"/>
      <c r="B666" s="33"/>
      <c r="C666" s="177"/>
      <c r="D666" s="177" t="s">
        <v>368</v>
      </c>
      <c r="E666" s="13"/>
      <c r="F666" s="13"/>
      <c r="G666" s="13"/>
      <c r="H666" s="2"/>
      <c r="I666" s="14"/>
      <c r="J666" s="2"/>
      <c r="K666" s="2"/>
      <c r="L666" s="3"/>
      <c r="M666" s="1"/>
      <c r="N666" s="1"/>
      <c r="O666" s="1"/>
      <c r="P666" s="1"/>
      <c r="Q666" s="1"/>
      <c r="R666" s="1"/>
      <c r="S666" s="32">
        <f t="shared" ref="S666:BK666" si="169">AVERAGE(P665:S665)</f>
        <v>0.06653409206</v>
      </c>
      <c r="T666" s="32">
        <f t="shared" si="169"/>
        <v>0.06368048407</v>
      </c>
      <c r="U666" s="32">
        <f t="shared" si="169"/>
        <v>0.0607534298</v>
      </c>
      <c r="V666" s="32">
        <f t="shared" si="169"/>
        <v>0.05940014162</v>
      </c>
      <c r="W666" s="32">
        <f t="shared" si="169"/>
        <v>0.0528256277</v>
      </c>
      <c r="X666" s="32">
        <f t="shared" si="169"/>
        <v>0.04847256566</v>
      </c>
      <c r="Y666" s="32">
        <f t="shared" si="169"/>
        <v>0.04544757225</v>
      </c>
      <c r="Z666" s="32">
        <f t="shared" si="169"/>
        <v>0.04087028135</v>
      </c>
      <c r="AA666" s="32">
        <f t="shared" si="169"/>
        <v>0.03667089447</v>
      </c>
      <c r="AB666" s="32">
        <f t="shared" si="169"/>
        <v>0.03414902995</v>
      </c>
      <c r="AC666" s="32">
        <f t="shared" si="169"/>
        <v>0.0320406313</v>
      </c>
      <c r="AD666" s="32">
        <f t="shared" si="169"/>
        <v>0.03124322572</v>
      </c>
      <c r="AE666" s="32">
        <f t="shared" si="169"/>
        <v>0.03225948286</v>
      </c>
      <c r="AF666" s="32">
        <f t="shared" si="169"/>
        <v>0.03745114504</v>
      </c>
      <c r="AG666" s="32">
        <f t="shared" si="169"/>
        <v>0.04164527469</v>
      </c>
      <c r="AH666" s="32">
        <f t="shared" si="169"/>
        <v>0.04965599088</v>
      </c>
      <c r="AI666" s="32">
        <f t="shared" si="169"/>
        <v>0.05938686681</v>
      </c>
      <c r="AJ666" s="32">
        <f t="shared" si="169"/>
        <v>0.05922190299</v>
      </c>
      <c r="AK666" s="32">
        <f t="shared" si="169"/>
        <v>0.06538614809</v>
      </c>
      <c r="AL666" s="32">
        <f t="shared" si="169"/>
        <v>0.07000478642</v>
      </c>
      <c r="AM666" s="32">
        <f t="shared" si="169"/>
        <v>0.07083485781</v>
      </c>
      <c r="AN666" s="32">
        <f t="shared" si="169"/>
        <v>0.07267696721</v>
      </c>
      <c r="AO666" s="32">
        <f t="shared" si="169"/>
        <v>0.07315119564</v>
      </c>
      <c r="AP666" s="32">
        <f t="shared" si="169"/>
        <v>0.06798259623</v>
      </c>
      <c r="AQ666" s="32">
        <f t="shared" si="169"/>
        <v>0.06518611031</v>
      </c>
      <c r="AR666" s="32">
        <f t="shared" si="169"/>
        <v>0.05676419293</v>
      </c>
      <c r="AS666" s="32">
        <f t="shared" si="169"/>
        <v>0.04628620572</v>
      </c>
      <c r="AT666" s="32">
        <f t="shared" si="169"/>
        <v>0.04099395053</v>
      </c>
      <c r="AU666" s="32">
        <f t="shared" si="169"/>
        <v>0.03735209065</v>
      </c>
      <c r="AV666" s="32">
        <f t="shared" si="169"/>
        <v>0.04345913215</v>
      </c>
      <c r="AW666" s="32">
        <f t="shared" si="169"/>
        <v>0.04277547364</v>
      </c>
      <c r="AX666" s="32">
        <f t="shared" si="169"/>
        <v>0.04374883333</v>
      </c>
      <c r="AY666" s="32">
        <f t="shared" si="169"/>
        <v>0.0493294029</v>
      </c>
      <c r="AZ666" s="32">
        <f t="shared" si="169"/>
        <v>0.05190670305</v>
      </c>
      <c r="BA666" s="32">
        <f t="shared" si="169"/>
        <v>0.05917581398</v>
      </c>
      <c r="BB666" s="32">
        <f t="shared" si="169"/>
        <v>0.06231118803</v>
      </c>
      <c r="BC666" s="32">
        <f t="shared" si="169"/>
        <v>0.06054857431</v>
      </c>
      <c r="BD666" s="32">
        <f t="shared" si="169"/>
        <v>0.06198942297</v>
      </c>
      <c r="BE666" s="32">
        <f t="shared" si="169"/>
        <v>0.05601120986</v>
      </c>
      <c r="BF666" s="32">
        <f t="shared" si="169"/>
        <v>0.04402127798</v>
      </c>
      <c r="BG666" s="32">
        <f t="shared" si="169"/>
        <v>0.0416261198</v>
      </c>
      <c r="BH666" s="32">
        <f t="shared" si="169"/>
        <v>0.03176000144</v>
      </c>
      <c r="BI666" s="32">
        <f t="shared" si="169"/>
        <v>0.04440789596</v>
      </c>
      <c r="BJ666" s="32">
        <f t="shared" si="169"/>
        <v>0.05896549808</v>
      </c>
      <c r="BK666" s="32">
        <f t="shared" si="169"/>
        <v>0.06244432056</v>
      </c>
      <c r="BL666" s="32"/>
      <c r="BM666" s="32"/>
      <c r="BN666" s="32"/>
      <c r="BO666" s="32"/>
      <c r="BP666" s="32"/>
      <c r="BQ666" s="32"/>
      <c r="BR666" s="32"/>
      <c r="BS666" s="1"/>
      <c r="BT666" s="75" t="s">
        <v>367</v>
      </c>
      <c r="BU666" s="75"/>
      <c r="BV666" s="1"/>
      <c r="BW666" s="1"/>
      <c r="BX666" s="1"/>
      <c r="BY666" s="1"/>
      <c r="BZ666" s="1"/>
    </row>
    <row r="667">
      <c r="A667" s="3"/>
      <c r="B667" s="33"/>
      <c r="C667" s="177"/>
      <c r="D667" s="177" t="s">
        <v>369</v>
      </c>
      <c r="E667" s="13"/>
      <c r="F667" s="13"/>
      <c r="G667" s="13"/>
      <c r="H667" s="2"/>
      <c r="I667" s="14"/>
      <c r="J667" s="2"/>
      <c r="K667" s="2"/>
      <c r="L667" s="3"/>
      <c r="M667" s="1"/>
      <c r="N667" s="1"/>
      <c r="O667" s="1"/>
      <c r="P667" s="1"/>
      <c r="Q667" s="1"/>
      <c r="R667" s="1"/>
      <c r="S667" s="32">
        <f>S665</f>
        <v>0.06653409206</v>
      </c>
      <c r="T667" s="32">
        <f t="shared" ref="T667:V667" si="170">T665+S667</f>
        <v>0.1273609681</v>
      </c>
      <c r="U667" s="32">
        <f t="shared" si="170"/>
        <v>0.1822602894</v>
      </c>
      <c r="V667" s="32">
        <f t="shared" si="170"/>
        <v>0.2376005665</v>
      </c>
      <c r="W667" s="32">
        <f>W665</f>
        <v>0.04023603641</v>
      </c>
      <c r="X667" s="32">
        <f t="shared" ref="X667:Z667" si="171">X665+W667</f>
        <v>0.08365066431</v>
      </c>
      <c r="Y667" s="32">
        <f t="shared" si="171"/>
        <v>0.1264500119</v>
      </c>
      <c r="Z667" s="32">
        <f t="shared" si="171"/>
        <v>0.1634811254</v>
      </c>
      <c r="AA667" s="32">
        <f>AA665</f>
        <v>0.02343848888</v>
      </c>
      <c r="AB667" s="32">
        <f t="shared" ref="AB667:BK667" si="172">AB665+AA667</f>
        <v>0.05676565871</v>
      </c>
      <c r="AC667" s="32">
        <f t="shared" si="172"/>
        <v>0.09113141173</v>
      </c>
      <c r="AD667" s="32">
        <f t="shared" si="172"/>
        <v>0.1249729029</v>
      </c>
      <c r="AE667" s="32">
        <f t="shared" si="172"/>
        <v>0.1524764203</v>
      </c>
      <c r="AF667" s="32">
        <f t="shared" si="172"/>
        <v>0.2065702389</v>
      </c>
      <c r="AG667" s="32">
        <f t="shared" si="172"/>
        <v>0.2577125105</v>
      </c>
      <c r="AH667" s="32">
        <f t="shared" si="172"/>
        <v>0.3235968664</v>
      </c>
      <c r="AI667" s="32">
        <f t="shared" si="172"/>
        <v>0.3900238876</v>
      </c>
      <c r="AJ667" s="32">
        <f t="shared" si="172"/>
        <v>0.4434578508</v>
      </c>
      <c r="AK667" s="32">
        <f t="shared" si="172"/>
        <v>0.5192571029</v>
      </c>
      <c r="AL667" s="32">
        <f t="shared" si="172"/>
        <v>0.6036160121</v>
      </c>
      <c r="AM667" s="32">
        <f t="shared" si="172"/>
        <v>0.6733633188</v>
      </c>
      <c r="AN667" s="32">
        <f t="shared" si="172"/>
        <v>0.7341657197</v>
      </c>
      <c r="AO667" s="32">
        <f t="shared" si="172"/>
        <v>0.8118618855</v>
      </c>
      <c r="AP667" s="32">
        <f t="shared" si="172"/>
        <v>0.875546397</v>
      </c>
      <c r="AQ667" s="32">
        <f t="shared" si="172"/>
        <v>0.9341077601</v>
      </c>
      <c r="AR667" s="32">
        <f t="shared" si="172"/>
        <v>0.9612224914</v>
      </c>
      <c r="AS667" s="32">
        <f t="shared" si="172"/>
        <v>0.9970067083</v>
      </c>
      <c r="AT667" s="32">
        <f t="shared" si="172"/>
        <v>1.039522199</v>
      </c>
      <c r="AU667" s="32">
        <f t="shared" si="172"/>
        <v>1.083516123</v>
      </c>
      <c r="AV667" s="32">
        <f t="shared" si="172"/>
        <v>1.13505902</v>
      </c>
      <c r="AW667" s="32">
        <f t="shared" si="172"/>
        <v>1.168108603</v>
      </c>
      <c r="AX667" s="32">
        <f t="shared" si="172"/>
        <v>1.214517532</v>
      </c>
      <c r="AY667" s="32">
        <f t="shared" si="172"/>
        <v>1.280833734</v>
      </c>
      <c r="AZ667" s="32">
        <f t="shared" si="172"/>
        <v>1.342685832</v>
      </c>
      <c r="BA667" s="32">
        <f t="shared" si="172"/>
        <v>1.404811859</v>
      </c>
      <c r="BB667" s="32">
        <f t="shared" si="172"/>
        <v>1.463762285</v>
      </c>
      <c r="BC667" s="32">
        <f t="shared" si="172"/>
        <v>1.523028032</v>
      </c>
      <c r="BD667" s="32">
        <f t="shared" si="172"/>
        <v>1.590643524</v>
      </c>
      <c r="BE667" s="32">
        <f t="shared" si="172"/>
        <v>1.628856698</v>
      </c>
      <c r="BF667" s="32">
        <f t="shared" si="172"/>
        <v>1.639847396</v>
      </c>
      <c r="BG667" s="32">
        <f t="shared" si="172"/>
        <v>1.689532511</v>
      </c>
      <c r="BH667" s="32">
        <f t="shared" si="172"/>
        <v>1.71768353</v>
      </c>
      <c r="BI667" s="32">
        <f t="shared" si="172"/>
        <v>1.806488282</v>
      </c>
      <c r="BJ667" s="32">
        <f t="shared" si="172"/>
        <v>1.875709389</v>
      </c>
      <c r="BK667" s="32">
        <f t="shared" si="172"/>
        <v>1.939309793</v>
      </c>
      <c r="BL667" s="32"/>
      <c r="BM667" s="32"/>
      <c r="BN667" s="32"/>
      <c r="BO667" s="32"/>
      <c r="BP667" s="32"/>
      <c r="BQ667" s="32"/>
      <c r="BR667" s="32"/>
      <c r="BS667" s="1"/>
      <c r="BT667" s="75" t="s">
        <v>367</v>
      </c>
      <c r="BU667" s="75"/>
      <c r="BV667" s="1"/>
      <c r="BW667" s="1"/>
      <c r="BX667" s="1"/>
      <c r="BY667" s="1"/>
      <c r="BZ667" s="1"/>
    </row>
    <row r="668">
      <c r="A668" s="3"/>
      <c r="B668" s="33"/>
      <c r="C668" s="177"/>
      <c r="D668" s="177" t="s">
        <v>370</v>
      </c>
      <c r="E668" s="13"/>
      <c r="F668" s="13"/>
      <c r="G668" s="13"/>
      <c r="H668" s="2"/>
      <c r="I668" s="14"/>
      <c r="J668" s="2"/>
      <c r="K668" s="2"/>
      <c r="L668" s="3"/>
      <c r="M668" s="1"/>
      <c r="N668" s="1"/>
      <c r="O668" s="1"/>
      <c r="P668" s="1"/>
      <c r="Q668" s="1"/>
      <c r="R668" s="1"/>
      <c r="S668" s="3">
        <v>59.0</v>
      </c>
      <c r="T668" s="3">
        <v>35.0</v>
      </c>
      <c r="U668" s="3">
        <v>40.0</v>
      </c>
      <c r="V668" s="3">
        <v>41.0</v>
      </c>
      <c r="W668" s="3">
        <v>45.0</v>
      </c>
      <c r="X668" s="3">
        <v>49.0</v>
      </c>
      <c r="Y668" s="3">
        <v>47.0</v>
      </c>
      <c r="Z668" s="3">
        <v>57.0</v>
      </c>
      <c r="AA668" s="3">
        <v>67.0</v>
      </c>
      <c r="AB668" s="3">
        <v>76.0</v>
      </c>
      <c r="AC668" s="69">
        <v>64.0</v>
      </c>
      <c r="AD668" s="3">
        <v>49.0</v>
      </c>
      <c r="AE668" s="3">
        <v>55.0</v>
      </c>
      <c r="AF668" s="3">
        <v>60.0</v>
      </c>
      <c r="AG668" s="3">
        <v>43.0</v>
      </c>
      <c r="AH668" s="3">
        <v>47.0</v>
      </c>
      <c r="AI668" s="3">
        <v>66.0</v>
      </c>
      <c r="AJ668" s="3">
        <v>39.0</v>
      </c>
      <c r="AK668" s="3">
        <v>36.0</v>
      </c>
      <c r="AL668" s="3">
        <v>50.0</v>
      </c>
      <c r="AM668" s="3">
        <v>54.0</v>
      </c>
      <c r="AN668" s="3">
        <v>68.0</v>
      </c>
      <c r="AO668" s="3">
        <v>60.0</v>
      </c>
      <c r="AP668" s="3">
        <v>61.0</v>
      </c>
      <c r="AQ668" s="3">
        <v>61.0</v>
      </c>
      <c r="AR668" s="3">
        <v>54.0</v>
      </c>
      <c r="AS668" s="3">
        <v>75.0</v>
      </c>
      <c r="AT668" s="3">
        <v>78.0</v>
      </c>
      <c r="AU668" s="3">
        <v>60.0</v>
      </c>
      <c r="AV668" s="3">
        <v>83.0</v>
      </c>
      <c r="AW668" s="3">
        <v>102.0</v>
      </c>
      <c r="AX668" s="3">
        <v>82.0</v>
      </c>
      <c r="AY668" s="3">
        <v>71.0</v>
      </c>
      <c r="AZ668" s="3">
        <v>73.0</v>
      </c>
      <c r="BA668" s="3">
        <v>69.0</v>
      </c>
      <c r="BB668" s="3">
        <v>75.0</v>
      </c>
      <c r="BC668" s="3">
        <v>56.0</v>
      </c>
      <c r="BD668" s="3">
        <v>61.0</v>
      </c>
      <c r="BE668" s="3">
        <v>64.0</v>
      </c>
      <c r="BF668" s="3">
        <v>44.0</v>
      </c>
      <c r="BG668" s="69">
        <f>BG74</f>
        <v>51</v>
      </c>
      <c r="BH668" s="3">
        <v>32.0</v>
      </c>
      <c r="BI668" s="3">
        <v>48.0</v>
      </c>
      <c r="BJ668" s="3">
        <v>43.0</v>
      </c>
      <c r="BK668" s="3">
        <v>42.0</v>
      </c>
      <c r="BL668" s="3"/>
      <c r="BM668" s="3"/>
      <c r="BN668" s="3"/>
      <c r="BO668" s="3"/>
      <c r="BP668" s="3"/>
      <c r="BQ668" s="3"/>
      <c r="BR668" s="3"/>
      <c r="BS668" s="1"/>
      <c r="BT668" s="72" t="s">
        <v>203</v>
      </c>
      <c r="BU668" s="9"/>
      <c r="BV668" s="1"/>
      <c r="BW668" s="1"/>
      <c r="BX668" s="1"/>
      <c r="BY668" s="1"/>
      <c r="BZ668" s="1"/>
    </row>
    <row r="669">
      <c r="A669" s="3"/>
      <c r="B669" s="33"/>
      <c r="C669" s="177"/>
      <c r="D669" s="177" t="s">
        <v>371</v>
      </c>
      <c r="E669" s="13"/>
      <c r="F669" s="13"/>
      <c r="G669" s="13"/>
      <c r="H669" s="2"/>
      <c r="I669" s="14"/>
      <c r="J669" s="2"/>
      <c r="K669" s="2"/>
      <c r="L669" s="3"/>
      <c r="M669" s="1"/>
      <c r="N669" s="1"/>
      <c r="O669" s="1"/>
      <c r="P669" s="1"/>
      <c r="Q669" s="1"/>
      <c r="R669" s="1"/>
      <c r="S669" s="32">
        <f t="shared" ref="S669:AC669" si="173">POW(1+S665, 365/S668)</f>
        <v>1.489580863</v>
      </c>
      <c r="T669" s="32">
        <f t="shared" si="173"/>
        <v>1.851124576</v>
      </c>
      <c r="U669" s="32">
        <f t="shared" si="173"/>
        <v>1.628547734</v>
      </c>
      <c r="V669" s="32">
        <f t="shared" si="173"/>
        <v>1.615289699</v>
      </c>
      <c r="W669" s="32">
        <f t="shared" si="173"/>
        <v>1.377078513</v>
      </c>
      <c r="X669" s="32">
        <f t="shared" si="173"/>
        <v>1.372414277</v>
      </c>
      <c r="Y669" s="32">
        <f t="shared" si="173"/>
        <v>1.384669914</v>
      </c>
      <c r="Z669" s="32">
        <f t="shared" si="173"/>
        <v>1.262184502</v>
      </c>
      <c r="AA669" s="32">
        <f t="shared" si="173"/>
        <v>1.134524784</v>
      </c>
      <c r="AB669" s="32">
        <f t="shared" si="173"/>
        <v>1.170520817</v>
      </c>
      <c r="AC669" s="32">
        <f t="shared" si="173"/>
        <v>1.212518615</v>
      </c>
      <c r="AD669" s="32">
        <f t="shared" ref="AD669:BK669" si="174">POW(1+AD665, (365/(AD668+12)))</f>
        <v>1.220356718</v>
      </c>
      <c r="AE669" s="32">
        <f t="shared" si="174"/>
        <v>1.159291625</v>
      </c>
      <c r="AF669" s="32">
        <f t="shared" si="174"/>
        <v>1.306126289</v>
      </c>
      <c r="AG669" s="32">
        <f t="shared" si="174"/>
        <v>1.392366614</v>
      </c>
      <c r="AH669" s="32">
        <f t="shared" si="174"/>
        <v>1.483975791</v>
      </c>
      <c r="AI669" s="32">
        <f t="shared" si="174"/>
        <v>1.351149531</v>
      </c>
      <c r="AJ669" s="32">
        <f t="shared" si="174"/>
        <v>1.451434556</v>
      </c>
      <c r="AK669" s="32">
        <f t="shared" si="174"/>
        <v>1.742968837</v>
      </c>
      <c r="AL669" s="32">
        <f t="shared" si="174"/>
        <v>1.610894731</v>
      </c>
      <c r="AM669" s="32">
        <f t="shared" si="174"/>
        <v>1.451890685</v>
      </c>
      <c r="AN669" s="32">
        <f t="shared" si="174"/>
        <v>1.309053447</v>
      </c>
      <c r="AO669" s="32">
        <f t="shared" si="174"/>
        <v>1.461296617</v>
      </c>
      <c r="AP669" s="32">
        <f t="shared" si="174"/>
        <v>1.361645883</v>
      </c>
      <c r="AQ669" s="32">
        <f t="shared" si="174"/>
        <v>1.329168965</v>
      </c>
      <c r="AR669" s="32">
        <f t="shared" si="174"/>
        <v>1.159461571</v>
      </c>
      <c r="AS669" s="32">
        <f t="shared" si="174"/>
        <v>1.158939621</v>
      </c>
      <c r="AT669" s="32">
        <f t="shared" si="174"/>
        <v>1.183953517</v>
      </c>
      <c r="AU669" s="32">
        <f t="shared" si="174"/>
        <v>1.243908183</v>
      </c>
      <c r="AV669" s="32">
        <f t="shared" si="174"/>
        <v>1.213002259</v>
      </c>
      <c r="AW669" s="32">
        <f t="shared" si="174"/>
        <v>1.109717685</v>
      </c>
      <c r="AX669" s="32">
        <f t="shared" si="174"/>
        <v>1.192614982</v>
      </c>
      <c r="AY669" s="32">
        <f t="shared" si="174"/>
        <v>1.326267844</v>
      </c>
      <c r="AZ669" s="32">
        <f t="shared" si="174"/>
        <v>1.293963449</v>
      </c>
      <c r="BA669" s="32">
        <f t="shared" si="174"/>
        <v>1.312060346</v>
      </c>
      <c r="BB669" s="32">
        <f t="shared" si="174"/>
        <v>1.271637341</v>
      </c>
      <c r="BC669" s="32">
        <f t="shared" si="174"/>
        <v>1.362127099</v>
      </c>
      <c r="BD669" s="32">
        <f t="shared" si="174"/>
        <v>1.386993216</v>
      </c>
      <c r="BE669" s="32">
        <f t="shared" si="174"/>
        <v>1.197342035</v>
      </c>
      <c r="BF669" s="32">
        <f t="shared" si="174"/>
        <v>1.073844284</v>
      </c>
      <c r="BG669" s="32">
        <f t="shared" si="174"/>
        <v>1.32436811</v>
      </c>
      <c r="BH669" s="32">
        <f t="shared" si="174"/>
        <v>1.258976291</v>
      </c>
      <c r="BI669" s="32">
        <f t="shared" si="174"/>
        <v>1.677950766</v>
      </c>
      <c r="BJ669" s="32">
        <f t="shared" si="174"/>
        <v>1.559202974</v>
      </c>
      <c r="BK669" s="32">
        <f t="shared" si="174"/>
        <v>1.517060083</v>
      </c>
      <c r="BL669" s="32"/>
      <c r="BM669" s="32"/>
      <c r="BN669" s="32"/>
      <c r="BO669" s="32"/>
      <c r="BP669" s="32"/>
      <c r="BQ669" s="32"/>
      <c r="BR669" s="32"/>
      <c r="BS669" s="1"/>
      <c r="BT669" s="75" t="s">
        <v>367</v>
      </c>
      <c r="BU669" s="75"/>
      <c r="BV669" s="1"/>
      <c r="BW669" s="1"/>
      <c r="BX669" s="1"/>
      <c r="BY669" s="1"/>
      <c r="BZ669" s="1"/>
    </row>
    <row r="670">
      <c r="A670" s="3"/>
      <c r="B670" s="33"/>
      <c r="C670" s="3"/>
      <c r="D670" s="3"/>
      <c r="E670" s="2"/>
      <c r="F670" s="2"/>
      <c r="G670" s="14"/>
      <c r="H670" s="14"/>
      <c r="I670" s="14"/>
      <c r="J670" s="14"/>
      <c r="K670" s="1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7">
        <f>AA57-AA672</f>
        <v>2922725.29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8"/>
      <c r="BU670" s="8"/>
      <c r="BV670" s="1"/>
      <c r="BW670" s="1"/>
      <c r="BX670" s="1"/>
      <c r="BY670" s="1"/>
      <c r="BZ670" s="1"/>
    </row>
    <row r="671">
      <c r="A671" s="18"/>
      <c r="B671" s="18"/>
      <c r="C671" s="18"/>
      <c r="D671" s="18" t="s">
        <v>372</v>
      </c>
      <c r="E671" s="20"/>
      <c r="F671" s="20"/>
      <c r="G671" s="73"/>
      <c r="H671" s="73"/>
      <c r="I671" s="73"/>
      <c r="J671" s="73"/>
      <c r="K671" s="73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>
        <f>SUM(W57:Z57)+AA670</f>
        <v>36812257.29</v>
      </c>
      <c r="AB671" s="17"/>
      <c r="AC671" s="17"/>
      <c r="AD671" s="17"/>
      <c r="AE671" s="18">
        <v>3.4810882E7</v>
      </c>
      <c r="AF671" s="18"/>
      <c r="AG671" s="18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75" t="s">
        <v>373</v>
      </c>
      <c r="BU671" s="75"/>
      <c r="BV671" s="17"/>
      <c r="BW671" s="17"/>
      <c r="BX671" s="17"/>
      <c r="BY671" s="17"/>
      <c r="BZ671" s="17"/>
    </row>
    <row r="672">
      <c r="A672" s="18"/>
      <c r="B672" s="18"/>
      <c r="C672" s="18"/>
      <c r="D672" s="18" t="s">
        <v>374</v>
      </c>
      <c r="E672" s="20"/>
      <c r="F672" s="20"/>
      <c r="G672" s="73"/>
      <c r="H672" s="73"/>
      <c r="I672" s="73"/>
      <c r="J672" s="73"/>
      <c r="K672" s="73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8"/>
      <c r="AA672" s="17">
        <f>AE671/31*4</f>
        <v>4491726.71</v>
      </c>
      <c r="AB672" s="17">
        <f t="shared" ref="AB672:AD672" si="175">7*$AE671/31</f>
        <v>7860521.742</v>
      </c>
      <c r="AC672" s="17">
        <f t="shared" si="175"/>
        <v>7860521.742</v>
      </c>
      <c r="AD672" s="17">
        <f t="shared" si="175"/>
        <v>7860521.742</v>
      </c>
      <c r="AE672" s="17">
        <f>6*$AE671/31</f>
        <v>6737590.065</v>
      </c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75" t="s">
        <v>367</v>
      </c>
      <c r="BU672" s="75"/>
      <c r="BV672" s="17"/>
      <c r="BW672" s="17"/>
      <c r="BX672" s="17"/>
      <c r="BY672" s="17"/>
      <c r="BZ672" s="17"/>
    </row>
    <row r="673">
      <c r="A673" s="3"/>
      <c r="B673" s="33"/>
      <c r="C673" s="3"/>
      <c r="D673" s="3" t="s">
        <v>375</v>
      </c>
      <c r="E673" s="2"/>
      <c r="F673" s="2"/>
      <c r="G673" s="14"/>
      <c r="H673" s="14"/>
      <c r="I673" s="14"/>
      <c r="J673" s="14"/>
      <c r="K673" s="1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8">
        <v>-1188979.75</v>
      </c>
      <c r="AB673" s="17">
        <f t="shared" ref="AB673:AE673" si="176">AB672-AB57</f>
        <v>866484.7419</v>
      </c>
      <c r="AC673" s="17">
        <f t="shared" si="176"/>
        <v>549158.7419</v>
      </c>
      <c r="AD673" s="17">
        <f t="shared" si="176"/>
        <v>407015.7419</v>
      </c>
      <c r="AE673" s="17">
        <f t="shared" si="176"/>
        <v>-624032.9355</v>
      </c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75" t="s">
        <v>367</v>
      </c>
      <c r="BU673" s="75"/>
      <c r="BV673" s="1"/>
      <c r="BW673" s="1"/>
      <c r="BX673" s="1"/>
      <c r="BY673" s="1"/>
      <c r="BZ673" s="1"/>
    </row>
    <row r="674">
      <c r="A674" s="3"/>
      <c r="B674" s="33"/>
      <c r="C674" s="3"/>
      <c r="D674" s="3"/>
      <c r="E674" s="2"/>
      <c r="F674" s="2"/>
      <c r="G674" s="14"/>
      <c r="H674" s="14"/>
      <c r="I674" s="14"/>
      <c r="J674" s="14"/>
      <c r="K674" s="1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8"/>
      <c r="BU674" s="8"/>
      <c r="BV674" s="1"/>
      <c r="BW674" s="1"/>
      <c r="BX674" s="1"/>
      <c r="BY674" s="1"/>
      <c r="BZ674" s="1"/>
    </row>
    <row r="675">
      <c r="A675" s="3"/>
      <c r="B675" s="33"/>
      <c r="C675" s="3"/>
      <c r="D675" s="3"/>
      <c r="E675" s="2"/>
      <c r="F675" s="2"/>
      <c r="G675" s="14"/>
      <c r="H675" s="14"/>
      <c r="I675" s="14"/>
      <c r="J675" s="14"/>
      <c r="K675" s="1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8"/>
      <c r="BU675" s="8"/>
      <c r="BV675" s="1"/>
      <c r="BW675" s="1"/>
      <c r="BX675" s="1"/>
      <c r="BY675" s="1"/>
      <c r="BZ675" s="1"/>
    </row>
    <row r="676">
      <c r="A676" s="3"/>
      <c r="B676" s="33"/>
      <c r="C676" s="3"/>
      <c r="D676" s="3"/>
      <c r="E676" s="2"/>
      <c r="F676" s="2"/>
      <c r="G676" s="14"/>
      <c r="H676" s="14"/>
      <c r="I676" s="14"/>
      <c r="J676" s="14"/>
      <c r="K676" s="1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8"/>
      <c r="BU676" s="8"/>
      <c r="BV676" s="1"/>
      <c r="BW676" s="1"/>
      <c r="BX676" s="1"/>
      <c r="BY676" s="1"/>
      <c r="BZ676" s="1"/>
    </row>
    <row r="677">
      <c r="A677" s="3"/>
      <c r="B677" s="33"/>
      <c r="C677" s="3"/>
      <c r="D677" s="3" t="s">
        <v>376</v>
      </c>
      <c r="E677" s="2"/>
      <c r="F677" s="2"/>
      <c r="G677" s="14"/>
      <c r="H677" s="14"/>
      <c r="I677" s="14"/>
      <c r="J677" s="14"/>
      <c r="K677" s="1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74">
        <v>260205.02</v>
      </c>
      <c r="AG677" s="74">
        <v>873617.62</v>
      </c>
      <c r="AH677" s="74">
        <v>979958.29</v>
      </c>
      <c r="AI677" s="74">
        <v>1143447.92</v>
      </c>
      <c r="AJ677" s="74">
        <v>1257113.12</v>
      </c>
      <c r="AK677" s="74">
        <v>1259661.92</v>
      </c>
      <c r="AL677" s="74">
        <v>1243583.22</v>
      </c>
      <c r="AM677" s="74">
        <v>1601817.09</v>
      </c>
      <c r="AN677" s="74">
        <v>1653674.76</v>
      </c>
      <c r="AO677" s="74">
        <v>1205103.56</v>
      </c>
      <c r="AP677" s="74">
        <v>1454161.54</v>
      </c>
      <c r="AQ677" s="74">
        <v>1739898.18</v>
      </c>
      <c r="AR677" s="74">
        <v>1431025.87</v>
      </c>
      <c r="AS677" s="74">
        <v>1447893.23</v>
      </c>
      <c r="AT677" s="74">
        <v>1649514.43</v>
      </c>
      <c r="AU677" s="74">
        <v>1714023.52</v>
      </c>
      <c r="AV677" s="74">
        <v>1842248.12</v>
      </c>
      <c r="AW677" s="74">
        <v>1087295.72</v>
      </c>
      <c r="AX677" s="74">
        <v>1534395.05</v>
      </c>
      <c r="AY677" s="74">
        <v>1772928.0</v>
      </c>
      <c r="AZ677" s="74">
        <v>2012326.0</v>
      </c>
      <c r="BA677" s="74">
        <v>1261384.93</v>
      </c>
      <c r="BB677" s="74">
        <v>1349095.07</v>
      </c>
      <c r="BC677" s="74">
        <v>1666809.0</v>
      </c>
      <c r="BD677" s="74">
        <v>1804069.0</v>
      </c>
      <c r="BE677" s="74">
        <v>1802707.87</v>
      </c>
      <c r="BF677" s="74">
        <v>1372354.44</v>
      </c>
      <c r="BG677" s="74">
        <v>2527572.93</v>
      </c>
      <c r="BH677" s="74">
        <v>2116575.0</v>
      </c>
      <c r="BI677" s="74">
        <v>2198126.0</v>
      </c>
      <c r="BJ677" s="74">
        <v>2312369.0</v>
      </c>
      <c r="BK677" s="74">
        <v>2119043.0</v>
      </c>
      <c r="BL677" s="74"/>
      <c r="BM677" s="74"/>
      <c r="BN677" s="74"/>
      <c r="BO677" s="74"/>
      <c r="BP677" s="74"/>
      <c r="BQ677" s="74"/>
      <c r="BR677" s="74"/>
      <c r="BS677" s="1"/>
      <c r="BT677" s="8"/>
      <c r="BU677" s="8"/>
      <c r="BV677" s="1"/>
      <c r="BW677" s="1"/>
      <c r="BX677" s="1"/>
      <c r="BY677" s="1"/>
      <c r="BZ677" s="1"/>
    </row>
    <row r="678">
      <c r="A678" s="3"/>
      <c r="B678" s="33"/>
      <c r="C678" s="3"/>
      <c r="D678" s="3" t="s">
        <v>377</v>
      </c>
      <c r="E678" s="2"/>
      <c r="F678" s="2"/>
      <c r="G678" s="14"/>
      <c r="H678" s="14"/>
      <c r="I678" s="14"/>
      <c r="J678" s="14"/>
      <c r="K678" s="1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32">
        <f t="shared" ref="AF678:AM678" si="177">AF677/AF8</f>
        <v>0.01958798868</v>
      </c>
      <c r="AG678" s="32">
        <f t="shared" si="177"/>
        <v>0.05021297089</v>
      </c>
      <c r="AH678" s="32">
        <f t="shared" si="177"/>
        <v>0.06191019012</v>
      </c>
      <c r="AI678" s="32">
        <f t="shared" si="177"/>
        <v>0.082631064</v>
      </c>
      <c r="AJ678" s="32">
        <f t="shared" si="177"/>
        <v>0.07161256996</v>
      </c>
      <c r="AK678" s="32">
        <f t="shared" si="177"/>
        <v>0.07596588626</v>
      </c>
      <c r="AL678" s="32">
        <f t="shared" si="177"/>
        <v>0.08124292242</v>
      </c>
      <c r="AM678" s="32">
        <f t="shared" si="177"/>
        <v>0.09536771877</v>
      </c>
      <c r="AN678" s="33">
        <f t="shared" ref="AN678:BK678" si="178">AN677/AN679</f>
        <v>0.2655020533</v>
      </c>
      <c r="AO678" s="33">
        <f t="shared" si="178"/>
        <v>0.177737806</v>
      </c>
      <c r="AP678" s="33">
        <f t="shared" si="178"/>
        <v>0.2019989479</v>
      </c>
      <c r="AQ678" s="33">
        <f t="shared" si="178"/>
        <v>0.235605896</v>
      </c>
      <c r="AR678" s="33">
        <f t="shared" si="178"/>
        <v>0.1832949313</v>
      </c>
      <c r="AS678" s="33">
        <f t="shared" si="178"/>
        <v>0.1810150957</v>
      </c>
      <c r="AT678" s="33">
        <f t="shared" si="178"/>
        <v>0.2667677604</v>
      </c>
      <c r="AU678" s="33">
        <f t="shared" si="178"/>
        <v>0.2768354748</v>
      </c>
      <c r="AV678" s="33">
        <f t="shared" si="178"/>
        <v>0.2828370973</v>
      </c>
      <c r="AW678" s="33">
        <f t="shared" si="178"/>
        <v>0.2008335039</v>
      </c>
      <c r="AX678" s="33">
        <f t="shared" si="178"/>
        <v>0.2707144315</v>
      </c>
      <c r="AY678" s="33">
        <f t="shared" si="178"/>
        <v>0.3619701531</v>
      </c>
      <c r="AZ678" s="33">
        <f t="shared" si="178"/>
        <v>0.3353805119</v>
      </c>
      <c r="BA678" s="33">
        <f t="shared" si="178"/>
        <v>0.2152113503</v>
      </c>
      <c r="BB678" s="33">
        <f t="shared" si="178"/>
        <v>0.2651469133</v>
      </c>
      <c r="BC678" s="33">
        <f t="shared" si="178"/>
        <v>0.3575500617</v>
      </c>
      <c r="BD678" s="33">
        <f t="shared" si="178"/>
        <v>0.2136296672</v>
      </c>
      <c r="BE678" s="33">
        <f t="shared" si="178"/>
        <v>0.3978313723</v>
      </c>
      <c r="BF678" s="33">
        <f t="shared" si="178"/>
        <v>0.2663531142</v>
      </c>
      <c r="BG678" s="33">
        <f t="shared" si="178"/>
        <v>0.4092255315</v>
      </c>
      <c r="BH678" s="33">
        <f t="shared" si="178"/>
        <v>0.2754381152</v>
      </c>
      <c r="BI678" s="33">
        <f t="shared" si="178"/>
        <v>0.3814513513</v>
      </c>
      <c r="BJ678" s="33">
        <f t="shared" si="178"/>
        <v>0.3721601366</v>
      </c>
      <c r="BK678" s="33">
        <f t="shared" si="178"/>
        <v>0.295146341</v>
      </c>
      <c r="BL678" s="33"/>
      <c r="BM678" s="33"/>
      <c r="BN678" s="33"/>
      <c r="BO678" s="33"/>
      <c r="BP678" s="33"/>
      <c r="BQ678" s="33"/>
      <c r="BR678" s="33"/>
      <c r="BS678" s="1"/>
      <c r="BT678" s="8"/>
      <c r="BU678" s="8"/>
      <c r="BV678" s="1"/>
      <c r="BW678" s="1"/>
      <c r="BX678" s="1"/>
      <c r="BY678" s="1"/>
      <c r="BZ678" s="1"/>
    </row>
    <row r="679">
      <c r="A679" s="3"/>
      <c r="B679" s="33"/>
      <c r="C679" s="3"/>
      <c r="D679" s="3" t="s">
        <v>378</v>
      </c>
      <c r="E679" s="2"/>
      <c r="F679" s="2"/>
      <c r="G679" s="14"/>
      <c r="H679" s="14"/>
      <c r="I679" s="14"/>
      <c r="J679" s="14"/>
      <c r="K679" s="1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3">
        <v>6228482.0</v>
      </c>
      <c r="AO679" s="3">
        <v>6780232.0</v>
      </c>
      <c r="AP679" s="3">
        <v>7198857.0</v>
      </c>
      <c r="AQ679" s="3">
        <v>7384782.0</v>
      </c>
      <c r="AR679" s="3">
        <v>7807231.0</v>
      </c>
      <c r="AS679" s="3">
        <v>7998743.0</v>
      </c>
      <c r="AT679" s="3">
        <v>6183335.0</v>
      </c>
      <c r="AU679" s="3">
        <v>6191488.0</v>
      </c>
      <c r="AV679" s="3">
        <v>6513460.0</v>
      </c>
      <c r="AW679" s="3">
        <v>5413916.0</v>
      </c>
      <c r="AX679" s="3">
        <v>5667947.0</v>
      </c>
      <c r="AY679" s="3">
        <v>4897995.0</v>
      </c>
      <c r="AZ679" s="3">
        <v>6000128.0</v>
      </c>
      <c r="BA679" s="69">
        <v>5861145.0</v>
      </c>
      <c r="BB679" s="69">
        <v>5088104.0</v>
      </c>
      <c r="BC679" s="69">
        <v>4661750.0</v>
      </c>
      <c r="BD679" s="3">
        <v>8444843.0</v>
      </c>
      <c r="BE679" s="69">
        <v>4531336.63</v>
      </c>
      <c r="BF679" s="69">
        <v>5152387.44</v>
      </c>
      <c r="BG679" s="132">
        <f>8704052-BG677</f>
        <v>6176479.07</v>
      </c>
      <c r="BH679" s="132">
        <f>9800969-BH677</f>
        <v>7684394</v>
      </c>
      <c r="BI679" s="132">
        <f>7960659-BI677
</f>
        <v>5762533</v>
      </c>
      <c r="BJ679" s="132">
        <f>8525740-BJ677</f>
        <v>6213371</v>
      </c>
      <c r="BK679" s="3">
        <v>7179635.0</v>
      </c>
      <c r="BL679" s="1"/>
      <c r="BM679" s="1"/>
      <c r="BN679" s="1"/>
      <c r="BO679" s="1"/>
      <c r="BP679" s="1"/>
      <c r="BQ679" s="1"/>
      <c r="BR679" s="1"/>
      <c r="BS679" s="1"/>
      <c r="BT679" s="8"/>
      <c r="BU679" s="8"/>
      <c r="BV679" s="1"/>
      <c r="BW679" s="1"/>
      <c r="BX679" s="1"/>
      <c r="BY679" s="1"/>
      <c r="BZ679" s="1"/>
    </row>
    <row r="680">
      <c r="A680" s="3"/>
      <c r="B680" s="33"/>
      <c r="C680" s="3"/>
      <c r="D680" s="3"/>
      <c r="E680" s="2"/>
      <c r="F680" s="2"/>
      <c r="G680" s="14"/>
      <c r="H680" s="14"/>
      <c r="I680" s="14"/>
      <c r="J680" s="14"/>
      <c r="K680" s="1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8"/>
      <c r="BU680" s="8"/>
      <c r="BV680" s="1"/>
      <c r="BW680" s="1"/>
      <c r="BX680" s="1"/>
      <c r="BY680" s="1"/>
      <c r="BZ680" s="1"/>
    </row>
    <row r="681">
      <c r="A681" s="3"/>
      <c r="B681" s="33"/>
      <c r="C681" s="3"/>
      <c r="D681" s="3"/>
      <c r="E681" s="2"/>
      <c r="F681" s="2"/>
      <c r="G681" s="14"/>
      <c r="H681" s="14"/>
      <c r="I681" s="14"/>
      <c r="J681" s="14"/>
      <c r="K681" s="1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8"/>
      <c r="BU681" s="8"/>
      <c r="BV681" s="1"/>
      <c r="BW681" s="1"/>
      <c r="BX681" s="1"/>
      <c r="BY681" s="1"/>
      <c r="BZ681" s="1"/>
    </row>
    <row r="682">
      <c r="A682" s="3"/>
      <c r="B682" s="33"/>
      <c r="C682" s="3"/>
      <c r="D682" s="3"/>
      <c r="E682" s="2"/>
      <c r="F682" s="2"/>
      <c r="G682" s="14"/>
      <c r="H682" s="14"/>
      <c r="I682" s="14"/>
      <c r="J682" s="14"/>
      <c r="K682" s="1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8"/>
      <c r="BU682" s="8"/>
      <c r="BV682" s="1"/>
      <c r="BW682" s="1"/>
      <c r="BX682" s="1"/>
      <c r="BY682" s="1"/>
      <c r="BZ682" s="1"/>
    </row>
    <row r="683">
      <c r="A683" s="3"/>
      <c r="B683" s="33"/>
      <c r="C683" s="5"/>
      <c r="D683" s="5" t="s">
        <v>379</v>
      </c>
      <c r="E683" s="2"/>
      <c r="F683" s="2"/>
      <c r="G683" s="14"/>
      <c r="H683" s="14"/>
      <c r="I683" s="14"/>
      <c r="J683" s="14"/>
      <c r="K683" s="1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3" t="s">
        <v>379</v>
      </c>
      <c r="AH683" s="33">
        <v>0.003</v>
      </c>
      <c r="AI683" s="33">
        <v>0.003</v>
      </c>
      <c r="AJ683" s="33">
        <v>0.003</v>
      </c>
      <c r="AK683" s="33">
        <v>0.003</v>
      </c>
      <c r="AL683" s="33">
        <v>0.002</v>
      </c>
      <c r="AM683" s="33">
        <v>0.003</v>
      </c>
      <c r="AN683" s="33">
        <v>0.003</v>
      </c>
      <c r="AO683" s="33">
        <v>0.003</v>
      </c>
      <c r="AP683" s="33">
        <v>0.003</v>
      </c>
      <c r="AQ683" s="33">
        <v>0.003</v>
      </c>
      <c r="AR683" s="33">
        <v>0.003</v>
      </c>
      <c r="AS683" s="33">
        <v>0.004</v>
      </c>
      <c r="AT683" s="33">
        <v>0.003</v>
      </c>
      <c r="AU683" s="33">
        <v>0.003</v>
      </c>
      <c r="AV683" s="33">
        <v>0.004</v>
      </c>
      <c r="AW683" s="33">
        <v>0.004</v>
      </c>
      <c r="AX683" s="33">
        <v>0.003</v>
      </c>
      <c r="AY683" s="33">
        <v>0.003</v>
      </c>
      <c r="AZ683" s="33">
        <v>0.003</v>
      </c>
      <c r="BA683" s="33">
        <v>0.003</v>
      </c>
      <c r="BB683" s="33">
        <v>0.003</v>
      </c>
      <c r="BC683" s="33">
        <v>0.003</v>
      </c>
      <c r="BD683" s="33">
        <v>0.003</v>
      </c>
      <c r="BE683" s="33">
        <v>0.004</v>
      </c>
      <c r="BF683" s="33">
        <v>0.003</v>
      </c>
      <c r="BG683" s="33">
        <v>0.002</v>
      </c>
      <c r="BH683" s="33">
        <v>0.003</v>
      </c>
      <c r="BI683" s="33">
        <v>0.002</v>
      </c>
      <c r="BJ683" s="33">
        <v>0.003</v>
      </c>
      <c r="BK683" s="33">
        <v>0.003</v>
      </c>
      <c r="BL683" s="33"/>
      <c r="BM683" s="33"/>
      <c r="BN683" s="33"/>
      <c r="BO683" s="33"/>
      <c r="BP683" s="33"/>
      <c r="BQ683" s="33"/>
      <c r="BR683" s="33"/>
      <c r="BS683" s="1"/>
      <c r="BT683" s="8"/>
      <c r="BU683" s="8"/>
      <c r="BV683" s="1"/>
      <c r="BW683" s="1"/>
      <c r="BX683" s="1"/>
      <c r="BY683" s="1"/>
      <c r="BZ683" s="1"/>
    </row>
    <row r="684">
      <c r="A684" s="3"/>
      <c r="B684" s="33"/>
      <c r="C684" s="5"/>
      <c r="D684" s="5" t="s">
        <v>380</v>
      </c>
      <c r="E684" s="2"/>
      <c r="F684" s="2"/>
      <c r="G684" s="14"/>
      <c r="H684" s="14"/>
      <c r="I684" s="14"/>
      <c r="J684" s="14"/>
      <c r="K684" s="1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3" t="s">
        <v>381</v>
      </c>
      <c r="AH684" s="33">
        <v>0.001</v>
      </c>
      <c r="AI684" s="33">
        <v>0.001</v>
      </c>
      <c r="AJ684" s="33">
        <v>0.002</v>
      </c>
      <c r="AK684" s="33">
        <v>0.003</v>
      </c>
      <c r="AL684" s="33">
        <v>0.002</v>
      </c>
      <c r="AM684" s="33">
        <v>0.002</v>
      </c>
      <c r="AN684" s="33">
        <v>0.002</v>
      </c>
      <c r="AO684" s="33">
        <v>0.002</v>
      </c>
      <c r="AP684" s="33">
        <v>0.002</v>
      </c>
      <c r="AQ684" s="33">
        <v>0.002</v>
      </c>
      <c r="AR684" s="33">
        <v>0.002</v>
      </c>
      <c r="AS684" s="33">
        <v>0.002</v>
      </c>
      <c r="AT684" s="33">
        <v>0.001</v>
      </c>
      <c r="AU684" s="33">
        <v>0.001</v>
      </c>
      <c r="AV684" s="33">
        <v>0.002</v>
      </c>
      <c r="AW684" s="33">
        <v>0.002</v>
      </c>
      <c r="AX684" s="33">
        <v>0.002</v>
      </c>
      <c r="AY684" s="33">
        <v>0.002</v>
      </c>
      <c r="AZ684" s="33">
        <v>0.002</v>
      </c>
      <c r="BA684" s="33">
        <v>0.001</v>
      </c>
      <c r="BB684" s="33">
        <v>0.001</v>
      </c>
      <c r="BC684" s="33">
        <v>0.002</v>
      </c>
      <c r="BD684" s="33">
        <v>0.002</v>
      </c>
      <c r="BE684" s="33">
        <v>0.002</v>
      </c>
      <c r="BF684" s="33">
        <v>0.002</v>
      </c>
      <c r="BG684" s="33">
        <v>0.002</v>
      </c>
      <c r="BH684" s="33">
        <v>0.002</v>
      </c>
      <c r="BI684" s="33">
        <v>0.001</v>
      </c>
      <c r="BJ684" s="33">
        <v>0.001</v>
      </c>
      <c r="BK684" s="33">
        <v>0.001</v>
      </c>
      <c r="BL684" s="33"/>
      <c r="BM684" s="33"/>
      <c r="BN684" s="33"/>
      <c r="BO684" s="33"/>
      <c r="BP684" s="33"/>
      <c r="BQ684" s="33"/>
      <c r="BR684" s="33"/>
      <c r="BS684" s="1"/>
      <c r="BT684" s="8"/>
      <c r="BU684" s="8"/>
      <c r="BV684" s="1"/>
      <c r="BW684" s="1"/>
      <c r="BX684" s="1"/>
      <c r="BY684" s="1"/>
      <c r="BZ684" s="1"/>
    </row>
    <row r="685">
      <c r="A685" s="3"/>
      <c r="B685" s="33"/>
      <c r="C685" s="5"/>
      <c r="D685" s="5" t="s">
        <v>382</v>
      </c>
      <c r="E685" s="2"/>
      <c r="F685" s="2"/>
      <c r="G685" s="14"/>
      <c r="H685" s="14"/>
      <c r="I685" s="14"/>
      <c r="J685" s="14"/>
      <c r="K685" s="1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3" t="s">
        <v>382</v>
      </c>
      <c r="AH685" s="33">
        <v>0.002</v>
      </c>
      <c r="AI685" s="33">
        <v>0.001</v>
      </c>
      <c r="AJ685" s="33">
        <v>0.001</v>
      </c>
      <c r="AK685" s="33">
        <v>0.001</v>
      </c>
      <c r="AL685" s="33">
        <v>0.001</v>
      </c>
      <c r="AM685" s="33">
        <v>0.001</v>
      </c>
      <c r="AN685" s="33">
        <v>0.001</v>
      </c>
      <c r="AO685" s="33">
        <v>0.001</v>
      </c>
      <c r="AP685" s="33">
        <v>0.001</v>
      </c>
      <c r="AQ685" s="33">
        <v>0.001</v>
      </c>
      <c r="AR685" s="33">
        <v>0.001</v>
      </c>
      <c r="AS685" s="33">
        <v>0.002</v>
      </c>
      <c r="AT685" s="33">
        <v>0.003</v>
      </c>
      <c r="AU685" s="33">
        <v>0.006</v>
      </c>
      <c r="AV685" s="33">
        <v>0.001</v>
      </c>
      <c r="AW685" s="33">
        <v>0.001</v>
      </c>
      <c r="AX685" s="33">
        <v>0.001</v>
      </c>
      <c r="AY685" s="33">
        <v>0.001</v>
      </c>
      <c r="AZ685" s="33">
        <v>0.0018</v>
      </c>
      <c r="BA685" s="33">
        <v>0.001</v>
      </c>
      <c r="BB685" s="33">
        <v>5.0E-4</v>
      </c>
      <c r="BC685" s="33">
        <v>5.0E-4</v>
      </c>
      <c r="BD685" s="33">
        <v>0.001</v>
      </c>
      <c r="BE685" s="33">
        <v>0.001</v>
      </c>
      <c r="BF685" s="33">
        <v>0.001</v>
      </c>
      <c r="BG685" s="33">
        <v>5.0E-4</v>
      </c>
      <c r="BH685" s="33">
        <v>0.001</v>
      </c>
      <c r="BI685" s="33">
        <v>5.0E-4</v>
      </c>
      <c r="BJ685" s="33">
        <v>5.0E-4</v>
      </c>
      <c r="BK685" s="33">
        <v>5.0E-4</v>
      </c>
      <c r="BL685" s="33"/>
      <c r="BM685" s="33"/>
      <c r="BN685" s="33"/>
      <c r="BO685" s="33"/>
      <c r="BP685" s="33"/>
      <c r="BQ685" s="33"/>
      <c r="BR685" s="33"/>
      <c r="BS685" s="1"/>
      <c r="BT685" s="8"/>
      <c r="BU685" s="8"/>
      <c r="BV685" s="1"/>
      <c r="BW685" s="1"/>
      <c r="BX685" s="1"/>
      <c r="BY685" s="1"/>
      <c r="BZ685" s="1"/>
    </row>
    <row r="686">
      <c r="A686" s="3"/>
      <c r="B686" s="33"/>
      <c r="C686" s="5"/>
      <c r="D686" s="5" t="s">
        <v>383</v>
      </c>
      <c r="E686" s="2"/>
      <c r="F686" s="2"/>
      <c r="G686" s="14"/>
      <c r="H686" s="14"/>
      <c r="I686" s="14"/>
      <c r="J686" s="14"/>
      <c r="K686" s="1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3" t="s">
        <v>383</v>
      </c>
      <c r="AH686" s="67">
        <v>0.01</v>
      </c>
      <c r="AI686" s="67">
        <v>0.01</v>
      </c>
      <c r="AJ686" s="33">
        <v>0.013</v>
      </c>
      <c r="AK686" s="33">
        <v>0.014</v>
      </c>
      <c r="AL686" s="33">
        <v>0.013</v>
      </c>
      <c r="AM686" s="33">
        <v>0.013</v>
      </c>
      <c r="AN686" s="33">
        <v>0.012</v>
      </c>
      <c r="AO686" s="33">
        <v>0.013</v>
      </c>
      <c r="AP686" s="33">
        <v>0.014</v>
      </c>
      <c r="AQ686" s="33">
        <v>0.016</v>
      </c>
      <c r="AR686" s="33">
        <v>0.014</v>
      </c>
      <c r="AS686" s="33">
        <v>0.012</v>
      </c>
      <c r="AT686" s="33">
        <v>0.012</v>
      </c>
      <c r="AU686" s="33">
        <v>0.012</v>
      </c>
      <c r="AV686" s="33">
        <v>0.013</v>
      </c>
      <c r="AW686" s="33">
        <v>0.014</v>
      </c>
      <c r="AX686" s="33">
        <v>0.015</v>
      </c>
      <c r="AY686" s="33">
        <v>0.015</v>
      </c>
      <c r="AZ686" s="33">
        <v>0.017</v>
      </c>
      <c r="BA686" s="33">
        <v>0.016</v>
      </c>
      <c r="BB686" s="33">
        <v>0.013</v>
      </c>
      <c r="BC686" s="33">
        <v>0.015</v>
      </c>
      <c r="BD686" s="33">
        <v>0.013</v>
      </c>
      <c r="BE686" s="33">
        <v>0.014</v>
      </c>
      <c r="BF686" s="33">
        <v>0.012</v>
      </c>
      <c r="BG686" s="33">
        <v>0.012</v>
      </c>
      <c r="BH686" s="33">
        <v>0.013</v>
      </c>
      <c r="BI686" s="33">
        <v>0.013</v>
      </c>
      <c r="BJ686" s="33">
        <v>0.01</v>
      </c>
      <c r="BK686" s="33">
        <v>0.01</v>
      </c>
      <c r="BL686" s="33"/>
      <c r="BM686" s="33"/>
      <c r="BN686" s="33"/>
      <c r="BO686" s="33"/>
      <c r="BP686" s="33"/>
      <c r="BQ686" s="33"/>
      <c r="BR686" s="33"/>
      <c r="BS686" s="1"/>
      <c r="BT686" s="8"/>
      <c r="BU686" s="8"/>
      <c r="BV686" s="1"/>
      <c r="BW686" s="1"/>
      <c r="BX686" s="1"/>
      <c r="BY686" s="1"/>
      <c r="BZ686" s="1"/>
    </row>
    <row r="687">
      <c r="A687" s="3"/>
      <c r="B687" s="33"/>
      <c r="C687" s="3"/>
      <c r="D687" s="3"/>
      <c r="E687" s="2"/>
      <c r="F687" s="2"/>
      <c r="G687" s="14"/>
      <c r="H687" s="14"/>
      <c r="I687" s="14"/>
      <c r="J687" s="14"/>
      <c r="K687" s="1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33"/>
      <c r="AJ687" s="33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8"/>
      <c r="BU687" s="8"/>
      <c r="BV687" s="1"/>
      <c r="BW687" s="1"/>
      <c r="BX687" s="1"/>
      <c r="BY687" s="1"/>
      <c r="BZ687" s="1"/>
    </row>
    <row r="688">
      <c r="A688" s="3"/>
      <c r="B688" s="33"/>
      <c r="C688" s="3"/>
      <c r="D688" s="3"/>
      <c r="E688" s="2"/>
      <c r="F688" s="2"/>
      <c r="G688" s="14"/>
      <c r="H688" s="14"/>
      <c r="I688" s="14"/>
      <c r="J688" s="14"/>
      <c r="K688" s="1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8"/>
      <c r="BU688" s="8"/>
      <c r="BV688" s="1"/>
      <c r="BW688" s="1"/>
      <c r="BX688" s="1"/>
      <c r="BY688" s="1"/>
      <c r="BZ688" s="1"/>
    </row>
    <row r="689">
      <c r="A689" s="3"/>
      <c r="B689" s="33"/>
      <c r="C689" s="139"/>
      <c r="D689" s="139" t="s">
        <v>384</v>
      </c>
      <c r="E689" s="2"/>
      <c r="F689" s="2"/>
      <c r="G689" s="14"/>
      <c r="H689" s="14"/>
      <c r="I689" s="14"/>
      <c r="J689" s="14"/>
      <c r="K689" s="1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8"/>
      <c r="BU689" s="8"/>
      <c r="BV689" s="1"/>
      <c r="BW689" s="1"/>
      <c r="BX689" s="1"/>
      <c r="BY689" s="1"/>
      <c r="BZ689" s="1"/>
    </row>
    <row r="690">
      <c r="A690" s="3"/>
      <c r="B690" s="33"/>
      <c r="C690" s="6"/>
      <c r="D690" s="6" t="s">
        <v>385</v>
      </c>
      <c r="E690" s="2"/>
      <c r="F690" s="2"/>
      <c r="G690" s="14"/>
      <c r="H690" s="14"/>
      <c r="I690" s="14"/>
      <c r="J690" s="14"/>
      <c r="K690" s="1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6" t="s">
        <v>385</v>
      </c>
      <c r="AH690" s="178">
        <v>0.3</v>
      </c>
      <c r="AI690" s="178">
        <v>0.3</v>
      </c>
      <c r="AJ690" s="178">
        <v>0.3</v>
      </c>
      <c r="AK690" s="178">
        <v>0.3</v>
      </c>
      <c r="AL690" s="178">
        <v>0.3</v>
      </c>
      <c r="AM690" s="178">
        <v>0.3</v>
      </c>
      <c r="AN690" s="178">
        <v>0.3</v>
      </c>
      <c r="AO690" s="178">
        <v>0.3</v>
      </c>
      <c r="AP690" s="178">
        <v>0.3</v>
      </c>
      <c r="AQ690" s="178">
        <v>0.3</v>
      </c>
      <c r="AR690" s="178">
        <v>0.3</v>
      </c>
      <c r="AS690" s="178">
        <v>0.3</v>
      </c>
      <c r="AT690" s="178">
        <v>0.3</v>
      </c>
      <c r="AU690" s="178">
        <v>0.3</v>
      </c>
      <c r="AV690" s="178">
        <v>0.3</v>
      </c>
      <c r="AW690" s="178">
        <v>0.35</v>
      </c>
      <c r="AX690" s="178">
        <v>0.35</v>
      </c>
      <c r="AY690" s="178">
        <v>0.35</v>
      </c>
      <c r="AZ690" s="178">
        <v>0.35</v>
      </c>
      <c r="BA690" s="178">
        <v>0.35</v>
      </c>
      <c r="BB690" s="178">
        <v>0.35</v>
      </c>
      <c r="BC690" s="178">
        <v>0.35</v>
      </c>
      <c r="BD690" s="178">
        <v>0.35</v>
      </c>
      <c r="BE690" s="178">
        <v>0.35</v>
      </c>
      <c r="BF690" s="178">
        <v>0.35</v>
      </c>
      <c r="BG690" s="178">
        <v>0.35</v>
      </c>
      <c r="BH690" s="178">
        <v>0.35</v>
      </c>
      <c r="BI690" s="178">
        <v>0.35</v>
      </c>
      <c r="BJ690" s="178">
        <v>0.35</v>
      </c>
      <c r="BK690" s="178">
        <v>0.35</v>
      </c>
      <c r="BL690" s="1"/>
      <c r="BM690" s="1"/>
      <c r="BN690" s="1"/>
      <c r="BO690" s="1"/>
      <c r="BP690" s="1"/>
      <c r="BQ690" s="1"/>
      <c r="BR690" s="1"/>
      <c r="BS690" s="1"/>
      <c r="BT690" s="8"/>
      <c r="BU690" s="8"/>
      <c r="BV690" s="1"/>
      <c r="BW690" s="1"/>
      <c r="BX690" s="1"/>
      <c r="BY690" s="1"/>
      <c r="BZ690" s="1"/>
    </row>
    <row r="691">
      <c r="A691" s="3"/>
      <c r="B691" s="33"/>
      <c r="C691" s="6"/>
      <c r="D691" s="6" t="s">
        <v>386</v>
      </c>
      <c r="E691" s="2"/>
      <c r="F691" s="2"/>
      <c r="G691" s="14"/>
      <c r="H691" s="14"/>
      <c r="I691" s="14"/>
      <c r="J691" s="14"/>
      <c r="K691" s="14"/>
      <c r="L691" s="1"/>
      <c r="M691" s="1"/>
      <c r="N691" s="1"/>
      <c r="O691" s="1"/>
      <c r="P691" s="1"/>
      <c r="Q691" s="1"/>
      <c r="R691" s="140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3"/>
      <c r="AD691" s="33"/>
      <c r="AE691" s="33"/>
      <c r="AF691" s="33"/>
      <c r="AG691" s="6" t="s">
        <v>386</v>
      </c>
      <c r="AH691" s="178">
        <v>0.4</v>
      </c>
      <c r="AI691" s="178">
        <v>0.4</v>
      </c>
      <c r="AJ691" s="178">
        <v>0.4</v>
      </c>
      <c r="AK691" s="178">
        <v>0.4</v>
      </c>
      <c r="AL691" s="178">
        <v>0.4</v>
      </c>
      <c r="AM691" s="178">
        <v>0.4</v>
      </c>
      <c r="AN691" s="178">
        <v>0.4</v>
      </c>
      <c r="AO691" s="178">
        <v>0.4</v>
      </c>
      <c r="AP691" s="178">
        <v>0.4</v>
      </c>
      <c r="AQ691" s="178">
        <v>0.4</v>
      </c>
      <c r="AR691" s="178">
        <v>0.4</v>
      </c>
      <c r="AS691" s="178">
        <v>0.4</v>
      </c>
      <c r="AT691" s="178">
        <v>0.4</v>
      </c>
      <c r="AU691" s="178">
        <v>0.4</v>
      </c>
      <c r="AV691" s="178">
        <v>0.4</v>
      </c>
      <c r="AW691" s="178">
        <v>0.4</v>
      </c>
      <c r="AX691" s="178">
        <v>0.4</v>
      </c>
      <c r="AY691" s="178">
        <v>0.4</v>
      </c>
      <c r="AZ691" s="178">
        <v>0.4</v>
      </c>
      <c r="BA691" s="178">
        <v>0.4</v>
      </c>
      <c r="BB691" s="178">
        <v>0.4</v>
      </c>
      <c r="BC691" s="178">
        <v>0.4</v>
      </c>
      <c r="BD691" s="178">
        <v>0.4</v>
      </c>
      <c r="BE691" s="178">
        <v>0.4</v>
      </c>
      <c r="BF691" s="178">
        <v>0.4</v>
      </c>
      <c r="BG691" s="178">
        <v>0.4</v>
      </c>
      <c r="BH691" s="178">
        <v>0.4</v>
      </c>
      <c r="BI691" s="178">
        <v>0.4</v>
      </c>
      <c r="BJ691" s="178">
        <v>0.4</v>
      </c>
      <c r="BK691" s="178">
        <v>0.4</v>
      </c>
      <c r="BL691" s="33"/>
      <c r="BM691" s="33"/>
      <c r="BN691" s="33"/>
      <c r="BO691" s="33"/>
      <c r="BP691" s="33"/>
      <c r="BQ691" s="33"/>
      <c r="BR691" s="33"/>
      <c r="BS691" s="1"/>
      <c r="BT691" s="8"/>
      <c r="BU691" s="8"/>
      <c r="BV691" s="1"/>
      <c r="BW691" s="1"/>
      <c r="BX691" s="1"/>
      <c r="BY691" s="1"/>
      <c r="BZ691" s="1"/>
    </row>
    <row r="692">
      <c r="A692" s="3"/>
      <c r="B692" s="33"/>
      <c r="C692" s="6"/>
      <c r="D692" s="6" t="s">
        <v>387</v>
      </c>
      <c r="E692" s="2"/>
      <c r="F692" s="2"/>
      <c r="G692" s="14"/>
      <c r="H692" s="14"/>
      <c r="I692" s="14"/>
      <c r="J692" s="14"/>
      <c r="K692" s="14"/>
      <c r="L692" s="1"/>
      <c r="M692" s="1"/>
      <c r="N692" s="1"/>
      <c r="O692" s="1"/>
      <c r="P692" s="1"/>
      <c r="Q692" s="1"/>
      <c r="R692" s="140"/>
      <c r="S692" s="3"/>
      <c r="T692" s="3"/>
      <c r="U692" s="3"/>
      <c r="V692" s="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6" t="s">
        <v>387</v>
      </c>
      <c r="AH692" s="178">
        <v>0.3</v>
      </c>
      <c r="AI692" s="178">
        <v>0.3</v>
      </c>
      <c r="AJ692" s="178">
        <v>0.3</v>
      </c>
      <c r="AK692" s="178">
        <v>0.3</v>
      </c>
      <c r="AL692" s="178">
        <v>0.3</v>
      </c>
      <c r="AM692" s="178">
        <v>0.3</v>
      </c>
      <c r="AN692" s="178">
        <v>0.3</v>
      </c>
      <c r="AO692" s="178">
        <v>0.3</v>
      </c>
      <c r="AP692" s="178">
        <v>0.3</v>
      </c>
      <c r="AQ692" s="178">
        <v>0.3</v>
      </c>
      <c r="AR692" s="178">
        <v>0.3</v>
      </c>
      <c r="AS692" s="178">
        <v>0.3</v>
      </c>
      <c r="AT692" s="178">
        <v>0.3</v>
      </c>
      <c r="AU692" s="178">
        <v>0.3</v>
      </c>
      <c r="AV692" s="178">
        <v>0.3</v>
      </c>
      <c r="AW692" s="178">
        <v>0.3</v>
      </c>
      <c r="AX692" s="178">
        <v>0.3</v>
      </c>
      <c r="AY692" s="178">
        <v>0.3</v>
      </c>
      <c r="AZ692" s="178">
        <v>0.3</v>
      </c>
      <c r="BA692" s="178">
        <v>0.3</v>
      </c>
      <c r="BB692" s="178">
        <v>0.3</v>
      </c>
      <c r="BC692" s="178">
        <v>0.3</v>
      </c>
      <c r="BD692" s="178">
        <v>0.3</v>
      </c>
      <c r="BE692" s="178">
        <v>0.3</v>
      </c>
      <c r="BF692" s="178">
        <v>0.3</v>
      </c>
      <c r="BG692" s="178">
        <v>0.3</v>
      </c>
      <c r="BH692" s="178">
        <v>0.3</v>
      </c>
      <c r="BI692" s="178">
        <v>0.3</v>
      </c>
      <c r="BJ692" s="178">
        <v>0.3</v>
      </c>
      <c r="BK692" s="178">
        <v>0.3</v>
      </c>
      <c r="BL692" s="33"/>
      <c r="BM692" s="33"/>
      <c r="BN692" s="33"/>
      <c r="BO692" s="33"/>
      <c r="BP692" s="33"/>
      <c r="BQ692" s="33"/>
      <c r="BR692" s="33"/>
      <c r="BS692" s="1"/>
      <c r="BT692" s="8"/>
      <c r="BU692" s="8"/>
      <c r="BV692" s="1"/>
      <c r="BW692" s="1"/>
      <c r="BX692" s="1"/>
      <c r="BY692" s="1"/>
      <c r="BZ692" s="1"/>
    </row>
    <row r="693">
      <c r="A693" s="3"/>
      <c r="B693" s="33"/>
      <c r="C693" s="6"/>
      <c r="D693" s="6" t="s">
        <v>388</v>
      </c>
      <c r="E693" s="2"/>
      <c r="F693" s="2"/>
      <c r="G693" s="14"/>
      <c r="H693" s="14"/>
      <c r="I693" s="14"/>
      <c r="J693" s="14"/>
      <c r="K693" s="14"/>
      <c r="L693" s="1"/>
      <c r="M693" s="1"/>
      <c r="N693" s="1"/>
      <c r="O693" s="1"/>
      <c r="P693" s="1"/>
      <c r="Q693" s="1"/>
      <c r="R693" s="140"/>
      <c r="S693" s="33"/>
      <c r="T693" s="33"/>
      <c r="U693" s="33"/>
      <c r="V693" s="33"/>
      <c r="W693" s="3"/>
      <c r="X693" s="33"/>
      <c r="Y693" s="33"/>
      <c r="Z693" s="33"/>
      <c r="AA693" s="33"/>
      <c r="AB693" s="33"/>
      <c r="AC693" s="33"/>
      <c r="AD693" s="33"/>
      <c r="AE693" s="33"/>
      <c r="AF693" s="33"/>
      <c r="AG693" s="6" t="s">
        <v>388</v>
      </c>
      <c r="AH693" s="178">
        <v>0.4</v>
      </c>
      <c r="AI693" s="178">
        <v>0.4</v>
      </c>
      <c r="AJ693" s="178">
        <v>0.4</v>
      </c>
      <c r="AK693" s="178">
        <v>0.4</v>
      </c>
      <c r="AL693" s="178">
        <v>0.4</v>
      </c>
      <c r="AM693" s="178">
        <v>0.4</v>
      </c>
      <c r="AN693" s="178">
        <v>0.4</v>
      </c>
      <c r="AO693" s="178">
        <v>0.4</v>
      </c>
      <c r="AP693" s="178">
        <v>0.4</v>
      </c>
      <c r="AQ693" s="178">
        <v>0.4</v>
      </c>
      <c r="AR693" s="178">
        <v>0.4</v>
      </c>
      <c r="AS693" s="178">
        <v>0.4</v>
      </c>
      <c r="AT693" s="178">
        <v>0.4</v>
      </c>
      <c r="AU693" s="178">
        <v>0.4</v>
      </c>
      <c r="AV693" s="178">
        <v>0.4</v>
      </c>
      <c r="AW693" s="178">
        <v>0.4</v>
      </c>
      <c r="AX693" s="178">
        <v>0.4</v>
      </c>
      <c r="AY693" s="178">
        <v>0.4</v>
      </c>
      <c r="AZ693" s="178">
        <v>0.4</v>
      </c>
      <c r="BA693" s="178">
        <v>0.4</v>
      </c>
      <c r="BB693" s="178">
        <v>0.4</v>
      </c>
      <c r="BC693" s="178">
        <v>0.4</v>
      </c>
      <c r="BD693" s="178">
        <v>0.4</v>
      </c>
      <c r="BE693" s="178">
        <v>0.4</v>
      </c>
      <c r="BF693" s="178">
        <v>0.4</v>
      </c>
      <c r="BG693" s="178">
        <v>0.4</v>
      </c>
      <c r="BH693" s="178">
        <v>0.4</v>
      </c>
      <c r="BI693" s="178">
        <v>0.4</v>
      </c>
      <c r="BJ693" s="178">
        <v>0.4</v>
      </c>
      <c r="BK693" s="178">
        <v>0.4</v>
      </c>
      <c r="BL693" s="33"/>
      <c r="BM693" s="33"/>
      <c r="BN693" s="33"/>
      <c r="BO693" s="33"/>
      <c r="BP693" s="33"/>
      <c r="BQ693" s="33"/>
      <c r="BR693" s="33"/>
      <c r="BS693" s="1"/>
      <c r="BT693" s="8"/>
      <c r="BU693" s="8"/>
      <c r="BV693" s="1"/>
      <c r="BW693" s="1"/>
      <c r="BX693" s="1"/>
      <c r="BY693" s="1"/>
      <c r="BZ693" s="1"/>
    </row>
    <row r="694">
      <c r="A694" s="3"/>
      <c r="B694" s="33"/>
      <c r="C694" s="6"/>
      <c r="D694" s="6" t="s">
        <v>389</v>
      </c>
      <c r="E694" s="2"/>
      <c r="F694" s="2"/>
      <c r="G694" s="14"/>
      <c r="H694" s="14"/>
      <c r="I694" s="14"/>
      <c r="J694" s="14"/>
      <c r="K694" s="14"/>
      <c r="L694" s="1"/>
      <c r="M694" s="1"/>
      <c r="N694" s="1"/>
      <c r="O694" s="1"/>
      <c r="P694" s="1"/>
      <c r="Q694" s="1"/>
      <c r="R694" s="140"/>
      <c r="S694" s="3"/>
      <c r="T694" s="3"/>
      <c r="U694" s="3"/>
      <c r="V694" s="3"/>
      <c r="W694" s="3"/>
      <c r="X694" s="3"/>
      <c r="Y694" s="33"/>
      <c r="Z694" s="33"/>
      <c r="AA694" s="33"/>
      <c r="AB694" s="33"/>
      <c r="AC694" s="33"/>
      <c r="AD694" s="33"/>
      <c r="AE694" s="33"/>
      <c r="AF694" s="33"/>
      <c r="AG694" s="6" t="s">
        <v>389</v>
      </c>
      <c r="AH694" s="178">
        <v>0.2</v>
      </c>
      <c r="AI694" s="178">
        <v>0.2</v>
      </c>
      <c r="AJ694" s="178">
        <v>0.2</v>
      </c>
      <c r="AK694" s="178">
        <v>0.2</v>
      </c>
      <c r="AL694" s="178">
        <v>0.2</v>
      </c>
      <c r="AM694" s="178">
        <v>0.2</v>
      </c>
      <c r="AN694" s="178">
        <v>0.2</v>
      </c>
      <c r="AO694" s="178">
        <v>0.2</v>
      </c>
      <c r="AP694" s="178">
        <v>0.2</v>
      </c>
      <c r="AQ694" s="178">
        <v>0.2</v>
      </c>
      <c r="AR694" s="178">
        <v>0.2</v>
      </c>
      <c r="AS694" s="178">
        <v>0.2</v>
      </c>
      <c r="AT694" s="178">
        <v>0.2</v>
      </c>
      <c r="AU694" s="178">
        <v>0.2</v>
      </c>
      <c r="AV694" s="178">
        <v>0.2</v>
      </c>
      <c r="AW694" s="178">
        <v>0.25</v>
      </c>
      <c r="AX694" s="178">
        <v>0.25</v>
      </c>
      <c r="AY694" s="178">
        <v>0.25</v>
      </c>
      <c r="AZ694" s="178">
        <v>0.25</v>
      </c>
      <c r="BA694" s="178">
        <v>0.25</v>
      </c>
      <c r="BB694" s="178">
        <v>0.25</v>
      </c>
      <c r="BC694" s="178">
        <v>0.25</v>
      </c>
      <c r="BD694" s="178">
        <v>0.25</v>
      </c>
      <c r="BE694" s="178">
        <v>0.25</v>
      </c>
      <c r="BF694" s="178">
        <v>0.25</v>
      </c>
      <c r="BG694" s="178">
        <v>0.25</v>
      </c>
      <c r="BH694" s="178">
        <v>0.25</v>
      </c>
      <c r="BI694" s="178">
        <v>0.25</v>
      </c>
      <c r="BJ694" s="178">
        <v>0.25</v>
      </c>
      <c r="BK694" s="178">
        <v>0.25</v>
      </c>
      <c r="BL694" s="3"/>
      <c r="BM694" s="3"/>
      <c r="BN694" s="3"/>
      <c r="BO694" s="3"/>
      <c r="BP694" s="3"/>
      <c r="BQ694" s="3"/>
      <c r="BR694" s="3"/>
      <c r="BS694" s="1"/>
      <c r="BT694" s="8"/>
      <c r="BU694" s="8"/>
      <c r="BV694" s="1"/>
      <c r="BW694" s="1"/>
      <c r="BX694" s="1"/>
      <c r="BY694" s="1"/>
      <c r="BZ694" s="1"/>
    </row>
    <row r="695">
      <c r="A695" s="3"/>
      <c r="B695" s="33"/>
      <c r="C695" s="6"/>
      <c r="D695" s="6" t="s">
        <v>390</v>
      </c>
      <c r="E695" s="2"/>
      <c r="F695" s="2"/>
      <c r="G695" s="14"/>
      <c r="H695" s="14"/>
      <c r="I695" s="14"/>
      <c r="J695" s="14"/>
      <c r="K695" s="1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6" t="s">
        <v>390</v>
      </c>
      <c r="AH695" s="178">
        <v>0.3</v>
      </c>
      <c r="AI695" s="178">
        <v>0.3</v>
      </c>
      <c r="AJ695" s="178">
        <v>0.3</v>
      </c>
      <c r="AK695" s="178">
        <v>0.3</v>
      </c>
      <c r="AL695" s="178">
        <v>0.3</v>
      </c>
      <c r="AM695" s="178">
        <v>0.3</v>
      </c>
      <c r="AN695" s="178">
        <v>0.3</v>
      </c>
      <c r="AO695" s="178">
        <v>0.3</v>
      </c>
      <c r="AP695" s="178">
        <v>0.3</v>
      </c>
      <c r="AQ695" s="178">
        <v>0.3</v>
      </c>
      <c r="AR695" s="178">
        <v>0.3</v>
      </c>
      <c r="AS695" s="178">
        <v>0.3</v>
      </c>
      <c r="AT695" s="178">
        <v>0.3</v>
      </c>
      <c r="AU695" s="178">
        <v>0.3</v>
      </c>
      <c r="AV695" s="178">
        <v>0.3</v>
      </c>
      <c r="AW695" s="178">
        <v>0.3</v>
      </c>
      <c r="AX695" s="178">
        <v>0.3</v>
      </c>
      <c r="AY695" s="178">
        <v>0.3</v>
      </c>
      <c r="AZ695" s="178">
        <v>0.3</v>
      </c>
      <c r="BA695" s="178">
        <v>0.3</v>
      </c>
      <c r="BB695" s="178">
        <v>0.3</v>
      </c>
      <c r="BC695" s="178">
        <v>0.3</v>
      </c>
      <c r="BD695" s="178">
        <v>0.3</v>
      </c>
      <c r="BE695" s="178">
        <v>0.3</v>
      </c>
      <c r="BF695" s="178">
        <v>0.3</v>
      </c>
      <c r="BG695" s="178">
        <v>0.3</v>
      </c>
      <c r="BH695" s="178">
        <v>0.3</v>
      </c>
      <c r="BI695" s="178">
        <v>0.3</v>
      </c>
      <c r="BJ695" s="178">
        <v>0.3</v>
      </c>
      <c r="BK695" s="178">
        <v>0.3</v>
      </c>
      <c r="BL695" s="1"/>
      <c r="BM695" s="1"/>
      <c r="BN695" s="1"/>
      <c r="BO695" s="1"/>
      <c r="BP695" s="1"/>
      <c r="BQ695" s="1"/>
      <c r="BR695" s="1"/>
      <c r="BS695" s="1"/>
      <c r="BT695" s="8"/>
      <c r="BU695" s="8"/>
      <c r="BV695" s="1"/>
      <c r="BW695" s="1"/>
      <c r="BX695" s="1"/>
      <c r="BY695" s="1"/>
      <c r="BZ695" s="1"/>
    </row>
    <row r="696">
      <c r="A696" s="3"/>
      <c r="B696" s="33"/>
      <c r="C696" s="6"/>
      <c r="D696" s="6" t="s">
        <v>391</v>
      </c>
      <c r="E696" s="2"/>
      <c r="F696" s="2"/>
      <c r="G696" s="14"/>
      <c r="H696" s="14"/>
      <c r="I696" s="14"/>
      <c r="J696" s="14"/>
      <c r="K696" s="1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6" t="s">
        <v>391</v>
      </c>
      <c r="AH696" s="178">
        <v>0.05</v>
      </c>
      <c r="AI696" s="178">
        <v>0.05</v>
      </c>
      <c r="AJ696" s="178">
        <v>0.05</v>
      </c>
      <c r="AK696" s="178">
        <v>0.05</v>
      </c>
      <c r="AL696" s="178">
        <v>0.05</v>
      </c>
      <c r="AM696" s="178">
        <v>0.05</v>
      </c>
      <c r="AN696" s="178">
        <v>0.05</v>
      </c>
      <c r="AO696" s="178">
        <v>0.05</v>
      </c>
      <c r="AP696" s="178">
        <v>0.05</v>
      </c>
      <c r="AQ696" s="178">
        <v>0.05</v>
      </c>
      <c r="AR696" s="178">
        <v>0.05</v>
      </c>
      <c r="AS696" s="178">
        <v>0.05</v>
      </c>
      <c r="AT696" s="178">
        <v>0.05</v>
      </c>
      <c r="AU696" s="178">
        <v>0.05</v>
      </c>
      <c r="AV696" s="178">
        <v>0.05</v>
      </c>
      <c r="AW696" s="178">
        <v>0.05</v>
      </c>
      <c r="AX696" s="178">
        <v>0.05</v>
      </c>
      <c r="AY696" s="178">
        <v>0.05</v>
      </c>
      <c r="AZ696" s="178">
        <v>0.05</v>
      </c>
      <c r="BA696" s="178">
        <v>0.05</v>
      </c>
      <c r="BB696" s="178">
        <v>0.05</v>
      </c>
      <c r="BC696" s="178">
        <v>0.05</v>
      </c>
      <c r="BD696" s="178">
        <v>0.05</v>
      </c>
      <c r="BE696" s="178">
        <v>0.05</v>
      </c>
      <c r="BF696" s="178">
        <v>0.05</v>
      </c>
      <c r="BG696" s="178">
        <v>0.05</v>
      </c>
      <c r="BH696" s="178">
        <v>0.05</v>
      </c>
      <c r="BI696" s="178">
        <v>0.05</v>
      </c>
      <c r="BJ696" s="178">
        <v>0.05</v>
      </c>
      <c r="BK696" s="178">
        <v>0.05</v>
      </c>
      <c r="BL696" s="1"/>
      <c r="BM696" s="1"/>
      <c r="BN696" s="1"/>
      <c r="BO696" s="1"/>
      <c r="BP696" s="1"/>
      <c r="BQ696" s="1"/>
      <c r="BR696" s="1"/>
      <c r="BS696" s="1"/>
      <c r="BT696" s="8"/>
      <c r="BU696" s="8"/>
      <c r="BV696" s="1"/>
      <c r="BW696" s="1"/>
      <c r="BX696" s="1"/>
      <c r="BY696" s="1"/>
      <c r="BZ696" s="1"/>
    </row>
    <row r="697">
      <c r="A697" s="3"/>
      <c r="B697" s="33"/>
      <c r="C697" s="6"/>
      <c r="D697" s="6" t="s">
        <v>392</v>
      </c>
      <c r="E697" s="2"/>
      <c r="F697" s="2"/>
      <c r="G697" s="14"/>
      <c r="H697" s="14"/>
      <c r="I697" s="14"/>
      <c r="J697" s="14"/>
      <c r="K697" s="14"/>
      <c r="L697" s="1"/>
      <c r="M697" s="1"/>
      <c r="N697" s="1"/>
      <c r="O697" s="1"/>
      <c r="P697" s="1"/>
      <c r="Q697" s="1"/>
      <c r="R697" s="140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6" t="s">
        <v>392</v>
      </c>
      <c r="AH697" s="178">
        <v>-0.1</v>
      </c>
      <c r="AI697" s="178">
        <v>-0.1</v>
      </c>
      <c r="AJ697" s="178">
        <v>-0.1</v>
      </c>
      <c r="AK697" s="178">
        <v>-0.1</v>
      </c>
      <c r="AL697" s="178">
        <v>-0.1</v>
      </c>
      <c r="AM697" s="178">
        <v>-0.1</v>
      </c>
      <c r="AN697" s="178">
        <v>-0.1</v>
      </c>
      <c r="AO697" s="178">
        <v>-0.1</v>
      </c>
      <c r="AP697" s="178">
        <v>-0.1</v>
      </c>
      <c r="AQ697" s="178">
        <v>-0.1</v>
      </c>
      <c r="AR697" s="178">
        <v>-0.1</v>
      </c>
      <c r="AS697" s="178">
        <v>-0.1</v>
      </c>
      <c r="AT697" s="178">
        <v>-0.1</v>
      </c>
      <c r="AU697" s="178">
        <v>-0.1</v>
      </c>
      <c r="AV697" s="178">
        <v>-0.1</v>
      </c>
      <c r="AW697" s="178">
        <v>-0.1</v>
      </c>
      <c r="AX697" s="178">
        <v>-0.1</v>
      </c>
      <c r="AY697" s="178">
        <v>-0.1</v>
      </c>
      <c r="AZ697" s="178">
        <v>-0.1</v>
      </c>
      <c r="BA697" s="178">
        <v>-0.1</v>
      </c>
      <c r="BB697" s="178">
        <v>-0.1</v>
      </c>
      <c r="BC697" s="178">
        <v>-0.1</v>
      </c>
      <c r="BD697" s="178">
        <v>-0.1</v>
      </c>
      <c r="BE697" s="178">
        <v>-0.1</v>
      </c>
      <c r="BF697" s="178">
        <v>-0.1</v>
      </c>
      <c r="BG697" s="178">
        <v>-0.1</v>
      </c>
      <c r="BH697" s="178">
        <v>-0.1</v>
      </c>
      <c r="BI697" s="178">
        <v>-0.1</v>
      </c>
      <c r="BJ697" s="178">
        <v>-0.1</v>
      </c>
      <c r="BK697" s="178">
        <v>-0.1</v>
      </c>
      <c r="BL697" s="33"/>
      <c r="BM697" s="33"/>
      <c r="BN697" s="33"/>
      <c r="BO697" s="33"/>
      <c r="BP697" s="33"/>
      <c r="BQ697" s="33"/>
      <c r="BR697" s="33"/>
      <c r="BS697" s="1"/>
      <c r="BT697" s="8"/>
      <c r="BU697" s="8"/>
      <c r="BV697" s="1"/>
      <c r="BW697" s="1"/>
      <c r="BX697" s="1"/>
      <c r="BY697" s="1"/>
      <c r="BZ697" s="1"/>
    </row>
    <row r="698">
      <c r="A698" s="3"/>
      <c r="B698" s="33"/>
      <c r="C698" s="6"/>
      <c r="D698" s="6" t="s">
        <v>393</v>
      </c>
      <c r="E698" s="2"/>
      <c r="F698" s="2"/>
      <c r="G698" s="14"/>
      <c r="H698" s="14"/>
      <c r="I698" s="14"/>
      <c r="J698" s="14"/>
      <c r="K698" s="14"/>
      <c r="L698" s="1"/>
      <c r="M698" s="1"/>
      <c r="N698" s="1"/>
      <c r="O698" s="1"/>
      <c r="P698" s="1"/>
      <c r="Q698" s="1"/>
      <c r="R698" s="140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6" t="s">
        <v>393</v>
      </c>
      <c r="AH698" s="178">
        <v>0.2</v>
      </c>
      <c r="AI698" s="178">
        <v>0.2</v>
      </c>
      <c r="AJ698" s="178">
        <v>0.2</v>
      </c>
      <c r="AK698" s="178">
        <v>0.2</v>
      </c>
      <c r="AL698" s="178">
        <v>0.2</v>
      </c>
      <c r="AM698" s="178">
        <v>0.2</v>
      </c>
      <c r="AN698" s="178">
        <v>0.2</v>
      </c>
      <c r="AO698" s="178">
        <v>0.2</v>
      </c>
      <c r="AP698" s="178">
        <v>0.2</v>
      </c>
      <c r="AQ698" s="178">
        <v>0.2</v>
      </c>
      <c r="AR698" s="178">
        <v>0.2</v>
      </c>
      <c r="AS698" s="178">
        <v>0.2</v>
      </c>
      <c r="AT698" s="178">
        <v>0.2</v>
      </c>
      <c r="AU698" s="178">
        <v>0.2</v>
      </c>
      <c r="AV698" s="178">
        <v>0.2</v>
      </c>
      <c r="AW698" s="178">
        <v>0.2</v>
      </c>
      <c r="AX698" s="178">
        <v>0.2</v>
      </c>
      <c r="AY698" s="178">
        <v>0.2</v>
      </c>
      <c r="AZ698" s="178">
        <v>0.2</v>
      </c>
      <c r="BA698" s="178">
        <v>0.2</v>
      </c>
      <c r="BB698" s="178">
        <v>0.2</v>
      </c>
      <c r="BC698" s="178">
        <v>0.2</v>
      </c>
      <c r="BD698" s="178">
        <v>0.2</v>
      </c>
      <c r="BE698" s="178">
        <v>0.2</v>
      </c>
      <c r="BF698" s="178">
        <v>0.2</v>
      </c>
      <c r="BG698" s="178">
        <v>0.2</v>
      </c>
      <c r="BH698" s="178">
        <v>0.2</v>
      </c>
      <c r="BI698" s="178">
        <v>0.2</v>
      </c>
      <c r="BJ698" s="178">
        <v>0.2</v>
      </c>
      <c r="BK698" s="178">
        <v>0.2</v>
      </c>
      <c r="BL698" s="33"/>
      <c r="BM698" s="33"/>
      <c r="BN698" s="33"/>
      <c r="BO698" s="33"/>
      <c r="BP698" s="33"/>
      <c r="BQ698" s="33"/>
      <c r="BR698" s="33"/>
      <c r="BS698" s="1"/>
      <c r="BT698" s="8"/>
      <c r="BU698" s="8"/>
      <c r="BV698" s="1"/>
      <c r="BW698" s="1"/>
      <c r="BX698" s="1"/>
      <c r="BY698" s="1"/>
      <c r="BZ698" s="1"/>
    </row>
    <row r="699">
      <c r="A699" s="3"/>
      <c r="B699" s="33"/>
      <c r="C699" s="6"/>
      <c r="D699" s="6" t="s">
        <v>393</v>
      </c>
      <c r="E699" s="2"/>
      <c r="F699" s="2"/>
      <c r="G699" s="14"/>
      <c r="H699" s="14"/>
      <c r="I699" s="14"/>
      <c r="J699" s="14"/>
      <c r="K699" s="14"/>
      <c r="L699" s="1"/>
      <c r="M699" s="1"/>
      <c r="N699" s="1"/>
      <c r="O699" s="1"/>
      <c r="P699" s="1"/>
      <c r="Q699" s="1"/>
      <c r="R699" s="140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6" t="s">
        <v>393</v>
      </c>
      <c r="AH699" s="178">
        <v>0.3</v>
      </c>
      <c r="AI699" s="178">
        <v>0.3</v>
      </c>
      <c r="AJ699" s="178">
        <v>0.3</v>
      </c>
      <c r="AK699" s="178">
        <v>0.3</v>
      </c>
      <c r="AL699" s="178">
        <v>0.3</v>
      </c>
      <c r="AM699" s="178">
        <v>0.3</v>
      </c>
      <c r="AN699" s="178">
        <v>0.3</v>
      </c>
      <c r="AO699" s="178">
        <v>0.3</v>
      </c>
      <c r="AP699" s="178">
        <v>0.3</v>
      </c>
      <c r="AQ699" s="178">
        <v>0.3</v>
      </c>
      <c r="AR699" s="178">
        <v>0.3</v>
      </c>
      <c r="AS699" s="178">
        <v>0.3</v>
      </c>
      <c r="AT699" s="178">
        <v>0.3</v>
      </c>
      <c r="AU699" s="178">
        <v>0.3</v>
      </c>
      <c r="AV699" s="178">
        <v>0.3</v>
      </c>
      <c r="AW699" s="178">
        <v>0.3</v>
      </c>
      <c r="AX699" s="178">
        <v>0.3</v>
      </c>
      <c r="AY699" s="178">
        <v>0.3</v>
      </c>
      <c r="AZ699" s="178">
        <v>0.3</v>
      </c>
      <c r="BA699" s="178">
        <v>0.3</v>
      </c>
      <c r="BB699" s="178">
        <v>0.3</v>
      </c>
      <c r="BC699" s="178">
        <v>0.3</v>
      </c>
      <c r="BD699" s="178">
        <v>0.3</v>
      </c>
      <c r="BE699" s="178">
        <v>0.3</v>
      </c>
      <c r="BF699" s="178">
        <v>0.3</v>
      </c>
      <c r="BG699" s="178">
        <v>0.3</v>
      </c>
      <c r="BH699" s="178">
        <v>0.3</v>
      </c>
      <c r="BI699" s="178">
        <v>0.3</v>
      </c>
      <c r="BJ699" s="178">
        <v>0.3</v>
      </c>
      <c r="BK699" s="178">
        <v>0.3</v>
      </c>
      <c r="BL699" s="33"/>
      <c r="BM699" s="33"/>
      <c r="BN699" s="33"/>
      <c r="BO699" s="33"/>
      <c r="BP699" s="33"/>
      <c r="BQ699" s="33"/>
      <c r="BR699" s="33"/>
      <c r="BS699" s="1"/>
      <c r="BT699" s="8"/>
      <c r="BU699" s="8"/>
      <c r="BV699" s="1"/>
      <c r="BW699" s="1"/>
      <c r="BX699" s="1"/>
      <c r="BY699" s="1"/>
      <c r="BZ699" s="1"/>
    </row>
    <row r="700">
      <c r="A700" s="3"/>
      <c r="B700" s="33"/>
      <c r="C700" s="6"/>
      <c r="D700" s="6" t="s">
        <v>394</v>
      </c>
      <c r="E700" s="2"/>
      <c r="F700" s="2"/>
      <c r="G700" s="14"/>
      <c r="H700" s="14"/>
      <c r="I700" s="14"/>
      <c r="J700" s="14"/>
      <c r="K700" s="14"/>
      <c r="L700" s="1"/>
      <c r="M700" s="1"/>
      <c r="N700" s="1"/>
      <c r="O700" s="1"/>
      <c r="P700" s="1"/>
      <c r="Q700" s="1"/>
      <c r="R700" s="140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6" t="s">
        <v>394</v>
      </c>
      <c r="AH700" s="179">
        <v>10.0</v>
      </c>
      <c r="AI700" s="179">
        <v>10.0</v>
      </c>
      <c r="AJ700" s="179">
        <v>10.0</v>
      </c>
      <c r="AK700" s="179">
        <v>10.0</v>
      </c>
      <c r="AL700" s="179">
        <v>10.0</v>
      </c>
      <c r="AM700" s="179">
        <v>10.0</v>
      </c>
      <c r="AN700" s="179">
        <v>10.0</v>
      </c>
      <c r="AO700" s="179">
        <v>10.0</v>
      </c>
      <c r="AP700" s="179">
        <v>10.0</v>
      </c>
      <c r="AQ700" s="179">
        <v>10.0</v>
      </c>
      <c r="AR700" s="179">
        <v>10.0</v>
      </c>
      <c r="AS700" s="179">
        <v>10.0</v>
      </c>
      <c r="AT700" s="179">
        <v>10.0</v>
      </c>
      <c r="AU700" s="179">
        <v>10.0</v>
      </c>
      <c r="AV700" s="179">
        <v>10.0</v>
      </c>
      <c r="AW700" s="179">
        <v>10.0</v>
      </c>
      <c r="AX700" s="179">
        <v>10.0</v>
      </c>
      <c r="AY700" s="179">
        <v>10.0</v>
      </c>
      <c r="AZ700" s="179">
        <v>10.0</v>
      </c>
      <c r="BA700" s="179">
        <v>10.0</v>
      </c>
      <c r="BB700" s="179">
        <v>10.0</v>
      </c>
      <c r="BC700" s="179">
        <v>10.0</v>
      </c>
      <c r="BD700" s="179">
        <v>10.0</v>
      </c>
      <c r="BE700" s="179">
        <v>10.0</v>
      </c>
      <c r="BF700" s="179">
        <v>10.0</v>
      </c>
      <c r="BG700" s="179">
        <v>10.0</v>
      </c>
      <c r="BH700" s="179">
        <v>10.0</v>
      </c>
      <c r="BI700" s="179">
        <v>10.0</v>
      </c>
      <c r="BJ700" s="179">
        <v>10.0</v>
      </c>
      <c r="BK700" s="179">
        <v>10.0</v>
      </c>
      <c r="BL700" s="33"/>
      <c r="BM700" s="33"/>
      <c r="BN700" s="33"/>
      <c r="BO700" s="33"/>
      <c r="BP700" s="33"/>
      <c r="BQ700" s="33"/>
      <c r="BR700" s="33"/>
      <c r="BS700" s="1"/>
      <c r="BT700" s="8"/>
      <c r="BU700" s="8"/>
      <c r="BV700" s="1"/>
      <c r="BW700" s="1"/>
      <c r="BX700" s="1"/>
      <c r="BY700" s="1"/>
      <c r="BZ700" s="1"/>
    </row>
    <row r="701">
      <c r="A701" s="3"/>
      <c r="B701" s="33"/>
      <c r="C701" s="6"/>
      <c r="D701" s="6" t="s">
        <v>395</v>
      </c>
      <c r="E701" s="2"/>
      <c r="F701" s="2"/>
      <c r="G701" s="14"/>
      <c r="H701" s="14"/>
      <c r="I701" s="14"/>
      <c r="J701" s="14"/>
      <c r="K701" s="1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6" t="s">
        <v>395</v>
      </c>
      <c r="AH701" s="179">
        <v>20.0</v>
      </c>
      <c r="AI701" s="179">
        <v>20.0</v>
      </c>
      <c r="AJ701" s="179">
        <v>20.0</v>
      </c>
      <c r="AK701" s="179">
        <v>20.0</v>
      </c>
      <c r="AL701" s="179">
        <v>20.0</v>
      </c>
      <c r="AM701" s="179">
        <v>20.0</v>
      </c>
      <c r="AN701" s="179">
        <v>20.0</v>
      </c>
      <c r="AO701" s="179">
        <v>20.0</v>
      </c>
      <c r="AP701" s="179">
        <v>20.0</v>
      </c>
      <c r="AQ701" s="179">
        <v>20.0</v>
      </c>
      <c r="AR701" s="179">
        <v>20.0</v>
      </c>
      <c r="AS701" s="179">
        <v>20.0</v>
      </c>
      <c r="AT701" s="179">
        <v>20.0</v>
      </c>
      <c r="AU701" s="179">
        <v>20.0</v>
      </c>
      <c r="AV701" s="179">
        <v>20.0</v>
      </c>
      <c r="AW701" s="179">
        <v>20.0</v>
      </c>
      <c r="AX701" s="179">
        <v>20.0</v>
      </c>
      <c r="AY701" s="179">
        <v>20.0</v>
      </c>
      <c r="AZ701" s="179">
        <v>20.0</v>
      </c>
      <c r="BA701" s="179">
        <v>20.0</v>
      </c>
      <c r="BB701" s="179">
        <v>20.0</v>
      </c>
      <c r="BC701" s="179">
        <v>20.0</v>
      </c>
      <c r="BD701" s="179">
        <v>20.0</v>
      </c>
      <c r="BE701" s="179">
        <v>20.0</v>
      </c>
      <c r="BF701" s="179">
        <v>20.0</v>
      </c>
      <c r="BG701" s="179">
        <v>20.0</v>
      </c>
      <c r="BH701" s="179">
        <v>20.0</v>
      </c>
      <c r="BI701" s="179">
        <v>20.0</v>
      </c>
      <c r="BJ701" s="179">
        <v>20.0</v>
      </c>
      <c r="BK701" s="179">
        <v>20.0</v>
      </c>
      <c r="BL701" s="1"/>
      <c r="BM701" s="1"/>
      <c r="BN701" s="1"/>
      <c r="BO701" s="1"/>
      <c r="BP701" s="1"/>
      <c r="BQ701" s="1"/>
      <c r="BR701" s="1"/>
      <c r="BS701" s="1"/>
      <c r="BT701" s="8"/>
      <c r="BU701" s="8"/>
      <c r="BV701" s="1"/>
      <c r="BW701" s="1"/>
      <c r="BX701" s="1"/>
      <c r="BY701" s="1"/>
      <c r="BZ701" s="1"/>
    </row>
    <row r="702">
      <c r="A702" s="3"/>
      <c r="B702" s="33"/>
      <c r="C702" s="6"/>
      <c r="D702" s="6" t="s">
        <v>396</v>
      </c>
      <c r="E702" s="2"/>
      <c r="F702" s="2"/>
      <c r="G702" s="14"/>
      <c r="H702" s="14"/>
      <c r="I702" s="14"/>
      <c r="J702" s="14"/>
      <c r="K702" s="1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6" t="s">
        <v>396</v>
      </c>
      <c r="AH702" s="179">
        <v>50.0</v>
      </c>
      <c r="AI702" s="179">
        <v>50.0</v>
      </c>
      <c r="AJ702" s="179">
        <v>50.0</v>
      </c>
      <c r="AK702" s="179">
        <v>50.0</v>
      </c>
      <c r="AL702" s="179">
        <v>50.0</v>
      </c>
      <c r="AM702" s="179">
        <v>50.0</v>
      </c>
      <c r="AN702" s="179">
        <v>50.0</v>
      </c>
      <c r="AO702" s="179">
        <v>50.0</v>
      </c>
      <c r="AP702" s="179">
        <v>50.0</v>
      </c>
      <c r="AQ702" s="179">
        <v>50.0</v>
      </c>
      <c r="AR702" s="179">
        <v>50.0</v>
      </c>
      <c r="AS702" s="179">
        <v>50.0</v>
      </c>
      <c r="AT702" s="179">
        <v>50.0</v>
      </c>
      <c r="AU702" s="179">
        <v>50.0</v>
      </c>
      <c r="AV702" s="179">
        <v>50.0</v>
      </c>
      <c r="AW702" s="179">
        <v>50.0</v>
      </c>
      <c r="AX702" s="179">
        <v>50.0</v>
      </c>
      <c r="AY702" s="179">
        <v>50.0</v>
      </c>
      <c r="AZ702" s="179">
        <v>50.0</v>
      </c>
      <c r="BA702" s="179">
        <v>50.0</v>
      </c>
      <c r="BB702" s="179">
        <v>50.0</v>
      </c>
      <c r="BC702" s="179">
        <v>50.0</v>
      </c>
      <c r="BD702" s="179">
        <v>50.0</v>
      </c>
      <c r="BE702" s="179">
        <v>50.0</v>
      </c>
      <c r="BF702" s="179">
        <v>50.0</v>
      </c>
      <c r="BG702" s="179">
        <v>50.0</v>
      </c>
      <c r="BH702" s="179">
        <v>50.0</v>
      </c>
      <c r="BI702" s="179">
        <v>50.0</v>
      </c>
      <c r="BJ702" s="179">
        <v>50.0</v>
      </c>
      <c r="BK702" s="179">
        <v>50.0</v>
      </c>
      <c r="BL702" s="1"/>
      <c r="BM702" s="1"/>
      <c r="BN702" s="1"/>
      <c r="BO702" s="1"/>
      <c r="BP702" s="1"/>
      <c r="BQ702" s="1"/>
      <c r="BR702" s="1"/>
      <c r="BS702" s="1"/>
      <c r="BT702" s="8"/>
      <c r="BU702" s="8"/>
      <c r="BV702" s="1"/>
      <c r="BW702" s="1"/>
      <c r="BX702" s="1"/>
      <c r="BY702" s="1"/>
      <c r="BZ702" s="1"/>
    </row>
    <row r="703">
      <c r="A703" s="3"/>
      <c r="B703" s="33"/>
      <c r="C703" s="6"/>
      <c r="D703" s="6" t="s">
        <v>397</v>
      </c>
      <c r="E703" s="2"/>
      <c r="F703" s="2"/>
      <c r="G703" s="14"/>
      <c r="H703" s="14"/>
      <c r="I703" s="14"/>
      <c r="J703" s="14"/>
      <c r="K703" s="14"/>
      <c r="L703" s="1"/>
      <c r="M703" s="1"/>
      <c r="N703" s="1"/>
      <c r="O703" s="1"/>
      <c r="P703" s="1"/>
      <c r="Q703" s="1"/>
      <c r="R703" s="140"/>
      <c r="S703" s="3"/>
      <c r="T703" s="3"/>
      <c r="U703" s="3"/>
      <c r="V703" s="3"/>
      <c r="W703" s="33"/>
      <c r="X703" s="33"/>
      <c r="Y703" s="33"/>
      <c r="Z703" s="33"/>
      <c r="AA703" s="3"/>
      <c r="AB703" s="3"/>
      <c r="AC703" s="33"/>
      <c r="AD703" s="33"/>
      <c r="AE703" s="33"/>
      <c r="AF703" s="3"/>
      <c r="AG703" s="6" t="s">
        <v>397</v>
      </c>
      <c r="AH703" s="179">
        <v>70.0</v>
      </c>
      <c r="AI703" s="179">
        <v>70.0</v>
      </c>
      <c r="AJ703" s="179">
        <v>70.0</v>
      </c>
      <c r="AK703" s="179">
        <v>70.0</v>
      </c>
      <c r="AL703" s="179">
        <v>70.0</v>
      </c>
      <c r="AM703" s="179">
        <v>70.0</v>
      </c>
      <c r="AN703" s="179">
        <v>70.0</v>
      </c>
      <c r="AO703" s="179">
        <v>70.0</v>
      </c>
      <c r="AP703" s="179">
        <v>70.0</v>
      </c>
      <c r="AQ703" s="179">
        <v>70.0</v>
      </c>
      <c r="AR703" s="179">
        <v>70.0</v>
      </c>
      <c r="AS703" s="179">
        <v>70.0</v>
      </c>
      <c r="AT703" s="179">
        <v>70.0</v>
      </c>
      <c r="AU703" s="179">
        <v>70.0</v>
      </c>
      <c r="AV703" s="179">
        <v>70.0</v>
      </c>
      <c r="AW703" s="179">
        <v>80.0</v>
      </c>
      <c r="AX703" s="179">
        <v>80.0</v>
      </c>
      <c r="AY703" s="179">
        <v>80.0</v>
      </c>
      <c r="AZ703" s="179">
        <v>80.0</v>
      </c>
      <c r="BA703" s="179">
        <v>80.0</v>
      </c>
      <c r="BB703" s="179">
        <v>80.0</v>
      </c>
      <c r="BC703" s="179">
        <v>80.0</v>
      </c>
      <c r="BD703" s="179">
        <v>80.0</v>
      </c>
      <c r="BE703" s="179">
        <v>80.0</v>
      </c>
      <c r="BF703" s="179">
        <v>80.0</v>
      </c>
      <c r="BG703" s="179">
        <v>80.0</v>
      </c>
      <c r="BH703" s="179">
        <v>80.0</v>
      </c>
      <c r="BI703" s="179">
        <v>80.0</v>
      </c>
      <c r="BJ703" s="179">
        <v>80.0</v>
      </c>
      <c r="BK703" s="179">
        <v>80.0</v>
      </c>
      <c r="BL703" s="33"/>
      <c r="BM703" s="33"/>
      <c r="BN703" s="33"/>
      <c r="BO703" s="33"/>
      <c r="BP703" s="33"/>
      <c r="BQ703" s="33"/>
      <c r="BR703" s="33"/>
      <c r="BS703" s="1"/>
      <c r="BT703" s="8"/>
      <c r="BU703" s="8"/>
      <c r="BV703" s="1"/>
      <c r="BW703" s="1"/>
      <c r="BX703" s="1"/>
      <c r="BY703" s="1"/>
      <c r="BZ703" s="1"/>
    </row>
    <row r="704">
      <c r="A704" s="3"/>
      <c r="B704" s="33"/>
      <c r="C704" s="6"/>
      <c r="D704" s="6" t="s">
        <v>398</v>
      </c>
      <c r="E704" s="2"/>
      <c r="F704" s="2"/>
      <c r="G704" s="14"/>
      <c r="H704" s="14"/>
      <c r="I704" s="14"/>
      <c r="J704" s="14"/>
      <c r="K704" s="14"/>
      <c r="L704" s="1"/>
      <c r="M704" s="1"/>
      <c r="N704" s="1"/>
      <c r="O704" s="1"/>
      <c r="P704" s="1"/>
      <c r="Q704" s="1"/>
      <c r="R704" s="140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6" t="s">
        <v>398</v>
      </c>
      <c r="AH704" s="178">
        <v>1.65</v>
      </c>
      <c r="AI704" s="178">
        <v>1.65</v>
      </c>
      <c r="AJ704" s="178">
        <v>1.65</v>
      </c>
      <c r="AK704" s="178">
        <v>1.65</v>
      </c>
      <c r="AL704" s="178">
        <v>1.65</v>
      </c>
      <c r="AM704" s="178">
        <v>1.65</v>
      </c>
      <c r="AN704" s="178">
        <v>1.65</v>
      </c>
      <c r="AO704" s="178">
        <v>1.65</v>
      </c>
      <c r="AP704" s="178">
        <v>1.65</v>
      </c>
      <c r="AQ704" s="178">
        <v>1.65</v>
      </c>
      <c r="AR704" s="178">
        <v>1.65</v>
      </c>
      <c r="AS704" s="178">
        <v>1.65</v>
      </c>
      <c r="AT704" s="178">
        <v>1.65</v>
      </c>
      <c r="AU704" s="178">
        <v>1.65</v>
      </c>
      <c r="AV704" s="178">
        <v>1.65</v>
      </c>
      <c r="AW704" s="178">
        <v>1.45</v>
      </c>
      <c r="AX704" s="178">
        <v>1.45</v>
      </c>
      <c r="AY704" s="178">
        <v>1.45</v>
      </c>
      <c r="AZ704" s="178">
        <v>1.45</v>
      </c>
      <c r="BA704" s="178">
        <v>1.45</v>
      </c>
      <c r="BB704" s="178">
        <v>1.45</v>
      </c>
      <c r="BC704" s="178">
        <v>1.45</v>
      </c>
      <c r="BD704" s="178">
        <v>1.45</v>
      </c>
      <c r="BE704" s="178">
        <v>1.45</v>
      </c>
      <c r="BF704" s="178">
        <v>1.45</v>
      </c>
      <c r="BG704" s="178">
        <v>1.45</v>
      </c>
      <c r="BH704" s="178">
        <v>1.45</v>
      </c>
      <c r="BI704" s="178">
        <v>1.45</v>
      </c>
      <c r="BJ704" s="178">
        <v>1.45</v>
      </c>
      <c r="BK704" s="178">
        <v>1.45</v>
      </c>
      <c r="BL704" s="33"/>
      <c r="BM704" s="33"/>
      <c r="BN704" s="33"/>
      <c r="BO704" s="33"/>
      <c r="BP704" s="33"/>
      <c r="BQ704" s="33"/>
      <c r="BR704" s="33"/>
      <c r="BS704" s="1"/>
      <c r="BT704" s="8"/>
      <c r="BU704" s="8"/>
      <c r="BV704" s="1"/>
      <c r="BW704" s="1"/>
      <c r="BX704" s="1"/>
      <c r="BY704" s="1"/>
      <c r="BZ704" s="1"/>
    </row>
    <row r="705">
      <c r="A705" s="3"/>
      <c r="B705" s="33"/>
      <c r="C705" s="6"/>
      <c r="D705" s="6" t="s">
        <v>399</v>
      </c>
      <c r="E705" s="2"/>
      <c r="F705" s="2"/>
      <c r="G705" s="14"/>
      <c r="H705" s="14"/>
      <c r="I705" s="14"/>
      <c r="J705" s="14"/>
      <c r="K705" s="1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6" t="s">
        <v>399</v>
      </c>
      <c r="AH705" s="178">
        <v>1.85</v>
      </c>
      <c r="AI705" s="178">
        <v>1.85</v>
      </c>
      <c r="AJ705" s="178">
        <v>1.85</v>
      </c>
      <c r="AK705" s="178">
        <v>1.85</v>
      </c>
      <c r="AL705" s="178">
        <v>1.85</v>
      </c>
      <c r="AM705" s="178">
        <v>1.85</v>
      </c>
      <c r="AN705" s="178">
        <v>1.85</v>
      </c>
      <c r="AO705" s="178">
        <v>1.85</v>
      </c>
      <c r="AP705" s="178">
        <v>1.85</v>
      </c>
      <c r="AQ705" s="178">
        <v>1.85</v>
      </c>
      <c r="AR705" s="178">
        <v>1.85</v>
      </c>
      <c r="AS705" s="178">
        <v>1.85</v>
      </c>
      <c r="AT705" s="178">
        <v>1.85</v>
      </c>
      <c r="AU705" s="178">
        <v>1.85</v>
      </c>
      <c r="AV705" s="178">
        <v>1.85</v>
      </c>
      <c r="AW705" s="178">
        <v>1.85</v>
      </c>
      <c r="AX705" s="178">
        <v>1.85</v>
      </c>
      <c r="AY705" s="178">
        <v>1.85</v>
      </c>
      <c r="AZ705" s="178">
        <v>1.85</v>
      </c>
      <c r="BA705" s="178">
        <v>1.85</v>
      </c>
      <c r="BB705" s="178">
        <v>1.85</v>
      </c>
      <c r="BC705" s="178">
        <v>1.85</v>
      </c>
      <c r="BD705" s="178">
        <v>1.85</v>
      </c>
      <c r="BE705" s="178">
        <v>1.85</v>
      </c>
      <c r="BF705" s="178">
        <v>1.85</v>
      </c>
      <c r="BG705" s="178">
        <v>1.85</v>
      </c>
      <c r="BH705" s="178">
        <v>1.85</v>
      </c>
      <c r="BI705" s="178">
        <v>1.85</v>
      </c>
      <c r="BJ705" s="178">
        <v>1.85</v>
      </c>
      <c r="BK705" s="178">
        <v>1.85</v>
      </c>
      <c r="BL705" s="1"/>
      <c r="BM705" s="1"/>
      <c r="BN705" s="1"/>
      <c r="BO705" s="1"/>
      <c r="BP705" s="1"/>
      <c r="BQ705" s="1"/>
      <c r="BR705" s="1"/>
      <c r="BS705" s="1"/>
      <c r="BT705" s="8"/>
      <c r="BU705" s="8"/>
      <c r="BV705" s="1"/>
      <c r="BW705" s="1"/>
      <c r="BX705" s="1"/>
      <c r="BY705" s="1"/>
      <c r="BZ705" s="1"/>
    </row>
    <row r="706">
      <c r="A706" s="3"/>
      <c r="B706" s="33"/>
      <c r="C706" s="133"/>
      <c r="D706" s="133"/>
      <c r="E706" s="2"/>
      <c r="F706" s="2"/>
      <c r="G706" s="14"/>
      <c r="H706" s="14"/>
      <c r="I706" s="14"/>
      <c r="J706" s="14"/>
      <c r="K706" s="1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8"/>
      <c r="BU706" s="8"/>
      <c r="BV706" s="1"/>
      <c r="BW706" s="1"/>
      <c r="BX706" s="1"/>
      <c r="BY706" s="1"/>
      <c r="BZ706" s="1"/>
    </row>
    <row r="707">
      <c r="A707" s="3"/>
      <c r="B707" s="33"/>
      <c r="C707" s="133"/>
      <c r="D707" s="133"/>
      <c r="E707" s="2"/>
      <c r="F707" s="2"/>
      <c r="G707" s="14"/>
      <c r="H707" s="14"/>
      <c r="I707" s="14"/>
      <c r="J707" s="14"/>
      <c r="K707" s="14"/>
      <c r="L707" s="1"/>
      <c r="M707" s="1"/>
      <c r="N707" s="1"/>
      <c r="O707" s="1"/>
      <c r="P707" s="1"/>
      <c r="Q707" s="1"/>
      <c r="R707" s="140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1"/>
      <c r="BT707" s="8"/>
      <c r="BU707" s="8"/>
      <c r="BV707" s="1"/>
      <c r="BW707" s="1"/>
      <c r="BX707" s="1"/>
      <c r="BY707" s="1"/>
      <c r="BZ707" s="1"/>
    </row>
    <row r="708">
      <c r="A708" s="3"/>
      <c r="B708" s="33"/>
      <c r="C708" s="135"/>
      <c r="D708" s="135" t="s">
        <v>400</v>
      </c>
      <c r="E708" s="2"/>
      <c r="F708" s="2"/>
      <c r="G708" s="14"/>
      <c r="H708" s="14"/>
      <c r="I708" s="14"/>
      <c r="J708" s="14"/>
      <c r="K708" s="14"/>
      <c r="L708" s="1"/>
      <c r="M708" s="1"/>
      <c r="N708" s="1"/>
      <c r="O708" s="1"/>
      <c r="P708" s="1"/>
      <c r="Q708" s="1"/>
      <c r="R708" s="140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1"/>
      <c r="BT708" s="8"/>
      <c r="BU708" s="8"/>
      <c r="BV708" s="1"/>
      <c r="BW708" s="1"/>
      <c r="BX708" s="1"/>
      <c r="BY708" s="1"/>
      <c r="BZ708" s="1"/>
    </row>
    <row r="709">
      <c r="A709" s="3"/>
      <c r="B709" s="3" t="s">
        <v>401</v>
      </c>
      <c r="C709" s="180"/>
      <c r="D709" s="180" t="s">
        <v>402</v>
      </c>
      <c r="E709" s="2"/>
      <c r="F709" s="2"/>
      <c r="G709" s="14"/>
      <c r="H709" s="14"/>
      <c r="I709" s="14"/>
      <c r="J709" s="14"/>
      <c r="K709" s="1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74">
        <v>0.0</v>
      </c>
      <c r="AX709" s="74">
        <v>0.0</v>
      </c>
      <c r="AY709" s="74">
        <v>0.0</v>
      </c>
      <c r="AZ709" s="74">
        <v>0.0</v>
      </c>
      <c r="BA709" s="74">
        <v>11134.0</v>
      </c>
      <c r="BB709" s="74">
        <v>6234.0</v>
      </c>
      <c r="BC709" s="74">
        <v>0.0</v>
      </c>
      <c r="BD709" s="3">
        <v>0.0</v>
      </c>
      <c r="BE709" s="3">
        <v>13118.0</v>
      </c>
      <c r="BF709" s="3">
        <v>14156.0</v>
      </c>
      <c r="BG709" s="3">
        <v>0.0</v>
      </c>
      <c r="BH709" s="3">
        <v>7497.0</v>
      </c>
      <c r="BI709" s="3">
        <v>29234.0</v>
      </c>
      <c r="BJ709" s="69">
        <v>572358.61</v>
      </c>
      <c r="BK709" s="3">
        <v>83920.0</v>
      </c>
      <c r="BL709" s="1"/>
      <c r="BM709" s="1"/>
      <c r="BN709" s="1"/>
      <c r="BO709" s="1"/>
      <c r="BP709" s="1"/>
      <c r="BQ709" s="1"/>
      <c r="BR709" s="1"/>
      <c r="BS709" s="1"/>
      <c r="BT709" s="8"/>
      <c r="BU709" s="8"/>
      <c r="BV709" s="1"/>
      <c r="BW709" s="1"/>
      <c r="BX709" s="1"/>
      <c r="BY709" s="1"/>
      <c r="BZ709" s="1"/>
    </row>
    <row r="710">
      <c r="A710" s="3"/>
      <c r="B710" s="3" t="s">
        <v>403</v>
      </c>
      <c r="C710" s="180"/>
      <c r="D710" s="180" t="s">
        <v>404</v>
      </c>
      <c r="E710" s="2"/>
      <c r="F710" s="2"/>
      <c r="G710" s="14"/>
      <c r="H710" s="14"/>
      <c r="I710" s="14"/>
      <c r="J710" s="14"/>
      <c r="K710" s="1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74">
        <v>10972.0</v>
      </c>
      <c r="AX710" s="74">
        <v>21944.0</v>
      </c>
      <c r="AY710" s="74">
        <v>65832.0</v>
      </c>
      <c r="AZ710" s="74">
        <v>23380.0</v>
      </c>
      <c r="BA710" s="74">
        <v>0.0</v>
      </c>
      <c r="BB710" s="74">
        <v>5496.0</v>
      </c>
      <c r="BC710" s="74">
        <v>44441.79</v>
      </c>
      <c r="BD710" s="3">
        <v>46118.0</v>
      </c>
      <c r="BE710" s="3">
        <v>76023.0</v>
      </c>
      <c r="BF710" s="3">
        <v>49940.0</v>
      </c>
      <c r="BG710" s="3">
        <v>52333.0</v>
      </c>
      <c r="BH710" s="3">
        <v>49646.0</v>
      </c>
      <c r="BI710" s="3">
        <v>34905.0</v>
      </c>
      <c r="BJ710" s="69">
        <v>26456.0</v>
      </c>
      <c r="BK710" s="3">
        <v>5651.0</v>
      </c>
      <c r="BL710" s="1"/>
      <c r="BM710" s="1"/>
      <c r="BN710" s="1"/>
      <c r="BO710" s="1"/>
      <c r="BP710" s="1"/>
      <c r="BQ710" s="1"/>
      <c r="BR710" s="1"/>
      <c r="BS710" s="1"/>
      <c r="BT710" s="8"/>
      <c r="BU710" s="8"/>
      <c r="BV710" s="1"/>
      <c r="BW710" s="1"/>
      <c r="BX710" s="1"/>
      <c r="BY710" s="1"/>
      <c r="BZ710" s="1"/>
    </row>
    <row r="711">
      <c r="A711" s="3"/>
      <c r="B711" s="3" t="s">
        <v>405</v>
      </c>
      <c r="C711" s="180"/>
      <c r="D711" s="180" t="s">
        <v>406</v>
      </c>
      <c r="E711" s="2"/>
      <c r="F711" s="2"/>
      <c r="G711" s="14"/>
      <c r="H711" s="14"/>
      <c r="I711" s="14"/>
      <c r="J711" s="14"/>
      <c r="K711" s="14"/>
      <c r="L711" s="1"/>
      <c r="M711" s="1"/>
      <c r="N711" s="1"/>
      <c r="O711" s="1"/>
      <c r="P711" s="1"/>
      <c r="Q711" s="1"/>
      <c r="R711" s="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74">
        <v>0.0</v>
      </c>
      <c r="AX711" s="74">
        <v>0.0</v>
      </c>
      <c r="AY711" s="74">
        <v>0.0</v>
      </c>
      <c r="AZ711" s="74">
        <v>3589.0</v>
      </c>
      <c r="BA711" s="74">
        <v>100140.0</v>
      </c>
      <c r="BB711" s="74">
        <v>30305.0</v>
      </c>
      <c r="BC711" s="74">
        <v>11302.0</v>
      </c>
      <c r="BD711" s="3">
        <v>11302.0</v>
      </c>
      <c r="BE711" s="3">
        <v>11964.0</v>
      </c>
      <c r="BF711" s="3">
        <v>13530.0</v>
      </c>
      <c r="BG711" s="3">
        <v>6765.0</v>
      </c>
      <c r="BH711" s="3">
        <v>16535.0</v>
      </c>
      <c r="BI711" s="3">
        <v>12852.0</v>
      </c>
      <c r="BJ711" s="69">
        <v>484384.82</v>
      </c>
      <c r="BK711" s="3">
        <v>36127.0</v>
      </c>
      <c r="BL711" s="33"/>
      <c r="BM711" s="33"/>
      <c r="BN711" s="33"/>
      <c r="BO711" s="33"/>
      <c r="BP711" s="33"/>
      <c r="BQ711" s="33"/>
      <c r="BR711" s="33"/>
      <c r="BS711" s="1"/>
      <c r="BT711" s="8"/>
      <c r="BU711" s="8"/>
      <c r="BV711" s="1"/>
      <c r="BW711" s="1"/>
      <c r="BX711" s="1"/>
      <c r="BY711" s="1"/>
      <c r="BZ711" s="1"/>
    </row>
    <row r="712">
      <c r="A712" s="3"/>
      <c r="B712" s="3" t="s">
        <v>407</v>
      </c>
      <c r="C712" s="180"/>
      <c r="D712" s="180" t="s">
        <v>408</v>
      </c>
      <c r="E712" s="2"/>
      <c r="F712" s="2"/>
      <c r="G712" s="14"/>
      <c r="H712" s="14"/>
      <c r="I712" s="14"/>
      <c r="J712" s="14"/>
      <c r="K712" s="1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74">
        <v>0.0</v>
      </c>
      <c r="AX712" s="74">
        <v>0.0</v>
      </c>
      <c r="AY712" s="74">
        <v>0.0</v>
      </c>
      <c r="AZ712" s="74">
        <v>0.0</v>
      </c>
      <c r="BA712" s="74">
        <v>0.0</v>
      </c>
      <c r="BB712" s="74">
        <v>0.0</v>
      </c>
      <c r="BC712" s="74">
        <v>0.0</v>
      </c>
      <c r="BD712" s="3">
        <v>0.0</v>
      </c>
      <c r="BE712" s="3">
        <v>0.0</v>
      </c>
      <c r="BF712" s="3">
        <v>0.0</v>
      </c>
      <c r="BG712" s="3">
        <v>0.0</v>
      </c>
      <c r="BH712" s="3">
        <v>0.0</v>
      </c>
      <c r="BI712" s="3">
        <v>0.0</v>
      </c>
      <c r="BJ712" s="69">
        <v>0.0</v>
      </c>
      <c r="BK712" s="3">
        <v>0.0</v>
      </c>
      <c r="BL712" s="1"/>
      <c r="BM712" s="1"/>
      <c r="BN712" s="1"/>
      <c r="BO712" s="1"/>
      <c r="BP712" s="1"/>
      <c r="BQ712" s="1"/>
      <c r="BR712" s="1"/>
      <c r="BS712" s="1"/>
      <c r="BT712" s="8"/>
      <c r="BU712" s="8"/>
      <c r="BV712" s="1"/>
      <c r="BW712" s="1"/>
      <c r="BX712" s="1"/>
      <c r="BY712" s="1"/>
      <c r="BZ712" s="1"/>
    </row>
    <row r="713">
      <c r="A713" s="3"/>
      <c r="B713" s="3" t="s">
        <v>409</v>
      </c>
      <c r="C713" s="180"/>
      <c r="D713" s="180" t="s">
        <v>410</v>
      </c>
      <c r="E713" s="2"/>
      <c r="F713" s="2"/>
      <c r="G713" s="14"/>
      <c r="H713" s="14"/>
      <c r="I713" s="14"/>
      <c r="J713" s="14"/>
      <c r="K713" s="1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74">
        <v>87466.89</v>
      </c>
      <c r="AX713" s="74">
        <v>96018.33</v>
      </c>
      <c r="AY713" s="74">
        <v>94976.07</v>
      </c>
      <c r="AZ713" s="74">
        <v>15948.0</v>
      </c>
      <c r="BA713" s="74">
        <v>204074.47</v>
      </c>
      <c r="BB713" s="74">
        <v>96055.3</v>
      </c>
      <c r="BC713" s="74">
        <v>3454.0</v>
      </c>
      <c r="BD713" s="3">
        <v>992.0</v>
      </c>
      <c r="BE713" s="3">
        <v>0.0</v>
      </c>
      <c r="BF713" s="3">
        <v>0.0</v>
      </c>
      <c r="BG713" s="3">
        <v>0.0</v>
      </c>
      <c r="BH713" s="3">
        <v>0.0</v>
      </c>
      <c r="BI713" s="3">
        <v>0.0</v>
      </c>
      <c r="BJ713" s="69">
        <v>0.0</v>
      </c>
      <c r="BK713" s="3">
        <v>0.0</v>
      </c>
      <c r="BL713" s="1"/>
      <c r="BM713" s="1"/>
      <c r="BN713" s="1"/>
      <c r="BO713" s="1"/>
      <c r="BP713" s="1"/>
      <c r="BQ713" s="1"/>
      <c r="BR713" s="1"/>
      <c r="BS713" s="1"/>
      <c r="BT713" s="8"/>
      <c r="BU713" s="8"/>
      <c r="BV713" s="1"/>
      <c r="BW713" s="1"/>
      <c r="BX713" s="1"/>
      <c r="BY713" s="1"/>
      <c r="BZ713" s="1"/>
    </row>
    <row r="714">
      <c r="A714" s="3"/>
      <c r="B714" s="3" t="s">
        <v>411</v>
      </c>
      <c r="C714" s="180"/>
      <c r="D714" s="180" t="s">
        <v>412</v>
      </c>
      <c r="E714" s="2"/>
      <c r="F714" s="2"/>
      <c r="G714" s="14"/>
      <c r="H714" s="14"/>
      <c r="I714" s="14"/>
      <c r="J714" s="14"/>
      <c r="K714" s="1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74">
        <v>5585.0</v>
      </c>
      <c r="AX714" s="74">
        <v>22340.0</v>
      </c>
      <c r="AY714" s="74">
        <v>111700.0</v>
      </c>
      <c r="AZ714" s="74">
        <v>35460.0</v>
      </c>
      <c r="BA714" s="74">
        <v>178807.0</v>
      </c>
      <c r="BB714" s="74">
        <v>55752.0</v>
      </c>
      <c r="BC714" s="74">
        <v>5875.0</v>
      </c>
      <c r="BD714" s="3">
        <v>11950.0</v>
      </c>
      <c r="BE714" s="3">
        <v>59550.0</v>
      </c>
      <c r="BF714" s="3">
        <v>65706.0</v>
      </c>
      <c r="BG714" s="3">
        <v>66831.0</v>
      </c>
      <c r="BH714" s="3">
        <v>77531.0</v>
      </c>
      <c r="BI714" s="3">
        <v>25351.0</v>
      </c>
      <c r="BJ714" s="69">
        <v>122653.0</v>
      </c>
      <c r="BK714" s="3">
        <v>119870.0</v>
      </c>
      <c r="BL714" s="1"/>
      <c r="BM714" s="1"/>
      <c r="BN714" s="1"/>
      <c r="BO714" s="1"/>
      <c r="BP714" s="1"/>
      <c r="BQ714" s="1"/>
      <c r="BR714" s="1"/>
      <c r="BS714" s="1"/>
      <c r="BT714" s="8"/>
      <c r="BU714" s="8"/>
      <c r="BV714" s="1"/>
      <c r="BW714" s="1"/>
      <c r="BX714" s="1"/>
      <c r="BY714" s="1"/>
      <c r="BZ714" s="1"/>
    </row>
    <row r="715">
      <c r="A715" s="3"/>
      <c r="B715" s="3" t="s">
        <v>413</v>
      </c>
      <c r="C715" s="180"/>
      <c r="D715" s="180" t="s">
        <v>414</v>
      </c>
      <c r="E715" s="2"/>
      <c r="F715" s="2"/>
      <c r="G715" s="14"/>
      <c r="H715" s="14"/>
      <c r="I715" s="14"/>
      <c r="J715" s="14"/>
      <c r="K715" s="14"/>
      <c r="L715" s="1"/>
      <c r="M715" s="1"/>
      <c r="N715" s="1"/>
      <c r="O715" s="1"/>
      <c r="P715" s="1"/>
      <c r="Q715" s="1"/>
      <c r="R715" s="1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74">
        <v>7220.0</v>
      </c>
      <c r="AX715" s="74">
        <v>6920.0</v>
      </c>
      <c r="AY715" s="74">
        <v>15970.0</v>
      </c>
      <c r="AZ715" s="74">
        <v>2222.0</v>
      </c>
      <c r="BA715" s="74">
        <v>6203.0</v>
      </c>
      <c r="BB715" s="74">
        <v>0.0</v>
      </c>
      <c r="BC715" s="74">
        <v>2150.0</v>
      </c>
      <c r="BD715" s="3">
        <v>1111.0</v>
      </c>
      <c r="BE715" s="3">
        <v>0.0</v>
      </c>
      <c r="BF715" s="3">
        <v>0.0</v>
      </c>
      <c r="BG715" s="3">
        <v>2266.0</v>
      </c>
      <c r="BH715" s="3">
        <v>1071.0</v>
      </c>
      <c r="BI715" s="3">
        <v>3476.0</v>
      </c>
      <c r="BJ715" s="69">
        <v>0.0</v>
      </c>
      <c r="BK715" s="3">
        <v>7560.0</v>
      </c>
      <c r="BL715" s="33"/>
      <c r="BM715" s="33"/>
      <c r="BN715" s="33"/>
      <c r="BO715" s="33"/>
      <c r="BP715" s="33"/>
      <c r="BQ715" s="33"/>
      <c r="BR715" s="33"/>
      <c r="BS715" s="1"/>
      <c r="BT715" s="8"/>
      <c r="BU715" s="8"/>
      <c r="BV715" s="1"/>
      <c r="BW715" s="1"/>
      <c r="BX715" s="1"/>
      <c r="BY715" s="1"/>
      <c r="BZ715" s="1"/>
    </row>
    <row r="716">
      <c r="A716" s="3"/>
      <c r="B716" s="33"/>
      <c r="C716" s="3"/>
      <c r="D716" s="3"/>
      <c r="E716" s="2"/>
      <c r="F716" s="2"/>
      <c r="G716" s="14"/>
      <c r="H716" s="14"/>
      <c r="I716" s="14"/>
      <c r="J716" s="14"/>
      <c r="K716" s="1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8"/>
      <c r="BU716" s="8"/>
      <c r="BV716" s="1"/>
      <c r="BW716" s="1"/>
      <c r="BX716" s="1"/>
      <c r="BY716" s="1"/>
      <c r="BZ716" s="1"/>
    </row>
    <row r="717">
      <c r="A717" s="3"/>
      <c r="B717" s="33"/>
      <c r="C717" s="3"/>
      <c r="D717" s="3"/>
      <c r="E717" s="2"/>
      <c r="F717" s="2"/>
      <c r="G717" s="14"/>
      <c r="H717" s="14"/>
      <c r="I717" s="14"/>
      <c r="J717" s="14"/>
      <c r="K717" s="1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8"/>
      <c r="BU717" s="8"/>
      <c r="BV717" s="1"/>
      <c r="BW717" s="1"/>
      <c r="BX717" s="1"/>
      <c r="BY717" s="1"/>
      <c r="BZ717" s="1"/>
    </row>
    <row r="718">
      <c r="A718" s="3"/>
      <c r="B718" s="33"/>
      <c r="C718" s="3"/>
      <c r="D718" s="3"/>
      <c r="E718" s="2"/>
      <c r="F718" s="2"/>
      <c r="G718" s="14"/>
      <c r="H718" s="14"/>
      <c r="I718" s="14"/>
      <c r="J718" s="14"/>
      <c r="K718" s="1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8"/>
      <c r="BU718" s="8"/>
      <c r="BV718" s="1"/>
      <c r="BW718" s="1"/>
      <c r="BX718" s="1"/>
      <c r="BY718" s="1"/>
      <c r="BZ718" s="1"/>
    </row>
    <row r="719">
      <c r="A719" s="3"/>
      <c r="B719" s="33"/>
      <c r="C719" s="133"/>
      <c r="D719" s="133" t="s">
        <v>415</v>
      </c>
      <c r="E719" s="2"/>
      <c r="F719" s="2"/>
      <c r="G719" s="14"/>
      <c r="H719" s="14"/>
      <c r="I719" s="14"/>
      <c r="J719" s="14"/>
      <c r="K719" s="1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25">
        <v>-332188.0</v>
      </c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8"/>
      <c r="BU719" s="8"/>
      <c r="BV719" s="1"/>
      <c r="BW719" s="1"/>
      <c r="BX719" s="1"/>
      <c r="BY719" s="1"/>
      <c r="BZ719" s="1"/>
    </row>
    <row r="720">
      <c r="A720" s="3"/>
      <c r="B720" s="33"/>
      <c r="C720" s="133"/>
      <c r="D720" s="133" t="s">
        <v>416</v>
      </c>
      <c r="E720" s="2"/>
      <c r="F720" s="2"/>
      <c r="G720" s="14"/>
      <c r="H720" s="14"/>
      <c r="I720" s="14"/>
      <c r="J720" s="14"/>
      <c r="K720" s="1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25">
        <v>-443500.0</v>
      </c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8"/>
      <c r="BU720" s="8"/>
      <c r="BV720" s="1"/>
      <c r="BW720" s="1"/>
      <c r="BX720" s="1"/>
      <c r="BY720" s="1"/>
      <c r="BZ720" s="1"/>
    </row>
    <row r="721">
      <c r="A721" s="3"/>
      <c r="B721" s="33"/>
      <c r="C721" s="133"/>
      <c r="D721" s="133" t="s">
        <v>417</v>
      </c>
      <c r="E721" s="2"/>
      <c r="F721" s="2"/>
      <c r="G721" s="14"/>
      <c r="H721" s="14"/>
      <c r="I721" s="14"/>
      <c r="J721" s="14"/>
      <c r="K721" s="1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25">
        <v>-490208.0</v>
      </c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8"/>
      <c r="BU721" s="8"/>
      <c r="BV721" s="1"/>
      <c r="BW721" s="1"/>
      <c r="BX721" s="1"/>
      <c r="BY721" s="1"/>
      <c r="BZ721" s="1"/>
    </row>
    <row r="722">
      <c r="A722" s="3"/>
      <c r="B722" s="33"/>
      <c r="C722" s="133"/>
      <c r="D722" s="133" t="s">
        <v>418</v>
      </c>
      <c r="E722" s="2"/>
      <c r="F722" s="2"/>
      <c r="G722" s="14"/>
      <c r="H722" s="14"/>
      <c r="I722" s="14"/>
      <c r="J722" s="14"/>
      <c r="K722" s="1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25">
        <v>-129386.0</v>
      </c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8"/>
      <c r="BU722" s="8"/>
      <c r="BV722" s="1"/>
      <c r="BW722" s="1"/>
      <c r="BX722" s="1"/>
      <c r="BY722" s="1"/>
      <c r="BZ722" s="1"/>
    </row>
    <row r="723">
      <c r="A723" s="3"/>
      <c r="B723" s="33"/>
      <c r="C723" s="133"/>
      <c r="D723" s="133" t="s">
        <v>419</v>
      </c>
      <c r="E723" s="2"/>
      <c r="F723" s="2"/>
      <c r="G723" s="14"/>
      <c r="H723" s="14"/>
      <c r="I723" s="14"/>
      <c r="J723" s="14"/>
      <c r="K723" s="1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25">
        <v>-176615.0</v>
      </c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8"/>
      <c r="BU723" s="8"/>
      <c r="BV723" s="1"/>
      <c r="BW723" s="1"/>
      <c r="BX723" s="1"/>
      <c r="BY723" s="1"/>
      <c r="BZ723" s="1"/>
    </row>
    <row r="724">
      <c r="A724" s="3"/>
      <c r="B724" s="33"/>
      <c r="C724" s="133"/>
      <c r="D724" s="133" t="s">
        <v>420</v>
      </c>
      <c r="E724" s="2"/>
      <c r="F724" s="2"/>
      <c r="G724" s="14"/>
      <c r="H724" s="14"/>
      <c r="I724" s="14"/>
      <c r="J724" s="14"/>
      <c r="K724" s="1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25">
        <v>-46639.0</v>
      </c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8"/>
      <c r="BU724" s="8"/>
      <c r="BV724" s="1"/>
      <c r="BW724" s="1"/>
      <c r="BX724" s="1"/>
      <c r="BY724" s="1"/>
      <c r="BZ724" s="1"/>
    </row>
    <row r="725">
      <c r="A725" s="3"/>
      <c r="B725" s="33"/>
      <c r="C725" s="133"/>
      <c r="D725" s="133" t="s">
        <v>421</v>
      </c>
      <c r="E725" s="2"/>
      <c r="F725" s="2"/>
      <c r="G725" s="14"/>
      <c r="H725" s="14"/>
      <c r="I725" s="14"/>
      <c r="J725" s="14"/>
      <c r="K725" s="1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25">
        <v>-87630.0</v>
      </c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8"/>
      <c r="BU725" s="8"/>
      <c r="BV725" s="1"/>
      <c r="BW725" s="1"/>
      <c r="BX725" s="1"/>
      <c r="BY725" s="1"/>
      <c r="BZ725" s="1"/>
    </row>
    <row r="726">
      <c r="A726" s="3"/>
      <c r="B726" s="33"/>
      <c r="C726" s="133"/>
      <c r="D726" s="133" t="s">
        <v>422</v>
      </c>
      <c r="E726" s="2"/>
      <c r="F726" s="2"/>
      <c r="G726" s="14"/>
      <c r="H726" s="14"/>
      <c r="I726" s="14"/>
      <c r="J726" s="14"/>
      <c r="K726" s="1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25">
        <v>4614.0</v>
      </c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8"/>
      <c r="BU726" s="8"/>
      <c r="BV726" s="1"/>
      <c r="BW726" s="1"/>
      <c r="BX726" s="1"/>
      <c r="BY726" s="1"/>
      <c r="BZ726" s="1"/>
    </row>
    <row r="727">
      <c r="A727" s="3"/>
      <c r="B727" s="33"/>
      <c r="C727" s="133"/>
      <c r="D727" s="133" t="s">
        <v>423</v>
      </c>
      <c r="E727" s="2"/>
      <c r="F727" s="2"/>
      <c r="G727" s="14"/>
      <c r="H727" s="14"/>
      <c r="I727" s="14"/>
      <c r="J727" s="14"/>
      <c r="K727" s="1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25">
        <v>-19927.0</v>
      </c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8"/>
      <c r="BU727" s="8"/>
      <c r="BV727" s="1"/>
      <c r="BW727" s="1"/>
      <c r="BX727" s="1"/>
      <c r="BY727" s="1"/>
      <c r="BZ727" s="1"/>
    </row>
    <row r="728">
      <c r="A728" s="3"/>
      <c r="B728" s="33"/>
      <c r="C728" s="133"/>
      <c r="D728" s="133" t="s">
        <v>424</v>
      </c>
      <c r="E728" s="2"/>
      <c r="F728" s="2"/>
      <c r="G728" s="14"/>
      <c r="H728" s="14"/>
      <c r="I728" s="14"/>
      <c r="J728" s="14"/>
      <c r="K728" s="1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25">
        <v>-41758.0</v>
      </c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8"/>
      <c r="BU728" s="8"/>
      <c r="BV728" s="1"/>
      <c r="BW728" s="1"/>
      <c r="BX728" s="1"/>
      <c r="BY728" s="1"/>
      <c r="BZ728" s="1"/>
    </row>
    <row r="729">
      <c r="A729" s="3"/>
      <c r="B729" s="33"/>
      <c r="C729" s="133"/>
      <c r="D729" s="133" t="s">
        <v>425</v>
      </c>
      <c r="E729" s="2"/>
      <c r="F729" s="2"/>
      <c r="G729" s="14"/>
      <c r="H729" s="14"/>
      <c r="I729" s="14"/>
      <c r="J729" s="14"/>
      <c r="K729" s="1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25">
        <v>-144936.0</v>
      </c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8"/>
      <c r="BU729" s="8"/>
      <c r="BV729" s="1"/>
      <c r="BW729" s="1"/>
      <c r="BX729" s="1"/>
      <c r="BY729" s="1"/>
      <c r="BZ729" s="1"/>
    </row>
    <row r="730">
      <c r="A730" s="3"/>
      <c r="B730" s="33"/>
      <c r="C730" s="133"/>
      <c r="D730" s="133" t="s">
        <v>426</v>
      </c>
      <c r="E730" s="2"/>
      <c r="F730" s="2"/>
      <c r="G730" s="14"/>
      <c r="H730" s="14"/>
      <c r="I730" s="14"/>
      <c r="J730" s="14"/>
      <c r="K730" s="1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25">
        <v>-211153.0</v>
      </c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8"/>
      <c r="BU730" s="8"/>
      <c r="BV730" s="1"/>
      <c r="BW730" s="1"/>
      <c r="BX730" s="1"/>
      <c r="BY730" s="1"/>
      <c r="BZ730" s="1"/>
    </row>
    <row r="731">
      <c r="A731" s="3"/>
      <c r="B731" s="33"/>
      <c r="C731" s="133"/>
      <c r="D731" s="133" t="s">
        <v>427</v>
      </c>
      <c r="E731" s="2"/>
      <c r="F731" s="2"/>
      <c r="G731" s="14"/>
      <c r="H731" s="14"/>
      <c r="I731" s="14"/>
      <c r="J731" s="14"/>
      <c r="K731" s="1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25">
        <v>-23345.0</v>
      </c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8"/>
      <c r="BU731" s="8"/>
      <c r="BV731" s="1"/>
      <c r="BW731" s="1"/>
      <c r="BX731" s="1"/>
      <c r="BY731" s="1"/>
      <c r="BZ731" s="1"/>
    </row>
    <row r="732">
      <c r="A732" s="3"/>
      <c r="B732" s="33"/>
      <c r="C732" s="133"/>
      <c r="D732" s="133" t="s">
        <v>428</v>
      </c>
      <c r="E732" s="2"/>
      <c r="F732" s="2"/>
      <c r="G732" s="14"/>
      <c r="H732" s="14"/>
      <c r="I732" s="14"/>
      <c r="J732" s="14"/>
      <c r="K732" s="1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25">
        <v>-81032.0</v>
      </c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8"/>
      <c r="BU732" s="8"/>
      <c r="BV732" s="1"/>
      <c r="BW732" s="1"/>
      <c r="BX732" s="1"/>
      <c r="BY732" s="1"/>
      <c r="BZ732" s="1"/>
    </row>
    <row r="733">
      <c r="A733" s="3"/>
      <c r="B733" s="33"/>
      <c r="C733" s="133"/>
      <c r="D733" s="133" t="s">
        <v>429</v>
      </c>
      <c r="E733" s="2"/>
      <c r="F733" s="2"/>
      <c r="G733" s="14"/>
      <c r="H733" s="14"/>
      <c r="I733" s="14"/>
      <c r="J733" s="14"/>
      <c r="K733" s="1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25">
        <v>-17896.0</v>
      </c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8"/>
      <c r="BU733" s="8"/>
      <c r="BV733" s="1"/>
      <c r="BW733" s="1"/>
      <c r="BX733" s="1"/>
      <c r="BY733" s="1"/>
      <c r="BZ733" s="1"/>
    </row>
    <row r="734">
      <c r="A734" s="3"/>
      <c r="B734" s="33"/>
      <c r="C734" s="133"/>
      <c r="D734" s="133" t="s">
        <v>430</v>
      </c>
      <c r="E734" s="2"/>
      <c r="F734" s="2"/>
      <c r="G734" s="14"/>
      <c r="H734" s="14"/>
      <c r="I734" s="14"/>
      <c r="J734" s="14"/>
      <c r="K734" s="1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25">
        <v>-9759.0</v>
      </c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8"/>
      <c r="BU734" s="8"/>
      <c r="BV734" s="1"/>
      <c r="BW734" s="1"/>
      <c r="BX734" s="1"/>
      <c r="BY734" s="1"/>
      <c r="BZ734" s="1"/>
    </row>
    <row r="735">
      <c r="A735" s="3"/>
      <c r="B735" s="33"/>
      <c r="C735" s="133"/>
      <c r="D735" s="133" t="s">
        <v>431</v>
      </c>
      <c r="E735" s="2"/>
      <c r="F735" s="2"/>
      <c r="G735" s="14"/>
      <c r="H735" s="14"/>
      <c r="I735" s="14"/>
      <c r="J735" s="14"/>
      <c r="K735" s="1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25">
        <v>2039.0</v>
      </c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8"/>
      <c r="BU735" s="8"/>
      <c r="BV735" s="1"/>
      <c r="BW735" s="1"/>
      <c r="BX735" s="1"/>
      <c r="BY735" s="1"/>
      <c r="BZ735" s="1"/>
    </row>
    <row r="736">
      <c r="A736" s="3"/>
      <c r="B736" s="33"/>
      <c r="C736" s="133"/>
      <c r="D736" s="133" t="s">
        <v>432</v>
      </c>
      <c r="E736" s="2"/>
      <c r="F736" s="2"/>
      <c r="G736" s="14"/>
      <c r="H736" s="14"/>
      <c r="I736" s="14"/>
      <c r="J736" s="14"/>
      <c r="K736" s="1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25">
        <v>-12057.0</v>
      </c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8"/>
      <c r="BU736" s="8"/>
      <c r="BV736" s="1"/>
      <c r="BW736" s="1"/>
      <c r="BX736" s="1"/>
      <c r="BY736" s="1"/>
      <c r="BZ736" s="1"/>
    </row>
    <row r="737">
      <c r="A737" s="3"/>
      <c r="B737" s="33"/>
      <c r="C737" s="133"/>
      <c r="D737" s="133" t="s">
        <v>433</v>
      </c>
      <c r="E737" s="2"/>
      <c r="F737" s="2"/>
      <c r="G737" s="14"/>
      <c r="H737" s="14"/>
      <c r="I737" s="14"/>
      <c r="J737" s="14"/>
      <c r="K737" s="1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25">
        <v>-5008.0</v>
      </c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8"/>
      <c r="BU737" s="8"/>
      <c r="BV737" s="1"/>
      <c r="BW737" s="1"/>
      <c r="BX737" s="1"/>
      <c r="BY737" s="1"/>
      <c r="BZ737" s="1"/>
    </row>
    <row r="738">
      <c r="A738" s="3"/>
      <c r="B738" s="33"/>
      <c r="C738" s="133"/>
      <c r="D738" s="133" t="s">
        <v>434</v>
      </c>
      <c r="E738" s="2"/>
      <c r="F738" s="2"/>
      <c r="G738" s="14"/>
      <c r="H738" s="14"/>
      <c r="I738" s="14"/>
      <c r="J738" s="14"/>
      <c r="K738" s="1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25">
        <v>-3462.0</v>
      </c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8"/>
      <c r="BU738" s="8"/>
      <c r="BV738" s="1"/>
      <c r="BW738" s="1"/>
      <c r="BX738" s="1"/>
      <c r="BY738" s="1"/>
      <c r="BZ738" s="1"/>
    </row>
    <row r="739">
      <c r="A739" s="3"/>
      <c r="B739" s="33"/>
      <c r="C739" s="133"/>
      <c r="D739" s="133" t="s">
        <v>435</v>
      </c>
      <c r="E739" s="2"/>
      <c r="F739" s="2"/>
      <c r="G739" s="14"/>
      <c r="H739" s="14"/>
      <c r="I739" s="14"/>
      <c r="J739" s="14"/>
      <c r="K739" s="1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25">
        <v>-1088.0</v>
      </c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8"/>
      <c r="BU739" s="8"/>
      <c r="BV739" s="1"/>
      <c r="BW739" s="1"/>
      <c r="BX739" s="1"/>
      <c r="BY739" s="1"/>
      <c r="BZ739" s="1"/>
    </row>
    <row r="740">
      <c r="A740" s="3"/>
      <c r="B740" s="33"/>
      <c r="C740" s="133"/>
      <c r="D740" s="133" t="s">
        <v>436</v>
      </c>
      <c r="E740" s="2"/>
      <c r="F740" s="2"/>
      <c r="G740" s="14"/>
      <c r="H740" s="14"/>
      <c r="I740" s="14"/>
      <c r="J740" s="14"/>
      <c r="K740" s="1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25">
        <v>-6059.0</v>
      </c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8"/>
      <c r="BU740" s="8"/>
      <c r="BV740" s="1"/>
      <c r="BW740" s="1"/>
      <c r="BX740" s="1"/>
      <c r="BY740" s="1"/>
      <c r="BZ740" s="1"/>
    </row>
    <row r="741">
      <c r="A741" s="3"/>
      <c r="B741" s="33"/>
      <c r="C741" s="133"/>
      <c r="D741" s="133" t="s">
        <v>437</v>
      </c>
      <c r="E741" s="2"/>
      <c r="F741" s="2"/>
      <c r="G741" s="14"/>
      <c r="H741" s="14"/>
      <c r="I741" s="14"/>
      <c r="J741" s="14"/>
      <c r="K741" s="1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25">
        <v>-13338.0</v>
      </c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8"/>
      <c r="BU741" s="8"/>
      <c r="BV741" s="1"/>
      <c r="BW741" s="1"/>
      <c r="BX741" s="1"/>
      <c r="BY741" s="1"/>
      <c r="BZ741" s="1"/>
    </row>
    <row r="742">
      <c r="A742" s="3"/>
      <c r="B742" s="33"/>
      <c r="C742" s="133"/>
      <c r="D742" s="133" t="s">
        <v>438</v>
      </c>
      <c r="E742" s="2"/>
      <c r="F742" s="2"/>
      <c r="G742" s="14"/>
      <c r="H742" s="14"/>
      <c r="I742" s="14"/>
      <c r="J742" s="14"/>
      <c r="K742" s="1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25">
        <v>-1273.0</v>
      </c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8"/>
      <c r="BU742" s="8"/>
      <c r="BV742" s="1"/>
      <c r="BW742" s="1"/>
      <c r="BX742" s="1"/>
      <c r="BY742" s="1"/>
      <c r="BZ742" s="1"/>
    </row>
    <row r="743">
      <c r="A743" s="3"/>
      <c r="B743" s="33"/>
      <c r="C743" s="133"/>
      <c r="D743" s="133" t="s">
        <v>439</v>
      </c>
      <c r="E743" s="2"/>
      <c r="F743" s="2"/>
      <c r="G743" s="14"/>
      <c r="H743" s="14"/>
      <c r="I743" s="14"/>
      <c r="J743" s="14"/>
      <c r="K743" s="1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25">
        <v>-6699.0</v>
      </c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8"/>
      <c r="BU743" s="8"/>
      <c r="BV743" s="1"/>
      <c r="BW743" s="1"/>
      <c r="BX743" s="1"/>
      <c r="BY743" s="1"/>
      <c r="BZ743" s="1"/>
    </row>
    <row r="744">
      <c r="A744" s="3"/>
      <c r="B744" s="33"/>
      <c r="C744" s="3"/>
      <c r="D744" s="3"/>
      <c r="E744" s="2"/>
      <c r="F744" s="2"/>
      <c r="G744" s="14"/>
      <c r="H744" s="14"/>
      <c r="I744" s="14"/>
      <c r="J744" s="14"/>
      <c r="K744" s="1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8"/>
      <c r="BU744" s="8"/>
      <c r="BV744" s="1"/>
      <c r="BW744" s="1"/>
      <c r="BX744" s="1"/>
      <c r="BY744" s="1"/>
      <c r="BZ744" s="1"/>
    </row>
    <row r="745">
      <c r="A745" s="3"/>
      <c r="B745" s="33"/>
      <c r="C745" s="3"/>
      <c r="D745" s="3"/>
      <c r="E745" s="2"/>
      <c r="F745" s="2"/>
      <c r="G745" s="14"/>
      <c r="H745" s="14"/>
      <c r="I745" s="14"/>
      <c r="J745" s="14"/>
      <c r="K745" s="1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8"/>
      <c r="BU745" s="8"/>
      <c r="BV745" s="1"/>
      <c r="BW745" s="1"/>
      <c r="BX745" s="1"/>
      <c r="BY745" s="1"/>
      <c r="BZ745" s="1"/>
    </row>
    <row r="746">
      <c r="A746" s="3"/>
      <c r="B746" s="33"/>
      <c r="C746" s="3"/>
      <c r="D746" s="3"/>
      <c r="E746" s="2"/>
      <c r="F746" s="2"/>
      <c r="G746" s="14"/>
      <c r="H746" s="14"/>
      <c r="I746" s="14"/>
      <c r="J746" s="14"/>
      <c r="K746" s="1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8"/>
      <c r="BU746" s="8"/>
      <c r="BV746" s="1"/>
      <c r="BW746" s="1"/>
      <c r="BX746" s="1"/>
      <c r="BY746" s="1"/>
      <c r="BZ746" s="1"/>
    </row>
    <row r="747">
      <c r="A747" s="3"/>
      <c r="B747" s="33"/>
      <c r="C747" s="3"/>
      <c r="D747" s="3"/>
      <c r="E747" s="2"/>
      <c r="F747" s="2"/>
      <c r="G747" s="14"/>
      <c r="H747" s="14"/>
      <c r="I747" s="14"/>
      <c r="J747" s="14"/>
      <c r="K747" s="1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8"/>
      <c r="BU747" s="8"/>
      <c r="BV747" s="1"/>
      <c r="BW747" s="1"/>
      <c r="BX747" s="1"/>
      <c r="BY747" s="1"/>
      <c r="BZ747" s="1"/>
    </row>
    <row r="748">
      <c r="A748" s="3"/>
      <c r="B748" s="33"/>
      <c r="C748" s="3"/>
      <c r="D748" s="3"/>
      <c r="E748" s="2"/>
      <c r="F748" s="2"/>
      <c r="G748" s="14"/>
      <c r="H748" s="14"/>
      <c r="I748" s="14"/>
      <c r="J748" s="14"/>
      <c r="K748" s="1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8"/>
      <c r="BU748" s="8"/>
      <c r="BV748" s="1"/>
      <c r="BW748" s="1"/>
      <c r="BX748" s="1"/>
      <c r="BY748" s="1"/>
      <c r="BZ748" s="1"/>
    </row>
    <row r="749">
      <c r="A749" s="3"/>
      <c r="B749" s="33"/>
      <c r="C749" s="3"/>
      <c r="D749" s="3"/>
      <c r="E749" s="2"/>
      <c r="F749" s="2"/>
      <c r="G749" s="14"/>
      <c r="H749" s="14"/>
      <c r="I749" s="14"/>
      <c r="J749" s="14"/>
      <c r="K749" s="1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8"/>
      <c r="BU749" s="8"/>
      <c r="BV749" s="1"/>
      <c r="BW749" s="1"/>
      <c r="BX749" s="1"/>
      <c r="BY749" s="1"/>
      <c r="BZ749" s="1"/>
    </row>
    <row r="750">
      <c r="A750" s="3"/>
      <c r="B750" s="33"/>
      <c r="C750" s="3"/>
      <c r="D750" s="3"/>
      <c r="E750" s="2"/>
      <c r="F750" s="2"/>
      <c r="G750" s="14"/>
      <c r="H750" s="14"/>
      <c r="I750" s="14"/>
      <c r="J750" s="14"/>
      <c r="K750" s="1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8"/>
      <c r="BU750" s="8"/>
      <c r="BV750" s="1"/>
      <c r="BW750" s="1"/>
      <c r="BX750" s="1"/>
      <c r="BY750" s="1"/>
      <c r="BZ750" s="1"/>
    </row>
    <row r="751">
      <c r="A751" s="3"/>
      <c r="B751" s="33"/>
      <c r="C751" s="3"/>
      <c r="D751" s="3"/>
      <c r="E751" s="2"/>
      <c r="F751" s="2"/>
      <c r="G751" s="14"/>
      <c r="H751" s="14"/>
      <c r="I751" s="14"/>
      <c r="J751" s="14"/>
      <c r="K751" s="1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8"/>
      <c r="BU751" s="8"/>
      <c r="BV751" s="1"/>
      <c r="BW751" s="1"/>
      <c r="BX751" s="1"/>
      <c r="BY751" s="1"/>
      <c r="BZ751" s="1"/>
    </row>
    <row r="752">
      <c r="A752" s="3"/>
      <c r="B752" s="33"/>
      <c r="C752" s="3"/>
      <c r="D752" s="3"/>
      <c r="E752" s="2"/>
      <c r="F752" s="2"/>
      <c r="G752" s="14"/>
      <c r="H752" s="14"/>
      <c r="I752" s="14"/>
      <c r="J752" s="14"/>
      <c r="K752" s="1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8"/>
      <c r="BU752" s="8"/>
      <c r="BV752" s="1"/>
      <c r="BW752" s="1"/>
      <c r="BX752" s="1"/>
      <c r="BY752" s="1"/>
      <c r="BZ752" s="1"/>
    </row>
    <row r="753">
      <c r="A753" s="3"/>
      <c r="B753" s="33"/>
      <c r="C753" s="3"/>
      <c r="D753" s="3"/>
      <c r="E753" s="2"/>
      <c r="F753" s="2"/>
      <c r="G753" s="14"/>
      <c r="H753" s="14"/>
      <c r="I753" s="14"/>
      <c r="J753" s="14"/>
      <c r="K753" s="1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8"/>
      <c r="BU753" s="8"/>
      <c r="BV753" s="1"/>
      <c r="BW753" s="1"/>
      <c r="BX753" s="1"/>
      <c r="BY753" s="1"/>
      <c r="BZ753" s="1"/>
    </row>
    <row r="754">
      <c r="A754" s="3"/>
      <c r="B754" s="33"/>
      <c r="C754" s="3"/>
      <c r="D754" s="3"/>
      <c r="E754" s="2"/>
      <c r="F754" s="2"/>
      <c r="G754" s="14"/>
      <c r="H754" s="14"/>
      <c r="I754" s="14"/>
      <c r="J754" s="14"/>
      <c r="K754" s="1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8"/>
      <c r="BU754" s="8"/>
      <c r="BV754" s="1"/>
      <c r="BW754" s="1"/>
      <c r="BX754" s="1"/>
      <c r="BY754" s="1"/>
      <c r="BZ754" s="1"/>
    </row>
    <row r="755">
      <c r="A755" s="3"/>
      <c r="B755" s="33"/>
      <c r="C755" s="3"/>
      <c r="D755" s="3"/>
      <c r="E755" s="2"/>
      <c r="F755" s="2"/>
      <c r="G755" s="14"/>
      <c r="H755" s="14"/>
      <c r="I755" s="14"/>
      <c r="J755" s="14"/>
      <c r="K755" s="1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8"/>
      <c r="BU755" s="8"/>
      <c r="BV755" s="1"/>
      <c r="BW755" s="1"/>
      <c r="BX755" s="1"/>
      <c r="BY755" s="1"/>
      <c r="BZ755" s="1"/>
    </row>
    <row r="756">
      <c r="A756" s="3"/>
      <c r="B756" s="33"/>
      <c r="C756" s="3"/>
      <c r="D756" s="3"/>
      <c r="E756" s="2"/>
      <c r="F756" s="2"/>
      <c r="G756" s="14"/>
      <c r="H756" s="14"/>
      <c r="I756" s="14"/>
      <c r="J756" s="14"/>
      <c r="K756" s="1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8"/>
      <c r="BU756" s="8"/>
      <c r="BV756" s="1"/>
      <c r="BW756" s="1"/>
      <c r="BX756" s="1"/>
      <c r="BY756" s="1"/>
      <c r="BZ756" s="1"/>
    </row>
    <row r="757">
      <c r="A757" s="3"/>
      <c r="B757" s="33"/>
      <c r="C757" s="3"/>
      <c r="D757" s="3"/>
      <c r="E757" s="2"/>
      <c r="F757" s="2"/>
      <c r="G757" s="14"/>
      <c r="H757" s="14"/>
      <c r="I757" s="14"/>
      <c r="J757" s="14"/>
      <c r="K757" s="1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8"/>
      <c r="BU757" s="8"/>
      <c r="BV757" s="1"/>
      <c r="BW757" s="1"/>
      <c r="BX757" s="1"/>
      <c r="BY757" s="1"/>
      <c r="BZ757" s="1"/>
    </row>
    <row r="758">
      <c r="A758" s="3"/>
      <c r="B758" s="33"/>
      <c r="C758" s="3"/>
      <c r="D758" s="3"/>
      <c r="E758" s="2"/>
      <c r="F758" s="2"/>
      <c r="G758" s="14"/>
      <c r="H758" s="14"/>
      <c r="I758" s="14"/>
      <c r="J758" s="14"/>
      <c r="K758" s="1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8"/>
      <c r="BU758" s="8"/>
      <c r="BV758" s="1"/>
      <c r="BW758" s="1"/>
      <c r="BX758" s="1"/>
      <c r="BY758" s="1"/>
      <c r="BZ758" s="1"/>
    </row>
    <row r="759">
      <c r="A759" s="3"/>
      <c r="B759" s="33"/>
      <c r="C759" s="3"/>
      <c r="D759" s="3"/>
      <c r="E759" s="2"/>
      <c r="F759" s="2"/>
      <c r="G759" s="14"/>
      <c r="H759" s="14"/>
      <c r="I759" s="14"/>
      <c r="J759" s="14"/>
      <c r="K759" s="1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8"/>
      <c r="BU759" s="8"/>
      <c r="BV759" s="1"/>
      <c r="BW759" s="1"/>
      <c r="BX759" s="1"/>
      <c r="BY759" s="1"/>
      <c r="BZ759" s="1"/>
    </row>
    <row r="760">
      <c r="A760" s="3"/>
      <c r="B760" s="33"/>
      <c r="C760" s="3"/>
      <c r="D760" s="3"/>
      <c r="E760" s="2"/>
      <c r="F760" s="2"/>
      <c r="G760" s="14"/>
      <c r="H760" s="14"/>
      <c r="I760" s="14"/>
      <c r="J760" s="14"/>
      <c r="K760" s="1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8"/>
      <c r="BU760" s="8"/>
      <c r="BV760" s="1"/>
      <c r="BW760" s="1"/>
      <c r="BX760" s="1"/>
      <c r="BY760" s="1"/>
      <c r="BZ760" s="1"/>
    </row>
    <row r="761">
      <c r="A761" s="3"/>
      <c r="B761" s="33"/>
      <c r="C761" s="3"/>
      <c r="D761" s="3"/>
      <c r="E761" s="2"/>
      <c r="F761" s="2"/>
      <c r="G761" s="14"/>
      <c r="H761" s="14"/>
      <c r="I761" s="14"/>
      <c r="J761" s="14"/>
      <c r="K761" s="1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8"/>
      <c r="BU761" s="8"/>
      <c r="BV761" s="1"/>
      <c r="BW761" s="1"/>
      <c r="BX761" s="1"/>
      <c r="BY761" s="1"/>
      <c r="BZ761" s="1"/>
    </row>
    <row r="762">
      <c r="A762" s="3"/>
      <c r="B762" s="33"/>
      <c r="C762" s="3"/>
      <c r="D762" s="3"/>
      <c r="E762" s="2"/>
      <c r="F762" s="2"/>
      <c r="G762" s="14"/>
      <c r="H762" s="14"/>
      <c r="I762" s="14"/>
      <c r="J762" s="14"/>
      <c r="K762" s="1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8"/>
      <c r="BU762" s="8"/>
      <c r="BV762" s="1"/>
      <c r="BW762" s="1"/>
      <c r="BX762" s="1"/>
      <c r="BY762" s="1"/>
      <c r="BZ762" s="1"/>
    </row>
    <row r="763">
      <c r="A763" s="3"/>
      <c r="B763" s="33"/>
      <c r="C763" s="3"/>
      <c r="D763" s="3"/>
      <c r="E763" s="2"/>
      <c r="F763" s="2"/>
      <c r="G763" s="14"/>
      <c r="H763" s="14"/>
      <c r="I763" s="14"/>
      <c r="J763" s="14"/>
      <c r="K763" s="1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8"/>
      <c r="BU763" s="8"/>
      <c r="BV763" s="1"/>
      <c r="BW763" s="1"/>
      <c r="BX763" s="1"/>
      <c r="BY763" s="1"/>
      <c r="BZ763" s="1"/>
    </row>
    <row r="764">
      <c r="A764" s="3"/>
      <c r="B764" s="33"/>
      <c r="C764" s="3"/>
      <c r="D764" s="3"/>
      <c r="E764" s="2"/>
      <c r="F764" s="2"/>
      <c r="G764" s="14"/>
      <c r="H764" s="14"/>
      <c r="I764" s="14"/>
      <c r="J764" s="14"/>
      <c r="K764" s="1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8"/>
      <c r="BU764" s="8"/>
      <c r="BV764" s="1"/>
      <c r="BW764" s="1"/>
      <c r="BX764" s="1"/>
      <c r="BY764" s="1"/>
      <c r="BZ764" s="1"/>
    </row>
    <row r="765">
      <c r="A765" s="3"/>
      <c r="B765" s="33"/>
      <c r="C765" s="3"/>
      <c r="D765" s="3"/>
      <c r="E765" s="2"/>
      <c r="F765" s="2"/>
      <c r="G765" s="14"/>
      <c r="H765" s="14"/>
      <c r="I765" s="14"/>
      <c r="J765" s="14"/>
      <c r="K765" s="1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8"/>
      <c r="BU765" s="8"/>
      <c r="BV765" s="1"/>
      <c r="BW765" s="1"/>
      <c r="BX765" s="1"/>
      <c r="BY765" s="1"/>
      <c r="BZ765" s="1"/>
    </row>
    <row r="766">
      <c r="A766" s="3"/>
      <c r="B766" s="33"/>
      <c r="C766" s="3"/>
      <c r="D766" s="3"/>
      <c r="E766" s="2"/>
      <c r="F766" s="2"/>
      <c r="G766" s="14"/>
      <c r="H766" s="14"/>
      <c r="I766" s="14"/>
      <c r="J766" s="14"/>
      <c r="K766" s="1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8"/>
      <c r="BU766" s="8"/>
      <c r="BV766" s="1"/>
      <c r="BW766" s="1"/>
      <c r="BX766" s="1"/>
      <c r="BY766" s="1"/>
      <c r="BZ766" s="1"/>
    </row>
    <row r="767">
      <c r="A767" s="3"/>
      <c r="B767" s="33"/>
      <c r="C767" s="3"/>
      <c r="D767" s="3"/>
      <c r="E767" s="2"/>
      <c r="F767" s="2"/>
      <c r="G767" s="14"/>
      <c r="H767" s="14"/>
      <c r="I767" s="14"/>
      <c r="J767" s="14"/>
      <c r="K767" s="1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8"/>
      <c r="BU767" s="8"/>
      <c r="BV767" s="1"/>
      <c r="BW767" s="1"/>
      <c r="BX767" s="1"/>
      <c r="BY767" s="1"/>
      <c r="BZ767" s="1"/>
    </row>
    <row r="768">
      <c r="A768" s="3"/>
      <c r="B768" s="33"/>
      <c r="C768" s="3"/>
      <c r="D768" s="3"/>
      <c r="E768" s="2"/>
      <c r="F768" s="2"/>
      <c r="G768" s="14"/>
      <c r="H768" s="14"/>
      <c r="I768" s="14"/>
      <c r="J768" s="14"/>
      <c r="K768" s="1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8"/>
      <c r="BU768" s="8"/>
      <c r="BV768" s="1"/>
      <c r="BW768" s="1"/>
      <c r="BX768" s="1"/>
      <c r="BY768" s="1"/>
      <c r="BZ768" s="1"/>
    </row>
    <row r="769">
      <c r="A769" s="3"/>
      <c r="B769" s="33"/>
      <c r="C769" s="3"/>
      <c r="D769" s="3"/>
      <c r="E769" s="2"/>
      <c r="F769" s="2"/>
      <c r="G769" s="14"/>
      <c r="H769" s="14"/>
      <c r="I769" s="14"/>
      <c r="J769" s="14"/>
      <c r="K769" s="1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8"/>
      <c r="BU769" s="8"/>
      <c r="BV769" s="1"/>
      <c r="BW769" s="1"/>
      <c r="BX769" s="1"/>
      <c r="BY769" s="1"/>
      <c r="BZ769" s="1"/>
    </row>
    <row r="770">
      <c r="A770" s="3"/>
      <c r="B770" s="33"/>
      <c r="C770" s="3"/>
      <c r="D770" s="3"/>
      <c r="E770" s="2"/>
      <c r="F770" s="2"/>
      <c r="G770" s="14"/>
      <c r="H770" s="14"/>
      <c r="I770" s="14"/>
      <c r="J770" s="14"/>
      <c r="K770" s="1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8"/>
      <c r="BU770" s="8"/>
      <c r="BV770" s="1"/>
      <c r="BW770" s="1"/>
      <c r="BX770" s="1"/>
      <c r="BY770" s="1"/>
      <c r="BZ770" s="1"/>
    </row>
    <row r="771">
      <c r="A771" s="3"/>
      <c r="B771" s="33"/>
      <c r="C771" s="3"/>
      <c r="D771" s="3"/>
      <c r="E771" s="2"/>
      <c r="F771" s="2"/>
      <c r="G771" s="14"/>
      <c r="H771" s="14"/>
      <c r="I771" s="14"/>
      <c r="J771" s="14"/>
      <c r="K771" s="1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8"/>
      <c r="BU771" s="8"/>
      <c r="BV771" s="1"/>
      <c r="BW771" s="1"/>
      <c r="BX771" s="1"/>
      <c r="BY771" s="1"/>
      <c r="BZ771" s="1"/>
    </row>
    <row r="772">
      <c r="A772" s="3"/>
      <c r="B772" s="33"/>
      <c r="C772" s="3"/>
      <c r="D772" s="3"/>
      <c r="E772" s="2"/>
      <c r="F772" s="2"/>
      <c r="G772" s="14"/>
      <c r="H772" s="14"/>
      <c r="I772" s="14"/>
      <c r="J772" s="14"/>
      <c r="K772" s="1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8"/>
      <c r="BU772" s="8"/>
      <c r="BV772" s="1"/>
      <c r="BW772" s="1"/>
      <c r="BX772" s="1"/>
      <c r="BY772" s="1"/>
      <c r="BZ772" s="1"/>
    </row>
    <row r="773">
      <c r="A773" s="3"/>
      <c r="B773" s="33"/>
      <c r="C773" s="3"/>
      <c r="D773" s="3"/>
      <c r="E773" s="2"/>
      <c r="F773" s="2"/>
      <c r="G773" s="14"/>
      <c r="H773" s="14"/>
      <c r="I773" s="14"/>
      <c r="J773" s="14"/>
      <c r="K773" s="1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8"/>
      <c r="BU773" s="8"/>
      <c r="BV773" s="1"/>
      <c r="BW773" s="1"/>
      <c r="BX773" s="1"/>
      <c r="BY773" s="1"/>
      <c r="BZ773" s="1"/>
    </row>
    <row r="774">
      <c r="A774" s="3"/>
      <c r="B774" s="33"/>
      <c r="C774" s="3"/>
      <c r="D774" s="3"/>
      <c r="E774" s="2"/>
      <c r="F774" s="2"/>
      <c r="G774" s="14"/>
      <c r="H774" s="14"/>
      <c r="I774" s="14"/>
      <c r="J774" s="14"/>
      <c r="K774" s="1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8"/>
      <c r="BU774" s="8"/>
      <c r="BV774" s="1"/>
      <c r="BW774" s="1"/>
      <c r="BX774" s="1"/>
      <c r="BY774" s="1"/>
      <c r="BZ774" s="1"/>
    </row>
    <row r="775">
      <c r="A775" s="3"/>
      <c r="B775" s="33"/>
      <c r="C775" s="3"/>
      <c r="D775" s="3"/>
      <c r="E775" s="2"/>
      <c r="F775" s="2"/>
      <c r="G775" s="14"/>
      <c r="H775" s="14"/>
      <c r="I775" s="14"/>
      <c r="J775" s="14"/>
      <c r="K775" s="1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8"/>
      <c r="BU775" s="8"/>
      <c r="BV775" s="1"/>
      <c r="BW775" s="1"/>
      <c r="BX775" s="1"/>
      <c r="BY775" s="1"/>
      <c r="BZ775" s="1"/>
    </row>
    <row r="776">
      <c r="A776" s="3"/>
      <c r="B776" s="33"/>
      <c r="C776" s="3"/>
      <c r="D776" s="3"/>
      <c r="E776" s="2"/>
      <c r="F776" s="2"/>
      <c r="G776" s="14"/>
      <c r="H776" s="14"/>
      <c r="I776" s="14"/>
      <c r="J776" s="14"/>
      <c r="K776" s="1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8"/>
      <c r="BU776" s="8"/>
      <c r="BV776" s="1"/>
      <c r="BW776" s="1"/>
      <c r="BX776" s="1"/>
      <c r="BY776" s="1"/>
      <c r="BZ776" s="1"/>
    </row>
    <row r="777">
      <c r="A777" s="3"/>
      <c r="B777" s="33"/>
      <c r="C777" s="3"/>
      <c r="D777" s="3"/>
      <c r="E777" s="2"/>
      <c r="F777" s="2"/>
      <c r="G777" s="14"/>
      <c r="H777" s="14"/>
      <c r="I777" s="14"/>
      <c r="J777" s="14"/>
      <c r="K777" s="1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8"/>
      <c r="BU777" s="8"/>
      <c r="BV777" s="1"/>
      <c r="BW777" s="1"/>
      <c r="BX777" s="1"/>
      <c r="BY777" s="1"/>
      <c r="BZ777" s="1"/>
    </row>
    <row r="778">
      <c r="A778" s="3"/>
      <c r="B778" s="33"/>
      <c r="C778" s="3"/>
      <c r="D778" s="3"/>
      <c r="E778" s="2"/>
      <c r="F778" s="2"/>
      <c r="G778" s="14"/>
      <c r="H778" s="14"/>
      <c r="I778" s="14"/>
      <c r="J778" s="14"/>
      <c r="K778" s="1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8"/>
      <c r="BU778" s="8"/>
      <c r="BV778" s="1"/>
      <c r="BW778" s="1"/>
      <c r="BX778" s="1"/>
      <c r="BY778" s="1"/>
      <c r="BZ778" s="1"/>
    </row>
    <row r="779">
      <c r="A779" s="3"/>
      <c r="B779" s="33"/>
      <c r="C779" s="3"/>
      <c r="D779" s="3"/>
      <c r="E779" s="2"/>
      <c r="F779" s="2"/>
      <c r="G779" s="14"/>
      <c r="H779" s="14"/>
      <c r="I779" s="14"/>
      <c r="J779" s="14"/>
      <c r="K779" s="1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8"/>
      <c r="BU779" s="8"/>
      <c r="BV779" s="1"/>
      <c r="BW779" s="1"/>
      <c r="BX779" s="1"/>
      <c r="BY779" s="1"/>
      <c r="BZ779" s="1"/>
    </row>
    <row r="780">
      <c r="A780" s="3"/>
      <c r="B780" s="33"/>
      <c r="C780" s="3"/>
      <c r="D780" s="3"/>
      <c r="E780" s="2"/>
      <c r="F780" s="2"/>
      <c r="G780" s="14"/>
      <c r="H780" s="14"/>
      <c r="I780" s="14"/>
      <c r="J780" s="14"/>
      <c r="K780" s="1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8"/>
      <c r="BU780" s="8"/>
      <c r="BV780" s="1"/>
      <c r="BW780" s="1"/>
      <c r="BX780" s="1"/>
      <c r="BY780" s="1"/>
      <c r="BZ780" s="1"/>
    </row>
    <row r="781">
      <c r="A781" s="3"/>
      <c r="B781" s="33"/>
      <c r="C781" s="3"/>
      <c r="D781" s="3"/>
      <c r="E781" s="2"/>
      <c r="F781" s="2"/>
      <c r="G781" s="14"/>
      <c r="H781" s="14"/>
      <c r="I781" s="14"/>
      <c r="J781" s="14"/>
      <c r="K781" s="1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8"/>
      <c r="BU781" s="8"/>
      <c r="BV781" s="1"/>
      <c r="BW781" s="1"/>
      <c r="BX781" s="1"/>
      <c r="BY781" s="1"/>
      <c r="BZ781" s="1"/>
    </row>
    <row r="782">
      <c r="A782" s="3"/>
      <c r="B782" s="33"/>
      <c r="C782" s="3"/>
      <c r="D782" s="3"/>
      <c r="E782" s="2"/>
      <c r="F782" s="2"/>
      <c r="G782" s="14"/>
      <c r="H782" s="14"/>
      <c r="I782" s="14"/>
      <c r="J782" s="14"/>
      <c r="K782" s="1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8"/>
      <c r="BU782" s="8"/>
      <c r="BV782" s="1"/>
      <c r="BW782" s="1"/>
      <c r="BX782" s="1"/>
      <c r="BY782" s="1"/>
      <c r="BZ782" s="1"/>
    </row>
    <row r="783">
      <c r="A783" s="3"/>
      <c r="B783" s="33"/>
      <c r="C783" s="3"/>
      <c r="D783" s="3"/>
      <c r="E783" s="2"/>
      <c r="F783" s="2"/>
      <c r="G783" s="14"/>
      <c r="H783" s="14"/>
      <c r="I783" s="14"/>
      <c r="J783" s="14"/>
      <c r="K783" s="1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8"/>
      <c r="BU783" s="8"/>
      <c r="BV783" s="1"/>
      <c r="BW783" s="1"/>
      <c r="BX783" s="1"/>
      <c r="BY783" s="1"/>
      <c r="BZ783" s="1"/>
    </row>
    <row r="784">
      <c r="A784" s="3"/>
      <c r="B784" s="33"/>
      <c r="C784" s="3"/>
      <c r="D784" s="3"/>
      <c r="E784" s="2"/>
      <c r="F784" s="2"/>
      <c r="G784" s="14"/>
      <c r="H784" s="14"/>
      <c r="I784" s="14"/>
      <c r="J784" s="14"/>
      <c r="K784" s="1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8"/>
      <c r="BU784" s="8"/>
      <c r="BV784" s="1"/>
      <c r="BW784" s="1"/>
      <c r="BX784" s="1"/>
      <c r="BY784" s="1"/>
      <c r="BZ784" s="1"/>
    </row>
    <row r="785">
      <c r="A785" s="3"/>
      <c r="B785" s="33"/>
      <c r="C785" s="3"/>
      <c r="D785" s="3"/>
      <c r="E785" s="2"/>
      <c r="F785" s="2"/>
      <c r="G785" s="14"/>
      <c r="H785" s="14"/>
      <c r="I785" s="14"/>
      <c r="J785" s="14"/>
      <c r="K785" s="1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8"/>
      <c r="BU785" s="8"/>
      <c r="BV785" s="1"/>
      <c r="BW785" s="1"/>
      <c r="BX785" s="1"/>
      <c r="BY785" s="1"/>
      <c r="BZ785" s="1"/>
    </row>
    <row r="786">
      <c r="A786" s="3"/>
      <c r="B786" s="33"/>
      <c r="C786" s="3"/>
      <c r="D786" s="3"/>
      <c r="E786" s="2"/>
      <c r="F786" s="2"/>
      <c r="G786" s="14"/>
      <c r="H786" s="14"/>
      <c r="I786" s="14"/>
      <c r="J786" s="14"/>
      <c r="K786" s="1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8"/>
      <c r="BU786" s="8"/>
      <c r="BV786" s="1"/>
      <c r="BW786" s="1"/>
      <c r="BX786" s="1"/>
      <c r="BY786" s="1"/>
      <c r="BZ786" s="1"/>
    </row>
    <row r="787">
      <c r="A787" s="3"/>
      <c r="B787" s="33"/>
      <c r="C787" s="3"/>
      <c r="D787" s="3"/>
      <c r="E787" s="2"/>
      <c r="F787" s="2"/>
      <c r="G787" s="14"/>
      <c r="H787" s="14"/>
      <c r="I787" s="14"/>
      <c r="J787" s="14"/>
      <c r="K787" s="1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8"/>
      <c r="BU787" s="8"/>
      <c r="BV787" s="1"/>
      <c r="BW787" s="1"/>
      <c r="BX787" s="1"/>
      <c r="BY787" s="1"/>
      <c r="BZ787" s="1"/>
    </row>
    <row r="788">
      <c r="A788" s="3"/>
      <c r="B788" s="33"/>
      <c r="C788" s="3"/>
      <c r="D788" s="3"/>
      <c r="E788" s="2"/>
      <c r="F788" s="2"/>
      <c r="G788" s="14"/>
      <c r="H788" s="14"/>
      <c r="I788" s="14"/>
      <c r="J788" s="14"/>
      <c r="K788" s="1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8"/>
      <c r="BU788" s="8"/>
      <c r="BV788" s="1"/>
      <c r="BW788" s="1"/>
      <c r="BX788" s="1"/>
      <c r="BY788" s="1"/>
      <c r="BZ788" s="1"/>
    </row>
    <row r="789">
      <c r="A789" s="3"/>
      <c r="B789" s="33"/>
      <c r="C789" s="3"/>
      <c r="D789" s="3"/>
      <c r="E789" s="2"/>
      <c r="F789" s="2"/>
      <c r="G789" s="14"/>
      <c r="H789" s="14"/>
      <c r="I789" s="14"/>
      <c r="J789" s="14"/>
      <c r="K789" s="1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8"/>
      <c r="BU789" s="8"/>
      <c r="BV789" s="1"/>
      <c r="BW789" s="1"/>
      <c r="BX789" s="1"/>
      <c r="BY789" s="1"/>
      <c r="BZ789" s="1"/>
    </row>
    <row r="790">
      <c r="A790" s="3"/>
      <c r="B790" s="33"/>
      <c r="C790" s="3"/>
      <c r="D790" s="3"/>
      <c r="E790" s="2"/>
      <c r="F790" s="2"/>
      <c r="G790" s="14"/>
      <c r="H790" s="14"/>
      <c r="I790" s="14"/>
      <c r="J790" s="14"/>
      <c r="K790" s="1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8"/>
      <c r="BU790" s="8"/>
      <c r="BV790" s="1"/>
      <c r="BW790" s="1"/>
      <c r="BX790" s="1"/>
      <c r="BY790" s="1"/>
      <c r="BZ790" s="1"/>
    </row>
    <row r="791">
      <c r="A791" s="3"/>
      <c r="B791" s="33"/>
      <c r="C791" s="3"/>
      <c r="D791" s="3"/>
      <c r="E791" s="2"/>
      <c r="F791" s="2"/>
      <c r="G791" s="14"/>
      <c r="H791" s="14"/>
      <c r="I791" s="14"/>
      <c r="J791" s="14"/>
      <c r="K791" s="1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8"/>
      <c r="BU791" s="8"/>
      <c r="BV791" s="1"/>
      <c r="BW791" s="1"/>
      <c r="BX791" s="1"/>
      <c r="BY791" s="1"/>
      <c r="BZ791" s="1"/>
    </row>
    <row r="792">
      <c r="A792" s="3"/>
      <c r="B792" s="33"/>
      <c r="C792" s="3"/>
      <c r="D792" s="3"/>
      <c r="E792" s="2"/>
      <c r="F792" s="2"/>
      <c r="G792" s="14"/>
      <c r="H792" s="14"/>
      <c r="I792" s="14"/>
      <c r="J792" s="14"/>
      <c r="K792" s="1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8"/>
      <c r="BU792" s="8"/>
      <c r="BV792" s="1"/>
      <c r="BW792" s="1"/>
      <c r="BX792" s="1"/>
      <c r="BY792" s="1"/>
      <c r="BZ792" s="1"/>
    </row>
    <row r="793">
      <c r="A793" s="3"/>
      <c r="B793" s="33"/>
      <c r="C793" s="3"/>
      <c r="D793" s="3"/>
      <c r="E793" s="2"/>
      <c r="F793" s="2"/>
      <c r="G793" s="14"/>
      <c r="H793" s="14"/>
      <c r="I793" s="14"/>
      <c r="J793" s="14"/>
      <c r="K793" s="1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8"/>
      <c r="BU793" s="8"/>
      <c r="BV793" s="1"/>
      <c r="BW793" s="1"/>
      <c r="BX793" s="1"/>
      <c r="BY793" s="1"/>
      <c r="BZ793" s="1"/>
    </row>
    <row r="794">
      <c r="A794" s="3"/>
      <c r="B794" s="33"/>
      <c r="C794" s="3"/>
      <c r="D794" s="3"/>
      <c r="E794" s="2"/>
      <c r="F794" s="2"/>
      <c r="G794" s="14"/>
      <c r="H794" s="14"/>
      <c r="I794" s="14"/>
      <c r="J794" s="14"/>
      <c r="K794" s="1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8"/>
      <c r="BU794" s="8"/>
      <c r="BV794" s="1"/>
      <c r="BW794" s="1"/>
      <c r="BX794" s="1"/>
      <c r="BY794" s="1"/>
      <c r="BZ794" s="1"/>
    </row>
    <row r="795">
      <c r="A795" s="3"/>
      <c r="B795" s="33"/>
      <c r="C795" s="3"/>
      <c r="D795" s="3"/>
      <c r="E795" s="2"/>
      <c r="F795" s="2"/>
      <c r="G795" s="14"/>
      <c r="H795" s="14"/>
      <c r="I795" s="14"/>
      <c r="J795" s="14"/>
      <c r="K795" s="1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8"/>
      <c r="BU795" s="8"/>
      <c r="BV795" s="1"/>
      <c r="BW795" s="1"/>
      <c r="BX795" s="1"/>
      <c r="BY795" s="1"/>
      <c r="BZ795" s="1"/>
    </row>
    <row r="796">
      <c r="A796" s="3"/>
      <c r="B796" s="33"/>
      <c r="C796" s="3"/>
      <c r="D796" s="3"/>
      <c r="E796" s="2"/>
      <c r="F796" s="2"/>
      <c r="G796" s="14"/>
      <c r="H796" s="14"/>
      <c r="I796" s="14"/>
      <c r="J796" s="14"/>
      <c r="K796" s="1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8"/>
      <c r="BU796" s="8"/>
      <c r="BV796" s="1"/>
      <c r="BW796" s="1"/>
      <c r="BX796" s="1"/>
      <c r="BY796" s="1"/>
      <c r="BZ796" s="1"/>
    </row>
    <row r="797">
      <c r="A797" s="3"/>
      <c r="B797" s="33"/>
      <c r="C797" s="3"/>
      <c r="D797" s="3"/>
      <c r="E797" s="2"/>
      <c r="F797" s="2"/>
      <c r="G797" s="14"/>
      <c r="H797" s="14"/>
      <c r="I797" s="14"/>
      <c r="J797" s="14"/>
      <c r="K797" s="1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8"/>
      <c r="BU797" s="8"/>
      <c r="BV797" s="1"/>
      <c r="BW797" s="1"/>
      <c r="BX797" s="1"/>
      <c r="BY797" s="1"/>
      <c r="BZ797" s="1"/>
    </row>
    <row r="798">
      <c r="A798" s="3"/>
      <c r="B798" s="33"/>
      <c r="C798" s="3"/>
      <c r="D798" s="3"/>
      <c r="E798" s="2"/>
      <c r="F798" s="2"/>
      <c r="G798" s="14"/>
      <c r="H798" s="14"/>
      <c r="I798" s="14"/>
      <c r="J798" s="14"/>
      <c r="K798" s="1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8"/>
      <c r="BU798" s="8"/>
      <c r="BV798" s="1"/>
      <c r="BW798" s="1"/>
      <c r="BX798" s="1"/>
      <c r="BY798" s="1"/>
      <c r="BZ798" s="1"/>
    </row>
    <row r="799">
      <c r="A799" s="3"/>
      <c r="B799" s="33"/>
      <c r="C799" s="3"/>
      <c r="D799" s="3"/>
      <c r="E799" s="2"/>
      <c r="F799" s="2"/>
      <c r="G799" s="14"/>
      <c r="H799" s="14"/>
      <c r="I799" s="14"/>
      <c r="J799" s="14"/>
      <c r="K799" s="1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8"/>
      <c r="BU799" s="8"/>
      <c r="BV799" s="1"/>
      <c r="BW799" s="1"/>
      <c r="BX799" s="1"/>
      <c r="BY799" s="1"/>
      <c r="BZ799" s="1"/>
    </row>
    <row r="800">
      <c r="A800" s="3"/>
      <c r="B800" s="33"/>
      <c r="C800" s="3"/>
      <c r="D800" s="3"/>
      <c r="E800" s="2"/>
      <c r="F800" s="2"/>
      <c r="G800" s="14"/>
      <c r="H800" s="14"/>
      <c r="I800" s="14"/>
      <c r="J800" s="14"/>
      <c r="K800" s="1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8"/>
      <c r="BU800" s="8"/>
      <c r="BV800" s="1"/>
      <c r="BW800" s="1"/>
      <c r="BX800" s="1"/>
      <c r="BY800" s="1"/>
      <c r="BZ800" s="1"/>
    </row>
    <row r="801">
      <c r="A801" s="3"/>
      <c r="B801" s="33"/>
      <c r="C801" s="3"/>
      <c r="D801" s="3"/>
      <c r="E801" s="2"/>
      <c r="F801" s="2"/>
      <c r="G801" s="14"/>
      <c r="H801" s="14"/>
      <c r="I801" s="14"/>
      <c r="J801" s="14"/>
      <c r="K801" s="1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8"/>
      <c r="BU801" s="8"/>
      <c r="BV801" s="1"/>
      <c r="BW801" s="1"/>
      <c r="BX801" s="1"/>
      <c r="BY801" s="1"/>
      <c r="BZ801" s="1"/>
    </row>
    <row r="802">
      <c r="A802" s="3"/>
      <c r="B802" s="33"/>
      <c r="C802" s="3"/>
      <c r="D802" s="3"/>
      <c r="E802" s="2"/>
      <c r="F802" s="2"/>
      <c r="G802" s="14"/>
      <c r="H802" s="14"/>
      <c r="I802" s="14"/>
      <c r="J802" s="14"/>
      <c r="K802" s="1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8"/>
      <c r="BU802" s="8"/>
      <c r="BV802" s="1"/>
      <c r="BW802" s="1"/>
      <c r="BX802" s="1"/>
      <c r="BY802" s="1"/>
      <c r="BZ802" s="1"/>
    </row>
    <row r="803">
      <c r="A803" s="3"/>
      <c r="B803" s="33"/>
      <c r="C803" s="3"/>
      <c r="D803" s="3"/>
      <c r="E803" s="2"/>
      <c r="F803" s="2"/>
      <c r="G803" s="14"/>
      <c r="H803" s="14"/>
      <c r="I803" s="14"/>
      <c r="J803" s="14"/>
      <c r="K803" s="1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8"/>
      <c r="BU803" s="8"/>
      <c r="BV803" s="1"/>
      <c r="BW803" s="1"/>
      <c r="BX803" s="1"/>
      <c r="BY803" s="1"/>
      <c r="BZ803" s="1"/>
    </row>
    <row r="804">
      <c r="A804" s="3"/>
      <c r="B804" s="33"/>
      <c r="C804" s="3"/>
      <c r="D804" s="3"/>
      <c r="E804" s="2"/>
      <c r="F804" s="2"/>
      <c r="G804" s="14"/>
      <c r="H804" s="14"/>
      <c r="I804" s="14"/>
      <c r="J804" s="14"/>
      <c r="K804" s="1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8"/>
      <c r="BU804" s="8"/>
      <c r="BV804" s="1"/>
      <c r="BW804" s="1"/>
      <c r="BX804" s="1"/>
      <c r="BY804" s="1"/>
      <c r="BZ804" s="1"/>
    </row>
    <row r="805">
      <c r="A805" s="3"/>
      <c r="B805" s="33"/>
      <c r="C805" s="3"/>
      <c r="D805" s="3"/>
      <c r="E805" s="2"/>
      <c r="F805" s="2"/>
      <c r="G805" s="14"/>
      <c r="H805" s="14"/>
      <c r="I805" s="14"/>
      <c r="J805" s="14"/>
      <c r="K805" s="1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8"/>
      <c r="BU805" s="8"/>
      <c r="BV805" s="1"/>
      <c r="BW805" s="1"/>
      <c r="BX805" s="1"/>
      <c r="BY805" s="1"/>
      <c r="BZ805" s="1"/>
    </row>
    <row r="806">
      <c r="A806" s="3"/>
      <c r="B806" s="33"/>
      <c r="C806" s="3"/>
      <c r="D806" s="3"/>
      <c r="E806" s="2"/>
      <c r="F806" s="2"/>
      <c r="G806" s="14"/>
      <c r="H806" s="14"/>
      <c r="I806" s="14"/>
      <c r="J806" s="14"/>
      <c r="K806" s="1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8"/>
      <c r="BU806" s="8"/>
      <c r="BV806" s="1"/>
      <c r="BW806" s="1"/>
      <c r="BX806" s="1"/>
      <c r="BY806" s="1"/>
      <c r="BZ806" s="1"/>
    </row>
    <row r="807">
      <c r="A807" s="3"/>
      <c r="B807" s="33"/>
      <c r="C807" s="3"/>
      <c r="D807" s="3"/>
      <c r="E807" s="2"/>
      <c r="F807" s="2"/>
      <c r="G807" s="14"/>
      <c r="H807" s="14"/>
      <c r="I807" s="14"/>
      <c r="J807" s="14"/>
      <c r="K807" s="1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8"/>
      <c r="BU807" s="8"/>
      <c r="BV807" s="1"/>
      <c r="BW807" s="1"/>
      <c r="BX807" s="1"/>
      <c r="BY807" s="1"/>
      <c r="BZ807" s="1"/>
    </row>
    <row r="808">
      <c r="A808" s="3"/>
      <c r="B808" s="33"/>
      <c r="C808" s="3"/>
      <c r="D808" s="3"/>
      <c r="E808" s="2"/>
      <c r="F808" s="2"/>
      <c r="G808" s="14"/>
      <c r="H808" s="14"/>
      <c r="I808" s="14"/>
      <c r="J808" s="14"/>
      <c r="K808" s="1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8"/>
      <c r="BU808" s="8"/>
      <c r="BV808" s="1"/>
      <c r="BW808" s="1"/>
      <c r="BX808" s="1"/>
      <c r="BY808" s="1"/>
      <c r="BZ808" s="1"/>
    </row>
    <row r="809">
      <c r="A809" s="3"/>
      <c r="B809" s="33"/>
      <c r="C809" s="3"/>
      <c r="D809" s="3"/>
      <c r="E809" s="2"/>
      <c r="F809" s="2"/>
      <c r="G809" s="14"/>
      <c r="H809" s="14"/>
      <c r="I809" s="14"/>
      <c r="J809" s="14"/>
      <c r="K809" s="1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8"/>
      <c r="BU809" s="8"/>
      <c r="BV809" s="1"/>
      <c r="BW809" s="1"/>
      <c r="BX809" s="1"/>
      <c r="BY809" s="1"/>
      <c r="BZ809" s="1"/>
    </row>
    <row r="810">
      <c r="A810" s="3"/>
      <c r="B810" s="33"/>
      <c r="C810" s="3"/>
      <c r="D810" s="3"/>
      <c r="E810" s="2"/>
      <c r="F810" s="2"/>
      <c r="G810" s="14"/>
      <c r="H810" s="14"/>
      <c r="I810" s="14"/>
      <c r="J810" s="14"/>
      <c r="K810" s="1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8"/>
      <c r="BU810" s="8"/>
      <c r="BV810" s="1"/>
      <c r="BW810" s="1"/>
      <c r="BX810" s="1"/>
      <c r="BY810" s="1"/>
      <c r="BZ810" s="1"/>
    </row>
    <row r="811">
      <c r="A811" s="3"/>
      <c r="B811" s="33"/>
      <c r="C811" s="3"/>
      <c r="D811" s="3"/>
      <c r="E811" s="2"/>
      <c r="F811" s="2"/>
      <c r="G811" s="14"/>
      <c r="H811" s="14"/>
      <c r="I811" s="14"/>
      <c r="J811" s="14"/>
      <c r="K811" s="1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8"/>
      <c r="BU811" s="8"/>
      <c r="BV811" s="1"/>
      <c r="BW811" s="1"/>
      <c r="BX811" s="1"/>
      <c r="BY811" s="1"/>
      <c r="BZ811" s="1"/>
    </row>
    <row r="812">
      <c r="A812" s="3"/>
      <c r="B812" s="33"/>
      <c r="C812" s="3"/>
      <c r="D812" s="3"/>
      <c r="E812" s="2"/>
      <c r="F812" s="2"/>
      <c r="G812" s="14"/>
      <c r="H812" s="14"/>
      <c r="I812" s="14"/>
      <c r="J812" s="14"/>
      <c r="K812" s="1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8"/>
      <c r="BU812" s="8"/>
      <c r="BV812" s="1"/>
      <c r="BW812" s="1"/>
      <c r="BX812" s="1"/>
      <c r="BY812" s="1"/>
      <c r="BZ812" s="1"/>
    </row>
    <row r="813">
      <c r="A813" s="3"/>
      <c r="B813" s="33"/>
      <c r="C813" s="3"/>
      <c r="D813" s="3"/>
      <c r="E813" s="2"/>
      <c r="F813" s="2"/>
      <c r="G813" s="14"/>
      <c r="H813" s="14"/>
      <c r="I813" s="14"/>
      <c r="J813" s="14"/>
      <c r="K813" s="1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8"/>
      <c r="BU813" s="8"/>
      <c r="BV813" s="1"/>
      <c r="BW813" s="1"/>
      <c r="BX813" s="1"/>
      <c r="BY813" s="1"/>
      <c r="BZ813" s="1"/>
    </row>
    <row r="814">
      <c r="A814" s="3"/>
      <c r="B814" s="33"/>
      <c r="C814" s="3"/>
      <c r="D814" s="3"/>
      <c r="E814" s="2"/>
      <c r="F814" s="2"/>
      <c r="G814" s="14"/>
      <c r="H814" s="14"/>
      <c r="I814" s="14"/>
      <c r="J814" s="14"/>
      <c r="K814" s="1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8"/>
      <c r="BU814" s="8"/>
      <c r="BV814" s="1"/>
      <c r="BW814" s="1"/>
      <c r="BX814" s="1"/>
      <c r="BY814" s="1"/>
      <c r="BZ814" s="1"/>
    </row>
    <row r="815">
      <c r="A815" s="3"/>
      <c r="B815" s="33"/>
      <c r="C815" s="3"/>
      <c r="D815" s="3"/>
      <c r="E815" s="2"/>
      <c r="F815" s="2"/>
      <c r="G815" s="14"/>
      <c r="H815" s="14"/>
      <c r="I815" s="14"/>
      <c r="J815" s="14"/>
      <c r="K815" s="1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8"/>
      <c r="BU815" s="8"/>
      <c r="BV815" s="1"/>
      <c r="BW815" s="1"/>
      <c r="BX815" s="1"/>
      <c r="BY815" s="1"/>
      <c r="BZ815" s="1"/>
    </row>
    <row r="816">
      <c r="A816" s="3"/>
      <c r="B816" s="33"/>
      <c r="C816" s="3"/>
      <c r="D816" s="3"/>
      <c r="E816" s="2"/>
      <c r="F816" s="2"/>
      <c r="G816" s="14"/>
      <c r="H816" s="14"/>
      <c r="I816" s="14"/>
      <c r="J816" s="14"/>
      <c r="K816" s="1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8"/>
      <c r="BU816" s="8"/>
      <c r="BV816" s="1"/>
      <c r="BW816" s="1"/>
      <c r="BX816" s="1"/>
      <c r="BY816" s="1"/>
      <c r="BZ816" s="1"/>
    </row>
    <row r="817">
      <c r="A817" s="3"/>
      <c r="B817" s="33"/>
      <c r="C817" s="3"/>
      <c r="D817" s="3"/>
      <c r="E817" s="2"/>
      <c r="F817" s="2"/>
      <c r="G817" s="14"/>
      <c r="H817" s="14"/>
      <c r="I817" s="14"/>
      <c r="J817" s="14"/>
      <c r="K817" s="1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8"/>
      <c r="BU817" s="8"/>
      <c r="BV817" s="1"/>
      <c r="BW817" s="1"/>
      <c r="BX817" s="1"/>
      <c r="BY817" s="1"/>
      <c r="BZ817" s="1"/>
    </row>
    <row r="818">
      <c r="A818" s="3"/>
      <c r="B818" s="33"/>
      <c r="C818" s="3"/>
      <c r="D818" s="3"/>
      <c r="E818" s="2"/>
      <c r="F818" s="2"/>
      <c r="G818" s="14"/>
      <c r="H818" s="14"/>
      <c r="I818" s="14"/>
      <c r="J818" s="14"/>
      <c r="K818" s="1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8"/>
      <c r="BU818" s="8"/>
      <c r="BV818" s="1"/>
      <c r="BW818" s="1"/>
      <c r="BX818" s="1"/>
      <c r="BY818" s="1"/>
      <c r="BZ818" s="1"/>
    </row>
    <row r="819">
      <c r="A819" s="3"/>
      <c r="B819" s="33"/>
      <c r="C819" s="3"/>
      <c r="D819" s="3"/>
      <c r="E819" s="2"/>
      <c r="F819" s="2"/>
      <c r="G819" s="14"/>
      <c r="H819" s="14"/>
      <c r="I819" s="14"/>
      <c r="J819" s="14"/>
      <c r="K819" s="1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8"/>
      <c r="BU819" s="8"/>
      <c r="BV819" s="1"/>
      <c r="BW819" s="1"/>
      <c r="BX819" s="1"/>
      <c r="BY819" s="1"/>
      <c r="BZ819" s="1"/>
    </row>
    <row r="820">
      <c r="A820" s="3"/>
      <c r="B820" s="33"/>
      <c r="C820" s="3"/>
      <c r="D820" s="3"/>
      <c r="E820" s="2"/>
      <c r="F820" s="2"/>
      <c r="G820" s="14"/>
      <c r="H820" s="14"/>
      <c r="I820" s="14"/>
      <c r="J820" s="14"/>
      <c r="K820" s="1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8"/>
      <c r="BU820" s="8"/>
      <c r="BV820" s="1"/>
      <c r="BW820" s="1"/>
      <c r="BX820" s="1"/>
      <c r="BY820" s="1"/>
      <c r="BZ820" s="1"/>
    </row>
    <row r="821">
      <c r="A821" s="3"/>
      <c r="B821" s="33"/>
      <c r="C821" s="3"/>
      <c r="D821" s="3"/>
      <c r="E821" s="2"/>
      <c r="F821" s="2"/>
      <c r="G821" s="14"/>
      <c r="H821" s="14"/>
      <c r="I821" s="14"/>
      <c r="J821" s="14"/>
      <c r="K821" s="1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8"/>
      <c r="BU821" s="8"/>
      <c r="BV821" s="1"/>
      <c r="BW821" s="1"/>
      <c r="BX821" s="1"/>
      <c r="BY821" s="1"/>
      <c r="BZ821" s="1"/>
    </row>
    <row r="822">
      <c r="A822" s="3"/>
      <c r="B822" s="33"/>
      <c r="C822" s="3"/>
      <c r="D822" s="3"/>
      <c r="E822" s="2"/>
      <c r="F822" s="2"/>
      <c r="G822" s="14"/>
      <c r="H822" s="14"/>
      <c r="I822" s="14"/>
      <c r="J822" s="14"/>
      <c r="K822" s="1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8"/>
      <c r="BU822" s="8"/>
      <c r="BV822" s="1"/>
      <c r="BW822" s="1"/>
      <c r="BX822" s="1"/>
      <c r="BY822" s="1"/>
      <c r="BZ822" s="1"/>
    </row>
    <row r="823">
      <c r="A823" s="3"/>
      <c r="B823" s="33"/>
      <c r="C823" s="3"/>
      <c r="D823" s="3"/>
      <c r="E823" s="2"/>
      <c r="F823" s="2"/>
      <c r="G823" s="14"/>
      <c r="H823" s="14"/>
      <c r="I823" s="14"/>
      <c r="J823" s="14"/>
      <c r="K823" s="1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8"/>
      <c r="BU823" s="8"/>
      <c r="BV823" s="1"/>
      <c r="BW823" s="1"/>
      <c r="BX823" s="1"/>
      <c r="BY823" s="1"/>
      <c r="BZ823" s="1"/>
    </row>
    <row r="824">
      <c r="A824" s="3"/>
      <c r="B824" s="33"/>
      <c r="C824" s="3"/>
      <c r="D824" s="3"/>
      <c r="E824" s="2"/>
      <c r="F824" s="2"/>
      <c r="G824" s="14"/>
      <c r="H824" s="14"/>
      <c r="I824" s="14"/>
      <c r="J824" s="14"/>
      <c r="K824" s="1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8"/>
      <c r="BU824" s="8"/>
      <c r="BV824" s="1"/>
      <c r="BW824" s="1"/>
      <c r="BX824" s="1"/>
      <c r="BY824" s="1"/>
      <c r="BZ824" s="1"/>
    </row>
    <row r="825">
      <c r="A825" s="3"/>
      <c r="B825" s="33"/>
      <c r="C825" s="3"/>
      <c r="D825" s="3"/>
      <c r="E825" s="2"/>
      <c r="F825" s="2"/>
      <c r="G825" s="14"/>
      <c r="H825" s="14"/>
      <c r="I825" s="14"/>
      <c r="J825" s="14"/>
      <c r="K825" s="1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8"/>
      <c r="BU825" s="8"/>
      <c r="BV825" s="1"/>
      <c r="BW825" s="1"/>
      <c r="BX825" s="1"/>
      <c r="BY825" s="1"/>
      <c r="BZ825" s="1"/>
    </row>
    <row r="826">
      <c r="A826" s="3"/>
      <c r="B826" s="33"/>
      <c r="C826" s="3"/>
      <c r="D826" s="3"/>
      <c r="E826" s="2"/>
      <c r="F826" s="2"/>
      <c r="G826" s="14"/>
      <c r="H826" s="14"/>
      <c r="I826" s="14"/>
      <c r="J826" s="14"/>
      <c r="K826" s="1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8"/>
      <c r="BU826" s="8"/>
      <c r="BV826" s="1"/>
      <c r="BW826" s="1"/>
      <c r="BX826" s="1"/>
      <c r="BY826" s="1"/>
      <c r="BZ826" s="1"/>
    </row>
    <row r="827">
      <c r="A827" s="3"/>
      <c r="B827" s="33"/>
      <c r="C827" s="3"/>
      <c r="D827" s="3"/>
      <c r="E827" s="2"/>
      <c r="F827" s="2"/>
      <c r="G827" s="14"/>
      <c r="H827" s="14"/>
      <c r="I827" s="14"/>
      <c r="J827" s="14"/>
      <c r="K827" s="1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8"/>
      <c r="BU827" s="8"/>
      <c r="BV827" s="1"/>
      <c r="BW827" s="1"/>
      <c r="BX827" s="1"/>
      <c r="BY827" s="1"/>
      <c r="BZ827" s="1"/>
    </row>
    <row r="828">
      <c r="A828" s="3"/>
      <c r="B828" s="33"/>
      <c r="C828" s="3"/>
      <c r="D828" s="3"/>
      <c r="E828" s="2"/>
      <c r="F828" s="2"/>
      <c r="G828" s="14"/>
      <c r="H828" s="14"/>
      <c r="I828" s="14"/>
      <c r="J828" s="14"/>
      <c r="K828" s="1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8"/>
      <c r="BU828" s="8"/>
      <c r="BV828" s="1"/>
      <c r="BW828" s="1"/>
      <c r="BX828" s="1"/>
      <c r="BY828" s="1"/>
      <c r="BZ828" s="1"/>
    </row>
    <row r="829">
      <c r="A829" s="3"/>
      <c r="B829" s="33"/>
      <c r="C829" s="3"/>
      <c r="D829" s="3"/>
      <c r="E829" s="2"/>
      <c r="F829" s="2"/>
      <c r="G829" s="14"/>
      <c r="H829" s="14"/>
      <c r="I829" s="14"/>
      <c r="J829" s="14"/>
      <c r="K829" s="1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8"/>
      <c r="BU829" s="8"/>
      <c r="BV829" s="1"/>
      <c r="BW829" s="1"/>
      <c r="BX829" s="1"/>
      <c r="BY829" s="1"/>
      <c r="BZ829" s="1"/>
    </row>
    <row r="830">
      <c r="A830" s="3"/>
      <c r="B830" s="33"/>
      <c r="C830" s="3"/>
      <c r="D830" s="3"/>
      <c r="E830" s="2"/>
      <c r="F830" s="2"/>
      <c r="G830" s="14"/>
      <c r="H830" s="14"/>
      <c r="I830" s="14"/>
      <c r="J830" s="14"/>
      <c r="K830" s="1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8"/>
      <c r="BU830" s="8"/>
      <c r="BV830" s="1"/>
      <c r="BW830" s="1"/>
      <c r="BX830" s="1"/>
      <c r="BY830" s="1"/>
      <c r="BZ830" s="1"/>
    </row>
    <row r="831">
      <c r="A831" s="3"/>
      <c r="B831" s="33"/>
      <c r="C831" s="3"/>
      <c r="D831" s="3"/>
      <c r="E831" s="2"/>
      <c r="F831" s="2"/>
      <c r="G831" s="14"/>
      <c r="H831" s="14"/>
      <c r="I831" s="14"/>
      <c r="J831" s="14"/>
      <c r="K831" s="1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8"/>
      <c r="BU831" s="8"/>
      <c r="BV831" s="1"/>
      <c r="BW831" s="1"/>
      <c r="BX831" s="1"/>
      <c r="BY831" s="1"/>
      <c r="BZ831" s="1"/>
    </row>
    <row r="832">
      <c r="A832" s="3"/>
      <c r="B832" s="33"/>
      <c r="C832" s="3"/>
      <c r="D832" s="3"/>
      <c r="E832" s="2"/>
      <c r="F832" s="2"/>
      <c r="G832" s="14"/>
      <c r="H832" s="14"/>
      <c r="I832" s="14"/>
      <c r="J832" s="14"/>
      <c r="K832" s="1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8"/>
      <c r="BU832" s="8"/>
      <c r="BV832" s="1"/>
      <c r="BW832" s="1"/>
      <c r="BX832" s="1"/>
      <c r="BY832" s="1"/>
      <c r="BZ832" s="1"/>
    </row>
    <row r="833">
      <c r="A833" s="3"/>
      <c r="B833" s="33"/>
      <c r="C833" s="3"/>
      <c r="D833" s="3"/>
      <c r="E833" s="2"/>
      <c r="F833" s="2"/>
      <c r="G833" s="14"/>
      <c r="H833" s="14"/>
      <c r="I833" s="14"/>
      <c r="J833" s="14"/>
      <c r="K833" s="1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8"/>
      <c r="BU833" s="8"/>
      <c r="BV833" s="1"/>
      <c r="BW833" s="1"/>
      <c r="BX833" s="1"/>
      <c r="BY833" s="1"/>
      <c r="BZ833" s="1"/>
    </row>
    <row r="834">
      <c r="A834" s="3"/>
      <c r="B834" s="33"/>
      <c r="C834" s="3"/>
      <c r="D834" s="3"/>
      <c r="E834" s="2"/>
      <c r="F834" s="2"/>
      <c r="G834" s="14"/>
      <c r="H834" s="14"/>
      <c r="I834" s="14"/>
      <c r="J834" s="14"/>
      <c r="K834" s="1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8"/>
      <c r="BU834" s="8"/>
      <c r="BV834" s="1"/>
      <c r="BW834" s="1"/>
      <c r="BX834" s="1"/>
      <c r="BY834" s="1"/>
      <c r="BZ834" s="1"/>
    </row>
    <row r="835">
      <c r="A835" s="3"/>
      <c r="B835" s="33"/>
      <c r="C835" s="3"/>
      <c r="D835" s="3"/>
      <c r="E835" s="2"/>
      <c r="F835" s="2"/>
      <c r="G835" s="14"/>
      <c r="H835" s="14"/>
      <c r="I835" s="14"/>
      <c r="J835" s="14"/>
      <c r="K835" s="1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8"/>
      <c r="BU835" s="8"/>
      <c r="BV835" s="1"/>
      <c r="BW835" s="1"/>
      <c r="BX835" s="1"/>
      <c r="BY835" s="1"/>
      <c r="BZ835" s="1"/>
    </row>
    <row r="836">
      <c r="A836" s="3"/>
      <c r="B836" s="33"/>
      <c r="C836" s="3"/>
      <c r="D836" s="3"/>
      <c r="E836" s="2"/>
      <c r="F836" s="2"/>
      <c r="G836" s="14"/>
      <c r="H836" s="14"/>
      <c r="I836" s="14"/>
      <c r="J836" s="14"/>
      <c r="K836" s="1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8"/>
      <c r="BU836" s="8"/>
      <c r="BV836" s="1"/>
      <c r="BW836" s="1"/>
      <c r="BX836" s="1"/>
      <c r="BY836" s="1"/>
      <c r="BZ836" s="1"/>
    </row>
    <row r="837">
      <c r="A837" s="3"/>
      <c r="B837" s="33"/>
      <c r="C837" s="3"/>
      <c r="D837" s="3"/>
      <c r="E837" s="2"/>
      <c r="F837" s="2"/>
      <c r="G837" s="14"/>
      <c r="H837" s="14"/>
      <c r="I837" s="14"/>
      <c r="J837" s="14"/>
      <c r="K837" s="1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8"/>
      <c r="BU837" s="8"/>
      <c r="BV837" s="1"/>
      <c r="BW837" s="1"/>
      <c r="BX837" s="1"/>
      <c r="BY837" s="1"/>
      <c r="BZ837" s="1"/>
    </row>
    <row r="838">
      <c r="A838" s="3"/>
      <c r="B838" s="33"/>
      <c r="C838" s="3"/>
      <c r="D838" s="3"/>
      <c r="E838" s="2"/>
      <c r="F838" s="2"/>
      <c r="G838" s="14"/>
      <c r="H838" s="14"/>
      <c r="I838" s="14"/>
      <c r="J838" s="14"/>
      <c r="K838" s="1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8"/>
      <c r="BU838" s="8"/>
      <c r="BV838" s="1"/>
      <c r="BW838" s="1"/>
      <c r="BX838" s="1"/>
      <c r="BY838" s="1"/>
      <c r="BZ838" s="1"/>
    </row>
    <row r="839">
      <c r="A839" s="3"/>
      <c r="B839" s="33"/>
      <c r="C839" s="3"/>
      <c r="D839" s="3"/>
      <c r="E839" s="2"/>
      <c r="F839" s="2"/>
      <c r="G839" s="14"/>
      <c r="H839" s="14"/>
      <c r="I839" s="14"/>
      <c r="J839" s="14"/>
      <c r="K839" s="1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8"/>
      <c r="BU839" s="8"/>
      <c r="BV839" s="1"/>
      <c r="BW839" s="1"/>
      <c r="BX839" s="1"/>
      <c r="BY839" s="1"/>
      <c r="BZ839" s="1"/>
    </row>
    <row r="840">
      <c r="A840" s="3"/>
      <c r="B840" s="33"/>
      <c r="C840" s="3"/>
      <c r="D840" s="3"/>
      <c r="E840" s="2"/>
      <c r="F840" s="2"/>
      <c r="G840" s="14"/>
      <c r="H840" s="14"/>
      <c r="I840" s="14"/>
      <c r="J840" s="14"/>
      <c r="K840" s="1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8"/>
      <c r="BU840" s="8"/>
      <c r="BV840" s="1"/>
      <c r="BW840" s="1"/>
      <c r="BX840" s="1"/>
      <c r="BY840" s="1"/>
      <c r="BZ840" s="1"/>
    </row>
    <row r="841">
      <c r="A841" s="3"/>
      <c r="B841" s="33"/>
      <c r="C841" s="3"/>
      <c r="D841" s="3"/>
      <c r="E841" s="2"/>
      <c r="F841" s="2"/>
      <c r="G841" s="14"/>
      <c r="H841" s="14"/>
      <c r="I841" s="14"/>
      <c r="J841" s="14"/>
      <c r="K841" s="1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8"/>
      <c r="BU841" s="8"/>
      <c r="BV841" s="1"/>
      <c r="BW841" s="1"/>
      <c r="BX841" s="1"/>
      <c r="BY841" s="1"/>
      <c r="BZ841" s="1"/>
    </row>
    <row r="842">
      <c r="A842" s="3"/>
      <c r="B842" s="33"/>
      <c r="C842" s="3"/>
      <c r="D842" s="3"/>
      <c r="E842" s="2"/>
      <c r="F842" s="2"/>
      <c r="G842" s="14"/>
      <c r="H842" s="14"/>
      <c r="I842" s="14"/>
      <c r="J842" s="14"/>
      <c r="K842" s="1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8"/>
      <c r="BU842" s="8"/>
      <c r="BV842" s="1"/>
      <c r="BW842" s="1"/>
      <c r="BX842" s="1"/>
      <c r="BY842" s="1"/>
      <c r="BZ842" s="1"/>
    </row>
    <row r="843">
      <c r="A843" s="3"/>
      <c r="B843" s="33"/>
      <c r="C843" s="3"/>
      <c r="D843" s="3"/>
      <c r="E843" s="2"/>
      <c r="F843" s="2"/>
      <c r="G843" s="14"/>
      <c r="H843" s="14"/>
      <c r="I843" s="14"/>
      <c r="J843" s="14"/>
      <c r="K843" s="1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8"/>
      <c r="BU843" s="8"/>
      <c r="BV843" s="1"/>
      <c r="BW843" s="1"/>
      <c r="BX843" s="1"/>
      <c r="BY843" s="1"/>
      <c r="BZ843" s="1"/>
    </row>
    <row r="844">
      <c r="A844" s="3"/>
      <c r="B844" s="33"/>
      <c r="C844" s="3"/>
      <c r="D844" s="3"/>
      <c r="E844" s="2"/>
      <c r="F844" s="2"/>
      <c r="G844" s="14"/>
      <c r="H844" s="14"/>
      <c r="I844" s="14"/>
      <c r="J844" s="14"/>
      <c r="K844" s="1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8"/>
      <c r="BU844" s="8"/>
      <c r="BV844" s="1"/>
      <c r="BW844" s="1"/>
      <c r="BX844" s="1"/>
      <c r="BY844" s="1"/>
      <c r="BZ844" s="1"/>
    </row>
    <row r="845">
      <c r="A845" s="3"/>
      <c r="B845" s="33"/>
      <c r="C845" s="3"/>
      <c r="D845" s="3"/>
      <c r="E845" s="2"/>
      <c r="F845" s="2"/>
      <c r="G845" s="14"/>
      <c r="H845" s="14"/>
      <c r="I845" s="14"/>
      <c r="J845" s="14"/>
      <c r="K845" s="1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8"/>
      <c r="BU845" s="8"/>
      <c r="BV845" s="1"/>
      <c r="BW845" s="1"/>
      <c r="BX845" s="1"/>
      <c r="BY845" s="1"/>
      <c r="BZ845" s="1"/>
    </row>
    <row r="846">
      <c r="A846" s="3"/>
      <c r="B846" s="33"/>
      <c r="C846" s="3"/>
      <c r="D846" s="3"/>
      <c r="E846" s="2"/>
      <c r="F846" s="2"/>
      <c r="G846" s="14"/>
      <c r="H846" s="14"/>
      <c r="I846" s="14"/>
      <c r="J846" s="14"/>
      <c r="K846" s="1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8"/>
      <c r="BU846" s="8"/>
      <c r="BV846" s="1"/>
      <c r="BW846" s="1"/>
      <c r="BX846" s="1"/>
      <c r="BY846" s="1"/>
      <c r="BZ846" s="1"/>
    </row>
    <row r="847">
      <c r="A847" s="3"/>
      <c r="B847" s="33"/>
      <c r="C847" s="3"/>
      <c r="D847" s="3"/>
      <c r="E847" s="2"/>
      <c r="F847" s="2"/>
      <c r="G847" s="14"/>
      <c r="H847" s="14"/>
      <c r="I847" s="14"/>
      <c r="J847" s="14"/>
      <c r="K847" s="1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8"/>
      <c r="BU847" s="8"/>
      <c r="BV847" s="1"/>
      <c r="BW847" s="1"/>
      <c r="BX847" s="1"/>
      <c r="BY847" s="1"/>
      <c r="BZ847" s="1"/>
    </row>
    <row r="848">
      <c r="A848" s="3"/>
      <c r="B848" s="33"/>
      <c r="C848" s="3"/>
      <c r="D848" s="3"/>
      <c r="E848" s="2"/>
      <c r="F848" s="2"/>
      <c r="G848" s="14"/>
      <c r="H848" s="14"/>
      <c r="I848" s="14"/>
      <c r="J848" s="14"/>
      <c r="K848" s="1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8"/>
      <c r="BU848" s="8"/>
      <c r="BV848" s="1"/>
      <c r="BW848" s="1"/>
      <c r="BX848" s="1"/>
      <c r="BY848" s="1"/>
      <c r="BZ848" s="1"/>
    </row>
    <row r="849">
      <c r="A849" s="3"/>
      <c r="B849" s="33"/>
      <c r="C849" s="3"/>
      <c r="D849" s="3"/>
      <c r="E849" s="2"/>
      <c r="F849" s="2"/>
      <c r="G849" s="14"/>
      <c r="H849" s="14"/>
      <c r="I849" s="14"/>
      <c r="J849" s="14"/>
      <c r="K849" s="1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8"/>
      <c r="BU849" s="8"/>
      <c r="BV849" s="1"/>
      <c r="BW849" s="1"/>
      <c r="BX849" s="1"/>
      <c r="BY849" s="1"/>
      <c r="BZ849" s="1"/>
    </row>
    <row r="850">
      <c r="A850" s="3"/>
      <c r="B850" s="33"/>
      <c r="C850" s="3"/>
      <c r="D850" s="3"/>
      <c r="E850" s="2"/>
      <c r="F850" s="2"/>
      <c r="G850" s="14"/>
      <c r="H850" s="14"/>
      <c r="I850" s="14"/>
      <c r="J850" s="14"/>
      <c r="K850" s="1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8"/>
      <c r="BU850" s="8"/>
      <c r="BV850" s="1"/>
      <c r="BW850" s="1"/>
      <c r="BX850" s="1"/>
      <c r="BY850" s="1"/>
      <c r="BZ850" s="1"/>
    </row>
    <row r="851">
      <c r="A851" s="3"/>
      <c r="B851" s="33"/>
      <c r="C851" s="3"/>
      <c r="D851" s="3"/>
      <c r="E851" s="2"/>
      <c r="F851" s="2"/>
      <c r="G851" s="14"/>
      <c r="H851" s="14"/>
      <c r="I851" s="14"/>
      <c r="J851" s="14"/>
      <c r="K851" s="1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8"/>
      <c r="BU851" s="8"/>
      <c r="BV851" s="1"/>
      <c r="BW851" s="1"/>
      <c r="BX851" s="1"/>
      <c r="BY851" s="1"/>
      <c r="BZ851" s="1"/>
    </row>
    <row r="852">
      <c r="A852" s="3"/>
      <c r="B852" s="33"/>
      <c r="C852" s="3"/>
      <c r="D852" s="3"/>
      <c r="E852" s="2"/>
      <c r="F852" s="2"/>
      <c r="G852" s="14"/>
      <c r="H852" s="14"/>
      <c r="I852" s="14"/>
      <c r="J852" s="14"/>
      <c r="K852" s="1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8"/>
      <c r="BU852" s="8"/>
      <c r="BV852" s="1"/>
      <c r="BW852" s="1"/>
      <c r="BX852" s="1"/>
      <c r="BY852" s="1"/>
      <c r="BZ852" s="1"/>
    </row>
    <row r="853">
      <c r="A853" s="3"/>
      <c r="B853" s="33"/>
      <c r="C853" s="3"/>
      <c r="D853" s="3"/>
      <c r="E853" s="2"/>
      <c r="F853" s="2"/>
      <c r="G853" s="14"/>
      <c r="H853" s="14"/>
      <c r="I853" s="14"/>
      <c r="J853" s="14"/>
      <c r="K853" s="1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8"/>
      <c r="BU853" s="8"/>
      <c r="BV853" s="1"/>
      <c r="BW853" s="1"/>
      <c r="BX853" s="1"/>
      <c r="BY853" s="1"/>
      <c r="BZ853" s="1"/>
    </row>
    <row r="854">
      <c r="A854" s="3"/>
      <c r="B854" s="33"/>
      <c r="C854" s="3"/>
      <c r="D854" s="3"/>
      <c r="E854" s="2"/>
      <c r="F854" s="2"/>
      <c r="G854" s="14"/>
      <c r="H854" s="14"/>
      <c r="I854" s="14"/>
      <c r="J854" s="14"/>
      <c r="K854" s="1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8"/>
      <c r="BU854" s="8"/>
      <c r="BV854" s="1"/>
      <c r="BW854" s="1"/>
      <c r="BX854" s="1"/>
      <c r="BY854" s="1"/>
      <c r="BZ854" s="1"/>
    </row>
    <row r="855">
      <c r="A855" s="3"/>
      <c r="B855" s="33"/>
      <c r="C855" s="3"/>
      <c r="D855" s="3"/>
      <c r="E855" s="2"/>
      <c r="F855" s="2"/>
      <c r="G855" s="14"/>
      <c r="H855" s="14"/>
      <c r="I855" s="14"/>
      <c r="J855" s="14"/>
      <c r="K855" s="1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8"/>
      <c r="BU855" s="8"/>
      <c r="BV855" s="1"/>
      <c r="BW855" s="1"/>
      <c r="BX855" s="1"/>
      <c r="BY855" s="1"/>
      <c r="BZ855" s="1"/>
    </row>
    <row r="856">
      <c r="A856" s="3"/>
      <c r="B856" s="33"/>
      <c r="C856" s="3"/>
      <c r="D856" s="3"/>
      <c r="E856" s="2"/>
      <c r="F856" s="2"/>
      <c r="G856" s="14"/>
      <c r="H856" s="14"/>
      <c r="I856" s="14"/>
      <c r="J856" s="14"/>
      <c r="K856" s="1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8"/>
      <c r="BU856" s="8"/>
      <c r="BV856" s="1"/>
      <c r="BW856" s="1"/>
      <c r="BX856" s="1"/>
      <c r="BY856" s="1"/>
      <c r="BZ856" s="1"/>
    </row>
    <row r="857">
      <c r="A857" s="3"/>
      <c r="B857" s="33"/>
      <c r="C857" s="3"/>
      <c r="D857" s="3"/>
      <c r="E857" s="2"/>
      <c r="F857" s="2"/>
      <c r="G857" s="14"/>
      <c r="H857" s="14"/>
      <c r="I857" s="14"/>
      <c r="J857" s="14"/>
      <c r="K857" s="1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8"/>
      <c r="BU857" s="8"/>
      <c r="BV857" s="1"/>
      <c r="BW857" s="1"/>
      <c r="BX857" s="1"/>
      <c r="BY857" s="1"/>
      <c r="BZ857" s="1"/>
    </row>
    <row r="858">
      <c r="A858" s="3"/>
      <c r="B858" s="33"/>
      <c r="C858" s="3"/>
      <c r="D858" s="3"/>
      <c r="E858" s="2"/>
      <c r="F858" s="2"/>
      <c r="G858" s="14"/>
      <c r="H858" s="14"/>
      <c r="I858" s="14"/>
      <c r="J858" s="14"/>
      <c r="K858" s="1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8"/>
      <c r="BU858" s="8"/>
      <c r="BV858" s="1"/>
      <c r="BW858" s="1"/>
      <c r="BX858" s="1"/>
      <c r="BY858" s="1"/>
      <c r="BZ858" s="1"/>
    </row>
    <row r="859">
      <c r="A859" s="3"/>
      <c r="B859" s="33"/>
      <c r="C859" s="3"/>
      <c r="D859" s="3"/>
      <c r="E859" s="2"/>
      <c r="F859" s="2"/>
      <c r="G859" s="14"/>
      <c r="H859" s="14"/>
      <c r="I859" s="14"/>
      <c r="J859" s="14"/>
      <c r="K859" s="1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8"/>
      <c r="BU859" s="8"/>
      <c r="BV859" s="1"/>
      <c r="BW859" s="1"/>
      <c r="BX859" s="1"/>
      <c r="BY859" s="1"/>
      <c r="BZ859" s="1"/>
    </row>
    <row r="860">
      <c r="A860" s="3"/>
      <c r="B860" s="33"/>
      <c r="C860" s="3"/>
      <c r="D860" s="3"/>
      <c r="E860" s="2"/>
      <c r="F860" s="2"/>
      <c r="G860" s="14"/>
      <c r="H860" s="14"/>
      <c r="I860" s="14"/>
      <c r="J860" s="14"/>
      <c r="K860" s="1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8"/>
      <c r="BU860" s="8"/>
      <c r="BV860" s="1"/>
      <c r="BW860" s="1"/>
      <c r="BX860" s="1"/>
      <c r="BY860" s="1"/>
      <c r="BZ860" s="1"/>
    </row>
    <row r="861">
      <c r="A861" s="3"/>
      <c r="B861" s="33"/>
      <c r="C861" s="3"/>
      <c r="D861" s="3"/>
      <c r="E861" s="2"/>
      <c r="F861" s="2"/>
      <c r="G861" s="14"/>
      <c r="H861" s="14"/>
      <c r="I861" s="14"/>
      <c r="J861" s="14"/>
      <c r="K861" s="1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8"/>
      <c r="BU861" s="8"/>
      <c r="BV861" s="1"/>
      <c r="BW861" s="1"/>
      <c r="BX861" s="1"/>
      <c r="BY861" s="1"/>
      <c r="BZ861" s="1"/>
    </row>
    <row r="862">
      <c r="A862" s="3"/>
      <c r="B862" s="33"/>
      <c r="C862" s="3"/>
      <c r="D862" s="3"/>
      <c r="E862" s="2"/>
      <c r="F862" s="2"/>
      <c r="G862" s="14"/>
      <c r="H862" s="14"/>
      <c r="I862" s="14"/>
      <c r="J862" s="14"/>
      <c r="K862" s="1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8"/>
      <c r="BU862" s="8"/>
      <c r="BV862" s="1"/>
      <c r="BW862" s="1"/>
      <c r="BX862" s="1"/>
      <c r="BY862" s="1"/>
      <c r="BZ862" s="1"/>
    </row>
    <row r="863">
      <c r="A863" s="3"/>
      <c r="B863" s="33"/>
      <c r="C863" s="3"/>
      <c r="D863" s="3"/>
      <c r="E863" s="2"/>
      <c r="F863" s="2"/>
      <c r="G863" s="14"/>
      <c r="H863" s="14"/>
      <c r="I863" s="14"/>
      <c r="J863" s="14"/>
      <c r="K863" s="1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8"/>
      <c r="BU863" s="8"/>
      <c r="BV863" s="1"/>
      <c r="BW863" s="1"/>
      <c r="BX863" s="1"/>
      <c r="BY863" s="1"/>
      <c r="BZ863" s="1"/>
    </row>
    <row r="864">
      <c r="A864" s="3"/>
      <c r="B864" s="33"/>
      <c r="C864" s="3"/>
      <c r="D864" s="3"/>
      <c r="E864" s="2"/>
      <c r="F864" s="2"/>
      <c r="G864" s="14"/>
      <c r="H864" s="14"/>
      <c r="I864" s="14"/>
      <c r="J864" s="14"/>
      <c r="K864" s="1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8"/>
      <c r="BU864" s="8"/>
      <c r="BV864" s="1"/>
      <c r="BW864" s="1"/>
      <c r="BX864" s="1"/>
      <c r="BY864" s="1"/>
      <c r="BZ864" s="1"/>
    </row>
    <row r="865">
      <c r="A865" s="3"/>
      <c r="B865" s="33"/>
      <c r="C865" s="3"/>
      <c r="D865" s="3"/>
      <c r="E865" s="2"/>
      <c r="F865" s="2"/>
      <c r="G865" s="14"/>
      <c r="H865" s="14"/>
      <c r="I865" s="14"/>
      <c r="J865" s="14"/>
      <c r="K865" s="1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8"/>
      <c r="BU865" s="8"/>
      <c r="BV865" s="1"/>
      <c r="BW865" s="1"/>
      <c r="BX865" s="1"/>
      <c r="BY865" s="1"/>
      <c r="BZ865" s="1"/>
    </row>
    <row r="866">
      <c r="A866" s="3"/>
      <c r="B866" s="33"/>
      <c r="C866" s="3"/>
      <c r="D866" s="3"/>
      <c r="E866" s="2"/>
      <c r="F866" s="2"/>
      <c r="G866" s="14"/>
      <c r="H866" s="14"/>
      <c r="I866" s="14"/>
      <c r="J866" s="14"/>
      <c r="K866" s="1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8"/>
      <c r="BU866" s="8"/>
      <c r="BV866" s="1"/>
      <c r="BW866" s="1"/>
      <c r="BX866" s="1"/>
      <c r="BY866" s="1"/>
      <c r="BZ866" s="1"/>
    </row>
    <row r="867">
      <c r="A867" s="3"/>
      <c r="B867" s="33"/>
      <c r="C867" s="3"/>
      <c r="D867" s="3"/>
      <c r="E867" s="2"/>
      <c r="F867" s="2"/>
      <c r="G867" s="14"/>
      <c r="H867" s="14"/>
      <c r="I867" s="14"/>
      <c r="J867" s="14"/>
      <c r="K867" s="1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8"/>
      <c r="BU867" s="8"/>
      <c r="BV867" s="1"/>
      <c r="BW867" s="1"/>
      <c r="BX867" s="1"/>
      <c r="BY867" s="1"/>
      <c r="BZ867" s="1"/>
    </row>
    <row r="868">
      <c r="A868" s="3"/>
      <c r="B868" s="33"/>
      <c r="C868" s="3"/>
      <c r="D868" s="3"/>
      <c r="E868" s="2"/>
      <c r="F868" s="2"/>
      <c r="G868" s="14"/>
      <c r="H868" s="14"/>
      <c r="I868" s="14"/>
      <c r="J868" s="14"/>
      <c r="K868" s="1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8"/>
      <c r="BU868" s="8"/>
      <c r="BV868" s="1"/>
      <c r="BW868" s="1"/>
      <c r="BX868" s="1"/>
      <c r="BY868" s="1"/>
      <c r="BZ868" s="1"/>
    </row>
    <row r="869">
      <c r="A869" s="3"/>
      <c r="B869" s="33"/>
      <c r="C869" s="3"/>
      <c r="D869" s="3"/>
      <c r="E869" s="2"/>
      <c r="F869" s="2"/>
      <c r="G869" s="14"/>
      <c r="H869" s="14"/>
      <c r="I869" s="14"/>
      <c r="J869" s="14"/>
      <c r="K869" s="1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8"/>
      <c r="BU869" s="8"/>
      <c r="BV869" s="1"/>
      <c r="BW869" s="1"/>
      <c r="BX869" s="1"/>
      <c r="BY869" s="1"/>
      <c r="BZ869" s="1"/>
    </row>
    <row r="870">
      <c r="A870" s="3"/>
      <c r="B870" s="33"/>
      <c r="C870" s="3"/>
      <c r="D870" s="3"/>
      <c r="E870" s="2"/>
      <c r="F870" s="2"/>
      <c r="G870" s="14"/>
      <c r="H870" s="14"/>
      <c r="I870" s="14"/>
      <c r="J870" s="14"/>
      <c r="K870" s="1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8"/>
      <c r="BU870" s="8"/>
      <c r="BV870" s="1"/>
      <c r="BW870" s="1"/>
      <c r="BX870" s="1"/>
      <c r="BY870" s="1"/>
      <c r="BZ870" s="1"/>
    </row>
    <row r="871">
      <c r="A871" s="3"/>
      <c r="B871" s="33"/>
      <c r="C871" s="3"/>
      <c r="D871" s="3"/>
      <c r="E871" s="2"/>
      <c r="F871" s="2"/>
      <c r="G871" s="14"/>
      <c r="H871" s="14"/>
      <c r="I871" s="14"/>
      <c r="J871" s="14"/>
      <c r="K871" s="1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8"/>
      <c r="BU871" s="8"/>
      <c r="BV871" s="1"/>
      <c r="BW871" s="1"/>
      <c r="BX871" s="1"/>
      <c r="BY871" s="1"/>
      <c r="BZ871" s="1"/>
    </row>
    <row r="872">
      <c r="A872" s="3"/>
      <c r="B872" s="33"/>
      <c r="C872" s="3"/>
      <c r="D872" s="3"/>
      <c r="E872" s="2"/>
      <c r="F872" s="2"/>
      <c r="G872" s="14"/>
      <c r="H872" s="14"/>
      <c r="I872" s="14"/>
      <c r="J872" s="14"/>
      <c r="K872" s="1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8"/>
      <c r="BU872" s="8"/>
      <c r="BV872" s="1"/>
      <c r="BW872" s="1"/>
      <c r="BX872" s="1"/>
      <c r="BY872" s="1"/>
      <c r="BZ872" s="1"/>
    </row>
    <row r="873">
      <c r="A873" s="3"/>
      <c r="B873" s="33"/>
      <c r="C873" s="3"/>
      <c r="D873" s="3"/>
      <c r="E873" s="2"/>
      <c r="F873" s="2"/>
      <c r="G873" s="14"/>
      <c r="H873" s="14"/>
      <c r="I873" s="14"/>
      <c r="J873" s="14"/>
      <c r="K873" s="1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8"/>
      <c r="BU873" s="8"/>
      <c r="BV873" s="1"/>
      <c r="BW873" s="1"/>
      <c r="BX873" s="1"/>
      <c r="BY873" s="1"/>
      <c r="BZ873" s="1"/>
    </row>
    <row r="874">
      <c r="A874" s="3"/>
      <c r="B874" s="33"/>
      <c r="C874" s="3"/>
      <c r="D874" s="3"/>
      <c r="E874" s="2"/>
      <c r="F874" s="2"/>
      <c r="G874" s="14"/>
      <c r="H874" s="14"/>
      <c r="I874" s="14"/>
      <c r="J874" s="14"/>
      <c r="K874" s="1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8"/>
      <c r="BU874" s="8"/>
      <c r="BV874" s="1"/>
      <c r="BW874" s="1"/>
      <c r="BX874" s="1"/>
      <c r="BY874" s="1"/>
      <c r="BZ874" s="1"/>
    </row>
    <row r="875">
      <c r="A875" s="3"/>
      <c r="B875" s="33"/>
      <c r="C875" s="3"/>
      <c r="D875" s="3"/>
      <c r="E875" s="2"/>
      <c r="F875" s="2"/>
      <c r="G875" s="14"/>
      <c r="H875" s="14"/>
      <c r="I875" s="14"/>
      <c r="J875" s="14"/>
      <c r="K875" s="1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8"/>
      <c r="BU875" s="8"/>
      <c r="BV875" s="1"/>
      <c r="BW875" s="1"/>
      <c r="BX875" s="1"/>
      <c r="BY875" s="1"/>
      <c r="BZ875" s="1"/>
    </row>
    <row r="876">
      <c r="A876" s="3"/>
      <c r="B876" s="33"/>
      <c r="C876" s="3"/>
      <c r="D876" s="3"/>
      <c r="E876" s="2"/>
      <c r="F876" s="2"/>
      <c r="G876" s="14"/>
      <c r="H876" s="14"/>
      <c r="I876" s="14"/>
      <c r="J876" s="14"/>
      <c r="K876" s="1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8"/>
      <c r="BU876" s="8"/>
      <c r="BV876" s="1"/>
      <c r="BW876" s="1"/>
      <c r="BX876" s="1"/>
      <c r="BY876" s="1"/>
      <c r="BZ876" s="1"/>
    </row>
    <row r="877">
      <c r="A877" s="3"/>
      <c r="B877" s="33"/>
      <c r="C877" s="3"/>
      <c r="D877" s="3"/>
      <c r="E877" s="2"/>
      <c r="F877" s="2"/>
      <c r="G877" s="14"/>
      <c r="H877" s="14"/>
      <c r="I877" s="14"/>
      <c r="J877" s="14"/>
      <c r="K877" s="1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8"/>
      <c r="BU877" s="8"/>
      <c r="BV877" s="1"/>
      <c r="BW877" s="1"/>
      <c r="BX877" s="1"/>
      <c r="BY877" s="1"/>
      <c r="BZ877" s="1"/>
    </row>
    <row r="878">
      <c r="A878" s="3"/>
      <c r="B878" s="33"/>
      <c r="C878" s="3"/>
      <c r="D878" s="3"/>
      <c r="E878" s="2"/>
      <c r="F878" s="2"/>
      <c r="G878" s="14"/>
      <c r="H878" s="14"/>
      <c r="I878" s="14"/>
      <c r="J878" s="14"/>
      <c r="K878" s="1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8"/>
      <c r="BU878" s="8"/>
      <c r="BV878" s="1"/>
      <c r="BW878" s="1"/>
      <c r="BX878" s="1"/>
      <c r="BY878" s="1"/>
      <c r="BZ878" s="1"/>
    </row>
    <row r="879">
      <c r="A879" s="3"/>
      <c r="B879" s="33"/>
      <c r="C879" s="3"/>
      <c r="D879" s="3"/>
      <c r="E879" s="2"/>
      <c r="F879" s="2"/>
      <c r="G879" s="14"/>
      <c r="H879" s="14"/>
      <c r="I879" s="14"/>
      <c r="J879" s="14"/>
      <c r="K879" s="1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8"/>
      <c r="BU879" s="8"/>
      <c r="BV879" s="1"/>
      <c r="BW879" s="1"/>
      <c r="BX879" s="1"/>
      <c r="BY879" s="1"/>
      <c r="BZ879" s="1"/>
    </row>
    <row r="880">
      <c r="A880" s="3"/>
      <c r="B880" s="33"/>
      <c r="C880" s="3"/>
      <c r="D880" s="3"/>
      <c r="E880" s="2"/>
      <c r="F880" s="2"/>
      <c r="G880" s="14"/>
      <c r="H880" s="14"/>
      <c r="I880" s="14"/>
      <c r="J880" s="14"/>
      <c r="K880" s="1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8"/>
      <c r="BU880" s="8"/>
      <c r="BV880" s="1"/>
      <c r="BW880" s="1"/>
      <c r="BX880" s="1"/>
      <c r="BY880" s="1"/>
      <c r="BZ880" s="1"/>
    </row>
    <row r="881">
      <c r="A881" s="3"/>
      <c r="B881" s="33"/>
      <c r="C881" s="3"/>
      <c r="D881" s="3"/>
      <c r="E881" s="2"/>
      <c r="F881" s="2"/>
      <c r="G881" s="14"/>
      <c r="H881" s="14"/>
      <c r="I881" s="14"/>
      <c r="J881" s="14"/>
      <c r="K881" s="1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8"/>
      <c r="BU881" s="8"/>
      <c r="BV881" s="1"/>
      <c r="BW881" s="1"/>
      <c r="BX881" s="1"/>
      <c r="BY881" s="1"/>
      <c r="BZ881" s="1"/>
    </row>
    <row r="882">
      <c r="A882" s="3"/>
      <c r="B882" s="33"/>
      <c r="C882" s="3"/>
      <c r="D882" s="3"/>
      <c r="E882" s="2"/>
      <c r="F882" s="2"/>
      <c r="G882" s="14"/>
      <c r="H882" s="14"/>
      <c r="I882" s="14"/>
      <c r="J882" s="14"/>
      <c r="K882" s="1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8"/>
      <c r="BU882" s="8"/>
      <c r="BV882" s="1"/>
      <c r="BW882" s="1"/>
      <c r="BX882" s="1"/>
      <c r="BY882" s="1"/>
      <c r="BZ882" s="1"/>
    </row>
    <row r="883">
      <c r="A883" s="3"/>
      <c r="B883" s="33"/>
      <c r="C883" s="3"/>
      <c r="D883" s="3"/>
      <c r="E883" s="2"/>
      <c r="F883" s="2"/>
      <c r="G883" s="14"/>
      <c r="H883" s="14"/>
      <c r="I883" s="14"/>
      <c r="J883" s="14"/>
      <c r="K883" s="1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8"/>
      <c r="BU883" s="8"/>
      <c r="BV883" s="1"/>
      <c r="BW883" s="1"/>
      <c r="BX883" s="1"/>
      <c r="BY883" s="1"/>
      <c r="BZ883" s="1"/>
    </row>
    <row r="884">
      <c r="A884" s="3"/>
      <c r="B884" s="33"/>
      <c r="C884" s="3"/>
      <c r="D884" s="3"/>
      <c r="E884" s="2"/>
      <c r="F884" s="2"/>
      <c r="G884" s="14"/>
      <c r="H884" s="14"/>
      <c r="I884" s="14"/>
      <c r="J884" s="14"/>
      <c r="K884" s="1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8"/>
      <c r="BU884" s="8"/>
      <c r="BV884" s="1"/>
      <c r="BW884" s="1"/>
      <c r="BX884" s="1"/>
      <c r="BY884" s="1"/>
      <c r="BZ884" s="1"/>
    </row>
    <row r="885">
      <c r="A885" s="3"/>
      <c r="B885" s="33"/>
      <c r="C885" s="3"/>
      <c r="D885" s="3"/>
      <c r="E885" s="2"/>
      <c r="F885" s="2"/>
      <c r="G885" s="14"/>
      <c r="H885" s="14"/>
      <c r="I885" s="14"/>
      <c r="J885" s="14"/>
      <c r="K885" s="1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8"/>
      <c r="BU885" s="8"/>
      <c r="BV885" s="1"/>
      <c r="BW885" s="1"/>
      <c r="BX885" s="1"/>
      <c r="BY885" s="1"/>
      <c r="BZ885" s="1"/>
    </row>
    <row r="886">
      <c r="A886" s="3"/>
      <c r="B886" s="33"/>
      <c r="C886" s="3"/>
      <c r="D886" s="3"/>
      <c r="E886" s="2"/>
      <c r="F886" s="2"/>
      <c r="G886" s="14"/>
      <c r="H886" s="14"/>
      <c r="I886" s="14"/>
      <c r="J886" s="14"/>
      <c r="K886" s="1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8"/>
      <c r="BU886" s="8"/>
      <c r="BV886" s="1"/>
      <c r="BW886" s="1"/>
      <c r="BX886" s="1"/>
      <c r="BY886" s="1"/>
      <c r="BZ886" s="1"/>
    </row>
    <row r="887">
      <c r="A887" s="3"/>
      <c r="B887" s="33"/>
      <c r="C887" s="3"/>
      <c r="D887" s="3"/>
      <c r="E887" s="2"/>
      <c r="F887" s="2"/>
      <c r="G887" s="14"/>
      <c r="H887" s="14"/>
      <c r="I887" s="14"/>
      <c r="J887" s="14"/>
      <c r="K887" s="1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8"/>
      <c r="BU887" s="8"/>
      <c r="BV887" s="1"/>
      <c r="BW887" s="1"/>
      <c r="BX887" s="1"/>
      <c r="BY887" s="1"/>
      <c r="BZ887" s="1"/>
    </row>
    <row r="888">
      <c r="A888" s="3"/>
      <c r="B888" s="33"/>
      <c r="C888" s="3"/>
      <c r="D888" s="3"/>
      <c r="E888" s="2"/>
      <c r="F888" s="2"/>
      <c r="G888" s="14"/>
      <c r="H888" s="14"/>
      <c r="I888" s="14"/>
      <c r="J888" s="14"/>
      <c r="K888" s="1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8"/>
      <c r="BU888" s="8"/>
      <c r="BV888" s="1"/>
      <c r="BW888" s="1"/>
      <c r="BX888" s="1"/>
      <c r="BY888" s="1"/>
      <c r="BZ888" s="1"/>
    </row>
    <row r="889">
      <c r="A889" s="3"/>
      <c r="B889" s="33"/>
      <c r="C889" s="3"/>
      <c r="D889" s="3"/>
      <c r="E889" s="2"/>
      <c r="F889" s="2"/>
      <c r="G889" s="14"/>
      <c r="H889" s="14"/>
      <c r="I889" s="14"/>
      <c r="J889" s="14"/>
      <c r="K889" s="1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8"/>
      <c r="BU889" s="8"/>
      <c r="BV889" s="1"/>
      <c r="BW889" s="1"/>
      <c r="BX889" s="1"/>
      <c r="BY889" s="1"/>
      <c r="BZ889" s="1"/>
    </row>
    <row r="890">
      <c r="A890" s="3"/>
      <c r="B890" s="33"/>
      <c r="C890" s="3"/>
      <c r="D890" s="3"/>
      <c r="E890" s="2"/>
      <c r="F890" s="2"/>
      <c r="G890" s="14"/>
      <c r="H890" s="14"/>
      <c r="I890" s="14"/>
      <c r="J890" s="14"/>
      <c r="K890" s="1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8"/>
      <c r="BU890" s="8"/>
      <c r="BV890" s="1"/>
      <c r="BW890" s="1"/>
      <c r="BX890" s="1"/>
      <c r="BY890" s="1"/>
      <c r="BZ890" s="1"/>
    </row>
    <row r="891">
      <c r="A891" s="3"/>
      <c r="B891" s="33"/>
      <c r="C891" s="3"/>
      <c r="D891" s="3"/>
      <c r="E891" s="2"/>
      <c r="F891" s="2"/>
      <c r="G891" s="14"/>
      <c r="H891" s="14"/>
      <c r="I891" s="14"/>
      <c r="J891" s="14"/>
      <c r="K891" s="1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8"/>
      <c r="BU891" s="8"/>
      <c r="BV891" s="1"/>
      <c r="BW891" s="1"/>
      <c r="BX891" s="1"/>
      <c r="BY891" s="1"/>
      <c r="BZ891" s="1"/>
    </row>
    <row r="892">
      <c r="A892" s="3"/>
      <c r="B892" s="33"/>
      <c r="C892" s="3"/>
      <c r="D892" s="3"/>
      <c r="E892" s="2"/>
      <c r="F892" s="2"/>
      <c r="G892" s="14"/>
      <c r="H892" s="14"/>
      <c r="I892" s="14"/>
      <c r="J892" s="14"/>
      <c r="K892" s="1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8"/>
      <c r="BU892" s="8"/>
      <c r="BV892" s="1"/>
      <c r="BW892" s="1"/>
      <c r="BX892" s="1"/>
      <c r="BY892" s="1"/>
      <c r="BZ892" s="1"/>
    </row>
    <row r="893">
      <c r="A893" s="3"/>
      <c r="B893" s="33"/>
      <c r="C893" s="3"/>
      <c r="D893" s="3"/>
      <c r="E893" s="2"/>
      <c r="F893" s="2"/>
      <c r="G893" s="14"/>
      <c r="H893" s="14"/>
      <c r="I893" s="14"/>
      <c r="J893" s="14"/>
      <c r="K893" s="1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8"/>
      <c r="BU893" s="8"/>
      <c r="BV893" s="1"/>
      <c r="BW893" s="1"/>
      <c r="BX893" s="1"/>
      <c r="BY893" s="1"/>
      <c r="BZ893" s="1"/>
    </row>
    <row r="894">
      <c r="A894" s="3"/>
      <c r="B894" s="33"/>
      <c r="C894" s="3"/>
      <c r="D894" s="3"/>
      <c r="E894" s="2"/>
      <c r="F894" s="2"/>
      <c r="G894" s="14"/>
      <c r="H894" s="14"/>
      <c r="I894" s="14"/>
      <c r="J894" s="14"/>
      <c r="K894" s="1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8"/>
      <c r="BU894" s="8"/>
      <c r="BV894" s="1"/>
      <c r="BW894" s="1"/>
      <c r="BX894" s="1"/>
      <c r="BY894" s="1"/>
      <c r="BZ894" s="1"/>
    </row>
    <row r="895">
      <c r="A895" s="3"/>
      <c r="B895" s="33"/>
      <c r="C895" s="3"/>
      <c r="D895" s="3"/>
      <c r="E895" s="2"/>
      <c r="F895" s="2"/>
      <c r="G895" s="14"/>
      <c r="H895" s="14"/>
      <c r="I895" s="14"/>
      <c r="J895" s="14"/>
      <c r="K895" s="1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8"/>
      <c r="BU895" s="8"/>
      <c r="BV895" s="1"/>
      <c r="BW895" s="1"/>
      <c r="BX895" s="1"/>
      <c r="BY895" s="1"/>
      <c r="BZ895" s="1"/>
    </row>
    <row r="896">
      <c r="A896" s="3"/>
      <c r="B896" s="33"/>
      <c r="C896" s="3"/>
      <c r="D896" s="3"/>
      <c r="E896" s="2"/>
      <c r="F896" s="2"/>
      <c r="G896" s="14"/>
      <c r="H896" s="14"/>
      <c r="I896" s="14"/>
      <c r="J896" s="14"/>
      <c r="K896" s="1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8"/>
      <c r="BU896" s="8"/>
      <c r="BV896" s="1"/>
      <c r="BW896" s="1"/>
      <c r="BX896" s="1"/>
      <c r="BY896" s="1"/>
      <c r="BZ896" s="1"/>
    </row>
    <row r="897">
      <c r="A897" s="3"/>
      <c r="B897" s="33"/>
      <c r="C897" s="3"/>
      <c r="D897" s="3"/>
      <c r="E897" s="2"/>
      <c r="F897" s="2"/>
      <c r="G897" s="14"/>
      <c r="H897" s="14"/>
      <c r="I897" s="14"/>
      <c r="J897" s="14"/>
      <c r="K897" s="1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8"/>
      <c r="BU897" s="8"/>
      <c r="BV897" s="1"/>
      <c r="BW897" s="1"/>
      <c r="BX897" s="1"/>
      <c r="BY897" s="1"/>
      <c r="BZ897" s="1"/>
    </row>
    <row r="898">
      <c r="A898" s="3"/>
      <c r="B898" s="33"/>
      <c r="C898" s="3"/>
      <c r="D898" s="3"/>
      <c r="E898" s="2"/>
      <c r="F898" s="2"/>
      <c r="G898" s="14"/>
      <c r="H898" s="14"/>
      <c r="I898" s="14"/>
      <c r="J898" s="14"/>
      <c r="K898" s="1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8"/>
      <c r="BU898" s="8"/>
      <c r="BV898" s="1"/>
      <c r="BW898" s="1"/>
      <c r="BX898" s="1"/>
      <c r="BY898" s="1"/>
      <c r="BZ898" s="1"/>
    </row>
    <row r="899">
      <c r="A899" s="3"/>
      <c r="B899" s="33"/>
      <c r="C899" s="3"/>
      <c r="D899" s="3"/>
      <c r="E899" s="2"/>
      <c r="F899" s="2"/>
      <c r="G899" s="14"/>
      <c r="H899" s="14"/>
      <c r="I899" s="14"/>
      <c r="J899" s="14"/>
      <c r="K899" s="1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8"/>
      <c r="BU899" s="8"/>
      <c r="BV899" s="1"/>
      <c r="BW899" s="1"/>
      <c r="BX899" s="1"/>
      <c r="BY899" s="1"/>
      <c r="BZ899" s="1"/>
    </row>
    <row r="900">
      <c r="A900" s="3"/>
      <c r="B900" s="33"/>
      <c r="C900" s="3"/>
      <c r="D900" s="3"/>
      <c r="E900" s="2"/>
      <c r="F900" s="2"/>
      <c r="G900" s="14"/>
      <c r="H900" s="14"/>
      <c r="I900" s="14"/>
      <c r="J900" s="14"/>
      <c r="K900" s="1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8"/>
      <c r="BU900" s="8"/>
      <c r="BV900" s="1"/>
      <c r="BW900" s="1"/>
      <c r="BX900" s="1"/>
      <c r="BY900" s="1"/>
      <c r="BZ900" s="1"/>
    </row>
    <row r="901">
      <c r="A901" s="3"/>
      <c r="B901" s="33"/>
      <c r="C901" s="3"/>
      <c r="D901" s="3"/>
      <c r="E901" s="2"/>
      <c r="F901" s="2"/>
      <c r="G901" s="14"/>
      <c r="H901" s="14"/>
      <c r="I901" s="14"/>
      <c r="J901" s="14"/>
      <c r="K901" s="1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8"/>
      <c r="BU901" s="8"/>
      <c r="BV901" s="1"/>
      <c r="BW901" s="1"/>
      <c r="BX901" s="1"/>
      <c r="BY901" s="1"/>
      <c r="BZ901" s="1"/>
    </row>
    <row r="902">
      <c r="A902" s="3"/>
      <c r="B902" s="33"/>
      <c r="C902" s="3"/>
      <c r="D902" s="3"/>
      <c r="E902" s="2"/>
      <c r="F902" s="2"/>
      <c r="G902" s="14"/>
      <c r="H902" s="14"/>
      <c r="I902" s="14"/>
      <c r="J902" s="14"/>
      <c r="K902" s="1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8"/>
      <c r="BU902" s="8"/>
      <c r="BV902" s="1"/>
      <c r="BW902" s="1"/>
      <c r="BX902" s="1"/>
      <c r="BY902" s="1"/>
      <c r="BZ902" s="1"/>
    </row>
    <row r="903">
      <c r="A903" s="3"/>
      <c r="B903" s="33"/>
      <c r="C903" s="3"/>
      <c r="D903" s="3"/>
      <c r="E903" s="2"/>
      <c r="F903" s="2"/>
      <c r="G903" s="14"/>
      <c r="H903" s="14"/>
      <c r="I903" s="14"/>
      <c r="J903" s="14"/>
      <c r="K903" s="1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8"/>
      <c r="BU903" s="8"/>
      <c r="BV903" s="1"/>
      <c r="BW903" s="1"/>
      <c r="BX903" s="1"/>
      <c r="BY903" s="1"/>
      <c r="BZ903" s="1"/>
    </row>
    <row r="904">
      <c r="A904" s="3"/>
      <c r="B904" s="33"/>
      <c r="C904" s="3"/>
      <c r="D904" s="3"/>
      <c r="E904" s="2"/>
      <c r="F904" s="2"/>
      <c r="G904" s="14"/>
      <c r="H904" s="14"/>
      <c r="I904" s="14"/>
      <c r="J904" s="14"/>
      <c r="K904" s="1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8"/>
      <c r="BU904" s="8"/>
      <c r="BV904" s="1"/>
      <c r="BW904" s="1"/>
      <c r="BX904" s="1"/>
      <c r="BY904" s="1"/>
      <c r="BZ904" s="1"/>
    </row>
    <row r="905">
      <c r="A905" s="3"/>
      <c r="B905" s="33"/>
      <c r="C905" s="3"/>
      <c r="D905" s="3"/>
      <c r="E905" s="2"/>
      <c r="F905" s="2"/>
      <c r="G905" s="14"/>
      <c r="H905" s="14"/>
      <c r="I905" s="14"/>
      <c r="J905" s="14"/>
      <c r="K905" s="1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8"/>
      <c r="BU905" s="8"/>
      <c r="BV905" s="1"/>
      <c r="BW905" s="1"/>
      <c r="BX905" s="1"/>
      <c r="BY905" s="1"/>
      <c r="BZ905" s="1"/>
    </row>
    <row r="906">
      <c r="A906" s="3"/>
      <c r="B906" s="33"/>
      <c r="C906" s="3"/>
      <c r="D906" s="3"/>
      <c r="E906" s="2"/>
      <c r="F906" s="2"/>
      <c r="G906" s="14"/>
      <c r="H906" s="14"/>
      <c r="I906" s="14"/>
      <c r="J906" s="14"/>
      <c r="K906" s="1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8"/>
      <c r="BU906" s="8"/>
      <c r="BV906" s="1"/>
      <c r="BW906" s="1"/>
      <c r="BX906" s="1"/>
      <c r="BY906" s="1"/>
      <c r="BZ906" s="1"/>
    </row>
    <row r="907">
      <c r="A907" s="3"/>
      <c r="B907" s="33"/>
      <c r="C907" s="3"/>
      <c r="D907" s="3"/>
      <c r="E907" s="2"/>
      <c r="F907" s="2"/>
      <c r="G907" s="14"/>
      <c r="H907" s="14"/>
      <c r="I907" s="14"/>
      <c r="J907" s="14"/>
      <c r="K907" s="1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8"/>
      <c r="BU907" s="8"/>
      <c r="BV907" s="1"/>
      <c r="BW907" s="1"/>
      <c r="BX907" s="1"/>
      <c r="BY907" s="1"/>
      <c r="BZ907" s="1"/>
    </row>
    <row r="908">
      <c r="A908" s="3"/>
      <c r="B908" s="33"/>
      <c r="C908" s="3"/>
      <c r="D908" s="3"/>
      <c r="E908" s="2"/>
      <c r="F908" s="2"/>
      <c r="G908" s="14"/>
      <c r="H908" s="14"/>
      <c r="I908" s="14"/>
      <c r="J908" s="14"/>
      <c r="K908" s="1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8"/>
      <c r="BU908" s="8"/>
      <c r="BV908" s="1"/>
      <c r="BW908" s="1"/>
      <c r="BX908" s="1"/>
      <c r="BY908" s="1"/>
      <c r="BZ908" s="1"/>
    </row>
    <row r="909">
      <c r="A909" s="3"/>
      <c r="B909" s="33"/>
      <c r="C909" s="3"/>
      <c r="D909" s="3"/>
      <c r="E909" s="2"/>
      <c r="F909" s="2"/>
      <c r="G909" s="14"/>
      <c r="H909" s="14"/>
      <c r="I909" s="14"/>
      <c r="J909" s="14"/>
      <c r="K909" s="1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8"/>
      <c r="BU909" s="8"/>
      <c r="BV909" s="1"/>
      <c r="BW909" s="1"/>
      <c r="BX909" s="1"/>
      <c r="BY909" s="1"/>
      <c r="BZ909" s="1"/>
    </row>
    <row r="910">
      <c r="A910" s="3"/>
      <c r="B910" s="33"/>
      <c r="C910" s="3"/>
      <c r="D910" s="3"/>
      <c r="E910" s="2"/>
      <c r="F910" s="2"/>
      <c r="G910" s="14"/>
      <c r="H910" s="14"/>
      <c r="I910" s="14"/>
      <c r="J910" s="14"/>
      <c r="K910" s="1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8"/>
      <c r="BU910" s="8"/>
      <c r="BV910" s="1"/>
      <c r="BW910" s="1"/>
      <c r="BX910" s="1"/>
      <c r="BY910" s="1"/>
      <c r="BZ910" s="1"/>
    </row>
    <row r="911">
      <c r="A911" s="3"/>
      <c r="B911" s="33"/>
      <c r="C911" s="3"/>
      <c r="D911" s="3"/>
      <c r="E911" s="2"/>
      <c r="F911" s="2"/>
      <c r="G911" s="14"/>
      <c r="H911" s="14"/>
      <c r="I911" s="14"/>
      <c r="J911" s="14"/>
      <c r="K911" s="1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8"/>
      <c r="BU911" s="8"/>
      <c r="BV911" s="1"/>
      <c r="BW911" s="1"/>
      <c r="BX911" s="1"/>
      <c r="BY911" s="1"/>
      <c r="BZ911" s="1"/>
    </row>
    <row r="912">
      <c r="A912" s="3"/>
      <c r="B912" s="33"/>
      <c r="C912" s="3"/>
      <c r="D912" s="3"/>
      <c r="E912" s="2"/>
      <c r="F912" s="2"/>
      <c r="G912" s="14"/>
      <c r="H912" s="14"/>
      <c r="I912" s="14"/>
      <c r="J912" s="14"/>
      <c r="K912" s="1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8"/>
      <c r="BU912" s="8"/>
      <c r="BV912" s="1"/>
      <c r="BW912" s="1"/>
      <c r="BX912" s="1"/>
      <c r="BY912" s="1"/>
      <c r="BZ912" s="1"/>
    </row>
    <row r="913">
      <c r="A913" s="3"/>
      <c r="B913" s="33"/>
      <c r="C913" s="3"/>
      <c r="D913" s="3"/>
      <c r="E913" s="2"/>
      <c r="F913" s="2"/>
      <c r="G913" s="14"/>
      <c r="H913" s="14"/>
      <c r="I913" s="14"/>
      <c r="J913" s="14"/>
      <c r="K913" s="1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8"/>
      <c r="BU913" s="8"/>
      <c r="BV913" s="1"/>
      <c r="BW913" s="1"/>
      <c r="BX913" s="1"/>
      <c r="BY913" s="1"/>
      <c r="BZ913" s="1"/>
    </row>
    <row r="914">
      <c r="A914" s="3"/>
      <c r="B914" s="33"/>
      <c r="C914" s="3"/>
      <c r="D914" s="3"/>
      <c r="E914" s="2"/>
      <c r="F914" s="2"/>
      <c r="G914" s="14"/>
      <c r="H914" s="14"/>
      <c r="I914" s="14"/>
      <c r="J914" s="14"/>
      <c r="K914" s="1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8"/>
      <c r="BU914" s="8"/>
      <c r="BV914" s="1"/>
      <c r="BW914" s="1"/>
      <c r="BX914" s="1"/>
      <c r="BY914" s="1"/>
      <c r="BZ914" s="1"/>
    </row>
    <row r="915">
      <c r="A915" s="3"/>
      <c r="B915" s="33"/>
      <c r="C915" s="3"/>
      <c r="D915" s="3"/>
      <c r="E915" s="2"/>
      <c r="F915" s="2"/>
      <c r="G915" s="14"/>
      <c r="H915" s="14"/>
      <c r="I915" s="14"/>
      <c r="J915" s="14"/>
      <c r="K915" s="1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8"/>
      <c r="BU915" s="8"/>
      <c r="BV915" s="1"/>
      <c r="BW915" s="1"/>
      <c r="BX915" s="1"/>
      <c r="BY915" s="1"/>
      <c r="BZ915" s="1"/>
    </row>
    <row r="916">
      <c r="A916" s="3"/>
      <c r="B916" s="33"/>
      <c r="C916" s="3"/>
      <c r="D916" s="3"/>
      <c r="E916" s="2"/>
      <c r="F916" s="2"/>
      <c r="G916" s="14"/>
      <c r="H916" s="14"/>
      <c r="I916" s="14"/>
      <c r="J916" s="14"/>
      <c r="K916" s="1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8"/>
      <c r="BU916" s="8"/>
      <c r="BV916" s="1"/>
      <c r="BW916" s="1"/>
      <c r="BX916" s="1"/>
      <c r="BY916" s="1"/>
      <c r="BZ916" s="1"/>
    </row>
    <row r="917">
      <c r="A917" s="3"/>
      <c r="B917" s="33"/>
      <c r="C917" s="3"/>
      <c r="D917" s="3"/>
      <c r="E917" s="2"/>
      <c r="F917" s="2"/>
      <c r="G917" s="14"/>
      <c r="H917" s="14"/>
      <c r="I917" s="14"/>
      <c r="J917" s="14"/>
      <c r="K917" s="1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8"/>
      <c r="BU917" s="8"/>
      <c r="BV917" s="1"/>
      <c r="BW917" s="1"/>
      <c r="BX917" s="1"/>
      <c r="BY917" s="1"/>
      <c r="BZ917" s="1"/>
    </row>
    <row r="918">
      <c r="A918" s="3"/>
      <c r="B918" s="33"/>
      <c r="C918" s="3"/>
      <c r="D918" s="3"/>
      <c r="E918" s="2"/>
      <c r="F918" s="2"/>
      <c r="G918" s="14"/>
      <c r="H918" s="14"/>
      <c r="I918" s="14"/>
      <c r="J918" s="14"/>
      <c r="K918" s="1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8"/>
      <c r="BU918" s="8"/>
      <c r="BV918" s="1"/>
      <c r="BW918" s="1"/>
      <c r="BX918" s="1"/>
      <c r="BY918" s="1"/>
      <c r="BZ918" s="1"/>
    </row>
    <row r="919">
      <c r="A919" s="3"/>
      <c r="B919" s="33"/>
      <c r="C919" s="3"/>
      <c r="D919" s="3"/>
      <c r="E919" s="2"/>
      <c r="F919" s="2"/>
      <c r="G919" s="14"/>
      <c r="H919" s="14"/>
      <c r="I919" s="14"/>
      <c r="J919" s="14"/>
      <c r="K919" s="1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8"/>
      <c r="BU919" s="8"/>
      <c r="BV919" s="1"/>
      <c r="BW919" s="1"/>
      <c r="BX919" s="1"/>
      <c r="BY919" s="1"/>
      <c r="BZ919" s="1"/>
    </row>
    <row r="920">
      <c r="A920" s="3"/>
      <c r="B920" s="33"/>
      <c r="C920" s="3"/>
      <c r="D920" s="3"/>
      <c r="E920" s="2"/>
      <c r="F920" s="2"/>
      <c r="G920" s="14"/>
      <c r="H920" s="14"/>
      <c r="I920" s="14"/>
      <c r="J920" s="14"/>
      <c r="K920" s="1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8"/>
      <c r="BU920" s="8"/>
      <c r="BV920" s="1"/>
      <c r="BW920" s="1"/>
      <c r="BX920" s="1"/>
      <c r="BY920" s="1"/>
      <c r="BZ920" s="1"/>
    </row>
    <row r="921">
      <c r="A921" s="3"/>
      <c r="B921" s="33"/>
      <c r="C921" s="3"/>
      <c r="D921" s="3"/>
      <c r="E921" s="2"/>
      <c r="F921" s="2"/>
      <c r="G921" s="14"/>
      <c r="H921" s="14"/>
      <c r="I921" s="14"/>
      <c r="J921" s="14"/>
      <c r="K921" s="1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8"/>
      <c r="BU921" s="8"/>
      <c r="BV921" s="1"/>
      <c r="BW921" s="1"/>
      <c r="BX921" s="1"/>
      <c r="BY921" s="1"/>
      <c r="BZ921" s="1"/>
    </row>
    <row r="922">
      <c r="A922" s="3"/>
      <c r="B922" s="33"/>
      <c r="C922" s="3"/>
      <c r="D922" s="3"/>
      <c r="E922" s="2"/>
      <c r="F922" s="2"/>
      <c r="G922" s="14"/>
      <c r="H922" s="14"/>
      <c r="I922" s="14"/>
      <c r="J922" s="14"/>
      <c r="K922" s="1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8"/>
      <c r="BU922" s="8"/>
      <c r="BV922" s="1"/>
      <c r="BW922" s="1"/>
      <c r="BX922" s="1"/>
      <c r="BY922" s="1"/>
      <c r="BZ922" s="1"/>
    </row>
    <row r="923">
      <c r="A923" s="3"/>
      <c r="B923" s="33"/>
      <c r="C923" s="3"/>
      <c r="D923" s="3"/>
      <c r="E923" s="2"/>
      <c r="F923" s="2"/>
      <c r="G923" s="14"/>
      <c r="H923" s="14"/>
      <c r="I923" s="14"/>
      <c r="J923" s="14"/>
      <c r="K923" s="1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8"/>
      <c r="BU923" s="8"/>
      <c r="BV923" s="1"/>
      <c r="BW923" s="1"/>
      <c r="BX923" s="1"/>
      <c r="BY923" s="1"/>
      <c r="BZ923" s="1"/>
    </row>
    <row r="924">
      <c r="A924" s="3"/>
      <c r="B924" s="33"/>
      <c r="C924" s="3"/>
      <c r="D924" s="3"/>
      <c r="E924" s="2"/>
      <c r="F924" s="2"/>
      <c r="G924" s="14"/>
      <c r="H924" s="14"/>
      <c r="I924" s="14"/>
      <c r="J924" s="14"/>
      <c r="K924" s="1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8"/>
      <c r="BU924" s="8"/>
      <c r="BV924" s="1"/>
      <c r="BW924" s="1"/>
      <c r="BX924" s="1"/>
      <c r="BY924" s="1"/>
      <c r="BZ924" s="1"/>
    </row>
    <row r="925">
      <c r="A925" s="3"/>
      <c r="B925" s="33"/>
      <c r="C925" s="3"/>
      <c r="D925" s="3"/>
      <c r="E925" s="2"/>
      <c r="F925" s="2"/>
      <c r="G925" s="14"/>
      <c r="H925" s="14"/>
      <c r="I925" s="14"/>
      <c r="J925" s="14"/>
      <c r="K925" s="1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8"/>
      <c r="BU925" s="8"/>
      <c r="BV925" s="1"/>
      <c r="BW925" s="1"/>
      <c r="BX925" s="1"/>
      <c r="BY925" s="1"/>
      <c r="BZ925" s="1"/>
    </row>
    <row r="926">
      <c r="A926" s="3"/>
      <c r="B926" s="33"/>
      <c r="C926" s="3"/>
      <c r="D926" s="3"/>
      <c r="E926" s="2"/>
      <c r="F926" s="2"/>
      <c r="G926" s="14"/>
      <c r="H926" s="14"/>
      <c r="I926" s="14"/>
      <c r="J926" s="14"/>
      <c r="K926" s="1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8"/>
      <c r="BU926" s="8"/>
      <c r="BV926" s="1"/>
      <c r="BW926" s="1"/>
      <c r="BX926" s="1"/>
      <c r="BY926" s="1"/>
      <c r="BZ926" s="1"/>
    </row>
    <row r="927">
      <c r="A927" s="3"/>
      <c r="B927" s="33"/>
      <c r="C927" s="3"/>
      <c r="D927" s="3"/>
      <c r="E927" s="2"/>
      <c r="F927" s="2"/>
      <c r="G927" s="14"/>
      <c r="H927" s="14"/>
      <c r="I927" s="14"/>
      <c r="J927" s="14"/>
      <c r="K927" s="1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8"/>
      <c r="BU927" s="8"/>
      <c r="BV927" s="1"/>
      <c r="BW927" s="1"/>
      <c r="BX927" s="1"/>
      <c r="BY927" s="1"/>
      <c r="BZ927" s="1"/>
    </row>
    <row r="928">
      <c r="A928" s="3"/>
      <c r="B928" s="33"/>
      <c r="C928" s="3"/>
      <c r="D928" s="3"/>
      <c r="E928" s="2"/>
      <c r="F928" s="2"/>
      <c r="G928" s="14"/>
      <c r="H928" s="14"/>
      <c r="I928" s="14"/>
      <c r="J928" s="14"/>
      <c r="K928" s="1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8"/>
      <c r="BU928" s="8"/>
      <c r="BV928" s="1"/>
      <c r="BW928" s="1"/>
      <c r="BX928" s="1"/>
      <c r="BY928" s="1"/>
      <c r="BZ928" s="1"/>
    </row>
    <row r="929">
      <c r="A929" s="3"/>
      <c r="B929" s="33"/>
      <c r="C929" s="3"/>
      <c r="D929" s="3"/>
      <c r="E929" s="2"/>
      <c r="F929" s="2"/>
      <c r="G929" s="14"/>
      <c r="H929" s="14"/>
      <c r="I929" s="14"/>
      <c r="J929" s="14"/>
      <c r="K929" s="1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8"/>
      <c r="BU929" s="8"/>
      <c r="BV929" s="1"/>
      <c r="BW929" s="1"/>
      <c r="BX929" s="1"/>
      <c r="BY929" s="1"/>
      <c r="BZ929" s="1"/>
    </row>
    <row r="930">
      <c r="A930" s="3"/>
      <c r="B930" s="33"/>
      <c r="C930" s="3"/>
      <c r="D930" s="3"/>
      <c r="E930" s="2"/>
      <c r="F930" s="2"/>
      <c r="G930" s="14"/>
      <c r="H930" s="14"/>
      <c r="I930" s="14"/>
      <c r="J930" s="14"/>
      <c r="K930" s="1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8"/>
      <c r="BU930" s="8"/>
      <c r="BV930" s="1"/>
      <c r="BW930" s="1"/>
      <c r="BX930" s="1"/>
      <c r="BY930" s="1"/>
      <c r="BZ930" s="1"/>
    </row>
    <row r="931">
      <c r="A931" s="3"/>
      <c r="B931" s="33"/>
      <c r="C931" s="3"/>
      <c r="D931" s="3"/>
      <c r="E931" s="2"/>
      <c r="F931" s="2"/>
      <c r="G931" s="14"/>
      <c r="H931" s="14"/>
      <c r="I931" s="14"/>
      <c r="J931" s="14"/>
      <c r="K931" s="1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8"/>
      <c r="BU931" s="8"/>
      <c r="BV931" s="1"/>
      <c r="BW931" s="1"/>
      <c r="BX931" s="1"/>
      <c r="BY931" s="1"/>
      <c r="BZ931" s="1"/>
    </row>
    <row r="932">
      <c r="A932" s="3"/>
      <c r="B932" s="33"/>
      <c r="C932" s="3"/>
      <c r="D932" s="3"/>
      <c r="E932" s="2"/>
      <c r="F932" s="2"/>
      <c r="G932" s="14"/>
      <c r="H932" s="14"/>
      <c r="I932" s="14"/>
      <c r="J932" s="14"/>
      <c r="K932" s="1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8"/>
      <c r="BU932" s="8"/>
      <c r="BV932" s="1"/>
      <c r="BW932" s="1"/>
      <c r="BX932" s="1"/>
      <c r="BY932" s="1"/>
      <c r="BZ932" s="1"/>
    </row>
    <row r="933">
      <c r="A933" s="3"/>
      <c r="B933" s="33"/>
      <c r="C933" s="3"/>
      <c r="D933" s="3"/>
      <c r="E933" s="2"/>
      <c r="F933" s="2"/>
      <c r="G933" s="14"/>
      <c r="H933" s="14"/>
      <c r="I933" s="14"/>
      <c r="J933" s="14"/>
      <c r="K933" s="1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8"/>
      <c r="BU933" s="8"/>
      <c r="BV933" s="1"/>
      <c r="BW933" s="1"/>
      <c r="BX933" s="1"/>
      <c r="BY933" s="1"/>
      <c r="BZ933" s="1"/>
    </row>
    <row r="934">
      <c r="A934" s="3"/>
      <c r="B934" s="33"/>
      <c r="C934" s="3"/>
      <c r="D934" s="3"/>
      <c r="E934" s="2"/>
      <c r="F934" s="2"/>
      <c r="G934" s="14"/>
      <c r="H934" s="14"/>
      <c r="I934" s="14"/>
      <c r="J934" s="14"/>
      <c r="K934" s="1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8"/>
      <c r="BU934" s="8"/>
      <c r="BV934" s="1"/>
      <c r="BW934" s="1"/>
      <c r="BX934" s="1"/>
      <c r="BY934" s="1"/>
      <c r="BZ934" s="1"/>
    </row>
    <row r="935">
      <c r="A935" s="3"/>
      <c r="B935" s="33"/>
      <c r="C935" s="3"/>
      <c r="D935" s="3"/>
      <c r="E935" s="2"/>
      <c r="F935" s="2"/>
      <c r="G935" s="14"/>
      <c r="H935" s="14"/>
      <c r="I935" s="14"/>
      <c r="J935" s="14"/>
      <c r="K935" s="1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8"/>
      <c r="BU935" s="8"/>
      <c r="BV935" s="1"/>
      <c r="BW935" s="1"/>
      <c r="BX935" s="1"/>
      <c r="BY935" s="1"/>
      <c r="BZ935" s="1"/>
    </row>
    <row r="936">
      <c r="A936" s="3"/>
      <c r="B936" s="33"/>
      <c r="C936" s="3"/>
      <c r="D936" s="3"/>
      <c r="E936" s="2"/>
      <c r="F936" s="2"/>
      <c r="G936" s="14"/>
      <c r="H936" s="14"/>
      <c r="I936" s="14"/>
      <c r="J936" s="14"/>
      <c r="K936" s="1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8"/>
      <c r="BU936" s="8"/>
      <c r="BV936" s="1"/>
      <c r="BW936" s="1"/>
      <c r="BX936" s="1"/>
      <c r="BY936" s="1"/>
      <c r="BZ936" s="1"/>
    </row>
    <row r="937">
      <c r="A937" s="3"/>
      <c r="B937" s="33"/>
      <c r="C937" s="3"/>
      <c r="D937" s="3"/>
      <c r="E937" s="2"/>
      <c r="F937" s="2"/>
      <c r="G937" s="14"/>
      <c r="H937" s="14"/>
      <c r="I937" s="14"/>
      <c r="J937" s="14"/>
      <c r="K937" s="1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8"/>
      <c r="BU937" s="8"/>
      <c r="BV937" s="1"/>
      <c r="BW937" s="1"/>
      <c r="BX937" s="1"/>
      <c r="BY937" s="1"/>
      <c r="BZ937" s="1"/>
    </row>
    <row r="938">
      <c r="A938" s="3"/>
      <c r="B938" s="33"/>
      <c r="C938" s="3"/>
      <c r="D938" s="3"/>
      <c r="E938" s="2"/>
      <c r="F938" s="2"/>
      <c r="G938" s="14"/>
      <c r="H938" s="14"/>
      <c r="I938" s="14"/>
      <c r="J938" s="14"/>
      <c r="K938" s="1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8"/>
      <c r="BU938" s="8"/>
      <c r="BV938" s="1"/>
      <c r="BW938" s="1"/>
      <c r="BX938" s="1"/>
      <c r="BY938" s="1"/>
      <c r="BZ938" s="1"/>
    </row>
    <row r="939">
      <c r="A939" s="3"/>
      <c r="B939" s="33"/>
      <c r="C939" s="3"/>
      <c r="D939" s="3"/>
      <c r="E939" s="2"/>
      <c r="F939" s="2"/>
      <c r="G939" s="14"/>
      <c r="H939" s="14"/>
      <c r="I939" s="14"/>
      <c r="J939" s="14"/>
      <c r="K939" s="1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8"/>
      <c r="BU939" s="8"/>
      <c r="BV939" s="1"/>
      <c r="BW939" s="1"/>
      <c r="BX939" s="1"/>
      <c r="BY939" s="1"/>
      <c r="BZ939" s="1"/>
    </row>
    <row r="940">
      <c r="A940" s="3"/>
      <c r="B940" s="33"/>
      <c r="C940" s="3"/>
      <c r="D940" s="3"/>
      <c r="E940" s="2"/>
      <c r="F940" s="2"/>
      <c r="G940" s="14"/>
      <c r="H940" s="14"/>
      <c r="I940" s="14"/>
      <c r="J940" s="14"/>
      <c r="K940" s="1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8"/>
      <c r="BU940" s="8"/>
      <c r="BV940" s="1"/>
      <c r="BW940" s="1"/>
      <c r="BX940" s="1"/>
      <c r="BY940" s="1"/>
      <c r="BZ940" s="1"/>
    </row>
    <row r="941">
      <c r="A941" s="3"/>
      <c r="B941" s="33"/>
      <c r="C941" s="3"/>
      <c r="D941" s="3"/>
      <c r="E941" s="2"/>
      <c r="F941" s="2"/>
      <c r="G941" s="14"/>
      <c r="H941" s="14"/>
      <c r="I941" s="14"/>
      <c r="J941" s="14"/>
      <c r="K941" s="1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8"/>
      <c r="BU941" s="8"/>
      <c r="BV941" s="1"/>
      <c r="BW941" s="1"/>
      <c r="BX941" s="1"/>
      <c r="BY941" s="1"/>
      <c r="BZ941" s="1"/>
    </row>
    <row r="942">
      <c r="A942" s="3"/>
      <c r="B942" s="33"/>
      <c r="C942" s="3"/>
      <c r="D942" s="3"/>
      <c r="E942" s="2"/>
      <c r="F942" s="2"/>
      <c r="G942" s="14"/>
      <c r="H942" s="14"/>
      <c r="I942" s="14"/>
      <c r="J942" s="14"/>
      <c r="K942" s="1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8"/>
      <c r="BU942" s="8"/>
      <c r="BV942" s="1"/>
      <c r="BW942" s="1"/>
      <c r="BX942" s="1"/>
      <c r="BY942" s="1"/>
      <c r="BZ942" s="1"/>
    </row>
    <row r="943">
      <c r="A943" s="3"/>
      <c r="B943" s="33"/>
      <c r="C943" s="3"/>
      <c r="D943" s="3"/>
      <c r="E943" s="2"/>
      <c r="F943" s="2"/>
      <c r="G943" s="14"/>
      <c r="H943" s="14"/>
      <c r="I943" s="14"/>
      <c r="J943" s="14"/>
      <c r="K943" s="1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8"/>
      <c r="BU943" s="8"/>
      <c r="BV943" s="1"/>
      <c r="BW943" s="1"/>
      <c r="BX943" s="1"/>
      <c r="BY943" s="1"/>
      <c r="BZ943" s="1"/>
    </row>
    <row r="944">
      <c r="A944" s="3"/>
      <c r="B944" s="33"/>
      <c r="C944" s="3"/>
      <c r="D944" s="3"/>
      <c r="E944" s="2"/>
      <c r="F944" s="2"/>
      <c r="G944" s="14"/>
      <c r="H944" s="14"/>
      <c r="I944" s="14"/>
      <c r="J944" s="14"/>
      <c r="K944" s="1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8"/>
      <c r="BU944" s="8"/>
      <c r="BV944" s="1"/>
      <c r="BW944" s="1"/>
      <c r="BX944" s="1"/>
      <c r="BY944" s="1"/>
      <c r="BZ944" s="1"/>
    </row>
    <row r="945">
      <c r="A945" s="3"/>
      <c r="B945" s="33"/>
      <c r="C945" s="3"/>
      <c r="D945" s="3"/>
      <c r="E945" s="2"/>
      <c r="F945" s="2"/>
      <c r="G945" s="14"/>
      <c r="H945" s="14"/>
      <c r="I945" s="14"/>
      <c r="J945" s="14"/>
      <c r="K945" s="1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8"/>
      <c r="BU945" s="8"/>
      <c r="BV945" s="1"/>
      <c r="BW945" s="1"/>
      <c r="BX945" s="1"/>
      <c r="BY945" s="1"/>
      <c r="BZ945" s="1"/>
    </row>
    <row r="946">
      <c r="A946" s="3"/>
      <c r="B946" s="33"/>
      <c r="C946" s="3"/>
      <c r="D946" s="3"/>
      <c r="E946" s="2"/>
      <c r="F946" s="2"/>
      <c r="G946" s="14"/>
      <c r="H946" s="14"/>
      <c r="I946" s="14"/>
      <c r="J946" s="14"/>
      <c r="K946" s="1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8"/>
      <c r="BU946" s="8"/>
      <c r="BV946" s="1"/>
      <c r="BW946" s="1"/>
      <c r="BX946" s="1"/>
      <c r="BY946" s="1"/>
      <c r="BZ946" s="1"/>
    </row>
    <row r="947">
      <c r="A947" s="3"/>
      <c r="B947" s="33"/>
      <c r="C947" s="3"/>
      <c r="D947" s="3"/>
      <c r="E947" s="2"/>
      <c r="F947" s="2"/>
      <c r="G947" s="14"/>
      <c r="H947" s="14"/>
      <c r="I947" s="14"/>
      <c r="J947" s="14"/>
      <c r="K947" s="1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8"/>
      <c r="BU947" s="8"/>
      <c r="BV947" s="1"/>
      <c r="BW947" s="1"/>
      <c r="BX947" s="1"/>
      <c r="BY947" s="1"/>
      <c r="BZ947" s="1"/>
    </row>
    <row r="948">
      <c r="A948" s="3"/>
      <c r="B948" s="33"/>
      <c r="C948" s="3"/>
      <c r="D948" s="3"/>
      <c r="E948" s="2"/>
      <c r="F948" s="2"/>
      <c r="G948" s="14"/>
      <c r="H948" s="14"/>
      <c r="I948" s="14"/>
      <c r="J948" s="14"/>
      <c r="K948" s="1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8"/>
      <c r="BU948" s="8"/>
      <c r="BV948" s="1"/>
      <c r="BW948" s="1"/>
      <c r="BX948" s="1"/>
      <c r="BY948" s="1"/>
      <c r="BZ948" s="1"/>
    </row>
    <row r="949">
      <c r="A949" s="3"/>
      <c r="B949" s="33"/>
      <c r="C949" s="3"/>
      <c r="D949" s="3"/>
      <c r="E949" s="2"/>
      <c r="F949" s="2"/>
      <c r="G949" s="14"/>
      <c r="H949" s="14"/>
      <c r="I949" s="14"/>
      <c r="J949" s="14"/>
      <c r="K949" s="1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8"/>
      <c r="BU949" s="8"/>
      <c r="BV949" s="1"/>
      <c r="BW949" s="1"/>
      <c r="BX949" s="1"/>
      <c r="BY949" s="1"/>
      <c r="BZ949" s="1"/>
    </row>
    <row r="950">
      <c r="A950" s="3"/>
      <c r="B950" s="33"/>
      <c r="C950" s="3"/>
      <c r="D950" s="3"/>
      <c r="E950" s="2"/>
      <c r="F950" s="2"/>
      <c r="G950" s="14"/>
      <c r="H950" s="14"/>
      <c r="I950" s="14"/>
      <c r="J950" s="14"/>
      <c r="K950" s="1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8"/>
      <c r="BU950" s="8"/>
      <c r="BV950" s="1"/>
      <c r="BW950" s="1"/>
      <c r="BX950" s="1"/>
      <c r="BY950" s="1"/>
      <c r="BZ950" s="1"/>
    </row>
    <row r="951">
      <c r="A951" s="3"/>
      <c r="B951" s="33"/>
      <c r="C951" s="3"/>
      <c r="D951" s="3"/>
      <c r="E951" s="2"/>
      <c r="F951" s="2"/>
      <c r="G951" s="14"/>
      <c r="H951" s="14"/>
      <c r="I951" s="14"/>
      <c r="J951" s="14"/>
      <c r="K951" s="1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8"/>
      <c r="BU951" s="8"/>
      <c r="BV951" s="1"/>
      <c r="BW951" s="1"/>
      <c r="BX951" s="1"/>
      <c r="BY951" s="1"/>
      <c r="BZ951" s="1"/>
    </row>
    <row r="952">
      <c r="A952" s="3"/>
      <c r="B952" s="33"/>
      <c r="C952" s="3"/>
      <c r="D952" s="3"/>
      <c r="E952" s="2"/>
      <c r="F952" s="2"/>
      <c r="G952" s="14"/>
      <c r="H952" s="14"/>
      <c r="I952" s="14"/>
      <c r="J952" s="14"/>
      <c r="K952" s="1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8"/>
      <c r="BU952" s="8"/>
      <c r="BV952" s="1"/>
      <c r="BW952" s="1"/>
      <c r="BX952" s="1"/>
      <c r="BY952" s="1"/>
      <c r="BZ952" s="1"/>
    </row>
    <row r="953">
      <c r="A953" s="3"/>
      <c r="B953" s="33"/>
      <c r="C953" s="3"/>
      <c r="D953" s="3"/>
      <c r="E953" s="2"/>
      <c r="F953" s="2"/>
      <c r="G953" s="14"/>
      <c r="H953" s="14"/>
      <c r="I953" s="14"/>
      <c r="J953" s="14"/>
      <c r="K953" s="1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8"/>
      <c r="BU953" s="8"/>
      <c r="BV953" s="1"/>
      <c r="BW953" s="1"/>
      <c r="BX953" s="1"/>
      <c r="BY953" s="1"/>
      <c r="BZ953" s="1"/>
    </row>
    <row r="954">
      <c r="A954" s="3"/>
      <c r="B954" s="33"/>
      <c r="C954" s="3"/>
      <c r="D954" s="3"/>
      <c r="E954" s="2"/>
      <c r="F954" s="2"/>
      <c r="G954" s="14"/>
      <c r="H954" s="14"/>
      <c r="I954" s="14"/>
      <c r="J954" s="14"/>
      <c r="K954" s="1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8"/>
      <c r="BU954" s="8"/>
      <c r="BV954" s="1"/>
      <c r="BW954" s="1"/>
      <c r="BX954" s="1"/>
      <c r="BY954" s="1"/>
      <c r="BZ954" s="1"/>
    </row>
    <row r="955">
      <c r="A955" s="3"/>
      <c r="B955" s="33"/>
      <c r="C955" s="3"/>
      <c r="D955" s="3"/>
      <c r="E955" s="2"/>
      <c r="F955" s="2"/>
      <c r="G955" s="14"/>
      <c r="H955" s="14"/>
      <c r="I955" s="14"/>
      <c r="J955" s="14"/>
      <c r="K955" s="1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8"/>
      <c r="BU955" s="8"/>
      <c r="BV955" s="1"/>
      <c r="BW955" s="1"/>
      <c r="BX955" s="1"/>
      <c r="BY955" s="1"/>
      <c r="BZ955" s="1"/>
    </row>
    <row r="956">
      <c r="A956" s="3"/>
      <c r="B956" s="33"/>
      <c r="C956" s="3"/>
      <c r="D956" s="3"/>
      <c r="E956" s="2"/>
      <c r="F956" s="2"/>
      <c r="G956" s="14"/>
      <c r="H956" s="14"/>
      <c r="I956" s="14"/>
      <c r="J956" s="14"/>
      <c r="K956" s="1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8"/>
      <c r="BU956" s="8"/>
      <c r="BV956" s="1"/>
      <c r="BW956" s="1"/>
      <c r="BX956" s="1"/>
      <c r="BY956" s="1"/>
      <c r="BZ956" s="1"/>
    </row>
    <row r="957">
      <c r="A957" s="3"/>
      <c r="B957" s="33"/>
      <c r="C957" s="3"/>
      <c r="D957" s="3"/>
      <c r="E957" s="2"/>
      <c r="F957" s="2"/>
      <c r="G957" s="14"/>
      <c r="H957" s="14"/>
      <c r="I957" s="14"/>
      <c r="J957" s="14"/>
      <c r="K957" s="1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8"/>
      <c r="BU957" s="8"/>
      <c r="BV957" s="1"/>
      <c r="BW957" s="1"/>
      <c r="BX957" s="1"/>
      <c r="BY957" s="1"/>
      <c r="BZ957" s="1"/>
    </row>
    <row r="958">
      <c r="A958" s="3"/>
      <c r="B958" s="33"/>
      <c r="C958" s="3"/>
      <c r="D958" s="3"/>
      <c r="E958" s="2"/>
      <c r="F958" s="2"/>
      <c r="G958" s="14"/>
      <c r="H958" s="14"/>
      <c r="I958" s="14"/>
      <c r="J958" s="14"/>
      <c r="K958" s="1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8"/>
      <c r="BU958" s="8"/>
      <c r="BV958" s="1"/>
      <c r="BW958" s="1"/>
      <c r="BX958" s="1"/>
      <c r="BY958" s="1"/>
      <c r="BZ958" s="1"/>
    </row>
    <row r="959">
      <c r="A959" s="3"/>
      <c r="B959" s="33"/>
      <c r="C959" s="3"/>
      <c r="D959" s="3"/>
      <c r="E959" s="2"/>
      <c r="F959" s="2"/>
      <c r="G959" s="14"/>
      <c r="H959" s="14"/>
      <c r="I959" s="14"/>
      <c r="J959" s="14"/>
      <c r="K959" s="1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8"/>
      <c r="BU959" s="8"/>
      <c r="BV959" s="1"/>
      <c r="BW959" s="1"/>
      <c r="BX959" s="1"/>
      <c r="BY959" s="1"/>
      <c r="BZ959" s="1"/>
    </row>
    <row r="960">
      <c r="A960" s="3"/>
      <c r="B960" s="33"/>
      <c r="C960" s="3"/>
      <c r="D960" s="3"/>
      <c r="E960" s="2"/>
      <c r="F960" s="2"/>
      <c r="G960" s="14"/>
      <c r="H960" s="14"/>
      <c r="I960" s="14"/>
      <c r="J960" s="14"/>
      <c r="K960" s="1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8"/>
      <c r="BU960" s="8"/>
      <c r="BV960" s="1"/>
      <c r="BW960" s="1"/>
      <c r="BX960" s="1"/>
      <c r="BY960" s="1"/>
      <c r="BZ960" s="1"/>
    </row>
    <row r="961">
      <c r="A961" s="3"/>
      <c r="B961" s="33"/>
      <c r="C961" s="3"/>
      <c r="D961" s="3"/>
      <c r="E961" s="2"/>
      <c r="F961" s="2"/>
      <c r="G961" s="14"/>
      <c r="H961" s="14"/>
      <c r="I961" s="14"/>
      <c r="J961" s="14"/>
      <c r="K961" s="1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8"/>
      <c r="BU961" s="8"/>
      <c r="BV961" s="1"/>
      <c r="BW961" s="1"/>
      <c r="BX961" s="1"/>
      <c r="BY961" s="1"/>
      <c r="BZ961" s="1"/>
    </row>
    <row r="962">
      <c r="A962" s="3"/>
      <c r="B962" s="33"/>
      <c r="C962" s="3"/>
      <c r="D962" s="3"/>
      <c r="E962" s="2"/>
      <c r="F962" s="2"/>
      <c r="G962" s="14"/>
      <c r="H962" s="14"/>
      <c r="I962" s="14"/>
      <c r="J962" s="14"/>
      <c r="K962" s="1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8"/>
      <c r="BU962" s="8"/>
      <c r="BV962" s="1"/>
      <c r="BW962" s="1"/>
      <c r="BX962" s="1"/>
      <c r="BY962" s="1"/>
      <c r="BZ962" s="1"/>
    </row>
    <row r="963">
      <c r="A963" s="3"/>
      <c r="B963" s="33"/>
      <c r="C963" s="3"/>
      <c r="D963" s="3"/>
      <c r="E963" s="2"/>
      <c r="F963" s="2"/>
      <c r="G963" s="14"/>
      <c r="H963" s="14"/>
      <c r="I963" s="14"/>
      <c r="J963" s="14"/>
      <c r="K963" s="1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8"/>
      <c r="BU963" s="8"/>
      <c r="BV963" s="1"/>
      <c r="BW963" s="1"/>
      <c r="BX963" s="1"/>
      <c r="BY963" s="1"/>
      <c r="BZ963" s="1"/>
    </row>
    <row r="964">
      <c r="A964" s="3"/>
      <c r="B964" s="33"/>
      <c r="C964" s="3"/>
      <c r="D964" s="3"/>
      <c r="E964" s="2"/>
      <c r="F964" s="2"/>
      <c r="G964" s="14"/>
      <c r="H964" s="14"/>
      <c r="I964" s="14"/>
      <c r="J964" s="14"/>
      <c r="K964" s="1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8"/>
      <c r="BU964" s="8"/>
      <c r="BV964" s="1"/>
      <c r="BW964" s="1"/>
      <c r="BX964" s="1"/>
      <c r="BY964" s="1"/>
      <c r="BZ964" s="1"/>
    </row>
    <row r="965">
      <c r="A965" s="3"/>
      <c r="B965" s="33"/>
      <c r="C965" s="3"/>
      <c r="D965" s="3"/>
      <c r="E965" s="2"/>
      <c r="F965" s="2"/>
      <c r="G965" s="14"/>
      <c r="H965" s="14"/>
      <c r="I965" s="14"/>
      <c r="J965" s="14"/>
      <c r="K965" s="1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8"/>
      <c r="BU965" s="8"/>
      <c r="BV965" s="1"/>
      <c r="BW965" s="1"/>
      <c r="BX965" s="1"/>
      <c r="BY965" s="1"/>
      <c r="BZ965" s="1"/>
    </row>
    <row r="966">
      <c r="A966" s="3"/>
      <c r="B966" s="33"/>
      <c r="C966" s="3"/>
      <c r="D966" s="3"/>
      <c r="E966" s="2"/>
      <c r="F966" s="2"/>
      <c r="G966" s="14"/>
      <c r="H966" s="14"/>
      <c r="I966" s="14"/>
      <c r="J966" s="14"/>
      <c r="K966" s="1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8"/>
      <c r="BU966" s="8"/>
      <c r="BV966" s="1"/>
      <c r="BW966" s="1"/>
      <c r="BX966" s="1"/>
      <c r="BY966" s="1"/>
      <c r="BZ966" s="1"/>
    </row>
    <row r="967">
      <c r="A967" s="3"/>
      <c r="B967" s="33"/>
      <c r="C967" s="3"/>
      <c r="D967" s="3"/>
      <c r="E967" s="2"/>
      <c r="F967" s="2"/>
      <c r="G967" s="14"/>
      <c r="H967" s="14"/>
      <c r="I967" s="14"/>
      <c r="J967" s="14"/>
      <c r="K967" s="1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8"/>
      <c r="BU967" s="8"/>
      <c r="BV967" s="1"/>
      <c r="BW967" s="1"/>
      <c r="BX967" s="1"/>
      <c r="BY967" s="1"/>
      <c r="BZ967" s="1"/>
    </row>
    <row r="968">
      <c r="A968" s="3"/>
      <c r="B968" s="33"/>
      <c r="C968" s="3"/>
      <c r="D968" s="3"/>
      <c r="E968" s="2"/>
      <c r="F968" s="2"/>
      <c r="G968" s="14"/>
      <c r="H968" s="14"/>
      <c r="I968" s="14"/>
      <c r="J968" s="14"/>
      <c r="K968" s="1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8"/>
      <c r="BU968" s="8"/>
      <c r="BV968" s="1"/>
      <c r="BW968" s="1"/>
      <c r="BX968" s="1"/>
      <c r="BY968" s="1"/>
      <c r="BZ968" s="1"/>
    </row>
    <row r="969">
      <c r="A969" s="3"/>
      <c r="B969" s="33"/>
      <c r="C969" s="3"/>
      <c r="D969" s="3"/>
      <c r="E969" s="2"/>
      <c r="F969" s="2"/>
      <c r="G969" s="14"/>
      <c r="H969" s="14"/>
      <c r="I969" s="14"/>
      <c r="J969" s="14"/>
      <c r="K969" s="1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8"/>
      <c r="BU969" s="8"/>
      <c r="BV969" s="1"/>
      <c r="BW969" s="1"/>
      <c r="BX969" s="1"/>
      <c r="BY969" s="1"/>
      <c r="BZ969" s="1"/>
    </row>
    <row r="970">
      <c r="A970" s="3"/>
      <c r="B970" s="33"/>
      <c r="C970" s="3"/>
      <c r="D970" s="3"/>
      <c r="E970" s="2"/>
      <c r="F970" s="2"/>
      <c r="G970" s="14"/>
      <c r="H970" s="14"/>
      <c r="I970" s="14"/>
      <c r="J970" s="14"/>
      <c r="K970" s="1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8"/>
      <c r="BU970" s="8"/>
      <c r="BV970" s="1"/>
      <c r="BW970" s="1"/>
      <c r="BX970" s="1"/>
      <c r="BY970" s="1"/>
      <c r="BZ970" s="1"/>
    </row>
    <row r="971">
      <c r="A971" s="3"/>
      <c r="B971" s="33"/>
      <c r="C971" s="3"/>
      <c r="D971" s="3"/>
      <c r="E971" s="2"/>
      <c r="F971" s="2"/>
      <c r="G971" s="14"/>
      <c r="H971" s="14"/>
      <c r="I971" s="14"/>
      <c r="J971" s="14"/>
      <c r="K971" s="1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8"/>
      <c r="BU971" s="8"/>
      <c r="BV971" s="1"/>
      <c r="BW971" s="1"/>
      <c r="BX971" s="1"/>
      <c r="BY971" s="1"/>
      <c r="BZ971" s="1"/>
    </row>
    <row r="972">
      <c r="A972" s="3"/>
      <c r="B972" s="33"/>
      <c r="C972" s="3"/>
      <c r="D972" s="3"/>
      <c r="E972" s="2"/>
      <c r="F972" s="2"/>
      <c r="G972" s="14"/>
      <c r="H972" s="14"/>
      <c r="I972" s="14"/>
      <c r="J972" s="14"/>
      <c r="K972" s="1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8"/>
      <c r="BU972" s="8"/>
      <c r="BV972" s="1"/>
      <c r="BW972" s="1"/>
      <c r="BX972" s="1"/>
      <c r="BY972" s="1"/>
      <c r="BZ972" s="1"/>
    </row>
    <row r="973">
      <c r="A973" s="3"/>
      <c r="B973" s="33"/>
      <c r="C973" s="3"/>
      <c r="D973" s="3"/>
      <c r="E973" s="2"/>
      <c r="F973" s="2"/>
      <c r="G973" s="14"/>
      <c r="H973" s="14"/>
      <c r="I973" s="14"/>
      <c r="J973" s="14"/>
      <c r="K973" s="1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8"/>
      <c r="BU973" s="8"/>
      <c r="BV973" s="1"/>
      <c r="BW973" s="1"/>
      <c r="BX973" s="1"/>
      <c r="BY973" s="1"/>
      <c r="BZ973" s="1"/>
    </row>
    <row r="974">
      <c r="A974" s="3"/>
      <c r="B974" s="33"/>
      <c r="C974" s="3"/>
      <c r="D974" s="3"/>
      <c r="E974" s="2"/>
      <c r="F974" s="2"/>
      <c r="G974" s="14"/>
      <c r="H974" s="14"/>
      <c r="I974" s="14"/>
      <c r="J974" s="14"/>
      <c r="K974" s="1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8"/>
      <c r="BU974" s="8"/>
      <c r="BV974" s="1"/>
      <c r="BW974" s="1"/>
      <c r="BX974" s="1"/>
      <c r="BY974" s="1"/>
      <c r="BZ974" s="1"/>
    </row>
    <row r="975">
      <c r="A975" s="3"/>
      <c r="B975" s="33"/>
      <c r="C975" s="3"/>
      <c r="D975" s="3"/>
      <c r="E975" s="2"/>
      <c r="F975" s="2"/>
      <c r="G975" s="14"/>
      <c r="H975" s="14"/>
      <c r="I975" s="14"/>
      <c r="J975" s="14"/>
      <c r="K975" s="1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8"/>
      <c r="BU975" s="8"/>
      <c r="BV975" s="1"/>
      <c r="BW975" s="1"/>
      <c r="BX975" s="1"/>
      <c r="BY975" s="1"/>
      <c r="BZ975" s="1"/>
    </row>
    <row r="976">
      <c r="A976" s="3"/>
      <c r="B976" s="33"/>
      <c r="C976" s="3"/>
      <c r="D976" s="3"/>
      <c r="E976" s="2"/>
      <c r="F976" s="2"/>
      <c r="G976" s="14"/>
      <c r="H976" s="14"/>
      <c r="I976" s="14"/>
      <c r="J976" s="14"/>
      <c r="K976" s="1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8"/>
      <c r="BU976" s="8"/>
      <c r="BV976" s="1"/>
      <c r="BW976" s="1"/>
      <c r="BX976" s="1"/>
      <c r="BY976" s="1"/>
      <c r="BZ976" s="1"/>
    </row>
    <row r="977">
      <c r="A977" s="3"/>
      <c r="B977" s="33"/>
      <c r="C977" s="3"/>
      <c r="D977" s="3"/>
      <c r="E977" s="2"/>
      <c r="F977" s="2"/>
      <c r="G977" s="14"/>
      <c r="H977" s="14"/>
      <c r="I977" s="14"/>
      <c r="J977" s="14"/>
      <c r="K977" s="1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8"/>
      <c r="BU977" s="8"/>
      <c r="BV977" s="1"/>
      <c r="BW977" s="1"/>
      <c r="BX977" s="1"/>
      <c r="BY977" s="1"/>
      <c r="BZ977" s="1"/>
    </row>
    <row r="978">
      <c r="A978" s="3"/>
      <c r="B978" s="33"/>
      <c r="C978" s="3"/>
      <c r="D978" s="3"/>
      <c r="E978" s="2"/>
      <c r="F978" s="2"/>
      <c r="G978" s="14"/>
      <c r="H978" s="14"/>
      <c r="I978" s="14"/>
      <c r="J978" s="14"/>
      <c r="K978" s="1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8"/>
      <c r="BU978" s="8"/>
      <c r="BV978" s="1"/>
      <c r="BW978" s="1"/>
      <c r="BX978" s="1"/>
      <c r="BY978" s="1"/>
      <c r="BZ978" s="1"/>
    </row>
    <row r="979">
      <c r="A979" s="3"/>
      <c r="B979" s="33"/>
      <c r="C979" s="3"/>
      <c r="D979" s="3"/>
      <c r="E979" s="2"/>
      <c r="F979" s="2"/>
      <c r="G979" s="14"/>
      <c r="H979" s="14"/>
      <c r="I979" s="14"/>
      <c r="J979" s="14"/>
      <c r="K979" s="1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8"/>
      <c r="BU979" s="8"/>
      <c r="BV979" s="1"/>
      <c r="BW979" s="1"/>
      <c r="BX979" s="1"/>
      <c r="BY979" s="1"/>
      <c r="BZ979" s="1"/>
    </row>
    <row r="980">
      <c r="A980" s="3"/>
      <c r="B980" s="33"/>
      <c r="C980" s="3"/>
      <c r="D980" s="3"/>
      <c r="E980" s="2"/>
      <c r="F980" s="2"/>
      <c r="G980" s="14"/>
      <c r="H980" s="14"/>
      <c r="I980" s="14"/>
      <c r="J980" s="14"/>
      <c r="K980" s="1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8"/>
      <c r="BU980" s="8"/>
      <c r="BV980" s="1"/>
      <c r="BW980" s="1"/>
      <c r="BX980" s="1"/>
      <c r="BY980" s="1"/>
      <c r="BZ980" s="1"/>
    </row>
    <row r="981">
      <c r="A981" s="3"/>
      <c r="B981" s="33"/>
      <c r="C981" s="3"/>
      <c r="D981" s="3"/>
      <c r="E981" s="2"/>
      <c r="F981" s="2"/>
      <c r="G981" s="14"/>
      <c r="H981" s="14"/>
      <c r="I981" s="14"/>
      <c r="J981" s="14"/>
      <c r="K981" s="1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8"/>
      <c r="BU981" s="8"/>
      <c r="BV981" s="1"/>
      <c r="BW981" s="1"/>
      <c r="BX981" s="1"/>
      <c r="BY981" s="1"/>
      <c r="BZ981" s="1"/>
    </row>
    <row r="982">
      <c r="A982" s="3"/>
      <c r="B982" s="33"/>
      <c r="C982" s="3"/>
      <c r="D982" s="3"/>
      <c r="E982" s="2"/>
      <c r="F982" s="2"/>
      <c r="G982" s="14"/>
      <c r="H982" s="14"/>
      <c r="I982" s="14"/>
      <c r="J982" s="14"/>
      <c r="K982" s="1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8"/>
      <c r="BU982" s="8"/>
      <c r="BV982" s="1"/>
      <c r="BW982" s="1"/>
      <c r="BX982" s="1"/>
      <c r="BY982" s="1"/>
      <c r="BZ982" s="1"/>
    </row>
    <row r="983">
      <c r="A983" s="3"/>
      <c r="B983" s="33"/>
      <c r="C983" s="3"/>
      <c r="D983" s="3"/>
      <c r="E983" s="2"/>
      <c r="F983" s="2"/>
      <c r="G983" s="14"/>
      <c r="H983" s="14"/>
      <c r="I983" s="14"/>
      <c r="J983" s="14"/>
      <c r="K983" s="1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8"/>
      <c r="BU983" s="8"/>
      <c r="BV983" s="1"/>
      <c r="BW983" s="1"/>
      <c r="BX983" s="1"/>
      <c r="BY983" s="1"/>
      <c r="BZ983" s="1"/>
    </row>
    <row r="984">
      <c r="A984" s="3"/>
      <c r="B984" s="33"/>
      <c r="C984" s="3"/>
      <c r="D984" s="3"/>
      <c r="E984" s="2"/>
      <c r="F984" s="2"/>
      <c r="G984" s="14"/>
      <c r="H984" s="14"/>
      <c r="I984" s="14"/>
      <c r="J984" s="14"/>
      <c r="K984" s="1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8"/>
      <c r="BU984" s="8"/>
      <c r="BV984" s="1"/>
      <c r="BW984" s="1"/>
      <c r="BX984" s="1"/>
      <c r="BY984" s="1"/>
      <c r="BZ984" s="1"/>
    </row>
    <row r="985">
      <c r="A985" s="3"/>
      <c r="B985" s="33"/>
      <c r="C985" s="3"/>
      <c r="D985" s="3"/>
      <c r="E985" s="2"/>
      <c r="F985" s="2"/>
      <c r="G985" s="14"/>
      <c r="H985" s="14"/>
      <c r="I985" s="14"/>
      <c r="J985" s="14"/>
      <c r="K985" s="1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8"/>
      <c r="BU985" s="8"/>
      <c r="BV985" s="1"/>
      <c r="BW985" s="1"/>
      <c r="BX985" s="1"/>
      <c r="BY985" s="1"/>
      <c r="BZ985" s="1"/>
    </row>
    <row r="986">
      <c r="A986" s="3"/>
      <c r="B986" s="33"/>
      <c r="C986" s="3"/>
      <c r="D986" s="3"/>
      <c r="E986" s="2"/>
      <c r="F986" s="2"/>
      <c r="G986" s="14"/>
      <c r="H986" s="14"/>
      <c r="I986" s="14"/>
      <c r="J986" s="14"/>
      <c r="K986" s="1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8"/>
      <c r="BU986" s="8"/>
      <c r="BV986" s="1"/>
      <c r="BW986" s="1"/>
      <c r="BX986" s="1"/>
      <c r="BY986" s="1"/>
      <c r="BZ986" s="1"/>
    </row>
    <row r="987">
      <c r="A987" s="3"/>
      <c r="B987" s="33"/>
      <c r="C987" s="3"/>
      <c r="D987" s="3"/>
      <c r="E987" s="2"/>
      <c r="F987" s="2"/>
      <c r="G987" s="14"/>
      <c r="H987" s="14"/>
      <c r="I987" s="14"/>
      <c r="J987" s="14"/>
      <c r="K987" s="1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8"/>
      <c r="BU987" s="8"/>
      <c r="BV987" s="1"/>
      <c r="BW987" s="1"/>
      <c r="BX987" s="1"/>
      <c r="BY987" s="1"/>
      <c r="BZ987" s="1"/>
    </row>
    <row r="988">
      <c r="A988" s="3"/>
      <c r="B988" s="33"/>
      <c r="C988" s="3"/>
      <c r="D988" s="3"/>
      <c r="E988" s="2"/>
      <c r="F988" s="2"/>
      <c r="G988" s="14"/>
      <c r="H988" s="14"/>
      <c r="I988" s="14"/>
      <c r="J988" s="14"/>
      <c r="K988" s="1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8"/>
      <c r="BU988" s="8"/>
      <c r="BV988" s="1"/>
      <c r="BW988" s="1"/>
      <c r="BX988" s="1"/>
      <c r="BY988" s="1"/>
      <c r="BZ988" s="1"/>
    </row>
    <row r="989">
      <c r="A989" s="3"/>
      <c r="B989" s="33"/>
      <c r="C989" s="3"/>
      <c r="D989" s="3"/>
      <c r="E989" s="2"/>
      <c r="F989" s="2"/>
      <c r="G989" s="14"/>
      <c r="H989" s="14"/>
      <c r="I989" s="14"/>
      <c r="J989" s="14"/>
      <c r="K989" s="1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8"/>
      <c r="BU989" s="8"/>
      <c r="BV989" s="1"/>
      <c r="BW989" s="1"/>
      <c r="BX989" s="1"/>
      <c r="BY989" s="1"/>
      <c r="BZ989" s="1"/>
    </row>
    <row r="990">
      <c r="A990" s="3"/>
      <c r="B990" s="33"/>
      <c r="C990" s="3"/>
      <c r="D990" s="3"/>
      <c r="E990" s="2"/>
      <c r="F990" s="2"/>
      <c r="G990" s="14"/>
      <c r="H990" s="14"/>
      <c r="I990" s="14"/>
      <c r="J990" s="14"/>
      <c r="K990" s="1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8"/>
      <c r="BU990" s="8"/>
      <c r="BV990" s="1"/>
      <c r="BW990" s="1"/>
      <c r="BX990" s="1"/>
      <c r="BY990" s="1"/>
      <c r="BZ990" s="1"/>
    </row>
    <row r="991">
      <c r="A991" s="3"/>
      <c r="B991" s="33"/>
      <c r="C991" s="3"/>
      <c r="D991" s="3"/>
      <c r="E991" s="2"/>
      <c r="F991" s="2"/>
      <c r="G991" s="14"/>
      <c r="H991" s="14"/>
      <c r="I991" s="14"/>
      <c r="J991" s="14"/>
      <c r="K991" s="1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8"/>
      <c r="BU991" s="8"/>
      <c r="BV991" s="1"/>
      <c r="BW991" s="1"/>
      <c r="BX991" s="1"/>
      <c r="BY991" s="1"/>
      <c r="BZ991" s="1"/>
    </row>
    <row r="992">
      <c r="A992" s="3"/>
      <c r="B992" s="33"/>
      <c r="C992" s="3"/>
      <c r="D992" s="3"/>
      <c r="E992" s="2"/>
      <c r="F992" s="2"/>
      <c r="G992" s="14"/>
      <c r="H992" s="14"/>
      <c r="I992" s="14"/>
      <c r="J992" s="14"/>
      <c r="K992" s="1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8"/>
      <c r="BU992" s="8"/>
      <c r="BV992" s="1"/>
      <c r="BW992" s="1"/>
      <c r="BX992" s="1"/>
      <c r="BY992" s="1"/>
      <c r="BZ992" s="1"/>
    </row>
    <row r="993">
      <c r="A993" s="3"/>
      <c r="B993" s="33"/>
      <c r="C993" s="3"/>
      <c r="D993" s="3"/>
      <c r="E993" s="2"/>
      <c r="F993" s="2"/>
      <c r="G993" s="14"/>
      <c r="H993" s="14"/>
      <c r="I993" s="14"/>
      <c r="J993" s="14"/>
      <c r="K993" s="1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8"/>
      <c r="BU993" s="8"/>
      <c r="BV993" s="1"/>
      <c r="BW993" s="1"/>
      <c r="BX993" s="1"/>
      <c r="BY993" s="1"/>
      <c r="BZ993" s="1"/>
    </row>
    <row r="994">
      <c r="A994" s="3"/>
      <c r="B994" s="33"/>
      <c r="C994" s="3"/>
      <c r="D994" s="3"/>
      <c r="E994" s="2"/>
      <c r="F994" s="2"/>
      <c r="G994" s="14"/>
      <c r="H994" s="14"/>
      <c r="I994" s="14"/>
      <c r="J994" s="14"/>
      <c r="K994" s="1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8"/>
      <c r="BU994" s="8"/>
      <c r="BV994" s="1"/>
      <c r="BW994" s="1"/>
      <c r="BX994" s="1"/>
      <c r="BY994" s="1"/>
      <c r="BZ994" s="1"/>
    </row>
    <row r="995">
      <c r="A995" s="3"/>
      <c r="B995" s="33"/>
      <c r="C995" s="3"/>
      <c r="D995" s="3"/>
      <c r="E995" s="2"/>
      <c r="F995" s="2"/>
      <c r="G995" s="14"/>
      <c r="H995" s="14"/>
      <c r="I995" s="14"/>
      <c r="J995" s="14"/>
      <c r="K995" s="1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8"/>
      <c r="BU995" s="8"/>
      <c r="BV995" s="1"/>
      <c r="BW995" s="1"/>
      <c r="BX995" s="1"/>
      <c r="BY995" s="1"/>
      <c r="BZ995" s="1"/>
    </row>
    <row r="996">
      <c r="A996" s="3"/>
      <c r="B996" s="33"/>
      <c r="C996" s="3"/>
      <c r="D996" s="3"/>
      <c r="E996" s="2"/>
      <c r="F996" s="2"/>
      <c r="G996" s="14"/>
      <c r="H996" s="14"/>
      <c r="I996" s="14"/>
      <c r="J996" s="14"/>
      <c r="K996" s="1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8"/>
      <c r="BU996" s="8"/>
      <c r="BV996" s="1"/>
      <c r="BW996" s="1"/>
      <c r="BX996" s="1"/>
      <c r="BY996" s="1"/>
      <c r="BZ996" s="1"/>
    </row>
    <row r="997">
      <c r="A997" s="3"/>
      <c r="B997" s="33"/>
      <c r="C997" s="3"/>
      <c r="D997" s="3"/>
      <c r="E997" s="2"/>
      <c r="F997" s="2"/>
      <c r="G997" s="14"/>
      <c r="H997" s="14"/>
      <c r="I997" s="14"/>
      <c r="J997" s="14"/>
      <c r="K997" s="1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8"/>
      <c r="BU997" s="8"/>
      <c r="BV997" s="1"/>
      <c r="BW997" s="1"/>
      <c r="BX997" s="1"/>
      <c r="BY997" s="1"/>
      <c r="BZ997" s="1"/>
    </row>
    <row r="998">
      <c r="A998" s="3"/>
      <c r="B998" s="33"/>
      <c r="C998" s="3"/>
      <c r="D998" s="3"/>
      <c r="E998" s="2"/>
      <c r="F998" s="2"/>
      <c r="G998" s="14"/>
      <c r="H998" s="14"/>
      <c r="I998" s="14"/>
      <c r="J998" s="14"/>
      <c r="K998" s="1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8"/>
      <c r="BU998" s="8"/>
      <c r="BV998" s="1"/>
      <c r="BW998" s="1"/>
      <c r="BX998" s="1"/>
      <c r="BY998" s="1"/>
      <c r="BZ998" s="1"/>
    </row>
    <row r="999">
      <c r="A999" s="3"/>
      <c r="B999" s="33"/>
      <c r="C999" s="3"/>
      <c r="D999" s="3"/>
      <c r="E999" s="2"/>
      <c r="F999" s="2"/>
      <c r="G999" s="14"/>
      <c r="H999" s="14"/>
      <c r="I999" s="14"/>
      <c r="J999" s="14"/>
      <c r="K999" s="1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8"/>
      <c r="BU999" s="8"/>
      <c r="BV999" s="1"/>
      <c r="BW999" s="1"/>
      <c r="BX999" s="1"/>
      <c r="BY999" s="1"/>
      <c r="BZ999" s="1"/>
    </row>
    <row r="1000">
      <c r="A1000" s="3"/>
      <c r="B1000" s="33"/>
      <c r="C1000" s="3"/>
      <c r="D1000" s="3"/>
      <c r="E1000" s="2"/>
      <c r="F1000" s="2"/>
      <c r="G1000" s="14"/>
      <c r="H1000" s="14"/>
      <c r="I1000" s="14"/>
      <c r="J1000" s="14"/>
      <c r="K1000" s="1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8"/>
      <c r="BU1000" s="8"/>
      <c r="BV1000" s="1"/>
      <c r="BW1000" s="1"/>
      <c r="BX1000" s="1"/>
      <c r="BY1000" s="1"/>
      <c r="BZ1000" s="1"/>
    </row>
    <row r="1001">
      <c r="A1001" s="3"/>
      <c r="B1001" s="33"/>
      <c r="C1001" s="3"/>
      <c r="D1001" s="3"/>
      <c r="E1001" s="2"/>
      <c r="F1001" s="2"/>
      <c r="G1001" s="14"/>
      <c r="H1001" s="14"/>
      <c r="I1001" s="14"/>
      <c r="J1001" s="14"/>
      <c r="K1001" s="1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8"/>
      <c r="BU1001" s="8"/>
      <c r="BV1001" s="1"/>
      <c r="BW1001" s="1"/>
      <c r="BX1001" s="1"/>
      <c r="BY1001" s="1"/>
      <c r="BZ1001" s="1"/>
    </row>
    <row r="1002">
      <c r="A1002" s="3"/>
      <c r="B1002" s="33"/>
      <c r="C1002" s="3"/>
      <c r="D1002" s="3"/>
      <c r="E1002" s="2"/>
      <c r="F1002" s="2"/>
      <c r="G1002" s="14"/>
      <c r="H1002" s="14"/>
      <c r="I1002" s="14"/>
      <c r="J1002" s="14"/>
      <c r="K1002" s="14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8"/>
      <c r="BU1002" s="8"/>
      <c r="BV1002" s="1"/>
      <c r="BW1002" s="1"/>
      <c r="BX1002" s="1"/>
      <c r="BY1002" s="1"/>
      <c r="BZ1002" s="1"/>
    </row>
    <row r="1003">
      <c r="A1003" s="3"/>
      <c r="B1003" s="33"/>
      <c r="C1003" s="3"/>
      <c r="D1003" s="3"/>
      <c r="E1003" s="2"/>
      <c r="F1003" s="2"/>
      <c r="G1003" s="14"/>
      <c r="H1003" s="14"/>
      <c r="I1003" s="14"/>
      <c r="J1003" s="14"/>
      <c r="K1003" s="14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8"/>
      <c r="BU1003" s="8"/>
      <c r="BV1003" s="1"/>
      <c r="BW1003" s="1"/>
      <c r="BX1003" s="1"/>
      <c r="BY1003" s="1"/>
      <c r="BZ1003" s="1"/>
    </row>
    <row r="1004">
      <c r="A1004" s="3"/>
      <c r="B1004" s="33"/>
      <c r="C1004" s="3"/>
      <c r="D1004" s="3"/>
      <c r="E1004" s="2"/>
      <c r="F1004" s="2"/>
      <c r="G1004" s="14"/>
      <c r="H1004" s="14"/>
      <c r="I1004" s="14"/>
      <c r="J1004" s="14"/>
      <c r="K1004" s="14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8"/>
      <c r="BU1004" s="8"/>
      <c r="BV1004" s="1"/>
      <c r="BW1004" s="1"/>
      <c r="BX1004" s="1"/>
      <c r="BY1004" s="1"/>
      <c r="BZ1004" s="1"/>
    </row>
    <row r="1005">
      <c r="A1005" s="3"/>
      <c r="B1005" s="33"/>
      <c r="C1005" s="3"/>
      <c r="D1005" s="3"/>
      <c r="E1005" s="2"/>
      <c r="F1005" s="2"/>
      <c r="G1005" s="14"/>
      <c r="H1005" s="14"/>
      <c r="I1005" s="14"/>
      <c r="J1005" s="14"/>
      <c r="K1005" s="14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8"/>
      <c r="BU1005" s="8"/>
      <c r="BV1005" s="1"/>
      <c r="BW1005" s="1"/>
      <c r="BX1005" s="1"/>
      <c r="BY1005" s="1"/>
      <c r="BZ1005" s="1"/>
    </row>
    <row r="1006">
      <c r="A1006" s="3"/>
      <c r="B1006" s="33"/>
      <c r="C1006" s="3"/>
      <c r="D1006" s="3"/>
      <c r="E1006" s="2"/>
      <c r="F1006" s="2"/>
      <c r="G1006" s="14"/>
      <c r="H1006" s="14"/>
      <c r="I1006" s="14"/>
      <c r="J1006" s="14"/>
      <c r="K1006" s="14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8"/>
      <c r="BU1006" s="8"/>
      <c r="BV1006" s="1"/>
      <c r="BW1006" s="1"/>
      <c r="BX1006" s="1"/>
      <c r="BY1006" s="1"/>
      <c r="BZ1006" s="1"/>
    </row>
    <row r="1007">
      <c r="A1007" s="3"/>
      <c r="B1007" s="33"/>
      <c r="C1007" s="3"/>
      <c r="D1007" s="3"/>
      <c r="E1007" s="2"/>
      <c r="F1007" s="2"/>
      <c r="G1007" s="14"/>
      <c r="H1007" s="14"/>
      <c r="I1007" s="14"/>
      <c r="J1007" s="14"/>
      <c r="K1007" s="14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8"/>
      <c r="BU1007" s="8"/>
      <c r="BV1007" s="1"/>
      <c r="BW1007" s="1"/>
      <c r="BX1007" s="1"/>
      <c r="BY1007" s="1"/>
      <c r="BZ1007" s="1"/>
    </row>
    <row r="1008">
      <c r="A1008" s="3"/>
      <c r="B1008" s="33"/>
      <c r="C1008" s="3"/>
      <c r="D1008" s="3"/>
      <c r="E1008" s="2"/>
      <c r="F1008" s="2"/>
      <c r="G1008" s="14"/>
      <c r="H1008" s="14"/>
      <c r="I1008" s="14"/>
      <c r="J1008" s="14"/>
      <c r="K1008" s="14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8"/>
      <c r="BU1008" s="8"/>
      <c r="BV1008" s="1"/>
      <c r="BW1008" s="1"/>
      <c r="BX1008" s="1"/>
      <c r="BY1008" s="1"/>
      <c r="BZ1008" s="1"/>
    </row>
    <row r="1009">
      <c r="A1009" s="3"/>
      <c r="B1009" s="33"/>
      <c r="C1009" s="3"/>
      <c r="D1009" s="3"/>
      <c r="E1009" s="2"/>
      <c r="F1009" s="2"/>
      <c r="G1009" s="14"/>
      <c r="H1009" s="14"/>
      <c r="I1009" s="14"/>
      <c r="J1009" s="14"/>
      <c r="K1009" s="14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8"/>
      <c r="BU1009" s="8"/>
      <c r="BV1009" s="1"/>
      <c r="BW1009" s="1"/>
      <c r="BX1009" s="1"/>
      <c r="BY1009" s="1"/>
      <c r="BZ1009" s="1"/>
    </row>
    <row r="1010">
      <c r="A1010" s="3"/>
      <c r="B1010" s="33"/>
      <c r="C1010" s="3"/>
      <c r="D1010" s="3"/>
      <c r="E1010" s="2"/>
      <c r="F1010" s="2"/>
      <c r="G1010" s="14"/>
      <c r="H1010" s="14"/>
      <c r="I1010" s="14"/>
      <c r="J1010" s="14"/>
      <c r="K1010" s="14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8"/>
      <c r="BU1010" s="8"/>
      <c r="BV1010" s="1"/>
      <c r="BW1010" s="1"/>
      <c r="BX1010" s="1"/>
      <c r="BY1010" s="1"/>
      <c r="BZ1010" s="1"/>
    </row>
    <row r="1011">
      <c r="A1011" s="3"/>
      <c r="B1011" s="33"/>
      <c r="C1011" s="3"/>
      <c r="D1011" s="3"/>
      <c r="E1011" s="2"/>
      <c r="F1011" s="2"/>
      <c r="G1011" s="14"/>
      <c r="H1011" s="14"/>
      <c r="I1011" s="14"/>
      <c r="J1011" s="14"/>
      <c r="K1011" s="14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8"/>
      <c r="BU1011" s="8"/>
      <c r="BV1011" s="1"/>
      <c r="BW1011" s="1"/>
      <c r="BX1011" s="1"/>
      <c r="BY1011" s="1"/>
      <c r="BZ1011" s="1"/>
    </row>
    <row r="1012">
      <c r="A1012" s="3"/>
      <c r="B1012" s="33"/>
      <c r="C1012" s="3"/>
      <c r="D1012" s="3"/>
      <c r="E1012" s="2"/>
      <c r="F1012" s="2"/>
      <c r="G1012" s="14"/>
      <c r="H1012" s="14"/>
      <c r="I1012" s="14"/>
      <c r="J1012" s="14"/>
      <c r="K1012" s="14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8"/>
      <c r="BU1012" s="8"/>
      <c r="BV1012" s="1"/>
      <c r="BW1012" s="1"/>
      <c r="BX1012" s="1"/>
      <c r="BY1012" s="1"/>
      <c r="BZ1012" s="1"/>
    </row>
    <row r="1013">
      <c r="A1013" s="3"/>
      <c r="B1013" s="33"/>
      <c r="C1013" s="3"/>
      <c r="D1013" s="3"/>
      <c r="E1013" s="2"/>
      <c r="F1013" s="2"/>
      <c r="G1013" s="14"/>
      <c r="H1013" s="14"/>
      <c r="I1013" s="14"/>
      <c r="J1013" s="14"/>
      <c r="K1013" s="14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8"/>
      <c r="BU1013" s="8"/>
      <c r="BV1013" s="1"/>
      <c r="BW1013" s="1"/>
      <c r="BX1013" s="1"/>
      <c r="BY1013" s="1"/>
      <c r="BZ1013" s="1"/>
    </row>
    <row r="1014">
      <c r="A1014" s="3"/>
      <c r="B1014" s="33"/>
      <c r="C1014" s="3"/>
      <c r="D1014" s="3"/>
      <c r="E1014" s="2"/>
      <c r="F1014" s="2"/>
      <c r="G1014" s="14"/>
      <c r="H1014" s="14"/>
      <c r="I1014" s="14"/>
      <c r="J1014" s="14"/>
      <c r="K1014" s="14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8"/>
      <c r="BU1014" s="8"/>
      <c r="BV1014" s="1"/>
      <c r="BW1014" s="1"/>
      <c r="BX1014" s="1"/>
      <c r="BY1014" s="1"/>
      <c r="BZ1014" s="1"/>
    </row>
    <row r="1015">
      <c r="A1015" s="3"/>
      <c r="B1015" s="33"/>
      <c r="C1015" s="3"/>
      <c r="D1015" s="3"/>
      <c r="E1015" s="2"/>
      <c r="F1015" s="2"/>
      <c r="G1015" s="14"/>
      <c r="H1015" s="14"/>
      <c r="I1015" s="14"/>
      <c r="J1015" s="14"/>
      <c r="K1015" s="14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8"/>
      <c r="BU1015" s="8"/>
      <c r="BV1015" s="1"/>
      <c r="BW1015" s="1"/>
      <c r="BX1015" s="1"/>
      <c r="BY1015" s="1"/>
      <c r="BZ1015" s="1"/>
    </row>
    <row r="1016">
      <c r="A1016" s="3"/>
      <c r="B1016" s="33"/>
      <c r="C1016" s="3"/>
      <c r="D1016" s="3"/>
      <c r="E1016" s="2"/>
      <c r="F1016" s="2"/>
      <c r="G1016" s="14"/>
      <c r="H1016" s="14"/>
      <c r="I1016" s="14"/>
      <c r="J1016" s="14"/>
      <c r="K1016" s="14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8"/>
      <c r="BU1016" s="8"/>
      <c r="BV1016" s="1"/>
      <c r="BW1016" s="1"/>
      <c r="BX1016" s="1"/>
      <c r="BY1016" s="1"/>
      <c r="BZ1016" s="1"/>
    </row>
    <row r="1017">
      <c r="A1017" s="3"/>
      <c r="B1017" s="33"/>
      <c r="C1017" s="3"/>
      <c r="D1017" s="3"/>
      <c r="E1017" s="2"/>
      <c r="F1017" s="2"/>
      <c r="G1017" s="14"/>
      <c r="H1017" s="14"/>
      <c r="I1017" s="14"/>
      <c r="J1017" s="14"/>
      <c r="K1017" s="14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8"/>
      <c r="BU1017" s="8"/>
      <c r="BV1017" s="1"/>
      <c r="BW1017" s="1"/>
      <c r="BX1017" s="1"/>
      <c r="BY1017" s="1"/>
      <c r="BZ1017" s="1"/>
    </row>
    <row r="1018">
      <c r="A1018" s="3"/>
      <c r="B1018" s="33"/>
      <c r="C1018" s="3"/>
      <c r="D1018" s="3"/>
      <c r="E1018" s="2"/>
      <c r="F1018" s="2"/>
      <c r="G1018" s="14"/>
      <c r="H1018" s="14"/>
      <c r="I1018" s="14"/>
      <c r="J1018" s="14"/>
      <c r="K1018" s="14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8"/>
      <c r="BU1018" s="8"/>
      <c r="BV1018" s="1"/>
      <c r="BW1018" s="1"/>
      <c r="BX1018" s="1"/>
      <c r="BY1018" s="1"/>
      <c r="BZ1018" s="1"/>
    </row>
    <row r="1019">
      <c r="A1019" s="3"/>
      <c r="B1019" s="33"/>
      <c r="C1019" s="3"/>
      <c r="D1019" s="3"/>
      <c r="E1019" s="2"/>
      <c r="F1019" s="2"/>
      <c r="G1019" s="14"/>
      <c r="H1019" s="14"/>
      <c r="I1019" s="14"/>
      <c r="J1019" s="14"/>
      <c r="K1019" s="14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8"/>
      <c r="BU1019" s="8"/>
      <c r="BV1019" s="1"/>
      <c r="BW1019" s="1"/>
      <c r="BX1019" s="1"/>
      <c r="BY1019" s="1"/>
      <c r="BZ1019" s="1"/>
    </row>
    <row r="1020">
      <c r="A1020" s="3"/>
      <c r="B1020" s="33"/>
      <c r="C1020" s="3"/>
      <c r="D1020" s="3"/>
      <c r="E1020" s="2"/>
      <c r="F1020" s="2"/>
      <c r="G1020" s="14"/>
      <c r="H1020" s="14"/>
      <c r="I1020" s="14"/>
      <c r="J1020" s="14"/>
      <c r="K1020" s="14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8"/>
      <c r="BU1020" s="8"/>
      <c r="BV1020" s="1"/>
      <c r="BW1020" s="1"/>
      <c r="BX1020" s="1"/>
      <c r="BY1020" s="1"/>
      <c r="BZ1020" s="1"/>
    </row>
    <row r="1021">
      <c r="A1021" s="3"/>
      <c r="B1021" s="33"/>
      <c r="C1021" s="3"/>
      <c r="D1021" s="3"/>
      <c r="E1021" s="2"/>
      <c r="F1021" s="2"/>
      <c r="G1021" s="14"/>
      <c r="H1021" s="14"/>
      <c r="I1021" s="14"/>
      <c r="J1021" s="14"/>
      <c r="K1021" s="14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8"/>
      <c r="BU1021" s="8"/>
      <c r="BV1021" s="1"/>
      <c r="BW1021" s="1"/>
      <c r="BX1021" s="1"/>
      <c r="BY1021" s="1"/>
      <c r="BZ1021" s="1"/>
    </row>
    <row r="1022">
      <c r="A1022" s="3"/>
      <c r="B1022" s="33"/>
      <c r="C1022" s="3"/>
      <c r="D1022" s="3"/>
      <c r="E1022" s="2"/>
      <c r="F1022" s="2"/>
      <c r="G1022" s="14"/>
      <c r="H1022" s="14"/>
      <c r="I1022" s="14"/>
      <c r="J1022" s="14"/>
      <c r="K1022" s="14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8"/>
      <c r="BU1022" s="8"/>
      <c r="BV1022" s="1"/>
      <c r="BW1022" s="1"/>
      <c r="BX1022" s="1"/>
      <c r="BY1022" s="1"/>
      <c r="BZ1022" s="1"/>
    </row>
    <row r="1023">
      <c r="A1023" s="3"/>
      <c r="B1023" s="33"/>
      <c r="C1023" s="3"/>
      <c r="D1023" s="3"/>
      <c r="E1023" s="2"/>
      <c r="F1023" s="2"/>
      <c r="G1023" s="14"/>
      <c r="H1023" s="14"/>
      <c r="I1023" s="14"/>
      <c r="J1023" s="14"/>
      <c r="K1023" s="14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8"/>
      <c r="BU1023" s="8"/>
      <c r="BV1023" s="1"/>
      <c r="BW1023" s="1"/>
      <c r="BX1023" s="1"/>
      <c r="BY1023" s="1"/>
      <c r="BZ1023" s="1"/>
    </row>
    <row r="1024">
      <c r="A1024" s="3"/>
      <c r="B1024" s="33"/>
      <c r="C1024" s="3"/>
      <c r="D1024" s="3"/>
      <c r="E1024" s="2"/>
      <c r="F1024" s="2"/>
      <c r="G1024" s="14"/>
      <c r="H1024" s="14"/>
      <c r="I1024" s="14"/>
      <c r="J1024" s="14"/>
      <c r="K1024" s="14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8"/>
      <c r="BU1024" s="8"/>
      <c r="BV1024" s="1"/>
      <c r="BW1024" s="1"/>
      <c r="BX1024" s="1"/>
      <c r="BY1024" s="1"/>
      <c r="BZ1024" s="1"/>
    </row>
    <row r="1025">
      <c r="A1025" s="3"/>
      <c r="B1025" s="33"/>
      <c r="C1025" s="3"/>
      <c r="D1025" s="3"/>
      <c r="E1025" s="2"/>
      <c r="F1025" s="2"/>
      <c r="G1025" s="14"/>
      <c r="H1025" s="14"/>
      <c r="I1025" s="14"/>
      <c r="J1025" s="14"/>
      <c r="K1025" s="14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8"/>
      <c r="BU1025" s="8"/>
      <c r="BV1025" s="1"/>
      <c r="BW1025" s="1"/>
      <c r="BX1025" s="1"/>
      <c r="BY1025" s="1"/>
      <c r="BZ1025" s="1"/>
    </row>
    <row r="1026">
      <c r="A1026" s="3"/>
      <c r="B1026" s="33"/>
      <c r="C1026" s="3"/>
      <c r="D1026" s="3"/>
      <c r="E1026" s="2"/>
      <c r="F1026" s="2"/>
      <c r="G1026" s="14"/>
      <c r="H1026" s="14"/>
      <c r="I1026" s="14"/>
      <c r="J1026" s="14"/>
      <c r="K1026" s="14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8"/>
      <c r="BU1026" s="8"/>
      <c r="BV1026" s="1"/>
      <c r="BW1026" s="1"/>
      <c r="BX1026" s="1"/>
      <c r="BY1026" s="1"/>
      <c r="BZ1026" s="1"/>
    </row>
    <row r="1027">
      <c r="A1027" s="3"/>
      <c r="B1027" s="33"/>
      <c r="C1027" s="3"/>
      <c r="D1027" s="3"/>
      <c r="E1027" s="2"/>
      <c r="F1027" s="2"/>
      <c r="G1027" s="14"/>
      <c r="H1027" s="14"/>
      <c r="I1027" s="14"/>
      <c r="J1027" s="14"/>
      <c r="K1027" s="14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8"/>
      <c r="BU1027" s="8"/>
      <c r="BV1027" s="1"/>
      <c r="BW1027" s="1"/>
      <c r="BX1027" s="1"/>
      <c r="BY1027" s="1"/>
      <c r="BZ1027" s="1"/>
    </row>
    <row r="1028">
      <c r="A1028" s="3"/>
      <c r="B1028" s="33"/>
      <c r="C1028" s="3"/>
      <c r="D1028" s="3"/>
      <c r="E1028" s="2"/>
      <c r="F1028" s="2"/>
      <c r="G1028" s="14"/>
      <c r="H1028" s="14"/>
      <c r="I1028" s="14"/>
      <c r="J1028" s="14"/>
      <c r="K1028" s="14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8"/>
      <c r="BU1028" s="8"/>
      <c r="BV1028" s="1"/>
      <c r="BW1028" s="1"/>
      <c r="BX1028" s="1"/>
      <c r="BY1028" s="1"/>
      <c r="BZ1028" s="1"/>
    </row>
    <row r="1029">
      <c r="A1029" s="3"/>
      <c r="B1029" s="33"/>
      <c r="C1029" s="3"/>
      <c r="D1029" s="3"/>
      <c r="E1029" s="2"/>
      <c r="F1029" s="2"/>
      <c r="G1029" s="14"/>
      <c r="H1029" s="14"/>
      <c r="I1029" s="14"/>
      <c r="J1029" s="14"/>
      <c r="K1029" s="14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8"/>
      <c r="BU1029" s="8"/>
      <c r="BV1029" s="1"/>
      <c r="BW1029" s="1"/>
      <c r="BX1029" s="1"/>
      <c r="BY1029" s="1"/>
      <c r="BZ1029" s="1"/>
    </row>
    <row r="1030">
      <c r="A1030" s="3"/>
      <c r="B1030" s="33"/>
      <c r="C1030" s="3"/>
      <c r="D1030" s="3"/>
      <c r="E1030" s="2"/>
      <c r="F1030" s="2"/>
      <c r="G1030" s="14"/>
      <c r="H1030" s="14"/>
      <c r="I1030" s="14"/>
      <c r="J1030" s="14"/>
      <c r="K1030" s="14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8"/>
      <c r="BU1030" s="8"/>
      <c r="BV1030" s="1"/>
      <c r="BW1030" s="1"/>
      <c r="BX1030" s="1"/>
      <c r="BY1030" s="1"/>
      <c r="BZ1030" s="1"/>
    </row>
    <row r="1031">
      <c r="A1031" s="3"/>
      <c r="B1031" s="33"/>
      <c r="C1031" s="3"/>
      <c r="D1031" s="3"/>
      <c r="E1031" s="2"/>
      <c r="F1031" s="2"/>
      <c r="G1031" s="14"/>
      <c r="H1031" s="14"/>
      <c r="I1031" s="14"/>
      <c r="J1031" s="14"/>
      <c r="K1031" s="14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8"/>
      <c r="BU1031" s="8"/>
      <c r="BV1031" s="1"/>
      <c r="BW1031" s="1"/>
      <c r="BX1031" s="1"/>
      <c r="BY1031" s="1"/>
      <c r="BZ1031" s="1"/>
    </row>
    <row r="1032">
      <c r="A1032" s="3"/>
      <c r="B1032" s="33"/>
      <c r="C1032" s="3"/>
      <c r="D1032" s="3"/>
      <c r="E1032" s="2"/>
      <c r="F1032" s="2"/>
      <c r="G1032" s="14"/>
      <c r="H1032" s="14"/>
      <c r="I1032" s="14"/>
      <c r="J1032" s="14"/>
      <c r="K1032" s="14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8"/>
      <c r="BU1032" s="8"/>
      <c r="BV1032" s="1"/>
      <c r="BW1032" s="1"/>
      <c r="BX1032" s="1"/>
      <c r="BY1032" s="1"/>
      <c r="BZ1032" s="1"/>
    </row>
    <row r="1033">
      <c r="A1033" s="3"/>
      <c r="B1033" s="33"/>
      <c r="C1033" s="3"/>
      <c r="D1033" s="3"/>
      <c r="E1033" s="2"/>
      <c r="F1033" s="2"/>
      <c r="G1033" s="14"/>
      <c r="H1033" s="14"/>
      <c r="I1033" s="14"/>
      <c r="J1033" s="14"/>
      <c r="K1033" s="14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8"/>
      <c r="BU1033" s="8"/>
      <c r="BV1033" s="1"/>
      <c r="BW1033" s="1"/>
      <c r="BX1033" s="1"/>
      <c r="BY1033" s="1"/>
      <c r="BZ1033" s="1"/>
    </row>
    <row r="1034">
      <c r="A1034" s="3"/>
      <c r="B1034" s="33"/>
      <c r="C1034" s="3"/>
      <c r="D1034" s="3"/>
      <c r="E1034" s="2"/>
      <c r="F1034" s="2"/>
      <c r="G1034" s="14"/>
      <c r="H1034" s="14"/>
      <c r="I1034" s="14"/>
      <c r="J1034" s="14"/>
      <c r="K1034" s="14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8"/>
      <c r="BU1034" s="8"/>
      <c r="BV1034" s="1"/>
      <c r="BW1034" s="1"/>
      <c r="BX1034" s="1"/>
      <c r="BY1034" s="1"/>
      <c r="BZ1034" s="1"/>
    </row>
    <row r="1035">
      <c r="A1035" s="3"/>
      <c r="B1035" s="33"/>
      <c r="C1035" s="3"/>
      <c r="D1035" s="3"/>
      <c r="E1035" s="2"/>
      <c r="F1035" s="2"/>
      <c r="G1035" s="14"/>
      <c r="H1035" s="14"/>
      <c r="I1035" s="14"/>
      <c r="J1035" s="14"/>
      <c r="K1035" s="14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8"/>
      <c r="BU1035" s="8"/>
      <c r="BV1035" s="1"/>
      <c r="BW1035" s="1"/>
      <c r="BX1035" s="1"/>
      <c r="BY1035" s="1"/>
      <c r="BZ1035" s="1"/>
    </row>
    <row r="1036">
      <c r="A1036" s="3"/>
      <c r="B1036" s="33"/>
      <c r="C1036" s="3"/>
      <c r="D1036" s="3"/>
      <c r="E1036" s="2"/>
      <c r="F1036" s="2"/>
      <c r="G1036" s="14"/>
      <c r="H1036" s="14"/>
      <c r="I1036" s="14"/>
      <c r="J1036" s="14"/>
      <c r="K1036" s="14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8"/>
      <c r="BU1036" s="8"/>
      <c r="BV1036" s="1"/>
      <c r="BW1036" s="1"/>
      <c r="BX1036" s="1"/>
      <c r="BY1036" s="1"/>
      <c r="BZ1036" s="1"/>
    </row>
    <row r="1037">
      <c r="A1037" s="3"/>
      <c r="B1037" s="33"/>
      <c r="C1037" s="3"/>
      <c r="D1037" s="3"/>
      <c r="E1037" s="2"/>
      <c r="F1037" s="2"/>
      <c r="G1037" s="14"/>
      <c r="H1037" s="14"/>
      <c r="I1037" s="14"/>
      <c r="J1037" s="14"/>
      <c r="K1037" s="14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8"/>
      <c r="BU1037" s="8"/>
      <c r="BV1037" s="1"/>
      <c r="BW1037" s="1"/>
      <c r="BX1037" s="1"/>
      <c r="BY1037" s="1"/>
      <c r="BZ1037" s="1"/>
    </row>
    <row r="1038">
      <c r="A1038" s="3"/>
      <c r="B1038" s="33"/>
      <c r="C1038" s="3"/>
      <c r="D1038" s="3"/>
      <c r="E1038" s="2"/>
      <c r="F1038" s="2"/>
      <c r="G1038" s="14"/>
      <c r="H1038" s="14"/>
      <c r="I1038" s="14"/>
      <c r="J1038" s="14"/>
      <c r="K1038" s="14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8"/>
      <c r="BU1038" s="8"/>
      <c r="BV1038" s="1"/>
      <c r="BW1038" s="1"/>
      <c r="BX1038" s="1"/>
      <c r="BY1038" s="1"/>
      <c r="BZ1038" s="1"/>
    </row>
    <row r="1039">
      <c r="A1039" s="3"/>
      <c r="B1039" s="33"/>
      <c r="C1039" s="3"/>
      <c r="D1039" s="3"/>
      <c r="E1039" s="2"/>
      <c r="F1039" s="2"/>
      <c r="G1039" s="14"/>
      <c r="H1039" s="14"/>
      <c r="I1039" s="14"/>
      <c r="J1039" s="14"/>
      <c r="K1039" s="14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8"/>
      <c r="BU1039" s="8"/>
      <c r="BV1039" s="1"/>
      <c r="BW1039" s="1"/>
      <c r="BX1039" s="1"/>
      <c r="BY1039" s="1"/>
      <c r="BZ1039" s="1"/>
    </row>
    <row r="1040">
      <c r="A1040" s="3"/>
      <c r="B1040" s="33"/>
      <c r="C1040" s="3"/>
      <c r="D1040" s="3"/>
      <c r="E1040" s="2"/>
      <c r="F1040" s="2"/>
      <c r="G1040" s="14"/>
      <c r="H1040" s="14"/>
      <c r="I1040" s="14"/>
      <c r="J1040" s="14"/>
      <c r="K1040" s="14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8"/>
      <c r="BU1040" s="8"/>
      <c r="BV1040" s="1"/>
      <c r="BW1040" s="1"/>
      <c r="BX1040" s="1"/>
      <c r="BY1040" s="1"/>
      <c r="BZ1040" s="1"/>
    </row>
    <row r="1041">
      <c r="A1041" s="3"/>
      <c r="B1041" s="33"/>
      <c r="C1041" s="3"/>
      <c r="D1041" s="3"/>
      <c r="E1041" s="2"/>
      <c r="F1041" s="2"/>
      <c r="G1041" s="14"/>
      <c r="H1041" s="14"/>
      <c r="I1041" s="14"/>
      <c r="J1041" s="14"/>
      <c r="K1041" s="14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8"/>
      <c r="BU1041" s="8"/>
      <c r="BV1041" s="1"/>
      <c r="BW1041" s="1"/>
      <c r="BX1041" s="1"/>
      <c r="BY1041" s="1"/>
      <c r="BZ1041" s="1"/>
    </row>
    <row r="1042">
      <c r="A1042" s="3"/>
      <c r="B1042" s="33"/>
      <c r="C1042" s="3"/>
      <c r="D1042" s="3"/>
      <c r="E1042" s="2"/>
      <c r="F1042" s="2"/>
      <c r="G1042" s="14"/>
      <c r="H1042" s="14"/>
      <c r="I1042" s="14"/>
      <c r="J1042" s="14"/>
      <c r="K1042" s="14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8"/>
      <c r="BU1042" s="8"/>
      <c r="BV1042" s="1"/>
      <c r="BW1042" s="1"/>
      <c r="BX1042" s="1"/>
      <c r="BY1042" s="1"/>
      <c r="BZ1042" s="1"/>
    </row>
    <row r="1043">
      <c r="A1043" s="3"/>
      <c r="B1043" s="33"/>
      <c r="C1043" s="3"/>
      <c r="D1043" s="3"/>
      <c r="E1043" s="2"/>
      <c r="F1043" s="2"/>
      <c r="G1043" s="14"/>
      <c r="H1043" s="14"/>
      <c r="I1043" s="14"/>
      <c r="J1043" s="14"/>
      <c r="K1043" s="14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8"/>
      <c r="BU1043" s="8"/>
      <c r="BV1043" s="1"/>
      <c r="BW1043" s="1"/>
      <c r="BX1043" s="1"/>
      <c r="BY1043" s="1"/>
      <c r="BZ1043" s="1"/>
    </row>
    <row r="1044">
      <c r="A1044" s="3"/>
      <c r="B1044" s="33"/>
      <c r="C1044" s="3"/>
      <c r="D1044" s="3"/>
      <c r="E1044" s="2"/>
      <c r="F1044" s="2"/>
      <c r="G1044" s="14"/>
      <c r="H1044" s="14"/>
      <c r="I1044" s="14"/>
      <c r="J1044" s="14"/>
      <c r="K1044" s="14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8"/>
      <c r="BU1044" s="8"/>
      <c r="BV1044" s="1"/>
      <c r="BW1044" s="1"/>
      <c r="BX1044" s="1"/>
      <c r="BY1044" s="1"/>
      <c r="BZ1044" s="1"/>
    </row>
    <row r="1045">
      <c r="A1045" s="3"/>
      <c r="B1045" s="33"/>
      <c r="C1045" s="3"/>
      <c r="D1045" s="3"/>
      <c r="E1045" s="2"/>
      <c r="F1045" s="2"/>
      <c r="G1045" s="14"/>
      <c r="H1045" s="14"/>
      <c r="I1045" s="14"/>
      <c r="J1045" s="14"/>
      <c r="K1045" s="14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8"/>
      <c r="BU1045" s="8"/>
      <c r="BV1045" s="1"/>
      <c r="BW1045" s="1"/>
      <c r="BX1045" s="1"/>
      <c r="BY1045" s="1"/>
      <c r="BZ1045" s="1"/>
    </row>
    <row r="1046">
      <c r="A1046" s="3"/>
      <c r="B1046" s="33"/>
      <c r="C1046" s="3"/>
      <c r="D1046" s="3"/>
      <c r="E1046" s="2"/>
      <c r="F1046" s="2"/>
      <c r="G1046" s="14"/>
      <c r="H1046" s="14"/>
      <c r="I1046" s="14"/>
      <c r="J1046" s="14"/>
      <c r="K1046" s="14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8"/>
      <c r="BU1046" s="8"/>
      <c r="BV1046" s="1"/>
      <c r="BW1046" s="1"/>
      <c r="BX1046" s="1"/>
      <c r="BY1046" s="1"/>
      <c r="BZ1046" s="1"/>
    </row>
    <row r="1047">
      <c r="A1047" s="3"/>
      <c r="B1047" s="33"/>
      <c r="C1047" s="3"/>
      <c r="D1047" s="3"/>
      <c r="E1047" s="2"/>
      <c r="F1047" s="2"/>
      <c r="G1047" s="14"/>
      <c r="H1047" s="14"/>
      <c r="I1047" s="14"/>
      <c r="J1047" s="14"/>
      <c r="K1047" s="14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8"/>
      <c r="BU1047" s="8"/>
      <c r="BV1047" s="1"/>
      <c r="BW1047" s="1"/>
      <c r="BX1047" s="1"/>
      <c r="BY1047" s="1"/>
      <c r="BZ1047" s="1"/>
    </row>
    <row r="1048">
      <c r="A1048" s="3"/>
      <c r="B1048" s="33"/>
      <c r="C1048" s="3"/>
      <c r="D1048" s="3"/>
      <c r="E1048" s="2"/>
      <c r="F1048" s="2"/>
      <c r="G1048" s="14"/>
      <c r="H1048" s="14"/>
      <c r="I1048" s="14"/>
      <c r="J1048" s="14"/>
      <c r="K1048" s="14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8"/>
      <c r="BU1048" s="8"/>
      <c r="BV1048" s="1"/>
      <c r="BW1048" s="1"/>
      <c r="BX1048" s="1"/>
      <c r="BY1048" s="1"/>
      <c r="BZ1048" s="1"/>
    </row>
    <row r="1049">
      <c r="A1049" s="3"/>
      <c r="B1049" s="33"/>
      <c r="C1049" s="3"/>
      <c r="D1049" s="3"/>
      <c r="E1049" s="2"/>
      <c r="F1049" s="2"/>
      <c r="G1049" s="14"/>
      <c r="H1049" s="14"/>
      <c r="I1049" s="14"/>
      <c r="J1049" s="14"/>
      <c r="K1049" s="14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8"/>
      <c r="BU1049" s="8"/>
      <c r="BV1049" s="1"/>
      <c r="BW1049" s="1"/>
      <c r="BX1049" s="1"/>
      <c r="BY1049" s="1"/>
      <c r="BZ1049" s="1"/>
    </row>
    <row r="1050">
      <c r="A1050" s="3"/>
      <c r="B1050" s="33"/>
      <c r="C1050" s="3"/>
      <c r="D1050" s="3"/>
      <c r="E1050" s="2"/>
      <c r="F1050" s="2"/>
      <c r="G1050" s="14"/>
      <c r="H1050" s="14"/>
      <c r="I1050" s="14"/>
      <c r="J1050" s="14"/>
      <c r="K1050" s="14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8"/>
      <c r="BU1050" s="8"/>
      <c r="BV1050" s="1"/>
      <c r="BW1050" s="1"/>
      <c r="BX1050" s="1"/>
      <c r="BY1050" s="1"/>
      <c r="BZ1050" s="1"/>
    </row>
    <row r="1051">
      <c r="A1051" s="3"/>
      <c r="B1051" s="33"/>
      <c r="C1051" s="3"/>
      <c r="D1051" s="3"/>
      <c r="E1051" s="2"/>
      <c r="F1051" s="2"/>
      <c r="G1051" s="14"/>
      <c r="H1051" s="14"/>
      <c r="I1051" s="14"/>
      <c r="J1051" s="14"/>
      <c r="K1051" s="14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8"/>
      <c r="BU1051" s="8"/>
      <c r="BV1051" s="1"/>
      <c r="BW1051" s="1"/>
      <c r="BX1051" s="1"/>
      <c r="BY1051" s="1"/>
      <c r="BZ1051" s="1"/>
    </row>
    <row r="1052">
      <c r="A1052" s="3"/>
      <c r="B1052" s="33"/>
      <c r="C1052" s="3"/>
      <c r="D1052" s="3"/>
      <c r="E1052" s="2"/>
      <c r="F1052" s="2"/>
      <c r="G1052" s="14"/>
      <c r="H1052" s="14"/>
      <c r="I1052" s="14"/>
      <c r="J1052" s="14"/>
      <c r="K1052" s="14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8"/>
      <c r="BU1052" s="8"/>
      <c r="BV1052" s="1"/>
      <c r="BW1052" s="1"/>
      <c r="BX1052" s="1"/>
      <c r="BY1052" s="1"/>
      <c r="BZ1052" s="1"/>
    </row>
    <row r="1053">
      <c r="A1053" s="3"/>
      <c r="B1053" s="33"/>
      <c r="C1053" s="3"/>
      <c r="D1053" s="3"/>
      <c r="E1053" s="2"/>
      <c r="F1053" s="2"/>
      <c r="G1053" s="14"/>
      <c r="H1053" s="14"/>
      <c r="I1053" s="14"/>
      <c r="J1053" s="14"/>
      <c r="K1053" s="14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8"/>
      <c r="BU1053" s="8"/>
      <c r="BV1053" s="1"/>
      <c r="BW1053" s="1"/>
      <c r="BX1053" s="1"/>
      <c r="BY1053" s="1"/>
      <c r="BZ1053" s="1"/>
    </row>
    <row r="1054">
      <c r="A1054" s="3"/>
      <c r="B1054" s="33"/>
      <c r="C1054" s="3"/>
      <c r="D1054" s="3"/>
      <c r="E1054" s="2"/>
      <c r="F1054" s="2"/>
      <c r="G1054" s="14"/>
      <c r="H1054" s="14"/>
      <c r="I1054" s="14"/>
      <c r="J1054" s="14"/>
      <c r="K1054" s="14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8"/>
      <c r="BU1054" s="8"/>
      <c r="BV1054" s="1"/>
      <c r="BW1054" s="1"/>
      <c r="BX1054" s="1"/>
      <c r="BY1054" s="1"/>
      <c r="BZ1054" s="1"/>
    </row>
    <row r="1055">
      <c r="A1055" s="3"/>
      <c r="B1055" s="33"/>
      <c r="C1055" s="3"/>
      <c r="D1055" s="3"/>
      <c r="E1055" s="2"/>
      <c r="F1055" s="2"/>
      <c r="G1055" s="14"/>
      <c r="H1055" s="14"/>
      <c r="I1055" s="14"/>
      <c r="J1055" s="14"/>
      <c r="K1055" s="14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8"/>
      <c r="BU1055" s="8"/>
      <c r="BV1055" s="1"/>
      <c r="BW1055" s="1"/>
      <c r="BX1055" s="1"/>
      <c r="BY1055" s="1"/>
      <c r="BZ1055" s="1"/>
    </row>
    <row r="1056">
      <c r="A1056" s="3"/>
      <c r="B1056" s="33"/>
      <c r="C1056" s="3"/>
      <c r="D1056" s="3"/>
      <c r="E1056" s="2"/>
      <c r="F1056" s="2"/>
      <c r="G1056" s="14"/>
      <c r="H1056" s="14"/>
      <c r="I1056" s="14"/>
      <c r="J1056" s="14"/>
      <c r="K1056" s="14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8"/>
      <c r="BU1056" s="8"/>
      <c r="BV1056" s="1"/>
      <c r="BW1056" s="1"/>
      <c r="BX1056" s="1"/>
      <c r="BY1056" s="1"/>
      <c r="BZ1056" s="1"/>
    </row>
    <row r="1057">
      <c r="A1057" s="3"/>
      <c r="B1057" s="33"/>
      <c r="C1057" s="3"/>
      <c r="D1057" s="3"/>
      <c r="E1057" s="2"/>
      <c r="F1057" s="2"/>
      <c r="G1057" s="14"/>
      <c r="H1057" s="14"/>
      <c r="I1057" s="14"/>
      <c r="J1057" s="14"/>
      <c r="K1057" s="14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8"/>
      <c r="BU1057" s="8"/>
      <c r="BV1057" s="1"/>
      <c r="BW1057" s="1"/>
      <c r="BX1057" s="1"/>
      <c r="BY1057" s="1"/>
      <c r="BZ1057" s="1"/>
    </row>
    <row r="1058">
      <c r="A1058" s="3"/>
      <c r="B1058" s="33"/>
      <c r="C1058" s="3"/>
      <c r="D1058" s="3"/>
      <c r="E1058" s="2"/>
      <c r="F1058" s="2"/>
      <c r="G1058" s="14"/>
      <c r="H1058" s="14"/>
      <c r="I1058" s="14"/>
      <c r="J1058" s="14"/>
      <c r="K1058" s="14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8"/>
      <c r="BU1058" s="8"/>
      <c r="BV1058" s="1"/>
      <c r="BW1058" s="1"/>
      <c r="BX1058" s="1"/>
      <c r="BY1058" s="1"/>
      <c r="BZ1058" s="1"/>
    </row>
    <row r="1059">
      <c r="A1059" s="3"/>
      <c r="B1059" s="33"/>
      <c r="C1059" s="3"/>
      <c r="D1059" s="3"/>
      <c r="E1059" s="2"/>
      <c r="F1059" s="2"/>
      <c r="G1059" s="14"/>
      <c r="H1059" s="14"/>
      <c r="I1059" s="14"/>
      <c r="J1059" s="14"/>
      <c r="K1059" s="14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8"/>
      <c r="BU1059" s="8"/>
      <c r="BV1059" s="1"/>
      <c r="BW1059" s="1"/>
      <c r="BX1059" s="1"/>
      <c r="BY1059" s="1"/>
      <c r="BZ1059" s="1"/>
    </row>
    <row r="1060">
      <c r="A1060" s="3"/>
      <c r="B1060" s="33"/>
      <c r="C1060" s="3"/>
      <c r="D1060" s="3"/>
      <c r="E1060" s="2"/>
      <c r="F1060" s="2"/>
      <c r="G1060" s="14"/>
      <c r="H1060" s="14"/>
      <c r="I1060" s="14"/>
      <c r="J1060" s="14"/>
      <c r="K1060" s="14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8"/>
      <c r="BU1060" s="8"/>
      <c r="BV1060" s="1"/>
      <c r="BW1060" s="1"/>
      <c r="BX1060" s="1"/>
      <c r="BY1060" s="1"/>
      <c r="BZ1060" s="1"/>
    </row>
    <row r="1061">
      <c r="A1061" s="3"/>
      <c r="B1061" s="33"/>
      <c r="C1061" s="3"/>
      <c r="D1061" s="3"/>
      <c r="E1061" s="2"/>
      <c r="F1061" s="2"/>
      <c r="G1061" s="14"/>
      <c r="H1061" s="14"/>
      <c r="I1061" s="14"/>
      <c r="J1061" s="14"/>
      <c r="K1061" s="14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8"/>
      <c r="BU1061" s="8"/>
      <c r="BV1061" s="1"/>
      <c r="BW1061" s="1"/>
      <c r="BX1061" s="1"/>
      <c r="BY1061" s="1"/>
      <c r="BZ1061" s="1"/>
    </row>
    <row r="1062">
      <c r="A1062" s="3"/>
      <c r="B1062" s="33"/>
      <c r="C1062" s="3"/>
      <c r="D1062" s="3"/>
      <c r="E1062" s="2"/>
      <c r="F1062" s="2"/>
      <c r="G1062" s="14"/>
      <c r="H1062" s="14"/>
      <c r="I1062" s="14"/>
      <c r="J1062" s="14"/>
      <c r="K1062" s="14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8"/>
      <c r="BU1062" s="8"/>
      <c r="BV1062" s="1"/>
      <c r="BW1062" s="1"/>
      <c r="BX1062" s="1"/>
      <c r="BY1062" s="1"/>
      <c r="BZ1062" s="1"/>
    </row>
    <row r="1063">
      <c r="A1063" s="3"/>
      <c r="B1063" s="33"/>
      <c r="C1063" s="3"/>
      <c r="D1063" s="3"/>
      <c r="E1063" s="2"/>
      <c r="F1063" s="2"/>
      <c r="G1063" s="14"/>
      <c r="H1063" s="14"/>
      <c r="I1063" s="14"/>
      <c r="J1063" s="14"/>
      <c r="K1063" s="14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8"/>
      <c r="BU1063" s="8"/>
      <c r="BV1063" s="1"/>
      <c r="BW1063" s="1"/>
      <c r="BX1063" s="1"/>
      <c r="BY1063" s="1"/>
      <c r="BZ1063" s="1"/>
    </row>
    <row r="1064">
      <c r="A1064" s="3"/>
      <c r="B1064" s="33"/>
      <c r="C1064" s="3"/>
      <c r="D1064" s="3"/>
      <c r="E1064" s="2"/>
      <c r="F1064" s="2"/>
      <c r="G1064" s="14"/>
      <c r="H1064" s="14"/>
      <c r="I1064" s="14"/>
      <c r="J1064" s="14"/>
      <c r="K1064" s="14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8"/>
      <c r="BU1064" s="8"/>
      <c r="BV1064" s="1"/>
      <c r="BW1064" s="1"/>
      <c r="BX1064" s="1"/>
      <c r="BY1064" s="1"/>
      <c r="BZ1064" s="1"/>
    </row>
    <row r="1065">
      <c r="A1065" s="3"/>
      <c r="B1065" s="33"/>
      <c r="C1065" s="3"/>
      <c r="D1065" s="3"/>
      <c r="E1065" s="2"/>
      <c r="F1065" s="2"/>
      <c r="G1065" s="14"/>
      <c r="H1065" s="14"/>
      <c r="I1065" s="14"/>
      <c r="J1065" s="14"/>
      <c r="K1065" s="14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8"/>
      <c r="BU1065" s="8"/>
      <c r="BV1065" s="1"/>
      <c r="BW1065" s="1"/>
      <c r="BX1065" s="1"/>
      <c r="BY1065" s="1"/>
      <c r="BZ1065" s="1"/>
    </row>
    <row r="1066">
      <c r="A1066" s="3"/>
      <c r="B1066" s="33"/>
      <c r="C1066" s="3"/>
      <c r="D1066" s="3"/>
      <c r="E1066" s="2"/>
      <c r="F1066" s="2"/>
      <c r="G1066" s="14"/>
      <c r="H1066" s="14"/>
      <c r="I1066" s="14"/>
      <c r="J1066" s="14"/>
      <c r="K1066" s="14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8"/>
      <c r="BU1066" s="8"/>
      <c r="BV1066" s="1"/>
      <c r="BW1066" s="1"/>
      <c r="BX1066" s="1"/>
      <c r="BY1066" s="1"/>
      <c r="BZ1066" s="1"/>
    </row>
    <row r="1067">
      <c r="A1067" s="3"/>
      <c r="B1067" s="33"/>
      <c r="C1067" s="3"/>
      <c r="D1067" s="3"/>
      <c r="E1067" s="2"/>
      <c r="F1067" s="2"/>
      <c r="G1067" s="14"/>
      <c r="H1067" s="14"/>
      <c r="I1067" s="14"/>
      <c r="J1067" s="14"/>
      <c r="K1067" s="14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8"/>
      <c r="BU1067" s="8"/>
      <c r="BV1067" s="1"/>
      <c r="BW1067" s="1"/>
      <c r="BX1067" s="1"/>
      <c r="BY1067" s="1"/>
      <c r="BZ1067" s="1"/>
    </row>
    <row r="1068">
      <c r="A1068" s="3"/>
      <c r="B1068" s="33"/>
      <c r="C1068" s="3"/>
      <c r="D1068" s="3"/>
      <c r="E1068" s="2"/>
      <c r="F1068" s="2"/>
      <c r="G1068" s="14"/>
      <c r="H1068" s="14"/>
      <c r="I1068" s="14"/>
      <c r="J1068" s="14"/>
      <c r="K1068" s="14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8"/>
      <c r="BU1068" s="8"/>
      <c r="BV1068" s="1"/>
      <c r="BW1068" s="1"/>
      <c r="BX1068" s="1"/>
      <c r="BY1068" s="1"/>
      <c r="BZ1068" s="1"/>
    </row>
    <row r="1069">
      <c r="A1069" s="3"/>
      <c r="B1069" s="33"/>
      <c r="C1069" s="3"/>
      <c r="D1069" s="3"/>
      <c r="E1069" s="2"/>
      <c r="F1069" s="2"/>
      <c r="G1069" s="14"/>
      <c r="H1069" s="14"/>
      <c r="I1069" s="14"/>
      <c r="J1069" s="14"/>
      <c r="K1069" s="14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8"/>
      <c r="BU1069" s="8"/>
      <c r="BV1069" s="1"/>
      <c r="BW1069" s="1"/>
      <c r="BX1069" s="1"/>
      <c r="BY1069" s="1"/>
      <c r="BZ1069" s="1"/>
    </row>
    <row r="1070">
      <c r="A1070" s="3"/>
      <c r="B1070" s="33"/>
      <c r="C1070" s="3"/>
      <c r="D1070" s="3"/>
      <c r="E1070" s="2"/>
      <c r="F1070" s="2"/>
      <c r="G1070" s="14"/>
      <c r="H1070" s="14"/>
      <c r="I1070" s="14"/>
      <c r="J1070" s="14"/>
      <c r="K1070" s="14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8"/>
      <c r="BU1070" s="8"/>
      <c r="BV1070" s="1"/>
      <c r="BW1070" s="1"/>
      <c r="BX1070" s="1"/>
      <c r="BY1070" s="1"/>
      <c r="BZ1070" s="1"/>
    </row>
    <row r="1071">
      <c r="A1071" s="3"/>
      <c r="B1071" s="33"/>
      <c r="C1071" s="3"/>
      <c r="D1071" s="3"/>
      <c r="E1071" s="2"/>
      <c r="F1071" s="2"/>
      <c r="G1071" s="14"/>
      <c r="H1071" s="14"/>
      <c r="I1071" s="14"/>
      <c r="J1071" s="14"/>
      <c r="K1071" s="14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8"/>
      <c r="BU1071" s="8"/>
      <c r="BV1071" s="1"/>
      <c r="BW1071" s="1"/>
      <c r="BX1071" s="1"/>
      <c r="BY1071" s="1"/>
      <c r="BZ1071" s="1"/>
    </row>
    <row r="1072">
      <c r="A1072" s="3"/>
      <c r="B1072" s="33"/>
      <c r="C1072" s="3"/>
      <c r="D1072" s="3"/>
      <c r="E1072" s="2"/>
      <c r="F1072" s="2"/>
      <c r="G1072" s="14"/>
      <c r="H1072" s="14"/>
      <c r="I1072" s="14"/>
      <c r="J1072" s="14"/>
      <c r="K1072" s="14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8"/>
      <c r="BU1072" s="8"/>
      <c r="BV1072" s="1"/>
      <c r="BW1072" s="1"/>
      <c r="BX1072" s="1"/>
      <c r="BY1072" s="1"/>
      <c r="BZ1072" s="1"/>
    </row>
    <row r="1073">
      <c r="A1073" s="3"/>
      <c r="B1073" s="33"/>
      <c r="C1073" s="3"/>
      <c r="D1073" s="3"/>
      <c r="E1073" s="2"/>
      <c r="F1073" s="2"/>
      <c r="G1073" s="14"/>
      <c r="H1073" s="14"/>
      <c r="I1073" s="14"/>
      <c r="J1073" s="14"/>
      <c r="K1073" s="14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8"/>
      <c r="BU1073" s="8"/>
      <c r="BV1073" s="1"/>
      <c r="BW1073" s="1"/>
      <c r="BX1073" s="1"/>
      <c r="BY1073" s="1"/>
      <c r="BZ1073" s="1"/>
    </row>
    <row r="1074">
      <c r="A1074" s="3"/>
      <c r="B1074" s="33"/>
      <c r="C1074" s="3"/>
      <c r="D1074" s="3"/>
      <c r="E1074" s="2"/>
      <c r="F1074" s="2"/>
      <c r="G1074" s="14"/>
      <c r="H1074" s="14"/>
      <c r="I1074" s="14"/>
      <c r="J1074" s="14"/>
      <c r="K1074" s="14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8"/>
      <c r="BU1074" s="8"/>
      <c r="BV1074" s="1"/>
      <c r="BW1074" s="1"/>
      <c r="BX1074" s="1"/>
      <c r="BY1074" s="1"/>
      <c r="BZ1074" s="1"/>
    </row>
    <row r="1075">
      <c r="A1075" s="3"/>
      <c r="B1075" s="33"/>
      <c r="C1075" s="3"/>
      <c r="D1075" s="3"/>
      <c r="E1075" s="2"/>
      <c r="F1075" s="2"/>
      <c r="G1075" s="14"/>
      <c r="H1075" s="14"/>
      <c r="I1075" s="14"/>
      <c r="J1075" s="14"/>
      <c r="K1075" s="14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8"/>
      <c r="BU1075" s="8"/>
      <c r="BV1075" s="1"/>
      <c r="BW1075" s="1"/>
      <c r="BX1075" s="1"/>
      <c r="BY1075" s="1"/>
      <c r="BZ1075" s="1"/>
    </row>
    <row r="1076">
      <c r="A1076" s="3"/>
      <c r="B1076" s="33"/>
      <c r="C1076" s="3"/>
      <c r="D1076" s="3"/>
      <c r="E1076" s="2"/>
      <c r="F1076" s="2"/>
      <c r="G1076" s="14"/>
      <c r="H1076" s="14"/>
      <c r="I1076" s="14"/>
      <c r="J1076" s="14"/>
      <c r="K1076" s="14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8"/>
      <c r="BU1076" s="8"/>
      <c r="BV1076" s="1"/>
      <c r="BW1076" s="1"/>
      <c r="BX1076" s="1"/>
      <c r="BY1076" s="1"/>
      <c r="BZ1076" s="1"/>
    </row>
    <row r="1077">
      <c r="A1077" s="3"/>
      <c r="B1077" s="33"/>
      <c r="C1077" s="3"/>
      <c r="D1077" s="3"/>
      <c r="E1077" s="2"/>
      <c r="F1077" s="2"/>
      <c r="G1077" s="14"/>
      <c r="H1077" s="14"/>
      <c r="I1077" s="14"/>
      <c r="J1077" s="14"/>
      <c r="K1077" s="14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8"/>
      <c r="BU1077" s="8"/>
      <c r="BV1077" s="1"/>
      <c r="BW1077" s="1"/>
      <c r="BX1077" s="1"/>
      <c r="BY1077" s="1"/>
      <c r="BZ1077" s="1"/>
    </row>
    <row r="1078">
      <c r="A1078" s="3"/>
      <c r="B1078" s="33"/>
      <c r="C1078" s="3"/>
      <c r="D1078" s="3"/>
      <c r="E1078" s="2"/>
      <c r="F1078" s="2"/>
      <c r="G1078" s="14"/>
      <c r="H1078" s="14"/>
      <c r="I1078" s="14"/>
      <c r="J1078" s="14"/>
      <c r="K1078" s="14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8"/>
      <c r="BU1078" s="8"/>
      <c r="BV1078" s="1"/>
      <c r="BW1078" s="1"/>
      <c r="BX1078" s="1"/>
      <c r="BY1078" s="1"/>
      <c r="BZ1078" s="1"/>
    </row>
    <row r="1079">
      <c r="A1079" s="3"/>
      <c r="B1079" s="33"/>
      <c r="C1079" s="3"/>
      <c r="D1079" s="3"/>
      <c r="E1079" s="2"/>
      <c r="F1079" s="2"/>
      <c r="G1079" s="14"/>
      <c r="H1079" s="14"/>
      <c r="I1079" s="14"/>
      <c r="J1079" s="14"/>
      <c r="K1079" s="14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8"/>
      <c r="BU1079" s="8"/>
      <c r="BV1079" s="1"/>
      <c r="BW1079" s="1"/>
      <c r="BX1079" s="1"/>
      <c r="BY1079" s="1"/>
      <c r="BZ1079" s="1"/>
    </row>
    <row r="1080">
      <c r="A1080" s="3"/>
      <c r="B1080" s="33"/>
      <c r="C1080" s="3"/>
      <c r="D1080" s="3"/>
      <c r="E1080" s="2"/>
      <c r="F1080" s="2"/>
      <c r="G1080" s="14"/>
      <c r="H1080" s="14"/>
      <c r="I1080" s="14"/>
      <c r="J1080" s="14"/>
      <c r="K1080" s="14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8"/>
      <c r="BU1080" s="8"/>
      <c r="BV1080" s="1"/>
      <c r="BW1080" s="1"/>
      <c r="BX1080" s="1"/>
      <c r="BY1080" s="1"/>
      <c r="BZ1080" s="1"/>
    </row>
    <row r="1081">
      <c r="A1081" s="3"/>
      <c r="B1081" s="33"/>
      <c r="C1081" s="3"/>
      <c r="D1081" s="3"/>
      <c r="E1081" s="2"/>
      <c r="F1081" s="2"/>
      <c r="G1081" s="14"/>
      <c r="H1081" s="14"/>
      <c r="I1081" s="14"/>
      <c r="J1081" s="14"/>
      <c r="K1081" s="14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8"/>
      <c r="BU1081" s="8"/>
      <c r="BV1081" s="1"/>
      <c r="BW1081" s="1"/>
      <c r="BX1081" s="1"/>
      <c r="BY1081" s="1"/>
      <c r="BZ1081" s="1"/>
    </row>
    <row r="1082">
      <c r="A1082" s="3"/>
      <c r="B1082" s="33"/>
      <c r="C1082" s="3"/>
      <c r="D1082" s="3"/>
      <c r="E1082" s="2"/>
      <c r="F1082" s="2"/>
      <c r="G1082" s="14"/>
      <c r="H1082" s="14"/>
      <c r="I1082" s="14"/>
      <c r="J1082" s="14"/>
      <c r="K1082" s="14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8"/>
      <c r="BU1082" s="8"/>
      <c r="BV1082" s="1"/>
      <c r="BW1082" s="1"/>
      <c r="BX1082" s="1"/>
      <c r="BY1082" s="1"/>
      <c r="BZ1082" s="1"/>
    </row>
    <row r="1083">
      <c r="A1083" s="3"/>
      <c r="B1083" s="33"/>
      <c r="C1083" s="3"/>
      <c r="D1083" s="3"/>
      <c r="E1083" s="2"/>
      <c r="F1083" s="2"/>
      <c r="G1083" s="14"/>
      <c r="H1083" s="14"/>
      <c r="I1083" s="14"/>
      <c r="J1083" s="14"/>
      <c r="K1083" s="14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8"/>
      <c r="BU1083" s="8"/>
      <c r="BV1083" s="1"/>
      <c r="BW1083" s="1"/>
      <c r="BX1083" s="1"/>
      <c r="BY1083" s="1"/>
      <c r="BZ1083" s="1"/>
    </row>
    <row r="1084">
      <c r="A1084" s="3"/>
      <c r="B1084" s="33"/>
      <c r="C1084" s="3"/>
      <c r="D1084" s="3"/>
      <c r="E1084" s="2"/>
      <c r="F1084" s="2"/>
      <c r="G1084" s="14"/>
      <c r="H1084" s="14"/>
      <c r="I1084" s="14"/>
      <c r="J1084" s="14"/>
      <c r="K1084" s="14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8"/>
      <c r="BU1084" s="8"/>
      <c r="BV1084" s="1"/>
      <c r="BW1084" s="1"/>
      <c r="BX1084" s="1"/>
      <c r="BY1084" s="1"/>
      <c r="BZ1084" s="1"/>
    </row>
    <row r="1085">
      <c r="A1085" s="3"/>
      <c r="B1085" s="33"/>
      <c r="C1085" s="3"/>
      <c r="D1085" s="3"/>
      <c r="E1085" s="2"/>
      <c r="F1085" s="2"/>
      <c r="G1085" s="14"/>
      <c r="H1085" s="14"/>
      <c r="I1085" s="14"/>
      <c r="J1085" s="14"/>
      <c r="K1085" s="14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8"/>
      <c r="BU1085" s="8"/>
      <c r="BV1085" s="1"/>
      <c r="BW1085" s="1"/>
      <c r="BX1085" s="1"/>
      <c r="BY1085" s="1"/>
      <c r="BZ1085" s="1"/>
    </row>
    <row r="1086">
      <c r="A1086" s="3"/>
      <c r="B1086" s="33"/>
      <c r="C1086" s="3"/>
      <c r="D1086" s="3"/>
      <c r="E1086" s="2"/>
      <c r="F1086" s="2"/>
      <c r="G1086" s="14"/>
      <c r="H1086" s="14"/>
      <c r="I1086" s="14"/>
      <c r="J1086" s="14"/>
      <c r="K1086" s="14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8"/>
      <c r="BU1086" s="8"/>
      <c r="BV1086" s="1"/>
      <c r="BW1086" s="1"/>
      <c r="BX1086" s="1"/>
      <c r="BY1086" s="1"/>
      <c r="BZ1086" s="1"/>
    </row>
    <row r="1087">
      <c r="A1087" s="3"/>
      <c r="B1087" s="33"/>
      <c r="C1087" s="3"/>
      <c r="D1087" s="3"/>
      <c r="E1087" s="2"/>
      <c r="F1087" s="2"/>
      <c r="G1087" s="14"/>
      <c r="H1087" s="14"/>
      <c r="I1087" s="14"/>
      <c r="J1087" s="14"/>
      <c r="K1087" s="14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8"/>
      <c r="BU1087" s="8"/>
      <c r="BV1087" s="1"/>
      <c r="BW1087" s="1"/>
      <c r="BX1087" s="1"/>
      <c r="BY1087" s="1"/>
      <c r="BZ1087" s="1"/>
    </row>
    <row r="1088">
      <c r="A1088" s="3"/>
      <c r="B1088" s="33"/>
      <c r="C1088" s="3"/>
      <c r="D1088" s="3"/>
      <c r="E1088" s="2"/>
      <c r="F1088" s="2"/>
      <c r="G1088" s="14"/>
      <c r="H1088" s="14"/>
      <c r="I1088" s="14"/>
      <c r="J1088" s="14"/>
      <c r="K1088" s="14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8"/>
      <c r="BU1088" s="8"/>
      <c r="BV1088" s="1"/>
      <c r="BW1088" s="1"/>
      <c r="BX1088" s="1"/>
      <c r="BY1088" s="1"/>
      <c r="BZ1088" s="1"/>
    </row>
    <row r="1089">
      <c r="A1089" s="3"/>
      <c r="B1089" s="33"/>
      <c r="C1089" s="3"/>
      <c r="D1089" s="3"/>
      <c r="E1089" s="2"/>
      <c r="F1089" s="2"/>
      <c r="G1089" s="14"/>
      <c r="H1089" s="14"/>
      <c r="I1089" s="14"/>
      <c r="J1089" s="14"/>
      <c r="K1089" s="14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8"/>
      <c r="BU1089" s="8"/>
      <c r="BV1089" s="1"/>
      <c r="BW1089" s="1"/>
      <c r="BX1089" s="1"/>
      <c r="BY1089" s="1"/>
      <c r="BZ1089" s="1"/>
    </row>
    <row r="1090">
      <c r="A1090" s="3"/>
      <c r="B1090" s="33"/>
      <c r="C1090" s="3"/>
      <c r="D1090" s="3"/>
      <c r="E1090" s="2"/>
      <c r="F1090" s="2"/>
      <c r="G1090" s="14"/>
      <c r="H1090" s="14"/>
      <c r="I1090" s="14"/>
      <c r="J1090" s="14"/>
      <c r="K1090" s="14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8"/>
      <c r="BU1090" s="8"/>
      <c r="BV1090" s="1"/>
      <c r="BW1090" s="1"/>
      <c r="BX1090" s="1"/>
      <c r="BY1090" s="1"/>
      <c r="BZ1090" s="1"/>
    </row>
    <row r="1091">
      <c r="A1091" s="3"/>
      <c r="B1091" s="33"/>
      <c r="C1091" s="3"/>
      <c r="D1091" s="3"/>
      <c r="E1091" s="2"/>
      <c r="F1091" s="2"/>
      <c r="G1091" s="14"/>
      <c r="H1091" s="14"/>
      <c r="I1091" s="14"/>
      <c r="J1091" s="14"/>
      <c r="K1091" s="14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8"/>
      <c r="BU1091" s="8"/>
      <c r="BV1091" s="1"/>
      <c r="BW1091" s="1"/>
      <c r="BX1091" s="1"/>
      <c r="BY1091" s="1"/>
      <c r="BZ1091" s="1"/>
    </row>
    <row r="1092">
      <c r="A1092" s="3"/>
      <c r="B1092" s="33"/>
      <c r="C1092" s="3"/>
      <c r="D1092" s="3"/>
      <c r="E1092" s="2"/>
      <c r="F1092" s="2"/>
      <c r="G1092" s="14"/>
      <c r="H1092" s="14"/>
      <c r="I1092" s="14"/>
      <c r="J1092" s="14"/>
      <c r="K1092" s="14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8"/>
      <c r="BU1092" s="8"/>
      <c r="BV1092" s="1"/>
      <c r="BW1092" s="1"/>
      <c r="BX1092" s="1"/>
      <c r="BY1092" s="1"/>
      <c r="BZ1092" s="1"/>
    </row>
    <row r="1093">
      <c r="A1093" s="3"/>
      <c r="B1093" s="33"/>
      <c r="C1093" s="3"/>
      <c r="D1093" s="3"/>
      <c r="E1093" s="2"/>
      <c r="F1093" s="2"/>
      <c r="G1093" s="14"/>
      <c r="H1093" s="14"/>
      <c r="I1093" s="14"/>
      <c r="J1093" s="14"/>
      <c r="K1093" s="14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8"/>
      <c r="BU1093" s="8"/>
      <c r="BV1093" s="1"/>
      <c r="BW1093" s="1"/>
      <c r="BX1093" s="1"/>
      <c r="BY1093" s="1"/>
      <c r="BZ1093" s="1"/>
    </row>
    <row r="1094">
      <c r="A1094" s="3"/>
      <c r="B1094" s="33"/>
      <c r="C1094" s="3"/>
      <c r="D1094" s="3"/>
      <c r="E1094" s="2"/>
      <c r="F1094" s="2"/>
      <c r="G1094" s="14"/>
      <c r="H1094" s="14"/>
      <c r="I1094" s="14"/>
      <c r="J1094" s="14"/>
      <c r="K1094" s="14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8"/>
      <c r="BU1094" s="8"/>
      <c r="BV1094" s="1"/>
      <c r="BW1094" s="1"/>
      <c r="BX1094" s="1"/>
      <c r="BY1094" s="1"/>
      <c r="BZ1094" s="1"/>
    </row>
    <row r="1095">
      <c r="A1095" s="3"/>
      <c r="B1095" s="33"/>
      <c r="C1095" s="3"/>
      <c r="D1095" s="3"/>
      <c r="E1095" s="2"/>
      <c r="F1095" s="2"/>
      <c r="G1095" s="14"/>
      <c r="H1095" s="14"/>
      <c r="I1095" s="14"/>
      <c r="J1095" s="14"/>
      <c r="K1095" s="14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8"/>
      <c r="BU1095" s="8"/>
      <c r="BV1095" s="1"/>
      <c r="BW1095" s="1"/>
      <c r="BX1095" s="1"/>
      <c r="BY1095" s="1"/>
      <c r="BZ1095" s="1"/>
    </row>
    <row r="1096">
      <c r="A1096" s="3"/>
      <c r="B1096" s="33"/>
      <c r="C1096" s="3"/>
      <c r="D1096" s="3"/>
      <c r="E1096" s="2"/>
      <c r="F1096" s="2"/>
      <c r="G1096" s="14"/>
      <c r="H1096" s="14"/>
      <c r="I1096" s="14"/>
      <c r="J1096" s="14"/>
      <c r="K1096" s="14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8"/>
      <c r="BU1096" s="8"/>
      <c r="BV1096" s="1"/>
      <c r="BW1096" s="1"/>
      <c r="BX1096" s="1"/>
      <c r="BY1096" s="1"/>
      <c r="BZ1096" s="1"/>
    </row>
    <row r="1097">
      <c r="A1097" s="3"/>
      <c r="B1097" s="33"/>
      <c r="C1097" s="3"/>
      <c r="D1097" s="3"/>
      <c r="E1097" s="2"/>
      <c r="F1097" s="2"/>
      <c r="G1097" s="14"/>
      <c r="H1097" s="14"/>
      <c r="I1097" s="14"/>
      <c r="J1097" s="14"/>
      <c r="K1097" s="14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8"/>
      <c r="BU1097" s="8"/>
      <c r="BV1097" s="1"/>
      <c r="BW1097" s="1"/>
      <c r="BX1097" s="1"/>
      <c r="BY1097" s="1"/>
      <c r="BZ1097" s="1"/>
    </row>
    <row r="1098">
      <c r="A1098" s="3"/>
      <c r="B1098" s="33"/>
      <c r="C1098" s="3"/>
      <c r="D1098" s="3"/>
      <c r="E1098" s="2"/>
      <c r="F1098" s="2"/>
      <c r="G1098" s="14"/>
      <c r="H1098" s="14"/>
      <c r="I1098" s="14"/>
      <c r="J1098" s="14"/>
      <c r="K1098" s="14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8"/>
      <c r="BU1098" s="8"/>
      <c r="BV1098" s="1"/>
      <c r="BW1098" s="1"/>
      <c r="BX1098" s="1"/>
      <c r="BY1098" s="1"/>
      <c r="BZ1098" s="1"/>
    </row>
    <row r="1099">
      <c r="A1099" s="3"/>
      <c r="B1099" s="33"/>
      <c r="C1099" s="3"/>
      <c r="D1099" s="3"/>
      <c r="E1099" s="2"/>
      <c r="F1099" s="2"/>
      <c r="G1099" s="14"/>
      <c r="H1099" s="14"/>
      <c r="I1099" s="14"/>
      <c r="J1099" s="14"/>
      <c r="K1099" s="14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8"/>
      <c r="BU1099" s="8"/>
      <c r="BV1099" s="1"/>
      <c r="BW1099" s="1"/>
      <c r="BX1099" s="1"/>
      <c r="BY1099" s="1"/>
      <c r="BZ1099" s="1"/>
    </row>
    <row r="1100">
      <c r="A1100" s="3"/>
      <c r="B1100" s="33"/>
      <c r="C1100" s="3"/>
      <c r="D1100" s="3"/>
      <c r="E1100" s="2"/>
      <c r="F1100" s="2"/>
      <c r="G1100" s="14"/>
      <c r="H1100" s="14"/>
      <c r="I1100" s="14"/>
      <c r="J1100" s="14"/>
      <c r="K1100" s="14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8"/>
      <c r="BU1100" s="8"/>
      <c r="BV1100" s="1"/>
      <c r="BW1100" s="1"/>
      <c r="BX1100" s="1"/>
      <c r="BY1100" s="1"/>
      <c r="BZ1100" s="1"/>
    </row>
    <row r="1101">
      <c r="A1101" s="3"/>
      <c r="B1101" s="33"/>
      <c r="C1101" s="3"/>
      <c r="D1101" s="3"/>
      <c r="E1101" s="2"/>
      <c r="F1101" s="2"/>
      <c r="G1101" s="14"/>
      <c r="H1101" s="14"/>
      <c r="I1101" s="14"/>
      <c r="J1101" s="14"/>
      <c r="K1101" s="14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8"/>
      <c r="BU1101" s="8"/>
      <c r="BV1101" s="1"/>
      <c r="BW1101" s="1"/>
      <c r="BX1101" s="1"/>
      <c r="BY1101" s="1"/>
      <c r="BZ1101" s="1"/>
    </row>
    <row r="1102">
      <c r="A1102" s="3"/>
      <c r="B1102" s="33"/>
      <c r="C1102" s="3"/>
      <c r="D1102" s="3"/>
      <c r="E1102" s="2"/>
      <c r="F1102" s="2"/>
      <c r="G1102" s="14"/>
      <c r="H1102" s="14"/>
      <c r="I1102" s="14"/>
      <c r="J1102" s="14"/>
      <c r="K1102" s="14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8"/>
      <c r="BU1102" s="8"/>
      <c r="BV1102" s="1"/>
      <c r="BW1102" s="1"/>
      <c r="BX1102" s="1"/>
      <c r="BY1102" s="1"/>
      <c r="BZ1102" s="1"/>
    </row>
    <row r="1103">
      <c r="A1103" s="3"/>
      <c r="B1103" s="33"/>
      <c r="C1103" s="3"/>
      <c r="D1103" s="3"/>
      <c r="E1103" s="2"/>
      <c r="F1103" s="2"/>
      <c r="G1103" s="14"/>
      <c r="H1103" s="14"/>
      <c r="I1103" s="14"/>
      <c r="J1103" s="14"/>
      <c r="K1103" s="14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8"/>
      <c r="BU1103" s="8"/>
      <c r="BV1103" s="1"/>
      <c r="BW1103" s="1"/>
      <c r="BX1103" s="1"/>
      <c r="BY1103" s="1"/>
      <c r="BZ1103" s="1"/>
    </row>
    <row r="1104">
      <c r="A1104" s="3"/>
      <c r="B1104" s="33"/>
      <c r="C1104" s="3"/>
      <c r="D1104" s="3"/>
      <c r="E1104" s="2"/>
      <c r="F1104" s="2"/>
      <c r="G1104" s="14"/>
      <c r="H1104" s="14"/>
      <c r="I1104" s="14"/>
      <c r="J1104" s="14"/>
      <c r="K1104" s="14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8"/>
      <c r="BU1104" s="8"/>
      <c r="BV1104" s="1"/>
      <c r="BW1104" s="1"/>
      <c r="BX1104" s="1"/>
      <c r="BY1104" s="1"/>
      <c r="BZ1104" s="1"/>
    </row>
    <row r="1105">
      <c r="A1105" s="3"/>
      <c r="B1105" s="33"/>
      <c r="C1105" s="3"/>
      <c r="D1105" s="3"/>
      <c r="E1105" s="2"/>
      <c r="F1105" s="2"/>
      <c r="G1105" s="14"/>
      <c r="H1105" s="14"/>
      <c r="I1105" s="14"/>
      <c r="J1105" s="14"/>
      <c r="K1105" s="14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8"/>
      <c r="BU1105" s="8"/>
      <c r="BV1105" s="1"/>
      <c r="BW1105" s="1"/>
      <c r="BX1105" s="1"/>
      <c r="BY1105" s="1"/>
      <c r="BZ1105" s="1"/>
    </row>
    <row r="1106">
      <c r="A1106" s="3"/>
      <c r="B1106" s="33"/>
      <c r="C1106" s="3"/>
      <c r="D1106" s="3"/>
      <c r="E1106" s="2"/>
      <c r="F1106" s="2"/>
      <c r="G1106" s="14"/>
      <c r="H1106" s="14"/>
      <c r="I1106" s="14"/>
      <c r="J1106" s="14"/>
      <c r="K1106" s="14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8"/>
      <c r="BU1106" s="8"/>
      <c r="BV1106" s="1"/>
      <c r="BW1106" s="1"/>
      <c r="BX1106" s="1"/>
      <c r="BY1106" s="1"/>
      <c r="BZ1106" s="1"/>
    </row>
    <row r="1107">
      <c r="A1107" s="3"/>
      <c r="B1107" s="33"/>
      <c r="C1107" s="3"/>
      <c r="D1107" s="3"/>
      <c r="E1107" s="2"/>
      <c r="F1107" s="2"/>
      <c r="G1107" s="14"/>
      <c r="H1107" s="14"/>
      <c r="I1107" s="14"/>
      <c r="J1107" s="14"/>
      <c r="K1107" s="14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8"/>
      <c r="BU1107" s="8"/>
      <c r="BV1107" s="1"/>
      <c r="BW1107" s="1"/>
      <c r="BX1107" s="1"/>
      <c r="BY1107" s="1"/>
      <c r="BZ1107" s="1"/>
    </row>
    <row r="1108">
      <c r="A1108" s="3"/>
      <c r="B1108" s="33"/>
      <c r="C1108" s="3"/>
      <c r="D1108" s="3"/>
      <c r="E1108" s="2"/>
      <c r="F1108" s="2"/>
      <c r="G1108" s="14"/>
      <c r="H1108" s="14"/>
      <c r="I1108" s="14"/>
      <c r="J1108" s="14"/>
      <c r="K1108" s="14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8"/>
      <c r="BU1108" s="8"/>
      <c r="BV1108" s="1"/>
      <c r="BW1108" s="1"/>
      <c r="BX1108" s="1"/>
      <c r="BY1108" s="1"/>
      <c r="BZ1108" s="1"/>
    </row>
    <row r="1109">
      <c r="A1109" s="3"/>
      <c r="B1109" s="33"/>
      <c r="C1109" s="3"/>
      <c r="D1109" s="3"/>
      <c r="E1109" s="2"/>
      <c r="F1109" s="2"/>
      <c r="G1109" s="14"/>
      <c r="H1109" s="14"/>
      <c r="I1109" s="14"/>
      <c r="J1109" s="14"/>
      <c r="K1109" s="14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8"/>
      <c r="BU1109" s="8"/>
      <c r="BV1109" s="1"/>
      <c r="BW1109" s="1"/>
      <c r="BX1109" s="1"/>
      <c r="BY1109" s="1"/>
      <c r="BZ1109" s="1"/>
    </row>
    <row r="1110">
      <c r="A1110" s="3"/>
      <c r="B1110" s="33"/>
      <c r="C1110" s="3"/>
      <c r="D1110" s="3"/>
      <c r="E1110" s="2"/>
      <c r="F1110" s="2"/>
      <c r="G1110" s="14"/>
      <c r="H1110" s="14"/>
      <c r="I1110" s="14"/>
      <c r="J1110" s="14"/>
      <c r="K1110" s="14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8"/>
      <c r="BU1110" s="8"/>
      <c r="BV1110" s="1"/>
      <c r="BW1110" s="1"/>
      <c r="BX1110" s="1"/>
      <c r="BY1110" s="1"/>
      <c r="BZ1110" s="1"/>
    </row>
    <row r="1111">
      <c r="A1111" s="3"/>
      <c r="B1111" s="33"/>
      <c r="C1111" s="3"/>
      <c r="D1111" s="3"/>
      <c r="E1111" s="2"/>
      <c r="F1111" s="2"/>
      <c r="G1111" s="14"/>
      <c r="H1111" s="14"/>
      <c r="I1111" s="14"/>
      <c r="J1111" s="14"/>
      <c r="K1111" s="14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8"/>
      <c r="BU1111" s="8"/>
      <c r="BV1111" s="1"/>
      <c r="BW1111" s="1"/>
      <c r="BX1111" s="1"/>
      <c r="BY1111" s="1"/>
      <c r="BZ1111" s="1"/>
    </row>
    <row r="1112">
      <c r="A1112" s="3"/>
      <c r="B1112" s="33"/>
      <c r="C1112" s="3"/>
      <c r="D1112" s="3"/>
      <c r="E1112" s="2"/>
      <c r="F1112" s="2"/>
      <c r="G1112" s="14"/>
      <c r="H1112" s="14"/>
      <c r="I1112" s="14"/>
      <c r="J1112" s="14"/>
      <c r="K1112" s="14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8"/>
      <c r="BU1112" s="8"/>
      <c r="BV1112" s="1"/>
      <c r="BW1112" s="1"/>
      <c r="BX1112" s="1"/>
      <c r="BY1112" s="1"/>
      <c r="BZ1112" s="1"/>
    </row>
    <row r="1113">
      <c r="A1113" s="3"/>
      <c r="B1113" s="33"/>
      <c r="C1113" s="3"/>
      <c r="D1113" s="3"/>
      <c r="E1113" s="2"/>
      <c r="F1113" s="2"/>
      <c r="G1113" s="14"/>
      <c r="H1113" s="14"/>
      <c r="I1113" s="14"/>
      <c r="J1113" s="14"/>
      <c r="K1113" s="14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8"/>
      <c r="BU1113" s="8"/>
      <c r="BV1113" s="1"/>
      <c r="BW1113" s="1"/>
      <c r="BX1113" s="1"/>
      <c r="BY1113" s="1"/>
      <c r="BZ1113" s="1"/>
    </row>
    <row r="1114">
      <c r="A1114" s="3"/>
      <c r="B1114" s="33"/>
      <c r="C1114" s="3"/>
      <c r="D1114" s="3"/>
      <c r="E1114" s="2"/>
      <c r="F1114" s="2"/>
      <c r="G1114" s="14"/>
      <c r="H1114" s="14"/>
      <c r="I1114" s="14"/>
      <c r="J1114" s="14"/>
      <c r="K1114" s="14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8"/>
      <c r="BU1114" s="8"/>
      <c r="BV1114" s="1"/>
      <c r="BW1114" s="1"/>
      <c r="BX1114" s="1"/>
      <c r="BY1114" s="1"/>
      <c r="BZ1114" s="1"/>
    </row>
    <row r="1115">
      <c r="A1115" s="3"/>
      <c r="B1115" s="33"/>
      <c r="C1115" s="3"/>
      <c r="D1115" s="3"/>
      <c r="E1115" s="2"/>
      <c r="F1115" s="2"/>
      <c r="G1115" s="14"/>
      <c r="H1115" s="14"/>
      <c r="I1115" s="14"/>
      <c r="J1115" s="14"/>
      <c r="K1115" s="14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8"/>
      <c r="BU1115" s="8"/>
      <c r="BV1115" s="1"/>
      <c r="BW1115" s="1"/>
      <c r="BX1115" s="1"/>
      <c r="BY1115" s="1"/>
      <c r="BZ1115" s="1"/>
    </row>
    <row r="1116">
      <c r="A1116" s="3"/>
      <c r="B1116" s="33"/>
      <c r="C1116" s="3"/>
      <c r="D1116" s="3"/>
      <c r="E1116" s="2"/>
      <c r="F1116" s="2"/>
      <c r="G1116" s="14"/>
      <c r="H1116" s="14"/>
      <c r="I1116" s="14"/>
      <c r="J1116" s="14"/>
      <c r="K1116" s="14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8"/>
      <c r="BU1116" s="8"/>
      <c r="BV1116" s="1"/>
      <c r="BW1116" s="1"/>
      <c r="BX1116" s="1"/>
      <c r="BY1116" s="1"/>
      <c r="BZ1116" s="1"/>
    </row>
    <row r="1117">
      <c r="A1117" s="3"/>
      <c r="B1117" s="33"/>
      <c r="C1117" s="3"/>
      <c r="D1117" s="3"/>
      <c r="E1117" s="2"/>
      <c r="F1117" s="2"/>
      <c r="G1117" s="14"/>
      <c r="H1117" s="14"/>
      <c r="I1117" s="14"/>
      <c r="J1117" s="14"/>
      <c r="K1117" s="14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8"/>
      <c r="BU1117" s="8"/>
      <c r="BV1117" s="1"/>
      <c r="BW1117" s="1"/>
      <c r="BX1117" s="1"/>
      <c r="BY1117" s="1"/>
      <c r="BZ1117" s="1"/>
    </row>
    <row r="1118">
      <c r="A1118" s="3"/>
      <c r="B1118" s="33"/>
      <c r="C1118" s="3"/>
      <c r="D1118" s="3"/>
      <c r="E1118" s="2"/>
      <c r="F1118" s="2"/>
      <c r="G1118" s="14"/>
      <c r="H1118" s="14"/>
      <c r="I1118" s="14"/>
      <c r="J1118" s="14"/>
      <c r="K1118" s="14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8"/>
      <c r="BU1118" s="8"/>
      <c r="BV1118" s="1"/>
      <c r="BW1118" s="1"/>
      <c r="BX1118" s="1"/>
      <c r="BY1118" s="1"/>
      <c r="BZ1118" s="1"/>
    </row>
    <row r="1119">
      <c r="A1119" s="3"/>
      <c r="B1119" s="33"/>
      <c r="C1119" s="3"/>
      <c r="D1119" s="3"/>
      <c r="E1119" s="2"/>
      <c r="F1119" s="2"/>
      <c r="G1119" s="14"/>
      <c r="H1119" s="14"/>
      <c r="I1119" s="14"/>
      <c r="J1119" s="14"/>
      <c r="K1119" s="14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8"/>
      <c r="BU1119" s="8"/>
      <c r="BV1119" s="1"/>
      <c r="BW1119" s="1"/>
      <c r="BX1119" s="1"/>
      <c r="BY1119" s="1"/>
      <c r="BZ1119" s="1"/>
    </row>
    <row r="1120">
      <c r="A1120" s="3"/>
      <c r="B1120" s="33"/>
      <c r="C1120" s="3"/>
      <c r="D1120" s="3"/>
      <c r="E1120" s="2"/>
      <c r="F1120" s="2"/>
      <c r="G1120" s="14"/>
      <c r="H1120" s="14"/>
      <c r="I1120" s="14"/>
      <c r="J1120" s="14"/>
      <c r="K1120" s="14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8"/>
      <c r="BU1120" s="8"/>
      <c r="BV1120" s="1"/>
      <c r="BW1120" s="1"/>
      <c r="BX1120" s="1"/>
      <c r="BY1120" s="1"/>
      <c r="BZ1120" s="1"/>
    </row>
    <row r="1121">
      <c r="A1121" s="3"/>
      <c r="B1121" s="33"/>
      <c r="C1121" s="3"/>
      <c r="D1121" s="3"/>
      <c r="E1121" s="2"/>
      <c r="F1121" s="2"/>
      <c r="G1121" s="14"/>
      <c r="H1121" s="14"/>
      <c r="I1121" s="14"/>
      <c r="J1121" s="14"/>
      <c r="K1121" s="14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8"/>
      <c r="BU1121" s="8"/>
      <c r="BV1121" s="1"/>
      <c r="BW1121" s="1"/>
      <c r="BX1121" s="1"/>
      <c r="BY1121" s="1"/>
      <c r="BZ1121" s="1"/>
    </row>
    <row r="1122">
      <c r="A1122" s="3"/>
      <c r="B1122" s="33"/>
      <c r="C1122" s="3"/>
      <c r="D1122" s="3"/>
      <c r="E1122" s="2"/>
      <c r="F1122" s="2"/>
      <c r="G1122" s="14"/>
      <c r="H1122" s="14"/>
      <c r="I1122" s="14"/>
      <c r="J1122" s="14"/>
      <c r="K1122" s="14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8"/>
      <c r="BU1122" s="8"/>
      <c r="BV1122" s="1"/>
      <c r="BW1122" s="1"/>
      <c r="BX1122" s="1"/>
      <c r="BY1122" s="1"/>
      <c r="BZ1122" s="1"/>
    </row>
    <row r="1123">
      <c r="A1123" s="3"/>
      <c r="B1123" s="33"/>
      <c r="C1123" s="3"/>
      <c r="D1123" s="3"/>
      <c r="E1123" s="2"/>
      <c r="F1123" s="2"/>
      <c r="G1123" s="14"/>
      <c r="H1123" s="14"/>
      <c r="I1123" s="14"/>
      <c r="J1123" s="14"/>
      <c r="K1123" s="14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8"/>
      <c r="BU1123" s="8"/>
      <c r="BV1123" s="1"/>
      <c r="BW1123" s="1"/>
      <c r="BX1123" s="1"/>
      <c r="BY1123" s="1"/>
      <c r="BZ1123" s="1"/>
    </row>
    <row r="1124">
      <c r="A1124" s="3"/>
      <c r="B1124" s="33"/>
      <c r="C1124" s="3"/>
      <c r="D1124" s="3"/>
      <c r="E1124" s="2"/>
      <c r="F1124" s="2"/>
      <c r="G1124" s="14"/>
      <c r="H1124" s="14"/>
      <c r="I1124" s="14"/>
      <c r="J1124" s="14"/>
      <c r="K1124" s="14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8"/>
      <c r="BU1124" s="8"/>
      <c r="BV1124" s="1"/>
      <c r="BW1124" s="1"/>
      <c r="BX1124" s="1"/>
      <c r="BY1124" s="1"/>
      <c r="BZ1124" s="1"/>
    </row>
    <row r="1125">
      <c r="A1125" s="3"/>
      <c r="B1125" s="33"/>
      <c r="C1125" s="3"/>
      <c r="D1125" s="3"/>
      <c r="E1125" s="2"/>
      <c r="F1125" s="2"/>
      <c r="G1125" s="14"/>
      <c r="H1125" s="14"/>
      <c r="I1125" s="14"/>
      <c r="J1125" s="14"/>
      <c r="K1125" s="14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8"/>
      <c r="BU1125" s="8"/>
      <c r="BV1125" s="1"/>
      <c r="BW1125" s="1"/>
      <c r="BX1125" s="1"/>
      <c r="BY1125" s="1"/>
      <c r="BZ1125" s="1"/>
    </row>
    <row r="1126">
      <c r="A1126" s="3"/>
      <c r="B1126" s="33"/>
      <c r="C1126" s="3"/>
      <c r="D1126" s="3"/>
      <c r="E1126" s="2"/>
      <c r="F1126" s="2"/>
      <c r="G1126" s="14"/>
      <c r="H1126" s="14"/>
      <c r="I1126" s="14"/>
      <c r="J1126" s="14"/>
      <c r="K1126" s="14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8"/>
      <c r="BU1126" s="8"/>
      <c r="BV1126" s="1"/>
      <c r="BW1126" s="1"/>
      <c r="BX1126" s="1"/>
      <c r="BY1126" s="1"/>
      <c r="BZ1126" s="1"/>
    </row>
    <row r="1127">
      <c r="A1127" s="3"/>
      <c r="B1127" s="33"/>
      <c r="C1127" s="3"/>
      <c r="D1127" s="3"/>
      <c r="E1127" s="2"/>
      <c r="F1127" s="2"/>
      <c r="G1127" s="14"/>
      <c r="H1127" s="14"/>
      <c r="I1127" s="14"/>
      <c r="J1127" s="14"/>
      <c r="K1127" s="14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8"/>
      <c r="BU1127" s="8"/>
      <c r="BV1127" s="1"/>
      <c r="BW1127" s="1"/>
      <c r="BX1127" s="1"/>
      <c r="BY1127" s="1"/>
      <c r="BZ1127" s="1"/>
    </row>
    <row r="1128">
      <c r="A1128" s="3"/>
      <c r="B1128" s="33"/>
      <c r="C1128" s="3"/>
      <c r="D1128" s="3"/>
      <c r="E1128" s="2"/>
      <c r="F1128" s="2"/>
      <c r="G1128" s="14"/>
      <c r="H1128" s="14"/>
      <c r="I1128" s="14"/>
      <c r="J1128" s="14"/>
      <c r="K1128" s="14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8"/>
      <c r="BU1128" s="8"/>
      <c r="BV1128" s="1"/>
      <c r="BW1128" s="1"/>
      <c r="BX1128" s="1"/>
      <c r="BY1128" s="1"/>
      <c r="BZ1128" s="1"/>
    </row>
    <row r="1129">
      <c r="A1129" s="3"/>
      <c r="B1129" s="33"/>
      <c r="C1129" s="3"/>
      <c r="D1129" s="3"/>
      <c r="E1129" s="2"/>
      <c r="F1129" s="2"/>
      <c r="G1129" s="14"/>
      <c r="H1129" s="14"/>
      <c r="I1129" s="14"/>
      <c r="J1129" s="14"/>
      <c r="K1129" s="14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8"/>
      <c r="BU1129" s="8"/>
      <c r="BV1129" s="1"/>
      <c r="BW1129" s="1"/>
      <c r="BX1129" s="1"/>
      <c r="BY1129" s="1"/>
      <c r="BZ1129" s="1"/>
    </row>
    <row r="1130">
      <c r="A1130" s="3"/>
      <c r="B1130" s="33"/>
      <c r="C1130" s="3"/>
      <c r="D1130" s="3"/>
      <c r="E1130" s="2"/>
      <c r="F1130" s="2"/>
      <c r="G1130" s="14"/>
      <c r="H1130" s="14"/>
      <c r="I1130" s="14"/>
      <c r="J1130" s="14"/>
      <c r="K1130" s="14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8"/>
      <c r="BU1130" s="8"/>
      <c r="BV1130" s="1"/>
      <c r="BW1130" s="1"/>
      <c r="BX1130" s="1"/>
      <c r="BY1130" s="1"/>
      <c r="BZ1130" s="1"/>
    </row>
    <row r="1131">
      <c r="A1131" s="3"/>
      <c r="B1131" s="33"/>
      <c r="C1131" s="3"/>
      <c r="D1131" s="3"/>
      <c r="E1131" s="2"/>
      <c r="F1131" s="2"/>
      <c r="G1131" s="14"/>
      <c r="H1131" s="14"/>
      <c r="I1131" s="14"/>
      <c r="J1131" s="14"/>
      <c r="K1131" s="14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8"/>
      <c r="BU1131" s="8"/>
      <c r="BV1131" s="1"/>
      <c r="BW1131" s="1"/>
      <c r="BX1131" s="1"/>
      <c r="BY1131" s="1"/>
      <c r="BZ1131" s="1"/>
    </row>
    <row r="1132">
      <c r="A1132" s="3"/>
      <c r="B1132" s="33"/>
      <c r="C1132" s="3"/>
      <c r="D1132" s="3"/>
      <c r="E1132" s="2"/>
      <c r="F1132" s="2"/>
      <c r="G1132" s="14"/>
      <c r="H1132" s="14"/>
      <c r="I1132" s="14"/>
      <c r="J1132" s="14"/>
      <c r="K1132" s="14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8"/>
      <c r="BU1132" s="8"/>
      <c r="BV1132" s="1"/>
      <c r="BW1132" s="1"/>
      <c r="BX1132" s="1"/>
      <c r="BY1132" s="1"/>
      <c r="BZ1132" s="1"/>
    </row>
    <row r="1133">
      <c r="A1133" s="3"/>
      <c r="B1133" s="33"/>
      <c r="C1133" s="3"/>
      <c r="D1133" s="3"/>
      <c r="E1133" s="2"/>
      <c r="F1133" s="2"/>
      <c r="G1133" s="14"/>
      <c r="H1133" s="14"/>
      <c r="I1133" s="14"/>
      <c r="J1133" s="14"/>
      <c r="K1133" s="14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8"/>
      <c r="BU1133" s="8"/>
      <c r="BV1133" s="1"/>
      <c r="BW1133" s="1"/>
      <c r="BX1133" s="1"/>
      <c r="BY1133" s="1"/>
      <c r="BZ1133" s="1"/>
    </row>
    <row r="1134">
      <c r="A1134" s="3"/>
      <c r="B1134" s="33"/>
      <c r="C1134" s="3"/>
      <c r="D1134" s="3"/>
      <c r="E1134" s="2"/>
      <c r="F1134" s="2"/>
      <c r="G1134" s="14"/>
      <c r="H1134" s="14"/>
      <c r="I1134" s="14"/>
      <c r="J1134" s="14"/>
      <c r="K1134" s="14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8"/>
      <c r="BU1134" s="8"/>
      <c r="BV1134" s="1"/>
      <c r="BW1134" s="1"/>
      <c r="BX1134" s="1"/>
      <c r="BY1134" s="1"/>
      <c r="BZ1134" s="1"/>
    </row>
    <row r="1135">
      <c r="A1135" s="3"/>
      <c r="B1135" s="33"/>
      <c r="C1135" s="3"/>
      <c r="D1135" s="3"/>
      <c r="E1135" s="2"/>
      <c r="F1135" s="2"/>
      <c r="G1135" s="14"/>
      <c r="H1135" s="14"/>
      <c r="I1135" s="14"/>
      <c r="J1135" s="14"/>
      <c r="K1135" s="14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8"/>
      <c r="BU1135" s="8"/>
      <c r="BV1135" s="1"/>
      <c r="BW1135" s="1"/>
      <c r="BX1135" s="1"/>
      <c r="BY1135" s="1"/>
      <c r="BZ1135" s="1"/>
    </row>
    <row r="1136">
      <c r="A1136" s="3"/>
      <c r="B1136" s="33"/>
      <c r="C1136" s="3"/>
      <c r="D1136" s="3"/>
      <c r="E1136" s="2"/>
      <c r="F1136" s="2"/>
      <c r="G1136" s="14"/>
      <c r="H1136" s="14"/>
      <c r="I1136" s="14"/>
      <c r="J1136" s="14"/>
      <c r="K1136" s="14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8"/>
      <c r="BU1136" s="8"/>
      <c r="BV1136" s="1"/>
      <c r="BW1136" s="1"/>
      <c r="BX1136" s="1"/>
      <c r="BY1136" s="1"/>
      <c r="BZ1136" s="1"/>
    </row>
    <row r="1137">
      <c r="A1137" s="3"/>
      <c r="B1137" s="33"/>
      <c r="C1137" s="3"/>
      <c r="D1137" s="3"/>
      <c r="E1137" s="2"/>
      <c r="F1137" s="2"/>
      <c r="G1137" s="14"/>
      <c r="H1137" s="14"/>
      <c r="I1137" s="14"/>
      <c r="J1137" s="14"/>
      <c r="K1137" s="14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8"/>
      <c r="BU1137" s="8"/>
      <c r="BV1137" s="1"/>
      <c r="BW1137" s="1"/>
      <c r="BX1137" s="1"/>
      <c r="BY1137" s="1"/>
      <c r="BZ1137" s="1"/>
    </row>
    <row r="1138">
      <c r="A1138" s="3"/>
      <c r="B1138" s="33"/>
      <c r="C1138" s="3"/>
      <c r="D1138" s="3"/>
      <c r="E1138" s="2"/>
      <c r="F1138" s="2"/>
      <c r="G1138" s="14"/>
      <c r="H1138" s="14"/>
      <c r="I1138" s="14"/>
      <c r="J1138" s="14"/>
      <c r="K1138" s="14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8"/>
      <c r="BU1138" s="8"/>
      <c r="BV1138" s="1"/>
      <c r="BW1138" s="1"/>
      <c r="BX1138" s="1"/>
      <c r="BY1138" s="1"/>
      <c r="BZ1138" s="1"/>
    </row>
    <row r="1139">
      <c r="A1139" s="3"/>
      <c r="B1139" s="33"/>
      <c r="C1139" s="3"/>
      <c r="D1139" s="3"/>
      <c r="E1139" s="2"/>
      <c r="F1139" s="2"/>
      <c r="G1139" s="14"/>
      <c r="H1139" s="14"/>
      <c r="I1139" s="14"/>
      <c r="J1139" s="14"/>
      <c r="K1139" s="14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8"/>
      <c r="BU1139" s="8"/>
      <c r="BV1139" s="1"/>
      <c r="BW1139" s="1"/>
      <c r="BX1139" s="1"/>
      <c r="BY1139" s="1"/>
      <c r="BZ1139" s="1"/>
    </row>
    <row r="1140">
      <c r="A1140" s="3"/>
      <c r="B1140" s="33"/>
      <c r="C1140" s="3"/>
      <c r="D1140" s="3"/>
      <c r="E1140" s="2"/>
      <c r="F1140" s="2"/>
      <c r="G1140" s="14"/>
      <c r="H1140" s="14"/>
      <c r="I1140" s="14"/>
      <c r="J1140" s="14"/>
      <c r="K1140" s="14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8"/>
      <c r="BU1140" s="8"/>
      <c r="BV1140" s="1"/>
      <c r="BW1140" s="1"/>
      <c r="BX1140" s="1"/>
      <c r="BY1140" s="1"/>
      <c r="BZ1140" s="1"/>
    </row>
    <row r="1141">
      <c r="A1141" s="3"/>
      <c r="B1141" s="33"/>
      <c r="C1141" s="3"/>
      <c r="D1141" s="3"/>
      <c r="E1141" s="2"/>
      <c r="F1141" s="2"/>
      <c r="G1141" s="14"/>
      <c r="H1141" s="14"/>
      <c r="I1141" s="14"/>
      <c r="J1141" s="14"/>
      <c r="K1141" s="14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8"/>
      <c r="BU1141" s="8"/>
      <c r="BV1141" s="1"/>
      <c r="BW1141" s="1"/>
      <c r="BX1141" s="1"/>
      <c r="BY1141" s="1"/>
      <c r="BZ1141" s="1"/>
    </row>
    <row r="1142">
      <c r="A1142" s="3"/>
      <c r="B1142" s="33"/>
      <c r="C1142" s="3"/>
      <c r="D1142" s="3"/>
      <c r="E1142" s="2"/>
      <c r="F1142" s="2"/>
      <c r="G1142" s="14"/>
      <c r="H1142" s="14"/>
      <c r="I1142" s="14"/>
      <c r="J1142" s="14"/>
      <c r="K1142" s="14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8"/>
      <c r="BU1142" s="8"/>
      <c r="BV1142" s="1"/>
      <c r="BW1142" s="1"/>
      <c r="BX1142" s="1"/>
      <c r="BY1142" s="1"/>
      <c r="BZ1142" s="1"/>
    </row>
    <row r="1143">
      <c r="A1143" s="3"/>
      <c r="B1143" s="33"/>
      <c r="C1143" s="3"/>
      <c r="D1143" s="3"/>
      <c r="E1143" s="2"/>
      <c r="F1143" s="2"/>
      <c r="G1143" s="14"/>
      <c r="H1143" s="14"/>
      <c r="I1143" s="14"/>
      <c r="J1143" s="14"/>
      <c r="K1143" s="14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8"/>
      <c r="BU1143" s="8"/>
      <c r="BV1143" s="1"/>
      <c r="BW1143" s="1"/>
      <c r="BX1143" s="1"/>
      <c r="BY1143" s="1"/>
      <c r="BZ1143" s="1"/>
    </row>
    <row r="1144">
      <c r="A1144" s="3"/>
      <c r="B1144" s="33"/>
      <c r="C1144" s="3"/>
      <c r="D1144" s="3"/>
      <c r="E1144" s="2"/>
      <c r="F1144" s="2"/>
      <c r="G1144" s="14"/>
      <c r="H1144" s="14"/>
      <c r="I1144" s="14"/>
      <c r="J1144" s="14"/>
      <c r="K1144" s="14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8"/>
      <c r="BU1144" s="8"/>
      <c r="BV1144" s="1"/>
      <c r="BW1144" s="1"/>
      <c r="BX1144" s="1"/>
      <c r="BY1144" s="1"/>
      <c r="BZ1144" s="1"/>
    </row>
    <row r="1145">
      <c r="A1145" s="3"/>
      <c r="B1145" s="33"/>
      <c r="C1145" s="3"/>
      <c r="D1145" s="3"/>
      <c r="E1145" s="2"/>
      <c r="F1145" s="2"/>
      <c r="G1145" s="14"/>
      <c r="H1145" s="14"/>
      <c r="I1145" s="14"/>
      <c r="J1145" s="14"/>
      <c r="K1145" s="14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8"/>
      <c r="BU1145" s="8"/>
      <c r="BV1145" s="1"/>
      <c r="BW1145" s="1"/>
      <c r="BX1145" s="1"/>
      <c r="BY1145" s="1"/>
      <c r="BZ1145" s="1"/>
    </row>
    <row r="1146">
      <c r="A1146" s="3"/>
      <c r="B1146" s="33"/>
      <c r="C1146" s="3"/>
      <c r="D1146" s="3"/>
      <c r="E1146" s="2"/>
      <c r="F1146" s="2"/>
      <c r="G1146" s="14"/>
      <c r="H1146" s="14"/>
      <c r="I1146" s="14"/>
      <c r="J1146" s="14"/>
      <c r="K1146" s="14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8"/>
      <c r="BU1146" s="8"/>
      <c r="BV1146" s="1"/>
      <c r="BW1146" s="1"/>
      <c r="BX1146" s="1"/>
      <c r="BY1146" s="1"/>
      <c r="BZ1146" s="1"/>
    </row>
    <row r="1147">
      <c r="A1147" s="3"/>
      <c r="B1147" s="33"/>
      <c r="C1147" s="3"/>
      <c r="D1147" s="3"/>
      <c r="E1147" s="2"/>
      <c r="F1147" s="2"/>
      <c r="G1147" s="14"/>
      <c r="H1147" s="14"/>
      <c r="I1147" s="14"/>
      <c r="J1147" s="14"/>
      <c r="K1147" s="14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8"/>
      <c r="BU1147" s="8"/>
      <c r="BV1147" s="1"/>
      <c r="BW1147" s="1"/>
      <c r="BX1147" s="1"/>
      <c r="BY1147" s="1"/>
      <c r="BZ1147" s="1"/>
    </row>
    <row r="1148">
      <c r="A1148" s="3"/>
      <c r="B1148" s="33"/>
      <c r="C1148" s="3"/>
      <c r="D1148" s="3"/>
      <c r="E1148" s="2"/>
      <c r="F1148" s="2"/>
      <c r="G1148" s="14"/>
      <c r="H1148" s="14"/>
      <c r="I1148" s="14"/>
      <c r="J1148" s="14"/>
      <c r="K1148" s="14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8"/>
      <c r="BU1148" s="8"/>
      <c r="BV1148" s="1"/>
      <c r="BW1148" s="1"/>
      <c r="BX1148" s="1"/>
      <c r="BY1148" s="1"/>
      <c r="BZ1148" s="1"/>
    </row>
    <row r="1149">
      <c r="A1149" s="3"/>
      <c r="B1149" s="33"/>
      <c r="C1149" s="3"/>
      <c r="D1149" s="3"/>
      <c r="E1149" s="2"/>
      <c r="F1149" s="2"/>
      <c r="G1149" s="14"/>
      <c r="H1149" s="14"/>
      <c r="I1149" s="14"/>
      <c r="J1149" s="14"/>
      <c r="K1149" s="14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8"/>
      <c r="BU1149" s="8"/>
      <c r="BV1149" s="1"/>
      <c r="BW1149" s="1"/>
      <c r="BX1149" s="1"/>
      <c r="BY1149" s="1"/>
      <c r="BZ1149" s="1"/>
    </row>
    <row r="1150">
      <c r="A1150" s="3"/>
      <c r="B1150" s="33"/>
      <c r="C1150" s="3"/>
      <c r="D1150" s="3"/>
      <c r="E1150" s="2"/>
      <c r="F1150" s="2"/>
      <c r="G1150" s="14"/>
      <c r="H1150" s="14"/>
      <c r="I1150" s="14"/>
      <c r="J1150" s="14"/>
      <c r="K1150" s="14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8"/>
      <c r="BU1150" s="8"/>
      <c r="BV1150" s="1"/>
      <c r="BW1150" s="1"/>
      <c r="BX1150" s="1"/>
      <c r="BY1150" s="1"/>
      <c r="BZ1150" s="1"/>
    </row>
    <row r="1151">
      <c r="A1151" s="3"/>
      <c r="B1151" s="33"/>
      <c r="C1151" s="3"/>
      <c r="D1151" s="3"/>
      <c r="E1151" s="2"/>
      <c r="F1151" s="2"/>
      <c r="G1151" s="14"/>
      <c r="H1151" s="14"/>
      <c r="I1151" s="14"/>
      <c r="J1151" s="14"/>
      <c r="K1151" s="14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8"/>
      <c r="BU1151" s="8"/>
      <c r="BV1151" s="1"/>
      <c r="BW1151" s="1"/>
      <c r="BX1151" s="1"/>
      <c r="BY1151" s="1"/>
      <c r="BZ1151" s="1"/>
    </row>
    <row r="1152">
      <c r="A1152" s="3"/>
      <c r="B1152" s="33"/>
      <c r="C1152" s="3"/>
      <c r="D1152" s="3"/>
      <c r="E1152" s="2"/>
      <c r="F1152" s="2"/>
      <c r="G1152" s="14"/>
      <c r="H1152" s="14"/>
      <c r="I1152" s="14"/>
      <c r="J1152" s="14"/>
      <c r="K1152" s="14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8"/>
      <c r="BU1152" s="8"/>
      <c r="BV1152" s="1"/>
      <c r="BW1152" s="1"/>
      <c r="BX1152" s="1"/>
      <c r="BY1152" s="1"/>
      <c r="BZ1152" s="1"/>
    </row>
    <row r="1153">
      <c r="A1153" s="3"/>
      <c r="B1153" s="33"/>
      <c r="C1153" s="3"/>
      <c r="D1153" s="3"/>
      <c r="E1153" s="2"/>
      <c r="F1153" s="2"/>
      <c r="G1153" s="14"/>
      <c r="H1153" s="14"/>
      <c r="I1153" s="14"/>
      <c r="J1153" s="14"/>
      <c r="K1153" s="14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8"/>
      <c r="BU1153" s="8"/>
      <c r="BV1153" s="1"/>
      <c r="BW1153" s="1"/>
      <c r="BX1153" s="1"/>
      <c r="BY1153" s="1"/>
      <c r="BZ1153" s="1"/>
    </row>
    <row r="1154">
      <c r="A1154" s="3"/>
      <c r="B1154" s="33"/>
      <c r="C1154" s="3"/>
      <c r="D1154" s="3"/>
      <c r="E1154" s="2"/>
      <c r="F1154" s="2"/>
      <c r="G1154" s="14"/>
      <c r="H1154" s="14"/>
      <c r="I1154" s="14"/>
      <c r="J1154" s="14"/>
      <c r="K1154" s="14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8"/>
      <c r="BU1154" s="8"/>
      <c r="BV1154" s="1"/>
      <c r="BW1154" s="1"/>
      <c r="BX1154" s="1"/>
      <c r="BY1154" s="1"/>
      <c r="BZ1154" s="1"/>
    </row>
    <row r="1155">
      <c r="A1155" s="3"/>
      <c r="B1155" s="33"/>
      <c r="C1155" s="3"/>
      <c r="D1155" s="3"/>
      <c r="E1155" s="2"/>
      <c r="F1155" s="2"/>
      <c r="G1155" s="14"/>
      <c r="H1155" s="14"/>
      <c r="I1155" s="14"/>
      <c r="J1155" s="14"/>
      <c r="K1155" s="14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8"/>
      <c r="BU1155" s="8"/>
      <c r="BV1155" s="1"/>
      <c r="BW1155" s="1"/>
      <c r="BX1155" s="1"/>
      <c r="BY1155" s="1"/>
      <c r="BZ1155" s="1"/>
    </row>
    <row r="1156">
      <c r="A1156" s="3"/>
      <c r="B1156" s="33"/>
      <c r="C1156" s="3"/>
      <c r="D1156" s="3"/>
      <c r="E1156" s="2"/>
      <c r="F1156" s="2"/>
      <c r="G1156" s="14"/>
      <c r="H1156" s="14"/>
      <c r="I1156" s="14"/>
      <c r="J1156" s="14"/>
      <c r="K1156" s="14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8"/>
      <c r="BU1156" s="8"/>
      <c r="BV1156" s="1"/>
      <c r="BW1156" s="1"/>
      <c r="BX1156" s="1"/>
      <c r="BY1156" s="1"/>
      <c r="BZ1156" s="1"/>
    </row>
    <row r="1157">
      <c r="A1157" s="3"/>
      <c r="B1157" s="33"/>
      <c r="C1157" s="3"/>
      <c r="D1157" s="3"/>
      <c r="E1157" s="2"/>
      <c r="F1157" s="2"/>
      <c r="G1157" s="14"/>
      <c r="H1157" s="14"/>
      <c r="I1157" s="14"/>
      <c r="J1157" s="14"/>
      <c r="K1157" s="14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8"/>
      <c r="BU1157" s="8"/>
      <c r="BV1157" s="1"/>
      <c r="BW1157" s="1"/>
      <c r="BX1157" s="1"/>
      <c r="BY1157" s="1"/>
      <c r="BZ1157" s="1"/>
    </row>
    <row r="1158">
      <c r="A1158" s="3"/>
      <c r="B1158" s="33"/>
      <c r="C1158" s="3"/>
      <c r="D1158" s="3"/>
      <c r="E1158" s="2"/>
      <c r="F1158" s="2"/>
      <c r="G1158" s="14"/>
      <c r="H1158" s="14"/>
      <c r="I1158" s="14"/>
      <c r="J1158" s="14"/>
      <c r="K1158" s="14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8"/>
      <c r="BU1158" s="8"/>
      <c r="BV1158" s="1"/>
      <c r="BW1158" s="1"/>
      <c r="BX1158" s="1"/>
      <c r="BY1158" s="1"/>
      <c r="BZ1158" s="1"/>
    </row>
    <row r="1159">
      <c r="A1159" s="3"/>
      <c r="B1159" s="33"/>
      <c r="C1159" s="3"/>
      <c r="D1159" s="3"/>
      <c r="E1159" s="2"/>
      <c r="F1159" s="2"/>
      <c r="G1159" s="14"/>
      <c r="H1159" s="14"/>
      <c r="I1159" s="14"/>
      <c r="J1159" s="14"/>
      <c r="K1159" s="14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8"/>
      <c r="BU1159" s="8"/>
      <c r="BV1159" s="1"/>
      <c r="BW1159" s="1"/>
      <c r="BX1159" s="1"/>
      <c r="BY1159" s="1"/>
      <c r="BZ1159" s="1"/>
    </row>
    <row r="1160">
      <c r="A1160" s="3"/>
      <c r="B1160" s="33"/>
      <c r="C1160" s="3"/>
      <c r="D1160" s="3"/>
      <c r="E1160" s="2"/>
      <c r="F1160" s="2"/>
      <c r="G1160" s="14"/>
      <c r="H1160" s="14"/>
      <c r="I1160" s="14"/>
      <c r="J1160" s="14"/>
      <c r="K1160" s="14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8"/>
      <c r="BU1160" s="8"/>
      <c r="BV1160" s="1"/>
      <c r="BW1160" s="1"/>
      <c r="BX1160" s="1"/>
      <c r="BY1160" s="1"/>
      <c r="BZ1160" s="1"/>
    </row>
    <row r="1161">
      <c r="A1161" s="3"/>
      <c r="B1161" s="33"/>
      <c r="C1161" s="3"/>
      <c r="D1161" s="3"/>
      <c r="E1161" s="2"/>
      <c r="F1161" s="2"/>
      <c r="G1161" s="14"/>
      <c r="H1161" s="14"/>
      <c r="I1161" s="14"/>
      <c r="J1161" s="14"/>
      <c r="K1161" s="14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8"/>
      <c r="BU1161" s="8"/>
      <c r="BV1161" s="1"/>
      <c r="BW1161" s="1"/>
      <c r="BX1161" s="1"/>
      <c r="BY1161" s="1"/>
      <c r="BZ1161" s="1"/>
    </row>
    <row r="1162">
      <c r="A1162" s="3"/>
      <c r="B1162" s="33"/>
      <c r="C1162" s="3"/>
      <c r="D1162" s="3"/>
      <c r="E1162" s="2"/>
      <c r="F1162" s="2"/>
      <c r="G1162" s="14"/>
      <c r="H1162" s="14"/>
      <c r="I1162" s="14"/>
      <c r="J1162" s="14"/>
      <c r="K1162" s="14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8"/>
      <c r="BU1162" s="8"/>
      <c r="BV1162" s="1"/>
      <c r="BW1162" s="1"/>
      <c r="BX1162" s="1"/>
      <c r="BY1162" s="1"/>
      <c r="BZ1162" s="1"/>
    </row>
    <row r="1163">
      <c r="A1163" s="3"/>
      <c r="B1163" s="33"/>
      <c r="C1163" s="3"/>
      <c r="D1163" s="3"/>
      <c r="E1163" s="2"/>
      <c r="F1163" s="2"/>
      <c r="G1163" s="14"/>
      <c r="H1163" s="14"/>
      <c r="I1163" s="14"/>
      <c r="J1163" s="14"/>
      <c r="K1163" s="14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8"/>
      <c r="BU1163" s="8"/>
      <c r="BV1163" s="1"/>
      <c r="BW1163" s="1"/>
      <c r="BX1163" s="1"/>
      <c r="BY1163" s="1"/>
      <c r="BZ1163" s="1"/>
    </row>
    <row r="1164">
      <c r="A1164" s="3"/>
      <c r="B1164" s="33"/>
      <c r="C1164" s="3"/>
      <c r="D1164" s="3"/>
      <c r="E1164" s="2"/>
      <c r="F1164" s="2"/>
      <c r="G1164" s="14"/>
      <c r="H1164" s="14"/>
      <c r="I1164" s="14"/>
      <c r="J1164" s="14"/>
      <c r="K1164" s="14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8"/>
      <c r="BU1164" s="8"/>
      <c r="BV1164" s="1"/>
      <c r="BW1164" s="1"/>
      <c r="BX1164" s="1"/>
      <c r="BY1164" s="1"/>
      <c r="BZ1164" s="1"/>
    </row>
    <row r="1165">
      <c r="A1165" s="3"/>
      <c r="B1165" s="33"/>
      <c r="C1165" s="3"/>
      <c r="D1165" s="3"/>
      <c r="E1165" s="2"/>
      <c r="F1165" s="2"/>
      <c r="G1165" s="14"/>
      <c r="H1165" s="14"/>
      <c r="I1165" s="14"/>
      <c r="J1165" s="14"/>
      <c r="K1165" s="14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8"/>
      <c r="BU1165" s="8"/>
      <c r="BV1165" s="1"/>
      <c r="BW1165" s="1"/>
      <c r="BX1165" s="1"/>
      <c r="BY1165" s="1"/>
      <c r="BZ1165" s="1"/>
    </row>
    <row r="1166">
      <c r="A1166" s="3"/>
      <c r="B1166" s="33"/>
      <c r="C1166" s="3"/>
      <c r="D1166" s="3"/>
      <c r="E1166" s="2"/>
      <c r="F1166" s="2"/>
      <c r="G1166" s="14"/>
      <c r="H1166" s="14"/>
      <c r="I1166" s="14"/>
      <c r="J1166" s="14"/>
      <c r="K1166" s="14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8"/>
      <c r="BU1166" s="8"/>
      <c r="BV1166" s="1"/>
      <c r="BW1166" s="1"/>
      <c r="BX1166" s="1"/>
      <c r="BY1166" s="1"/>
      <c r="BZ1166" s="1"/>
    </row>
    <row r="1167">
      <c r="A1167" s="3"/>
      <c r="B1167" s="33"/>
      <c r="C1167" s="3"/>
      <c r="D1167" s="3"/>
      <c r="E1167" s="2"/>
      <c r="F1167" s="2"/>
      <c r="G1167" s="14"/>
      <c r="H1167" s="14"/>
      <c r="I1167" s="14"/>
      <c r="J1167" s="14"/>
      <c r="K1167" s="14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8"/>
      <c r="BU1167" s="8"/>
      <c r="BV1167" s="1"/>
      <c r="BW1167" s="1"/>
      <c r="BX1167" s="1"/>
      <c r="BY1167" s="1"/>
      <c r="BZ1167" s="1"/>
    </row>
    <row r="1168">
      <c r="A1168" s="3"/>
      <c r="B1168" s="33"/>
      <c r="C1168" s="3"/>
      <c r="D1168" s="3"/>
      <c r="E1168" s="2"/>
      <c r="F1168" s="2"/>
      <c r="G1168" s="14"/>
      <c r="H1168" s="14"/>
      <c r="I1168" s="14"/>
      <c r="J1168" s="14"/>
      <c r="K1168" s="14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8"/>
      <c r="BU1168" s="8"/>
      <c r="BV1168" s="1"/>
      <c r="BW1168" s="1"/>
      <c r="BX1168" s="1"/>
      <c r="BY1168" s="1"/>
      <c r="BZ1168" s="1"/>
    </row>
    <row r="1169">
      <c r="A1169" s="3"/>
      <c r="B1169" s="33"/>
      <c r="C1169" s="3"/>
      <c r="D1169" s="3"/>
      <c r="E1169" s="2"/>
      <c r="F1169" s="2"/>
      <c r="G1169" s="14"/>
      <c r="H1169" s="14"/>
      <c r="I1169" s="14"/>
      <c r="J1169" s="14"/>
      <c r="K1169" s="14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8"/>
      <c r="BU1169" s="8"/>
      <c r="BV1169" s="1"/>
      <c r="BW1169" s="1"/>
      <c r="BX1169" s="1"/>
      <c r="BY1169" s="1"/>
      <c r="BZ1169" s="1"/>
    </row>
    <row r="1170">
      <c r="A1170" s="3"/>
      <c r="B1170" s="33"/>
      <c r="C1170" s="3"/>
      <c r="D1170" s="3"/>
      <c r="E1170" s="2"/>
      <c r="F1170" s="2"/>
      <c r="G1170" s="14"/>
      <c r="H1170" s="14"/>
      <c r="I1170" s="14"/>
      <c r="J1170" s="14"/>
      <c r="K1170" s="14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8"/>
      <c r="BU1170" s="8"/>
      <c r="BV1170" s="1"/>
      <c r="BW1170" s="1"/>
      <c r="BX1170" s="1"/>
      <c r="BY1170" s="1"/>
      <c r="BZ1170" s="1"/>
    </row>
    <row r="1171">
      <c r="A1171" s="3"/>
      <c r="B1171" s="33"/>
      <c r="C1171" s="3"/>
      <c r="D1171" s="3"/>
      <c r="E1171" s="2"/>
      <c r="F1171" s="2"/>
      <c r="G1171" s="14"/>
      <c r="H1171" s="14"/>
      <c r="I1171" s="14"/>
      <c r="J1171" s="14"/>
      <c r="K1171" s="14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8"/>
      <c r="BU1171" s="8"/>
      <c r="BV1171" s="1"/>
      <c r="BW1171" s="1"/>
      <c r="BX1171" s="1"/>
      <c r="BY1171" s="1"/>
      <c r="BZ1171" s="1"/>
    </row>
    <row r="1172">
      <c r="A1172" s="3"/>
      <c r="B1172" s="33"/>
      <c r="C1172" s="3"/>
      <c r="D1172" s="3"/>
      <c r="E1172" s="2"/>
      <c r="F1172" s="2"/>
      <c r="G1172" s="14"/>
      <c r="H1172" s="14"/>
      <c r="I1172" s="14"/>
      <c r="J1172" s="14"/>
      <c r="K1172" s="14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8"/>
      <c r="BU1172" s="8"/>
      <c r="BV1172" s="1"/>
      <c r="BW1172" s="1"/>
      <c r="BX1172" s="1"/>
      <c r="BY1172" s="1"/>
      <c r="BZ1172" s="1"/>
    </row>
    <row r="1173">
      <c r="A1173" s="3"/>
      <c r="B1173" s="33"/>
      <c r="C1173" s="3"/>
      <c r="D1173" s="3"/>
      <c r="E1173" s="2"/>
      <c r="F1173" s="2"/>
      <c r="G1173" s="14"/>
      <c r="H1173" s="14"/>
      <c r="I1173" s="14"/>
      <c r="J1173" s="14"/>
      <c r="K1173" s="14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8"/>
      <c r="BU1173" s="8"/>
      <c r="BV1173" s="1"/>
      <c r="BW1173" s="1"/>
      <c r="BX1173" s="1"/>
      <c r="BY1173" s="1"/>
      <c r="BZ1173" s="1"/>
    </row>
    <row r="1174">
      <c r="A1174" s="3"/>
      <c r="B1174" s="33"/>
      <c r="C1174" s="3"/>
      <c r="D1174" s="3"/>
      <c r="E1174" s="2"/>
      <c r="F1174" s="2"/>
      <c r="G1174" s="14"/>
      <c r="H1174" s="14"/>
      <c r="I1174" s="14"/>
      <c r="J1174" s="14"/>
      <c r="K1174" s="14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8"/>
      <c r="BU1174" s="8"/>
      <c r="BV1174" s="1"/>
      <c r="BW1174" s="1"/>
      <c r="BX1174" s="1"/>
      <c r="BY1174" s="1"/>
      <c r="BZ1174" s="1"/>
    </row>
    <row r="1175">
      <c r="A1175" s="3"/>
      <c r="B1175" s="33"/>
      <c r="C1175" s="3"/>
      <c r="D1175" s="3"/>
      <c r="E1175" s="2"/>
      <c r="F1175" s="2"/>
      <c r="G1175" s="14"/>
      <c r="H1175" s="14"/>
      <c r="I1175" s="14"/>
      <c r="J1175" s="14"/>
      <c r="K1175" s="14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8"/>
      <c r="BU1175" s="8"/>
      <c r="BV1175" s="1"/>
      <c r="BW1175" s="1"/>
      <c r="BX1175" s="1"/>
      <c r="BY1175" s="1"/>
      <c r="BZ1175" s="1"/>
    </row>
    <row r="1176">
      <c r="A1176" s="3"/>
      <c r="B1176" s="33"/>
      <c r="C1176" s="3"/>
      <c r="D1176" s="3"/>
      <c r="E1176" s="2"/>
      <c r="F1176" s="2"/>
      <c r="G1176" s="14"/>
      <c r="H1176" s="14"/>
      <c r="I1176" s="14"/>
      <c r="J1176" s="14"/>
      <c r="K1176" s="14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8"/>
      <c r="BU1176" s="8"/>
      <c r="BV1176" s="1"/>
      <c r="BW1176" s="1"/>
      <c r="BX1176" s="1"/>
      <c r="BY1176" s="1"/>
      <c r="BZ1176" s="1"/>
    </row>
    <row r="1177">
      <c r="A1177" s="3"/>
      <c r="B1177" s="33"/>
      <c r="C1177" s="3"/>
      <c r="D1177" s="3"/>
      <c r="E1177" s="2"/>
      <c r="F1177" s="2"/>
      <c r="G1177" s="14"/>
      <c r="H1177" s="14"/>
      <c r="I1177" s="14"/>
      <c r="J1177" s="14"/>
      <c r="K1177" s="14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8"/>
      <c r="BU1177" s="8"/>
      <c r="BV1177" s="1"/>
      <c r="BW1177" s="1"/>
      <c r="BX1177" s="1"/>
      <c r="BY1177" s="1"/>
      <c r="BZ1177" s="1"/>
    </row>
    <row r="1178">
      <c r="A1178" s="3"/>
      <c r="B1178" s="33"/>
      <c r="C1178" s="3"/>
      <c r="D1178" s="3"/>
      <c r="E1178" s="2"/>
      <c r="F1178" s="2"/>
      <c r="G1178" s="14"/>
      <c r="H1178" s="14"/>
      <c r="I1178" s="14"/>
      <c r="J1178" s="14"/>
      <c r="K1178" s="14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8"/>
      <c r="BU1178" s="8"/>
      <c r="BV1178" s="1"/>
      <c r="BW1178" s="1"/>
      <c r="BX1178" s="1"/>
      <c r="BY1178" s="1"/>
      <c r="BZ1178" s="1"/>
    </row>
    <row r="1179">
      <c r="A1179" s="3"/>
      <c r="B1179" s="33"/>
      <c r="C1179" s="3"/>
      <c r="D1179" s="3"/>
      <c r="E1179" s="2"/>
      <c r="F1179" s="2"/>
      <c r="G1179" s="14"/>
      <c r="H1179" s="14"/>
      <c r="I1179" s="14"/>
      <c r="J1179" s="14"/>
      <c r="K1179" s="14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8"/>
      <c r="BU1179" s="8"/>
      <c r="BV1179" s="1"/>
      <c r="BW1179" s="1"/>
      <c r="BX1179" s="1"/>
      <c r="BY1179" s="1"/>
      <c r="BZ1179" s="1"/>
    </row>
    <row r="1180">
      <c r="A1180" s="3"/>
      <c r="B1180" s="33"/>
      <c r="C1180" s="3"/>
      <c r="D1180" s="3"/>
      <c r="E1180" s="2"/>
      <c r="F1180" s="2"/>
      <c r="G1180" s="14"/>
      <c r="H1180" s="14"/>
      <c r="I1180" s="14"/>
      <c r="J1180" s="14"/>
      <c r="K1180" s="14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8"/>
      <c r="BU1180" s="8"/>
      <c r="BV1180" s="1"/>
      <c r="BW1180" s="1"/>
      <c r="BX1180" s="1"/>
      <c r="BY1180" s="1"/>
      <c r="BZ1180" s="1"/>
    </row>
    <row r="1181">
      <c r="A1181" s="3"/>
      <c r="B1181" s="33"/>
      <c r="C1181" s="3"/>
      <c r="D1181" s="3"/>
      <c r="E1181" s="2"/>
      <c r="F1181" s="2"/>
      <c r="G1181" s="14"/>
      <c r="H1181" s="14"/>
      <c r="I1181" s="14"/>
      <c r="J1181" s="14"/>
      <c r="K1181" s="14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8"/>
      <c r="BU1181" s="8"/>
      <c r="BV1181" s="1"/>
      <c r="BW1181" s="1"/>
      <c r="BX1181" s="1"/>
      <c r="BY1181" s="1"/>
      <c r="BZ1181" s="1"/>
    </row>
    <row r="1182">
      <c r="A1182" s="3"/>
      <c r="B1182" s="33"/>
      <c r="C1182" s="3"/>
      <c r="D1182" s="3"/>
      <c r="E1182" s="2"/>
      <c r="F1182" s="2"/>
      <c r="G1182" s="14"/>
      <c r="H1182" s="14"/>
      <c r="I1182" s="14"/>
      <c r="J1182" s="14"/>
      <c r="K1182" s="14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8"/>
      <c r="BU1182" s="8"/>
      <c r="BV1182" s="1"/>
      <c r="BW1182" s="1"/>
      <c r="BX1182" s="1"/>
      <c r="BY1182" s="1"/>
      <c r="BZ1182" s="1"/>
    </row>
    <row r="1183">
      <c r="A1183" s="3"/>
      <c r="B1183" s="33"/>
      <c r="C1183" s="3"/>
      <c r="D1183" s="3"/>
      <c r="E1183" s="2"/>
      <c r="F1183" s="2"/>
      <c r="G1183" s="14"/>
      <c r="H1183" s="14"/>
      <c r="I1183" s="14"/>
      <c r="J1183" s="14"/>
      <c r="K1183" s="14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8"/>
      <c r="BU1183" s="8"/>
      <c r="BV1183" s="1"/>
      <c r="BW1183" s="1"/>
      <c r="BX1183" s="1"/>
      <c r="BY1183" s="1"/>
      <c r="BZ1183" s="1"/>
    </row>
    <row r="1184">
      <c r="A1184" s="3"/>
      <c r="B1184" s="33"/>
      <c r="C1184" s="3"/>
      <c r="D1184" s="3"/>
      <c r="E1184" s="2"/>
      <c r="F1184" s="2"/>
      <c r="G1184" s="14"/>
      <c r="H1184" s="14"/>
      <c r="I1184" s="14"/>
      <c r="J1184" s="14"/>
      <c r="K1184" s="14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8"/>
      <c r="BU1184" s="8"/>
      <c r="BV1184" s="1"/>
      <c r="BW1184" s="1"/>
      <c r="BX1184" s="1"/>
      <c r="BY1184" s="1"/>
      <c r="BZ1184" s="1"/>
    </row>
    <row r="1185">
      <c r="A1185" s="3"/>
      <c r="B1185" s="33"/>
      <c r="C1185" s="3"/>
      <c r="D1185" s="3"/>
      <c r="E1185" s="2"/>
      <c r="F1185" s="2"/>
      <c r="G1185" s="14"/>
      <c r="H1185" s="14"/>
      <c r="I1185" s="14"/>
      <c r="J1185" s="14"/>
      <c r="K1185" s="14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8"/>
      <c r="BU1185" s="8"/>
      <c r="BV1185" s="1"/>
      <c r="BW1185" s="1"/>
      <c r="BX1185" s="1"/>
      <c r="BY1185" s="1"/>
      <c r="BZ1185" s="1"/>
    </row>
    <row r="1186">
      <c r="A1186" s="3"/>
      <c r="B1186" s="33"/>
      <c r="C1186" s="3"/>
      <c r="D1186" s="3"/>
      <c r="E1186" s="2"/>
      <c r="F1186" s="2"/>
      <c r="G1186" s="14"/>
      <c r="H1186" s="14"/>
      <c r="I1186" s="14"/>
      <c r="J1186" s="14"/>
      <c r="K1186" s="14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8"/>
      <c r="BU1186" s="8"/>
      <c r="BV1186" s="1"/>
      <c r="BW1186" s="1"/>
      <c r="BX1186" s="1"/>
      <c r="BY1186" s="1"/>
      <c r="BZ1186" s="1"/>
    </row>
    <row r="1187">
      <c r="A1187" s="3"/>
      <c r="B1187" s="33"/>
      <c r="C1187" s="3"/>
      <c r="D1187" s="3"/>
      <c r="E1187" s="2"/>
      <c r="F1187" s="2"/>
      <c r="G1187" s="14"/>
      <c r="H1187" s="14"/>
      <c r="I1187" s="14"/>
      <c r="J1187" s="14"/>
      <c r="K1187" s="14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8"/>
      <c r="BU1187" s="8"/>
      <c r="BV1187" s="1"/>
      <c r="BW1187" s="1"/>
      <c r="BX1187" s="1"/>
      <c r="BY1187" s="1"/>
      <c r="BZ1187" s="1"/>
    </row>
    <row r="1188">
      <c r="A1188" s="3"/>
      <c r="B1188" s="33"/>
      <c r="C1188" s="3"/>
      <c r="D1188" s="3"/>
      <c r="E1188" s="2"/>
      <c r="F1188" s="2"/>
      <c r="G1188" s="14"/>
      <c r="H1188" s="14"/>
      <c r="I1188" s="14"/>
      <c r="J1188" s="14"/>
      <c r="K1188" s="14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8"/>
      <c r="BU1188" s="8"/>
      <c r="BV1188" s="1"/>
      <c r="BW1188" s="1"/>
      <c r="BX1188" s="1"/>
      <c r="BY1188" s="1"/>
      <c r="BZ1188" s="1"/>
    </row>
    <row r="1189">
      <c r="A1189" s="3"/>
      <c r="B1189" s="33"/>
      <c r="C1189" s="3"/>
      <c r="D1189" s="3"/>
      <c r="E1189" s="2"/>
      <c r="F1189" s="2"/>
      <c r="G1189" s="14"/>
      <c r="H1189" s="14"/>
      <c r="I1189" s="14"/>
      <c r="J1189" s="14"/>
      <c r="K1189" s="14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8"/>
      <c r="BU1189" s="8"/>
      <c r="BV1189" s="1"/>
      <c r="BW1189" s="1"/>
      <c r="BX1189" s="1"/>
      <c r="BY1189" s="1"/>
      <c r="BZ1189" s="1"/>
    </row>
    <row r="1190">
      <c r="A1190" s="3"/>
      <c r="B1190" s="33"/>
      <c r="C1190" s="3"/>
      <c r="D1190" s="3"/>
      <c r="E1190" s="2"/>
      <c r="F1190" s="2"/>
      <c r="G1190" s="14"/>
      <c r="H1190" s="14"/>
      <c r="I1190" s="14"/>
      <c r="J1190" s="14"/>
      <c r="K1190" s="14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8"/>
      <c r="BU1190" s="8"/>
      <c r="BV1190" s="1"/>
      <c r="BW1190" s="1"/>
      <c r="BX1190" s="1"/>
      <c r="BY1190" s="1"/>
      <c r="BZ1190" s="1"/>
    </row>
    <row r="1191">
      <c r="A1191" s="3"/>
      <c r="B1191" s="33"/>
      <c r="C1191" s="3"/>
      <c r="D1191" s="3"/>
      <c r="E1191" s="2"/>
      <c r="F1191" s="2"/>
      <c r="G1191" s="14"/>
      <c r="H1191" s="14"/>
      <c r="I1191" s="14"/>
      <c r="J1191" s="14"/>
      <c r="K1191" s="14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8"/>
      <c r="BU1191" s="8"/>
      <c r="BV1191" s="1"/>
      <c r="BW1191" s="1"/>
      <c r="BX1191" s="1"/>
      <c r="BY1191" s="1"/>
      <c r="BZ1191" s="1"/>
    </row>
    <row r="1192">
      <c r="A1192" s="3"/>
      <c r="B1192" s="33"/>
      <c r="C1192" s="3"/>
      <c r="D1192" s="3"/>
      <c r="E1192" s="2"/>
      <c r="F1192" s="2"/>
      <c r="G1192" s="14"/>
      <c r="H1192" s="14"/>
      <c r="I1192" s="14"/>
      <c r="J1192" s="14"/>
      <c r="K1192" s="14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8"/>
      <c r="BU1192" s="8"/>
      <c r="BV1192" s="1"/>
      <c r="BW1192" s="1"/>
      <c r="BX1192" s="1"/>
      <c r="BY1192" s="1"/>
      <c r="BZ1192" s="1"/>
    </row>
    <row r="1193">
      <c r="A1193" s="3"/>
      <c r="B1193" s="33"/>
      <c r="C1193" s="3"/>
      <c r="D1193" s="3"/>
      <c r="E1193" s="2"/>
      <c r="F1193" s="2"/>
      <c r="G1193" s="14"/>
      <c r="H1193" s="14"/>
      <c r="I1193" s="14"/>
      <c r="J1193" s="14"/>
      <c r="K1193" s="14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8"/>
      <c r="BU1193" s="8"/>
      <c r="BV1193" s="1"/>
      <c r="BW1193" s="1"/>
      <c r="BX1193" s="1"/>
      <c r="BY1193" s="1"/>
      <c r="BZ1193" s="1"/>
    </row>
    <row r="1194">
      <c r="A1194" s="3"/>
      <c r="B1194" s="33"/>
      <c r="C1194" s="3"/>
      <c r="D1194" s="3"/>
      <c r="E1194" s="2"/>
      <c r="F1194" s="2"/>
      <c r="G1194" s="14"/>
      <c r="H1194" s="14"/>
      <c r="I1194" s="14"/>
      <c r="J1194" s="14"/>
      <c r="K1194" s="14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8"/>
      <c r="BU1194" s="8"/>
      <c r="BV1194" s="1"/>
      <c r="BW1194" s="1"/>
      <c r="BX1194" s="1"/>
      <c r="BY1194" s="1"/>
      <c r="BZ1194" s="1"/>
    </row>
    <row r="1195">
      <c r="A1195" s="3"/>
      <c r="B1195" s="33"/>
      <c r="C1195" s="3"/>
      <c r="D1195" s="3"/>
      <c r="E1195" s="2"/>
      <c r="F1195" s="2"/>
      <c r="G1195" s="14"/>
      <c r="H1195" s="14"/>
      <c r="I1195" s="14"/>
      <c r="J1195" s="14"/>
      <c r="K1195" s="14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8"/>
      <c r="BU1195" s="8"/>
      <c r="BV1195" s="1"/>
      <c r="BW1195" s="1"/>
      <c r="BX1195" s="1"/>
      <c r="BY1195" s="1"/>
      <c r="BZ1195" s="1"/>
    </row>
    <row r="1196">
      <c r="A1196" s="3"/>
      <c r="B1196" s="33"/>
      <c r="C1196" s="3"/>
      <c r="D1196" s="3"/>
      <c r="E1196" s="2"/>
      <c r="F1196" s="2"/>
      <c r="G1196" s="14"/>
      <c r="H1196" s="14"/>
      <c r="I1196" s="14"/>
      <c r="J1196" s="14"/>
      <c r="K1196" s="14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8"/>
      <c r="BU1196" s="8"/>
      <c r="BV1196" s="1"/>
      <c r="BW1196" s="1"/>
      <c r="BX1196" s="1"/>
      <c r="BY1196" s="1"/>
      <c r="BZ1196" s="1"/>
    </row>
    <row r="1197">
      <c r="A1197" s="3"/>
      <c r="B1197" s="33"/>
      <c r="C1197" s="3"/>
      <c r="D1197" s="3"/>
      <c r="E1197" s="2"/>
      <c r="F1197" s="2"/>
      <c r="G1197" s="14"/>
      <c r="H1197" s="14"/>
      <c r="I1197" s="14"/>
      <c r="J1197" s="14"/>
      <c r="K1197" s="14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8"/>
      <c r="BU1197" s="8"/>
      <c r="BV1197" s="1"/>
      <c r="BW1197" s="1"/>
      <c r="BX1197" s="1"/>
      <c r="BY1197" s="1"/>
      <c r="BZ1197" s="1"/>
    </row>
    <row r="1198">
      <c r="A1198" s="3"/>
      <c r="B1198" s="33"/>
      <c r="C1198" s="3"/>
      <c r="D1198" s="3"/>
      <c r="E1198" s="2"/>
      <c r="F1198" s="2"/>
      <c r="G1198" s="14"/>
      <c r="H1198" s="14"/>
      <c r="I1198" s="14"/>
      <c r="J1198" s="14"/>
      <c r="K1198" s="14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8"/>
      <c r="BU1198" s="8"/>
      <c r="BV1198" s="1"/>
      <c r="BW1198" s="1"/>
      <c r="BX1198" s="1"/>
      <c r="BY1198" s="1"/>
      <c r="BZ1198" s="1"/>
    </row>
    <row r="1199">
      <c r="A1199" s="3"/>
      <c r="B1199" s="33"/>
      <c r="C1199" s="3"/>
      <c r="D1199" s="3"/>
      <c r="E1199" s="2"/>
      <c r="F1199" s="2"/>
      <c r="G1199" s="14"/>
      <c r="H1199" s="14"/>
      <c r="I1199" s="14"/>
      <c r="J1199" s="14"/>
      <c r="K1199" s="14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8"/>
      <c r="BU1199" s="8"/>
      <c r="BV1199" s="1"/>
      <c r="BW1199" s="1"/>
      <c r="BX1199" s="1"/>
      <c r="BY1199" s="1"/>
      <c r="BZ1199" s="1"/>
    </row>
    <row r="1200">
      <c r="A1200" s="3"/>
      <c r="B1200" s="33"/>
      <c r="C1200" s="3"/>
      <c r="D1200" s="3"/>
      <c r="E1200" s="2"/>
      <c r="F1200" s="2"/>
      <c r="G1200" s="14"/>
      <c r="H1200" s="14"/>
      <c r="I1200" s="14"/>
      <c r="J1200" s="14"/>
      <c r="K1200" s="14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8"/>
      <c r="BU1200" s="8"/>
      <c r="BV1200" s="1"/>
      <c r="BW1200" s="1"/>
      <c r="BX1200" s="1"/>
      <c r="BY1200" s="1"/>
      <c r="BZ1200" s="1"/>
    </row>
    <row r="1201">
      <c r="A1201" s="3"/>
      <c r="B1201" s="33"/>
      <c r="C1201" s="3"/>
      <c r="D1201" s="3"/>
      <c r="E1201" s="2"/>
      <c r="F1201" s="2"/>
      <c r="G1201" s="14"/>
      <c r="H1201" s="14"/>
      <c r="I1201" s="14"/>
      <c r="J1201" s="14"/>
      <c r="K1201" s="14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8"/>
      <c r="BU1201" s="8"/>
      <c r="BV1201" s="1"/>
      <c r="BW1201" s="1"/>
      <c r="BX1201" s="1"/>
      <c r="BY1201" s="1"/>
      <c r="BZ1201" s="1"/>
    </row>
    <row r="1202">
      <c r="A1202" s="3"/>
      <c r="B1202" s="33"/>
      <c r="C1202" s="3"/>
      <c r="D1202" s="3"/>
      <c r="E1202" s="2"/>
      <c r="F1202" s="2"/>
      <c r="G1202" s="14"/>
      <c r="H1202" s="14"/>
      <c r="I1202" s="14"/>
      <c r="J1202" s="14"/>
      <c r="K1202" s="14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8"/>
      <c r="BU1202" s="8"/>
      <c r="BV1202" s="1"/>
      <c r="BW1202" s="1"/>
      <c r="BX1202" s="1"/>
      <c r="BY1202" s="1"/>
      <c r="BZ1202" s="1"/>
    </row>
    <row r="1203">
      <c r="A1203" s="3"/>
      <c r="B1203" s="33"/>
      <c r="C1203" s="3"/>
      <c r="D1203" s="3"/>
      <c r="E1203" s="2"/>
      <c r="F1203" s="2"/>
      <c r="G1203" s="14"/>
      <c r="H1203" s="14"/>
      <c r="I1203" s="14"/>
      <c r="J1203" s="14"/>
      <c r="K1203" s="14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8"/>
      <c r="BU1203" s="8"/>
      <c r="BV1203" s="1"/>
      <c r="BW1203" s="1"/>
      <c r="BX1203" s="1"/>
      <c r="BY1203" s="1"/>
      <c r="BZ1203" s="1"/>
    </row>
    <row r="1204">
      <c r="A1204" s="3"/>
      <c r="B1204" s="33"/>
      <c r="C1204" s="3"/>
      <c r="D1204" s="3"/>
      <c r="E1204" s="2"/>
      <c r="F1204" s="2"/>
      <c r="G1204" s="14"/>
      <c r="H1204" s="14"/>
      <c r="I1204" s="14"/>
      <c r="J1204" s="14"/>
      <c r="K1204" s="14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8"/>
      <c r="BU1204" s="8"/>
      <c r="BV1204" s="1"/>
      <c r="BW1204" s="1"/>
      <c r="BX1204" s="1"/>
      <c r="BY1204" s="1"/>
      <c r="BZ1204" s="1"/>
    </row>
    <row r="1205">
      <c r="A1205" s="3"/>
      <c r="B1205" s="33"/>
      <c r="C1205" s="3"/>
      <c r="D1205" s="3"/>
      <c r="E1205" s="2"/>
      <c r="F1205" s="2"/>
      <c r="G1205" s="14"/>
      <c r="H1205" s="14"/>
      <c r="I1205" s="14"/>
      <c r="J1205" s="14"/>
      <c r="K1205" s="14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8"/>
      <c r="BU1205" s="8"/>
      <c r="BV1205" s="1"/>
      <c r="BW1205" s="1"/>
      <c r="BX1205" s="1"/>
      <c r="BY1205" s="1"/>
      <c r="BZ1205" s="1"/>
    </row>
    <row r="1206">
      <c r="A1206" s="3"/>
      <c r="B1206" s="33"/>
      <c r="C1206" s="3"/>
      <c r="D1206" s="3"/>
      <c r="E1206" s="2"/>
      <c r="F1206" s="2"/>
      <c r="G1206" s="14"/>
      <c r="H1206" s="14"/>
      <c r="I1206" s="14"/>
      <c r="J1206" s="14"/>
      <c r="K1206" s="14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8"/>
      <c r="BU1206" s="8"/>
      <c r="BV1206" s="1"/>
      <c r="BW1206" s="1"/>
      <c r="BX1206" s="1"/>
      <c r="BY1206" s="1"/>
      <c r="BZ1206" s="1"/>
    </row>
    <row r="1207">
      <c r="A1207" s="3"/>
      <c r="B1207" s="33"/>
      <c r="C1207" s="3"/>
      <c r="D1207" s="3"/>
      <c r="E1207" s="2"/>
      <c r="F1207" s="2"/>
      <c r="G1207" s="14"/>
      <c r="H1207" s="14"/>
      <c r="I1207" s="14"/>
      <c r="J1207" s="14"/>
      <c r="K1207" s="14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8"/>
      <c r="BU1207" s="8"/>
      <c r="BV1207" s="1"/>
      <c r="BW1207" s="1"/>
      <c r="BX1207" s="1"/>
      <c r="BY1207" s="1"/>
      <c r="BZ1207" s="1"/>
    </row>
    <row r="1208">
      <c r="A1208" s="3"/>
      <c r="B1208" s="33"/>
      <c r="C1208" s="3"/>
      <c r="D1208" s="3"/>
      <c r="E1208" s="2"/>
      <c r="F1208" s="2"/>
      <c r="G1208" s="14"/>
      <c r="H1208" s="14"/>
      <c r="I1208" s="14"/>
      <c r="J1208" s="14"/>
      <c r="K1208" s="14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8"/>
      <c r="BU1208" s="8"/>
      <c r="BV1208" s="1"/>
      <c r="BW1208" s="1"/>
      <c r="BX1208" s="1"/>
      <c r="BY1208" s="1"/>
      <c r="BZ1208" s="1"/>
    </row>
    <row r="1209">
      <c r="A1209" s="3"/>
      <c r="B1209" s="33"/>
      <c r="C1209" s="3"/>
      <c r="D1209" s="3"/>
      <c r="E1209" s="2"/>
      <c r="F1209" s="2"/>
      <c r="G1209" s="14"/>
      <c r="H1209" s="14"/>
      <c r="I1209" s="14"/>
      <c r="J1209" s="14"/>
      <c r="K1209" s="14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8"/>
      <c r="BU1209" s="8"/>
      <c r="BV1209" s="1"/>
      <c r="BW1209" s="1"/>
      <c r="BX1209" s="1"/>
      <c r="BY1209" s="1"/>
      <c r="BZ1209" s="1"/>
    </row>
    <row r="1210">
      <c r="A1210" s="3"/>
      <c r="B1210" s="33"/>
      <c r="C1210" s="3"/>
      <c r="D1210" s="3"/>
      <c r="E1210" s="2"/>
      <c r="F1210" s="2"/>
      <c r="G1210" s="14"/>
      <c r="H1210" s="14"/>
      <c r="I1210" s="14"/>
      <c r="J1210" s="14"/>
      <c r="K1210" s="14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8"/>
      <c r="BU1210" s="8"/>
      <c r="BV1210" s="1"/>
      <c r="BW1210" s="1"/>
      <c r="BX1210" s="1"/>
      <c r="BY1210" s="1"/>
      <c r="BZ1210" s="1"/>
    </row>
    <row r="1211">
      <c r="A1211" s="3"/>
      <c r="B1211" s="33"/>
      <c r="C1211" s="3"/>
      <c r="D1211" s="3"/>
      <c r="E1211" s="2"/>
      <c r="F1211" s="2"/>
      <c r="G1211" s="14"/>
      <c r="H1211" s="14"/>
      <c r="I1211" s="14"/>
      <c r="J1211" s="14"/>
      <c r="K1211" s="14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8"/>
      <c r="BU1211" s="8"/>
      <c r="BV1211" s="1"/>
      <c r="BW1211" s="1"/>
      <c r="BX1211" s="1"/>
      <c r="BY1211" s="1"/>
      <c r="BZ1211" s="1"/>
    </row>
    <row r="1212">
      <c r="A1212" s="3"/>
      <c r="B1212" s="33"/>
      <c r="C1212" s="3"/>
      <c r="D1212" s="3"/>
      <c r="E1212" s="2"/>
      <c r="F1212" s="2"/>
      <c r="G1212" s="14"/>
      <c r="H1212" s="14"/>
      <c r="I1212" s="14"/>
      <c r="J1212" s="14"/>
      <c r="K1212" s="14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8"/>
      <c r="BU1212" s="8"/>
      <c r="BV1212" s="1"/>
      <c r="BW1212" s="1"/>
      <c r="BX1212" s="1"/>
      <c r="BY1212" s="1"/>
      <c r="BZ1212" s="1"/>
    </row>
    <row r="1213">
      <c r="A1213" s="3"/>
      <c r="B1213" s="33"/>
      <c r="C1213" s="3"/>
      <c r="D1213" s="3"/>
      <c r="E1213" s="2"/>
      <c r="F1213" s="2"/>
      <c r="G1213" s="14"/>
      <c r="H1213" s="14"/>
      <c r="I1213" s="14"/>
      <c r="J1213" s="14"/>
      <c r="K1213" s="14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8"/>
      <c r="BU1213" s="8"/>
      <c r="BV1213" s="1"/>
      <c r="BW1213" s="1"/>
      <c r="BX1213" s="1"/>
      <c r="BY1213" s="1"/>
      <c r="BZ1213" s="1"/>
    </row>
    <row r="1214">
      <c r="A1214" s="3"/>
      <c r="B1214" s="33"/>
      <c r="C1214" s="3"/>
      <c r="D1214" s="3"/>
      <c r="E1214" s="2"/>
      <c r="F1214" s="2"/>
      <c r="G1214" s="14"/>
      <c r="H1214" s="14"/>
      <c r="I1214" s="14"/>
      <c r="J1214" s="14"/>
      <c r="K1214" s="14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8"/>
      <c r="BU1214" s="8"/>
      <c r="BV1214" s="1"/>
      <c r="BW1214" s="1"/>
      <c r="BX1214" s="1"/>
      <c r="BY1214" s="1"/>
      <c r="BZ1214" s="1"/>
    </row>
    <row r="1215">
      <c r="A1215" s="3"/>
      <c r="B1215" s="33"/>
      <c r="C1215" s="3"/>
      <c r="D1215" s="3"/>
      <c r="E1215" s="2"/>
      <c r="F1215" s="2"/>
      <c r="G1215" s="14"/>
      <c r="H1215" s="14"/>
      <c r="I1215" s="14"/>
      <c r="J1215" s="14"/>
      <c r="K1215" s="14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8"/>
      <c r="BU1215" s="8"/>
      <c r="BV1215" s="1"/>
      <c r="BW1215" s="1"/>
      <c r="BX1215" s="1"/>
      <c r="BY1215" s="1"/>
      <c r="BZ1215" s="1"/>
    </row>
    <row r="1216">
      <c r="A1216" s="3"/>
      <c r="B1216" s="33"/>
      <c r="C1216" s="3"/>
      <c r="D1216" s="3"/>
      <c r="E1216" s="2"/>
      <c r="F1216" s="2"/>
      <c r="G1216" s="14"/>
      <c r="H1216" s="14"/>
      <c r="I1216" s="14"/>
      <c r="J1216" s="14"/>
      <c r="K1216" s="14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8"/>
      <c r="BU1216" s="8"/>
      <c r="BV1216" s="1"/>
      <c r="BW1216" s="1"/>
      <c r="BX1216" s="1"/>
      <c r="BY1216" s="1"/>
      <c r="BZ1216" s="1"/>
    </row>
    <row r="1217">
      <c r="A1217" s="3"/>
      <c r="B1217" s="33"/>
      <c r="C1217" s="3"/>
      <c r="D1217" s="3"/>
      <c r="E1217" s="2"/>
      <c r="F1217" s="2"/>
      <c r="G1217" s="14"/>
      <c r="H1217" s="14"/>
      <c r="I1217" s="14"/>
      <c r="J1217" s="14"/>
      <c r="K1217" s="14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8"/>
      <c r="BU1217" s="8"/>
      <c r="BV1217" s="1"/>
      <c r="BW1217" s="1"/>
      <c r="BX1217" s="1"/>
      <c r="BY1217" s="1"/>
      <c r="BZ1217" s="1"/>
    </row>
    <row r="1218">
      <c r="A1218" s="3"/>
      <c r="B1218" s="33"/>
      <c r="C1218" s="3"/>
      <c r="D1218" s="3"/>
      <c r="E1218" s="2"/>
      <c r="F1218" s="2"/>
      <c r="G1218" s="14"/>
      <c r="H1218" s="14"/>
      <c r="I1218" s="14"/>
      <c r="J1218" s="14"/>
      <c r="K1218" s="14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8"/>
      <c r="BU1218" s="8"/>
      <c r="BV1218" s="1"/>
      <c r="BW1218" s="1"/>
      <c r="BX1218" s="1"/>
      <c r="BY1218" s="1"/>
      <c r="BZ1218" s="1"/>
    </row>
    <row r="1219">
      <c r="A1219" s="3"/>
      <c r="B1219" s="33"/>
      <c r="C1219" s="3"/>
      <c r="D1219" s="3"/>
      <c r="E1219" s="2"/>
      <c r="F1219" s="2"/>
      <c r="G1219" s="14"/>
      <c r="H1219" s="14"/>
      <c r="I1219" s="14"/>
      <c r="J1219" s="14"/>
      <c r="K1219" s="14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8"/>
      <c r="BU1219" s="8"/>
      <c r="BV1219" s="1"/>
      <c r="BW1219" s="1"/>
      <c r="BX1219" s="1"/>
      <c r="BY1219" s="1"/>
      <c r="BZ1219" s="1"/>
    </row>
    <row r="1220">
      <c r="A1220" s="3"/>
      <c r="B1220" s="33"/>
      <c r="C1220" s="3"/>
      <c r="D1220" s="3"/>
      <c r="E1220" s="2"/>
      <c r="F1220" s="2"/>
      <c r="G1220" s="14"/>
      <c r="H1220" s="14"/>
      <c r="I1220" s="14"/>
      <c r="J1220" s="14"/>
      <c r="K1220" s="14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8"/>
      <c r="BU1220" s="8"/>
      <c r="BV1220" s="1"/>
      <c r="BW1220" s="1"/>
      <c r="BX1220" s="1"/>
      <c r="BY1220" s="1"/>
      <c r="BZ1220" s="1"/>
    </row>
    <row r="1221">
      <c r="A1221" s="3"/>
      <c r="B1221" s="33"/>
      <c r="C1221" s="3"/>
      <c r="D1221" s="3"/>
      <c r="E1221" s="2"/>
      <c r="F1221" s="2"/>
      <c r="G1221" s="14"/>
      <c r="H1221" s="14"/>
      <c r="I1221" s="14"/>
      <c r="J1221" s="14"/>
      <c r="K1221" s="14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8"/>
      <c r="BU1221" s="8"/>
      <c r="BV1221" s="1"/>
      <c r="BW1221" s="1"/>
      <c r="BX1221" s="1"/>
      <c r="BY1221" s="1"/>
      <c r="BZ1221" s="1"/>
    </row>
    <row r="1222">
      <c r="A1222" s="3"/>
      <c r="B1222" s="33"/>
      <c r="C1222" s="3"/>
      <c r="D1222" s="3"/>
      <c r="E1222" s="2"/>
      <c r="F1222" s="2"/>
      <c r="G1222" s="14"/>
      <c r="H1222" s="14"/>
      <c r="I1222" s="14"/>
      <c r="J1222" s="14"/>
      <c r="K1222" s="14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8"/>
      <c r="BU1222" s="8"/>
      <c r="BV1222" s="1"/>
      <c r="BW1222" s="1"/>
      <c r="BX1222" s="1"/>
      <c r="BY1222" s="1"/>
      <c r="BZ1222" s="1"/>
    </row>
    <row r="1223">
      <c r="A1223" s="3"/>
      <c r="B1223" s="33"/>
      <c r="C1223" s="3"/>
      <c r="D1223" s="3"/>
      <c r="E1223" s="2"/>
      <c r="F1223" s="2"/>
      <c r="G1223" s="14"/>
      <c r="H1223" s="14"/>
      <c r="I1223" s="14"/>
      <c r="J1223" s="14"/>
      <c r="K1223" s="14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8"/>
      <c r="BU1223" s="8"/>
      <c r="BV1223" s="1"/>
      <c r="BW1223" s="1"/>
      <c r="BX1223" s="1"/>
      <c r="BY1223" s="1"/>
      <c r="BZ1223" s="1"/>
    </row>
    <row r="1224">
      <c r="A1224" s="3"/>
      <c r="B1224" s="33"/>
      <c r="C1224" s="3"/>
      <c r="D1224" s="3"/>
      <c r="E1224" s="2"/>
      <c r="F1224" s="2"/>
      <c r="G1224" s="14"/>
      <c r="H1224" s="14"/>
      <c r="I1224" s="14"/>
      <c r="J1224" s="14"/>
      <c r="K1224" s="14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8"/>
      <c r="BU1224" s="8"/>
      <c r="BV1224" s="1"/>
      <c r="BW1224" s="1"/>
      <c r="BX1224" s="1"/>
      <c r="BY1224" s="1"/>
      <c r="BZ1224" s="1"/>
    </row>
    <row r="1225">
      <c r="A1225" s="3"/>
      <c r="B1225" s="33"/>
      <c r="C1225" s="3"/>
      <c r="D1225" s="3"/>
      <c r="E1225" s="2"/>
      <c r="F1225" s="2"/>
      <c r="G1225" s="14"/>
      <c r="H1225" s="14"/>
      <c r="I1225" s="14"/>
      <c r="J1225" s="14"/>
      <c r="K1225" s="14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8"/>
      <c r="BU1225" s="8"/>
      <c r="BV1225" s="1"/>
      <c r="BW1225" s="1"/>
      <c r="BX1225" s="1"/>
      <c r="BY1225" s="1"/>
      <c r="BZ1225" s="1"/>
    </row>
    <row r="1226">
      <c r="A1226" s="3"/>
      <c r="B1226" s="33"/>
      <c r="C1226" s="3"/>
      <c r="D1226" s="3"/>
      <c r="E1226" s="2"/>
      <c r="F1226" s="2"/>
      <c r="G1226" s="14"/>
      <c r="H1226" s="14"/>
      <c r="I1226" s="14"/>
      <c r="J1226" s="14"/>
      <c r="K1226" s="14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8"/>
      <c r="BU1226" s="8"/>
      <c r="BV1226" s="1"/>
      <c r="BW1226" s="1"/>
      <c r="BX1226" s="1"/>
      <c r="BY1226" s="1"/>
      <c r="BZ1226" s="1"/>
    </row>
    <row r="1227">
      <c r="A1227" s="3"/>
      <c r="B1227" s="33"/>
      <c r="C1227" s="3"/>
      <c r="D1227" s="3"/>
      <c r="E1227" s="2"/>
      <c r="F1227" s="2"/>
      <c r="G1227" s="14"/>
      <c r="H1227" s="14"/>
      <c r="I1227" s="14"/>
      <c r="J1227" s="14"/>
      <c r="K1227" s="14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8"/>
      <c r="BU1227" s="8"/>
      <c r="BV1227" s="1"/>
      <c r="BW1227" s="1"/>
      <c r="BX1227" s="1"/>
      <c r="BY1227" s="1"/>
      <c r="BZ1227" s="1"/>
    </row>
    <row r="1228">
      <c r="A1228" s="3"/>
      <c r="B1228" s="33"/>
      <c r="C1228" s="3"/>
      <c r="D1228" s="3"/>
      <c r="E1228" s="2"/>
      <c r="F1228" s="2"/>
      <c r="G1228" s="14"/>
      <c r="H1228" s="14"/>
      <c r="I1228" s="14"/>
      <c r="J1228" s="14"/>
      <c r="K1228" s="14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8"/>
      <c r="BU1228" s="8"/>
      <c r="BV1228" s="1"/>
      <c r="BW1228" s="1"/>
      <c r="BX1228" s="1"/>
      <c r="BY1228" s="1"/>
      <c r="BZ1228" s="1"/>
    </row>
    <row r="1229">
      <c r="A1229" s="3"/>
      <c r="B1229" s="33"/>
      <c r="C1229" s="3"/>
      <c r="D1229" s="3"/>
      <c r="E1229" s="2"/>
      <c r="F1229" s="2"/>
      <c r="G1229" s="14"/>
      <c r="H1229" s="14"/>
      <c r="I1229" s="14"/>
      <c r="J1229" s="14"/>
      <c r="K1229" s="14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8"/>
      <c r="BU1229" s="8"/>
      <c r="BV1229" s="1"/>
      <c r="BW1229" s="1"/>
      <c r="BX1229" s="1"/>
      <c r="BY1229" s="1"/>
      <c r="BZ1229" s="1"/>
    </row>
    <row r="1230">
      <c r="A1230" s="3"/>
      <c r="B1230" s="33"/>
      <c r="C1230" s="3"/>
      <c r="D1230" s="3"/>
      <c r="E1230" s="2"/>
      <c r="F1230" s="2"/>
      <c r="G1230" s="14"/>
      <c r="H1230" s="14"/>
      <c r="I1230" s="14"/>
      <c r="J1230" s="14"/>
      <c r="K1230" s="14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8"/>
      <c r="BU1230" s="8"/>
      <c r="BV1230" s="1"/>
      <c r="BW1230" s="1"/>
      <c r="BX1230" s="1"/>
      <c r="BY1230" s="1"/>
      <c r="BZ1230" s="1"/>
    </row>
    <row r="1231">
      <c r="A1231" s="3"/>
      <c r="B1231" s="33"/>
      <c r="C1231" s="3"/>
      <c r="D1231" s="3"/>
      <c r="E1231" s="2"/>
      <c r="F1231" s="2"/>
      <c r="G1231" s="14"/>
      <c r="H1231" s="14"/>
      <c r="I1231" s="14"/>
      <c r="J1231" s="14"/>
      <c r="K1231" s="14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8"/>
      <c r="BU1231" s="8"/>
      <c r="BV1231" s="1"/>
      <c r="BW1231" s="1"/>
      <c r="BX1231" s="1"/>
      <c r="BY1231" s="1"/>
      <c r="BZ1231" s="1"/>
    </row>
    <row r="1232">
      <c r="A1232" s="3"/>
      <c r="B1232" s="33"/>
      <c r="C1232" s="3"/>
      <c r="D1232" s="3"/>
      <c r="E1232" s="2"/>
      <c r="F1232" s="2"/>
      <c r="G1232" s="14"/>
      <c r="H1232" s="14"/>
      <c r="I1232" s="14"/>
      <c r="J1232" s="14"/>
      <c r="K1232" s="14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8"/>
      <c r="BU1232" s="8"/>
      <c r="BV1232" s="1"/>
      <c r="BW1232" s="1"/>
      <c r="BX1232" s="1"/>
      <c r="BY1232" s="1"/>
      <c r="BZ1232" s="1"/>
    </row>
    <row r="1233">
      <c r="A1233" s="3"/>
      <c r="B1233" s="33"/>
      <c r="C1233" s="3"/>
      <c r="D1233" s="3"/>
      <c r="E1233" s="2"/>
      <c r="F1233" s="2"/>
      <c r="G1233" s="14"/>
      <c r="H1233" s="14"/>
      <c r="I1233" s="14"/>
      <c r="J1233" s="14"/>
      <c r="K1233" s="14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8"/>
      <c r="BU1233" s="8"/>
      <c r="BV1233" s="1"/>
      <c r="BW1233" s="1"/>
      <c r="BX1233" s="1"/>
      <c r="BY1233" s="1"/>
      <c r="BZ1233" s="1"/>
    </row>
    <row r="1234">
      <c r="A1234" s="3"/>
      <c r="B1234" s="33"/>
      <c r="C1234" s="3"/>
      <c r="D1234" s="3"/>
      <c r="E1234" s="2"/>
      <c r="F1234" s="2"/>
      <c r="G1234" s="14"/>
      <c r="H1234" s="14"/>
      <c r="I1234" s="14"/>
      <c r="J1234" s="14"/>
      <c r="K1234" s="14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8"/>
      <c r="BU1234" s="8"/>
      <c r="BV1234" s="1"/>
      <c r="BW1234" s="1"/>
      <c r="BX1234" s="1"/>
      <c r="BY1234" s="1"/>
      <c r="BZ1234" s="1"/>
    </row>
    <row r="1235">
      <c r="A1235" s="3"/>
      <c r="B1235" s="33"/>
      <c r="C1235" s="3"/>
      <c r="D1235" s="3"/>
      <c r="E1235" s="2"/>
      <c r="F1235" s="2"/>
      <c r="G1235" s="14"/>
      <c r="H1235" s="14"/>
      <c r="I1235" s="14"/>
      <c r="J1235" s="14"/>
      <c r="K1235" s="14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8"/>
      <c r="BU1235" s="8"/>
      <c r="BV1235" s="1"/>
      <c r="BW1235" s="1"/>
      <c r="BX1235" s="1"/>
      <c r="BY1235" s="1"/>
      <c r="BZ1235" s="1"/>
    </row>
    <row r="1236">
      <c r="A1236" s="3"/>
      <c r="B1236" s="33"/>
      <c r="C1236" s="3"/>
      <c r="D1236" s="3"/>
      <c r="E1236" s="2"/>
      <c r="F1236" s="2"/>
      <c r="G1236" s="14"/>
      <c r="H1236" s="14"/>
      <c r="I1236" s="14"/>
      <c r="J1236" s="14"/>
      <c r="K1236" s="14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8"/>
      <c r="BU1236" s="8"/>
      <c r="BV1236" s="1"/>
      <c r="BW1236" s="1"/>
      <c r="BX1236" s="1"/>
      <c r="BY1236" s="1"/>
      <c r="BZ1236" s="1"/>
    </row>
    <row r="1237">
      <c r="A1237" s="3"/>
      <c r="B1237" s="33"/>
      <c r="C1237" s="3"/>
      <c r="D1237" s="3"/>
      <c r="E1237" s="2"/>
      <c r="F1237" s="2"/>
      <c r="G1237" s="14"/>
      <c r="H1237" s="14"/>
      <c r="I1237" s="14"/>
      <c r="J1237" s="14"/>
      <c r="K1237" s="14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8"/>
      <c r="BU1237" s="8"/>
      <c r="BV1237" s="1"/>
      <c r="BW1237" s="1"/>
      <c r="BX1237" s="1"/>
      <c r="BY1237" s="1"/>
      <c r="BZ1237" s="1"/>
    </row>
    <row r="1238">
      <c r="A1238" s="3"/>
      <c r="B1238" s="33"/>
      <c r="C1238" s="3"/>
      <c r="D1238" s="3"/>
      <c r="E1238" s="2"/>
      <c r="F1238" s="2"/>
      <c r="G1238" s="14"/>
      <c r="H1238" s="14"/>
      <c r="I1238" s="14"/>
      <c r="J1238" s="14"/>
      <c r="K1238" s="14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8"/>
      <c r="BU1238" s="8"/>
      <c r="BV1238" s="1"/>
      <c r="BW1238" s="1"/>
      <c r="BX1238" s="1"/>
      <c r="BY1238" s="1"/>
      <c r="BZ1238" s="1"/>
    </row>
    <row r="1239">
      <c r="A1239" s="3"/>
      <c r="B1239" s="33"/>
      <c r="C1239" s="3"/>
      <c r="D1239" s="3"/>
      <c r="E1239" s="2"/>
      <c r="F1239" s="2"/>
      <c r="G1239" s="14"/>
      <c r="H1239" s="14"/>
      <c r="I1239" s="14"/>
      <c r="J1239" s="14"/>
      <c r="K1239" s="14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8"/>
      <c r="BU1239" s="8"/>
      <c r="BV1239" s="1"/>
      <c r="BW1239" s="1"/>
      <c r="BX1239" s="1"/>
      <c r="BY1239" s="1"/>
      <c r="BZ1239" s="1"/>
    </row>
    <row r="1240">
      <c r="A1240" s="3"/>
      <c r="B1240" s="33"/>
      <c r="C1240" s="3"/>
      <c r="D1240" s="3"/>
      <c r="E1240" s="2"/>
      <c r="F1240" s="2"/>
      <c r="G1240" s="14"/>
      <c r="H1240" s="14"/>
      <c r="I1240" s="14"/>
      <c r="J1240" s="14"/>
      <c r="K1240" s="14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8"/>
      <c r="BU1240" s="8"/>
      <c r="BV1240" s="1"/>
      <c r="BW1240" s="1"/>
      <c r="BX1240" s="1"/>
      <c r="BY1240" s="1"/>
      <c r="BZ1240" s="1"/>
    </row>
    <row r="1241">
      <c r="A1241" s="3"/>
      <c r="B1241" s="33"/>
      <c r="C1241" s="3"/>
      <c r="D1241" s="3"/>
      <c r="E1241" s="2"/>
      <c r="F1241" s="2"/>
      <c r="G1241" s="14"/>
      <c r="H1241" s="14"/>
      <c r="I1241" s="14"/>
      <c r="J1241" s="14"/>
      <c r="K1241" s="14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8"/>
      <c r="BU1241" s="8"/>
      <c r="BV1241" s="1"/>
      <c r="BW1241" s="1"/>
      <c r="BX1241" s="1"/>
      <c r="BY1241" s="1"/>
      <c r="BZ1241" s="1"/>
    </row>
    <row r="1242">
      <c r="A1242" s="3"/>
      <c r="B1242" s="33"/>
      <c r="C1242" s="3"/>
      <c r="D1242" s="3"/>
      <c r="E1242" s="2"/>
      <c r="F1242" s="2"/>
      <c r="G1242" s="14"/>
      <c r="H1242" s="14"/>
      <c r="I1242" s="14"/>
      <c r="J1242" s="14"/>
      <c r="K1242" s="14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8"/>
      <c r="BU1242" s="8"/>
      <c r="BV1242" s="1"/>
      <c r="BW1242" s="1"/>
      <c r="BX1242" s="1"/>
      <c r="BY1242" s="1"/>
      <c r="BZ1242" s="1"/>
    </row>
    <row r="1243">
      <c r="A1243" s="3"/>
      <c r="B1243" s="33"/>
      <c r="C1243" s="3"/>
      <c r="D1243" s="3"/>
      <c r="E1243" s="2"/>
      <c r="F1243" s="2"/>
      <c r="G1243" s="14"/>
      <c r="H1243" s="14"/>
      <c r="I1243" s="14"/>
      <c r="J1243" s="14"/>
      <c r="K1243" s="14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8"/>
      <c r="BU1243" s="8"/>
      <c r="BV1243" s="1"/>
      <c r="BW1243" s="1"/>
      <c r="BX1243" s="1"/>
      <c r="BY1243" s="1"/>
      <c r="BZ1243" s="1"/>
    </row>
    <row r="1244">
      <c r="A1244" s="3"/>
      <c r="B1244" s="33"/>
      <c r="C1244" s="3"/>
      <c r="D1244" s="3"/>
      <c r="E1244" s="2"/>
      <c r="F1244" s="2"/>
      <c r="G1244" s="14"/>
      <c r="H1244" s="14"/>
      <c r="I1244" s="14"/>
      <c r="J1244" s="14"/>
      <c r="K1244" s="14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8"/>
      <c r="BU1244" s="8"/>
      <c r="BV1244" s="1"/>
      <c r="BW1244" s="1"/>
      <c r="BX1244" s="1"/>
      <c r="BY1244" s="1"/>
      <c r="BZ1244" s="1"/>
    </row>
    <row r="1245">
      <c r="A1245" s="3"/>
      <c r="B1245" s="33"/>
      <c r="C1245" s="3"/>
      <c r="D1245" s="3"/>
      <c r="E1245" s="2"/>
      <c r="F1245" s="2"/>
      <c r="G1245" s="14"/>
      <c r="H1245" s="14"/>
      <c r="I1245" s="14"/>
      <c r="J1245" s="14"/>
      <c r="K1245" s="14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8"/>
      <c r="BU1245" s="8"/>
      <c r="BV1245" s="1"/>
      <c r="BW1245" s="1"/>
      <c r="BX1245" s="1"/>
      <c r="BY1245" s="1"/>
      <c r="BZ1245" s="1"/>
    </row>
    <row r="1246">
      <c r="A1246" s="3"/>
      <c r="B1246" s="33"/>
      <c r="C1246" s="3"/>
      <c r="D1246" s="3"/>
      <c r="E1246" s="2"/>
      <c r="F1246" s="2"/>
      <c r="G1246" s="14"/>
      <c r="H1246" s="14"/>
      <c r="I1246" s="14"/>
      <c r="J1246" s="14"/>
      <c r="K1246" s="14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8"/>
      <c r="BU1246" s="8"/>
      <c r="BV1246" s="1"/>
      <c r="BW1246" s="1"/>
      <c r="BX1246" s="1"/>
      <c r="BY1246" s="1"/>
      <c r="BZ1246" s="1"/>
    </row>
    <row r="1247">
      <c r="A1247" s="3"/>
      <c r="B1247" s="33"/>
      <c r="C1247" s="3"/>
      <c r="D1247" s="3"/>
      <c r="E1247" s="2"/>
      <c r="F1247" s="2"/>
      <c r="G1247" s="14"/>
      <c r="H1247" s="14"/>
      <c r="I1247" s="14"/>
      <c r="J1247" s="14"/>
      <c r="K1247" s="14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8"/>
      <c r="BU1247" s="8"/>
      <c r="BV1247" s="1"/>
      <c r="BW1247" s="1"/>
      <c r="BX1247" s="1"/>
      <c r="BY1247" s="1"/>
      <c r="BZ1247" s="1"/>
    </row>
    <row r="1248">
      <c r="A1248" s="3"/>
      <c r="B1248" s="33"/>
      <c r="C1248" s="3"/>
      <c r="D1248" s="3"/>
      <c r="E1248" s="2"/>
      <c r="F1248" s="2"/>
      <c r="G1248" s="14"/>
      <c r="H1248" s="14"/>
      <c r="I1248" s="14"/>
      <c r="J1248" s="14"/>
      <c r="K1248" s="14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8"/>
      <c r="BU1248" s="8"/>
      <c r="BV1248" s="1"/>
      <c r="BW1248" s="1"/>
      <c r="BX1248" s="1"/>
      <c r="BY1248" s="1"/>
      <c r="BZ1248" s="1"/>
    </row>
    <row r="1249">
      <c r="A1249" s="3"/>
      <c r="B1249" s="33"/>
      <c r="C1249" s="3"/>
      <c r="D1249" s="3"/>
      <c r="E1249" s="2"/>
      <c r="F1249" s="2"/>
      <c r="G1249" s="14"/>
      <c r="H1249" s="14"/>
      <c r="I1249" s="14"/>
      <c r="J1249" s="14"/>
      <c r="K1249" s="14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8"/>
      <c r="BU1249" s="8"/>
      <c r="BV1249" s="1"/>
      <c r="BW1249" s="1"/>
      <c r="BX1249" s="1"/>
      <c r="BY1249" s="1"/>
      <c r="BZ1249" s="1"/>
    </row>
    <row r="1250">
      <c r="A1250" s="3"/>
      <c r="B1250" s="33"/>
      <c r="C1250" s="3"/>
      <c r="D1250" s="3"/>
      <c r="E1250" s="2"/>
      <c r="F1250" s="2"/>
      <c r="G1250" s="14"/>
      <c r="H1250" s="14"/>
      <c r="I1250" s="14"/>
      <c r="J1250" s="14"/>
      <c r="K1250" s="14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8"/>
      <c r="BU1250" s="8"/>
      <c r="BV1250" s="1"/>
      <c r="BW1250" s="1"/>
      <c r="BX1250" s="1"/>
      <c r="BY1250" s="1"/>
      <c r="BZ1250" s="1"/>
    </row>
    <row r="1251">
      <c r="A1251" s="3"/>
      <c r="B1251" s="33"/>
      <c r="C1251" s="3"/>
      <c r="D1251" s="3"/>
      <c r="E1251" s="2"/>
      <c r="F1251" s="2"/>
      <c r="G1251" s="14"/>
      <c r="H1251" s="14"/>
      <c r="I1251" s="14"/>
      <c r="J1251" s="14"/>
      <c r="K1251" s="14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8"/>
      <c r="BU1251" s="8"/>
      <c r="BV1251" s="1"/>
      <c r="BW1251" s="1"/>
      <c r="BX1251" s="1"/>
      <c r="BY1251" s="1"/>
      <c r="BZ1251" s="1"/>
    </row>
    <row r="1252">
      <c r="A1252" s="3"/>
      <c r="B1252" s="33"/>
      <c r="C1252" s="3"/>
      <c r="D1252" s="3"/>
      <c r="E1252" s="2"/>
      <c r="F1252" s="2"/>
      <c r="G1252" s="14"/>
      <c r="H1252" s="14"/>
      <c r="I1252" s="14"/>
      <c r="J1252" s="14"/>
      <c r="K1252" s="14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8"/>
      <c r="BU1252" s="8"/>
      <c r="BV1252" s="1"/>
      <c r="BW1252" s="1"/>
      <c r="BX1252" s="1"/>
      <c r="BY1252" s="1"/>
      <c r="BZ1252" s="1"/>
    </row>
    <row r="1253">
      <c r="A1253" s="3"/>
      <c r="B1253" s="33"/>
      <c r="C1253" s="3"/>
      <c r="D1253" s="3"/>
      <c r="E1253" s="2"/>
      <c r="F1253" s="2"/>
      <c r="G1253" s="14"/>
      <c r="H1253" s="14"/>
      <c r="I1253" s="14"/>
      <c r="J1253" s="14"/>
      <c r="K1253" s="14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8"/>
      <c r="BU1253" s="8"/>
      <c r="BV1253" s="1"/>
      <c r="BW1253" s="1"/>
      <c r="BX1253" s="1"/>
      <c r="BY1253" s="1"/>
      <c r="BZ1253" s="1"/>
    </row>
    <row r="1254">
      <c r="A1254" s="3"/>
      <c r="B1254" s="33"/>
      <c r="C1254" s="3"/>
      <c r="D1254" s="3"/>
      <c r="E1254" s="2"/>
      <c r="F1254" s="2"/>
      <c r="G1254" s="14"/>
      <c r="H1254" s="14"/>
      <c r="I1254" s="14"/>
      <c r="J1254" s="14"/>
      <c r="K1254" s="14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8"/>
      <c r="BU1254" s="8"/>
      <c r="BV1254" s="1"/>
      <c r="BW1254" s="1"/>
      <c r="BX1254" s="1"/>
      <c r="BY1254" s="1"/>
      <c r="BZ1254" s="1"/>
    </row>
    <row r="1255">
      <c r="A1255" s="3"/>
      <c r="B1255" s="33"/>
      <c r="C1255" s="3"/>
      <c r="D1255" s="3"/>
      <c r="E1255" s="2"/>
      <c r="F1255" s="2"/>
      <c r="G1255" s="14"/>
      <c r="H1255" s="14"/>
      <c r="I1255" s="14"/>
      <c r="J1255" s="14"/>
      <c r="K1255" s="14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8"/>
      <c r="BU1255" s="8"/>
      <c r="BV1255" s="1"/>
      <c r="BW1255" s="1"/>
      <c r="BX1255" s="1"/>
      <c r="BY1255" s="1"/>
      <c r="BZ1255" s="1"/>
    </row>
    <row r="1256">
      <c r="A1256" s="3"/>
      <c r="B1256" s="33"/>
      <c r="C1256" s="3"/>
      <c r="D1256" s="3"/>
      <c r="E1256" s="2"/>
      <c r="F1256" s="2"/>
      <c r="G1256" s="14"/>
      <c r="H1256" s="14"/>
      <c r="I1256" s="14"/>
      <c r="J1256" s="14"/>
      <c r="K1256" s="14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8"/>
      <c r="BU1256" s="8"/>
      <c r="BV1256" s="1"/>
      <c r="BW1256" s="1"/>
      <c r="BX1256" s="1"/>
      <c r="BY1256" s="1"/>
      <c r="BZ1256" s="1"/>
    </row>
    <row r="1257">
      <c r="A1257" s="3"/>
      <c r="B1257" s="33"/>
      <c r="C1257" s="3"/>
      <c r="D1257" s="3"/>
      <c r="E1257" s="2"/>
      <c r="F1257" s="2"/>
      <c r="G1257" s="14"/>
      <c r="H1257" s="14"/>
      <c r="I1257" s="14"/>
      <c r="J1257" s="14"/>
      <c r="K1257" s="14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8"/>
      <c r="BU1257" s="8"/>
      <c r="BV1257" s="1"/>
      <c r="BW1257" s="1"/>
      <c r="BX1257" s="1"/>
      <c r="BY1257" s="1"/>
      <c r="BZ1257" s="1"/>
    </row>
    <row r="1258">
      <c r="A1258" s="3"/>
      <c r="B1258" s="33"/>
      <c r="C1258" s="3"/>
      <c r="D1258" s="3"/>
      <c r="E1258" s="2"/>
      <c r="F1258" s="2"/>
      <c r="G1258" s="14"/>
      <c r="H1258" s="14"/>
      <c r="I1258" s="14"/>
      <c r="J1258" s="14"/>
      <c r="K1258" s="14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8"/>
      <c r="BU1258" s="8"/>
      <c r="BV1258" s="1"/>
      <c r="BW1258" s="1"/>
      <c r="BX1258" s="1"/>
      <c r="BY1258" s="1"/>
      <c r="BZ1258" s="1"/>
    </row>
    <row r="1259">
      <c r="A1259" s="3"/>
      <c r="B1259" s="33"/>
      <c r="C1259" s="3"/>
      <c r="D1259" s="3"/>
      <c r="E1259" s="2"/>
      <c r="F1259" s="2"/>
      <c r="G1259" s="14"/>
      <c r="H1259" s="14"/>
      <c r="I1259" s="14"/>
      <c r="J1259" s="14"/>
      <c r="K1259" s="14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8"/>
      <c r="BU1259" s="8"/>
      <c r="BV1259" s="1"/>
      <c r="BW1259" s="1"/>
      <c r="BX1259" s="1"/>
      <c r="BY1259" s="1"/>
      <c r="BZ1259" s="1"/>
    </row>
    <row r="1260">
      <c r="A1260" s="3"/>
      <c r="B1260" s="33"/>
      <c r="C1260" s="3"/>
      <c r="D1260" s="3"/>
      <c r="E1260" s="2"/>
      <c r="F1260" s="2"/>
      <c r="G1260" s="14"/>
      <c r="H1260" s="14"/>
      <c r="I1260" s="14"/>
      <c r="J1260" s="14"/>
      <c r="K1260" s="14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8"/>
      <c r="BU1260" s="8"/>
      <c r="BV1260" s="1"/>
      <c r="BW1260" s="1"/>
      <c r="BX1260" s="1"/>
      <c r="BY1260" s="1"/>
      <c r="BZ1260" s="1"/>
    </row>
    <row r="1261">
      <c r="A1261" s="3"/>
      <c r="B1261" s="33"/>
      <c r="C1261" s="3"/>
      <c r="D1261" s="3"/>
      <c r="E1261" s="2"/>
      <c r="F1261" s="2"/>
      <c r="G1261" s="14"/>
      <c r="H1261" s="14"/>
      <c r="I1261" s="14"/>
      <c r="J1261" s="14"/>
      <c r="K1261" s="14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8"/>
      <c r="BU1261" s="8"/>
      <c r="BV1261" s="1"/>
      <c r="BW1261" s="1"/>
      <c r="BX1261" s="1"/>
      <c r="BY1261" s="1"/>
      <c r="BZ1261" s="1"/>
    </row>
    <row r="1262">
      <c r="A1262" s="3"/>
      <c r="B1262" s="33"/>
      <c r="C1262" s="3"/>
      <c r="D1262" s="3"/>
      <c r="E1262" s="2"/>
      <c r="F1262" s="2"/>
      <c r="G1262" s="14"/>
      <c r="H1262" s="14"/>
      <c r="I1262" s="14"/>
      <c r="J1262" s="14"/>
      <c r="K1262" s="14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8"/>
      <c r="BU1262" s="8"/>
      <c r="BV1262" s="1"/>
      <c r="BW1262" s="1"/>
      <c r="BX1262" s="1"/>
      <c r="BY1262" s="1"/>
      <c r="BZ1262" s="1"/>
    </row>
    <row r="1263">
      <c r="A1263" s="3"/>
      <c r="B1263" s="33"/>
      <c r="C1263" s="3"/>
      <c r="D1263" s="3"/>
      <c r="E1263" s="2"/>
      <c r="F1263" s="2"/>
      <c r="G1263" s="14"/>
      <c r="H1263" s="14"/>
      <c r="I1263" s="14"/>
      <c r="J1263" s="14"/>
      <c r="K1263" s="14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8"/>
      <c r="BU1263" s="8"/>
      <c r="BV1263" s="1"/>
      <c r="BW1263" s="1"/>
      <c r="BX1263" s="1"/>
      <c r="BY1263" s="1"/>
      <c r="BZ1263" s="1"/>
    </row>
    <row r="1264">
      <c r="A1264" s="3"/>
      <c r="B1264" s="33"/>
      <c r="C1264" s="3"/>
      <c r="D1264" s="3"/>
      <c r="E1264" s="2"/>
      <c r="F1264" s="2"/>
      <c r="G1264" s="14"/>
      <c r="H1264" s="14"/>
      <c r="I1264" s="14"/>
      <c r="J1264" s="14"/>
      <c r="K1264" s="14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8"/>
      <c r="BU1264" s="8"/>
      <c r="BV1264" s="1"/>
      <c r="BW1264" s="1"/>
      <c r="BX1264" s="1"/>
      <c r="BY1264" s="1"/>
      <c r="BZ1264" s="1"/>
    </row>
    <row r="1265">
      <c r="A1265" s="3"/>
      <c r="B1265" s="33"/>
      <c r="C1265" s="3"/>
      <c r="D1265" s="3"/>
      <c r="E1265" s="2"/>
      <c r="F1265" s="2"/>
      <c r="G1265" s="14"/>
      <c r="H1265" s="14"/>
      <c r="I1265" s="14"/>
      <c r="J1265" s="14"/>
      <c r="K1265" s="14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8"/>
      <c r="BU1265" s="8"/>
      <c r="BV1265" s="1"/>
      <c r="BW1265" s="1"/>
      <c r="BX1265" s="1"/>
      <c r="BY1265" s="1"/>
      <c r="BZ1265" s="1"/>
    </row>
    <row r="1266">
      <c r="A1266" s="3"/>
      <c r="B1266" s="33"/>
      <c r="C1266" s="3"/>
      <c r="D1266" s="3"/>
      <c r="E1266" s="2"/>
      <c r="F1266" s="2"/>
      <c r="G1266" s="14"/>
      <c r="H1266" s="14"/>
      <c r="I1266" s="14"/>
      <c r="J1266" s="14"/>
      <c r="K1266" s="14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8"/>
      <c r="BU1266" s="8"/>
      <c r="BV1266" s="1"/>
      <c r="BW1266" s="1"/>
      <c r="BX1266" s="1"/>
      <c r="BY1266" s="1"/>
      <c r="BZ1266" s="1"/>
    </row>
    <row r="1267">
      <c r="A1267" s="3"/>
      <c r="B1267" s="33"/>
      <c r="C1267" s="3"/>
      <c r="D1267" s="3"/>
      <c r="E1267" s="2"/>
      <c r="F1267" s="2"/>
      <c r="G1267" s="14"/>
      <c r="H1267" s="14"/>
      <c r="I1267" s="14"/>
      <c r="J1267" s="14"/>
      <c r="K1267" s="14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8"/>
      <c r="BU1267" s="8"/>
      <c r="BV1267" s="1"/>
      <c r="BW1267" s="1"/>
      <c r="BX1267" s="1"/>
      <c r="BY1267" s="1"/>
      <c r="BZ1267" s="1"/>
    </row>
    <row r="1268">
      <c r="A1268" s="3"/>
      <c r="B1268" s="33"/>
      <c r="C1268" s="3"/>
      <c r="D1268" s="3"/>
      <c r="E1268" s="2"/>
      <c r="F1268" s="2"/>
      <c r="G1268" s="14"/>
      <c r="H1268" s="14"/>
      <c r="I1268" s="14"/>
      <c r="J1268" s="14"/>
      <c r="K1268" s="14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8"/>
      <c r="BU1268" s="8"/>
      <c r="BV1268" s="1"/>
      <c r="BW1268" s="1"/>
      <c r="BX1268" s="1"/>
      <c r="BY1268" s="1"/>
      <c r="BZ1268" s="1"/>
    </row>
    <row r="1269">
      <c r="A1269" s="3"/>
      <c r="B1269" s="33"/>
      <c r="C1269" s="3"/>
      <c r="D1269" s="3"/>
      <c r="E1269" s="2"/>
      <c r="F1269" s="2"/>
      <c r="G1269" s="14"/>
      <c r="H1269" s="14"/>
      <c r="I1269" s="14"/>
      <c r="J1269" s="14"/>
      <c r="K1269" s="14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8"/>
      <c r="BU1269" s="8"/>
      <c r="BV1269" s="1"/>
      <c r="BW1269" s="1"/>
      <c r="BX1269" s="1"/>
      <c r="BY1269" s="1"/>
      <c r="BZ1269" s="1"/>
    </row>
    <row r="1270">
      <c r="A1270" s="3"/>
      <c r="B1270" s="33"/>
      <c r="C1270" s="3"/>
      <c r="D1270" s="3"/>
      <c r="E1270" s="2"/>
      <c r="F1270" s="2"/>
      <c r="G1270" s="14"/>
      <c r="H1270" s="14"/>
      <c r="I1270" s="14"/>
      <c r="J1270" s="14"/>
      <c r="K1270" s="14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8"/>
      <c r="BU1270" s="8"/>
      <c r="BV1270" s="1"/>
      <c r="BW1270" s="1"/>
      <c r="BX1270" s="1"/>
      <c r="BY1270" s="1"/>
      <c r="BZ1270" s="1"/>
    </row>
    <row r="1271">
      <c r="A1271" s="3"/>
      <c r="B1271" s="33"/>
      <c r="C1271" s="3"/>
      <c r="D1271" s="3"/>
      <c r="E1271" s="2"/>
      <c r="F1271" s="2"/>
      <c r="G1271" s="14"/>
      <c r="H1271" s="14"/>
      <c r="I1271" s="14"/>
      <c r="J1271" s="14"/>
      <c r="K1271" s="14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8"/>
      <c r="BU1271" s="8"/>
      <c r="BV1271" s="1"/>
      <c r="BW1271" s="1"/>
      <c r="BX1271" s="1"/>
      <c r="BY1271" s="1"/>
      <c r="BZ1271" s="1"/>
    </row>
    <row r="1272">
      <c r="A1272" s="3"/>
      <c r="B1272" s="33"/>
      <c r="C1272" s="3"/>
      <c r="D1272" s="3"/>
      <c r="E1272" s="2"/>
      <c r="F1272" s="2"/>
      <c r="G1272" s="14"/>
      <c r="H1272" s="14"/>
      <c r="I1272" s="14"/>
      <c r="J1272" s="14"/>
      <c r="K1272" s="14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8"/>
      <c r="BU1272" s="8"/>
      <c r="BV1272" s="1"/>
      <c r="BW1272" s="1"/>
      <c r="BX1272" s="1"/>
      <c r="BY1272" s="1"/>
      <c r="BZ1272" s="1"/>
    </row>
    <row r="1273">
      <c r="A1273" s="3"/>
      <c r="B1273" s="33"/>
      <c r="C1273" s="3"/>
      <c r="D1273" s="3"/>
      <c r="E1273" s="2"/>
      <c r="F1273" s="2"/>
      <c r="G1273" s="14"/>
      <c r="H1273" s="14"/>
      <c r="I1273" s="14"/>
      <c r="J1273" s="14"/>
      <c r="K1273" s="14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8"/>
      <c r="BU1273" s="8"/>
      <c r="BV1273" s="1"/>
      <c r="BW1273" s="1"/>
      <c r="BX1273" s="1"/>
      <c r="BY1273" s="1"/>
      <c r="BZ1273" s="1"/>
    </row>
    <row r="1274">
      <c r="A1274" s="3"/>
      <c r="B1274" s="33"/>
      <c r="C1274" s="3"/>
      <c r="D1274" s="3"/>
      <c r="E1274" s="2"/>
      <c r="F1274" s="2"/>
      <c r="G1274" s="14"/>
      <c r="H1274" s="14"/>
      <c r="I1274" s="14"/>
      <c r="J1274" s="14"/>
      <c r="K1274" s="14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8"/>
      <c r="BU1274" s="8"/>
      <c r="BV1274" s="1"/>
      <c r="BW1274" s="1"/>
      <c r="BX1274" s="1"/>
      <c r="BY1274" s="1"/>
      <c r="BZ1274" s="1"/>
    </row>
    <row r="1275">
      <c r="A1275" s="3"/>
      <c r="B1275" s="33"/>
      <c r="C1275" s="3"/>
      <c r="D1275" s="3"/>
      <c r="E1275" s="2"/>
      <c r="F1275" s="2"/>
      <c r="G1275" s="14"/>
      <c r="H1275" s="14"/>
      <c r="I1275" s="14"/>
      <c r="J1275" s="14"/>
      <c r="K1275" s="14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8"/>
      <c r="BU1275" s="8"/>
      <c r="BV1275" s="1"/>
      <c r="BW1275" s="1"/>
      <c r="BX1275" s="1"/>
      <c r="BY1275" s="1"/>
      <c r="BZ1275" s="1"/>
    </row>
    <row r="1276">
      <c r="A1276" s="3"/>
      <c r="B1276" s="33"/>
      <c r="C1276" s="3"/>
      <c r="D1276" s="3"/>
      <c r="E1276" s="2"/>
      <c r="F1276" s="2"/>
      <c r="G1276" s="14"/>
      <c r="H1276" s="14"/>
      <c r="I1276" s="14"/>
      <c r="J1276" s="14"/>
      <c r="K1276" s="14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8"/>
      <c r="BU1276" s="8"/>
      <c r="BV1276" s="1"/>
      <c r="BW1276" s="1"/>
      <c r="BX1276" s="1"/>
      <c r="BY1276" s="1"/>
      <c r="BZ1276" s="1"/>
    </row>
    <row r="1277">
      <c r="A1277" s="3"/>
      <c r="B1277" s="33"/>
      <c r="C1277" s="3"/>
      <c r="D1277" s="3"/>
      <c r="E1277" s="2"/>
      <c r="F1277" s="2"/>
      <c r="G1277" s="14"/>
      <c r="H1277" s="14"/>
      <c r="I1277" s="14"/>
      <c r="J1277" s="14"/>
      <c r="K1277" s="14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8"/>
      <c r="BU1277" s="8"/>
      <c r="BV1277" s="1"/>
      <c r="BW1277" s="1"/>
      <c r="BX1277" s="1"/>
      <c r="BY1277" s="1"/>
      <c r="BZ1277" s="1"/>
    </row>
    <row r="1278">
      <c r="A1278" s="3"/>
      <c r="B1278" s="33"/>
      <c r="C1278" s="3"/>
      <c r="D1278" s="3"/>
      <c r="E1278" s="2"/>
      <c r="F1278" s="2"/>
      <c r="G1278" s="14"/>
      <c r="H1278" s="14"/>
      <c r="I1278" s="14"/>
      <c r="J1278" s="14"/>
      <c r="K1278" s="14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8"/>
      <c r="BU1278" s="8"/>
      <c r="BV1278" s="1"/>
      <c r="BW1278" s="1"/>
      <c r="BX1278" s="1"/>
      <c r="BY1278" s="1"/>
      <c r="BZ1278" s="1"/>
    </row>
    <row r="1279">
      <c r="A1279" s="3"/>
      <c r="B1279" s="33"/>
      <c r="C1279" s="3"/>
      <c r="D1279" s="3"/>
      <c r="E1279" s="2"/>
      <c r="F1279" s="2"/>
      <c r="G1279" s="14"/>
      <c r="H1279" s="14"/>
      <c r="I1279" s="14"/>
      <c r="J1279" s="14"/>
      <c r="K1279" s="14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8"/>
      <c r="BU1279" s="8"/>
      <c r="BV1279" s="1"/>
      <c r="BW1279" s="1"/>
      <c r="BX1279" s="1"/>
      <c r="BY1279" s="1"/>
      <c r="BZ1279" s="1"/>
    </row>
    <row r="1280">
      <c r="A1280" s="3"/>
      <c r="B1280" s="33"/>
      <c r="C1280" s="3"/>
      <c r="D1280" s="3"/>
      <c r="E1280" s="2"/>
      <c r="F1280" s="2"/>
      <c r="G1280" s="14"/>
      <c r="H1280" s="14"/>
      <c r="I1280" s="14"/>
      <c r="J1280" s="14"/>
      <c r="K1280" s="14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8"/>
      <c r="BU1280" s="8"/>
      <c r="BV1280" s="1"/>
      <c r="BW1280" s="1"/>
      <c r="BX1280" s="1"/>
      <c r="BY1280" s="1"/>
      <c r="BZ1280" s="1"/>
    </row>
    <row r="1281">
      <c r="A1281" s="3"/>
      <c r="B1281" s="33"/>
      <c r="C1281" s="3"/>
      <c r="D1281" s="3"/>
      <c r="E1281" s="2"/>
      <c r="F1281" s="2"/>
      <c r="G1281" s="14"/>
      <c r="H1281" s="14"/>
      <c r="I1281" s="14"/>
      <c r="J1281" s="14"/>
      <c r="K1281" s="14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8"/>
      <c r="BU1281" s="8"/>
      <c r="BV1281" s="1"/>
      <c r="BW1281" s="1"/>
      <c r="BX1281" s="1"/>
      <c r="BY1281" s="1"/>
      <c r="BZ1281" s="1"/>
    </row>
    <row r="1282">
      <c r="A1282" s="3"/>
      <c r="B1282" s="33"/>
      <c r="C1282" s="3"/>
      <c r="D1282" s="3"/>
      <c r="E1282" s="2"/>
      <c r="F1282" s="2"/>
      <c r="G1282" s="14"/>
      <c r="H1282" s="14"/>
      <c r="I1282" s="14"/>
      <c r="J1282" s="14"/>
      <c r="K1282" s="14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8"/>
      <c r="BU1282" s="8"/>
      <c r="BV1282" s="1"/>
      <c r="BW1282" s="1"/>
      <c r="BX1282" s="1"/>
      <c r="BY1282" s="1"/>
      <c r="BZ1282" s="1"/>
    </row>
    <row r="1283">
      <c r="A1283" s="3"/>
      <c r="B1283" s="33"/>
      <c r="C1283" s="3"/>
      <c r="D1283" s="3"/>
      <c r="E1283" s="2"/>
      <c r="F1283" s="2"/>
      <c r="G1283" s="14"/>
      <c r="H1283" s="14"/>
      <c r="I1283" s="14"/>
      <c r="J1283" s="14"/>
      <c r="K1283" s="14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8"/>
      <c r="BU1283" s="8"/>
      <c r="BV1283" s="1"/>
      <c r="BW1283" s="1"/>
      <c r="BX1283" s="1"/>
      <c r="BY1283" s="1"/>
      <c r="BZ1283" s="1"/>
    </row>
    <row r="1284">
      <c r="A1284" s="3"/>
      <c r="B1284" s="33"/>
      <c r="C1284" s="3"/>
      <c r="D1284" s="3"/>
      <c r="E1284" s="2"/>
      <c r="F1284" s="2"/>
      <c r="G1284" s="14"/>
      <c r="H1284" s="14"/>
      <c r="I1284" s="14"/>
      <c r="J1284" s="14"/>
      <c r="K1284" s="14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8"/>
      <c r="BU1284" s="8"/>
      <c r="BV1284" s="1"/>
      <c r="BW1284" s="1"/>
      <c r="BX1284" s="1"/>
      <c r="BY1284" s="1"/>
      <c r="BZ1284" s="1"/>
    </row>
    <row r="1285">
      <c r="A1285" s="3"/>
      <c r="B1285" s="33"/>
      <c r="C1285" s="3"/>
      <c r="D1285" s="3"/>
      <c r="E1285" s="2"/>
      <c r="F1285" s="2"/>
      <c r="G1285" s="14"/>
      <c r="H1285" s="14"/>
      <c r="I1285" s="14"/>
      <c r="J1285" s="14"/>
      <c r="K1285" s="14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8"/>
      <c r="BU1285" s="8"/>
      <c r="BV1285" s="1"/>
      <c r="BW1285" s="1"/>
      <c r="BX1285" s="1"/>
      <c r="BY1285" s="1"/>
      <c r="BZ1285" s="1"/>
    </row>
    <row r="1286">
      <c r="A1286" s="3"/>
      <c r="B1286" s="33"/>
      <c r="C1286" s="3"/>
      <c r="D1286" s="3"/>
      <c r="E1286" s="2"/>
      <c r="F1286" s="2"/>
      <c r="G1286" s="14"/>
      <c r="H1286" s="14"/>
      <c r="I1286" s="14"/>
      <c r="J1286" s="14"/>
      <c r="K1286" s="14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8"/>
      <c r="BU1286" s="8"/>
      <c r="BV1286" s="1"/>
      <c r="BW1286" s="1"/>
      <c r="BX1286" s="1"/>
      <c r="BY1286" s="1"/>
      <c r="BZ1286" s="1"/>
    </row>
    <row r="1287">
      <c r="A1287" s="3"/>
      <c r="B1287" s="33"/>
      <c r="C1287" s="3"/>
      <c r="D1287" s="3"/>
      <c r="E1287" s="2"/>
      <c r="F1287" s="2"/>
      <c r="G1287" s="14"/>
      <c r="H1287" s="14"/>
      <c r="I1287" s="14"/>
      <c r="J1287" s="14"/>
      <c r="K1287" s="14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8"/>
      <c r="BU1287" s="8"/>
      <c r="BV1287" s="1"/>
      <c r="BW1287" s="1"/>
      <c r="BX1287" s="1"/>
      <c r="BY1287" s="1"/>
      <c r="BZ1287" s="1"/>
    </row>
    <row r="1288">
      <c r="A1288" s="3"/>
      <c r="B1288" s="33"/>
      <c r="C1288" s="3"/>
      <c r="D1288" s="3"/>
      <c r="E1288" s="2"/>
      <c r="F1288" s="2"/>
      <c r="G1288" s="14"/>
      <c r="H1288" s="14"/>
      <c r="I1288" s="14"/>
      <c r="J1288" s="14"/>
      <c r="K1288" s="14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8"/>
      <c r="BU1288" s="8"/>
      <c r="BV1288" s="1"/>
      <c r="BW1288" s="1"/>
      <c r="BX1288" s="1"/>
      <c r="BY1288" s="1"/>
      <c r="BZ1288" s="1"/>
    </row>
    <row r="1289">
      <c r="A1289" s="3"/>
      <c r="B1289" s="33"/>
      <c r="C1289" s="3"/>
      <c r="D1289" s="3"/>
      <c r="E1289" s="2"/>
      <c r="F1289" s="2"/>
      <c r="G1289" s="14"/>
      <c r="H1289" s="14"/>
      <c r="I1289" s="14"/>
      <c r="J1289" s="14"/>
      <c r="K1289" s="14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8"/>
      <c r="BU1289" s="8"/>
      <c r="BV1289" s="1"/>
      <c r="BW1289" s="1"/>
      <c r="BX1289" s="1"/>
      <c r="BY1289" s="1"/>
      <c r="BZ1289" s="1"/>
    </row>
    <row r="1290">
      <c r="A1290" s="3"/>
      <c r="B1290" s="33"/>
      <c r="C1290" s="3"/>
      <c r="D1290" s="3"/>
      <c r="E1290" s="2"/>
      <c r="F1290" s="2"/>
      <c r="G1290" s="14"/>
      <c r="H1290" s="14"/>
      <c r="I1290" s="14"/>
      <c r="J1290" s="14"/>
      <c r="K1290" s="14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8"/>
      <c r="BU1290" s="8"/>
      <c r="BV1290" s="1"/>
      <c r="BW1290" s="1"/>
      <c r="BX1290" s="1"/>
      <c r="BY1290" s="1"/>
      <c r="BZ1290" s="1"/>
    </row>
    <row r="1291">
      <c r="A1291" s="3"/>
      <c r="B1291" s="33"/>
      <c r="C1291" s="3"/>
      <c r="D1291" s="3"/>
      <c r="E1291" s="2"/>
      <c r="F1291" s="2"/>
      <c r="G1291" s="14"/>
      <c r="H1291" s="14"/>
      <c r="I1291" s="14"/>
      <c r="J1291" s="14"/>
      <c r="K1291" s="14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8"/>
      <c r="BU1291" s="8"/>
      <c r="BV1291" s="1"/>
      <c r="BW1291" s="1"/>
      <c r="BX1291" s="1"/>
      <c r="BY1291" s="1"/>
      <c r="BZ1291" s="1"/>
    </row>
    <row r="1292">
      <c r="A1292" s="3"/>
      <c r="B1292" s="33"/>
      <c r="C1292" s="3"/>
      <c r="D1292" s="3"/>
      <c r="E1292" s="2"/>
      <c r="F1292" s="2"/>
      <c r="G1292" s="14"/>
      <c r="H1292" s="14"/>
      <c r="I1292" s="14"/>
      <c r="J1292" s="14"/>
      <c r="K1292" s="14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8"/>
      <c r="BU1292" s="8"/>
      <c r="BV1292" s="1"/>
      <c r="BW1292" s="1"/>
      <c r="BX1292" s="1"/>
      <c r="BY1292" s="1"/>
      <c r="BZ1292" s="1"/>
    </row>
    <row r="1293">
      <c r="A1293" s="3"/>
      <c r="B1293" s="33"/>
      <c r="C1293" s="3"/>
      <c r="D1293" s="3"/>
      <c r="E1293" s="2"/>
      <c r="F1293" s="2"/>
      <c r="G1293" s="14"/>
      <c r="H1293" s="14"/>
      <c r="I1293" s="14"/>
      <c r="J1293" s="14"/>
      <c r="K1293" s="14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8"/>
      <c r="BU1293" s="8"/>
      <c r="BV1293" s="1"/>
      <c r="BW1293" s="1"/>
      <c r="BX1293" s="1"/>
      <c r="BY1293" s="1"/>
      <c r="BZ1293" s="1"/>
    </row>
    <row r="1294">
      <c r="A1294" s="3"/>
      <c r="B1294" s="33"/>
      <c r="C1294" s="3"/>
      <c r="D1294" s="3"/>
      <c r="E1294" s="2"/>
      <c r="F1294" s="2"/>
      <c r="G1294" s="14"/>
      <c r="H1294" s="14"/>
      <c r="I1294" s="14"/>
      <c r="J1294" s="14"/>
      <c r="K1294" s="14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8"/>
      <c r="BU1294" s="8"/>
      <c r="BV1294" s="1"/>
      <c r="BW1294" s="1"/>
      <c r="BX1294" s="1"/>
      <c r="BY1294" s="1"/>
      <c r="BZ1294" s="1"/>
    </row>
    <row r="1295">
      <c r="A1295" s="3"/>
      <c r="B1295" s="33"/>
      <c r="C1295" s="3"/>
      <c r="D1295" s="3"/>
      <c r="E1295" s="2"/>
      <c r="F1295" s="2"/>
      <c r="G1295" s="14"/>
      <c r="H1295" s="14"/>
      <c r="I1295" s="14"/>
      <c r="J1295" s="14"/>
      <c r="K1295" s="14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8"/>
      <c r="BU1295" s="8"/>
      <c r="BV1295" s="1"/>
      <c r="BW1295" s="1"/>
      <c r="BX1295" s="1"/>
      <c r="BY1295" s="1"/>
      <c r="BZ1295" s="1"/>
    </row>
    <row r="1296">
      <c r="A1296" s="3"/>
      <c r="B1296" s="33"/>
      <c r="C1296" s="3"/>
      <c r="D1296" s="3"/>
      <c r="E1296" s="2"/>
      <c r="F1296" s="2"/>
      <c r="G1296" s="14"/>
      <c r="H1296" s="14"/>
      <c r="I1296" s="14"/>
      <c r="J1296" s="14"/>
      <c r="K1296" s="14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8"/>
      <c r="BU1296" s="8"/>
      <c r="BV1296" s="1"/>
      <c r="BW1296" s="1"/>
      <c r="BX1296" s="1"/>
      <c r="BY1296" s="1"/>
      <c r="BZ1296" s="1"/>
    </row>
    <row r="1297">
      <c r="A1297" s="3"/>
      <c r="B1297" s="33"/>
      <c r="C1297" s="3"/>
      <c r="D1297" s="3"/>
      <c r="E1297" s="2"/>
      <c r="F1297" s="2"/>
      <c r="G1297" s="14"/>
      <c r="H1297" s="14"/>
      <c r="I1297" s="14"/>
      <c r="J1297" s="14"/>
      <c r="K1297" s="14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8"/>
      <c r="BU1297" s="8"/>
      <c r="BV1297" s="1"/>
      <c r="BW1297" s="1"/>
      <c r="BX1297" s="1"/>
      <c r="BY1297" s="1"/>
      <c r="BZ1297" s="1"/>
    </row>
    <row r="1298">
      <c r="A1298" s="3"/>
      <c r="B1298" s="33"/>
      <c r="C1298" s="3"/>
      <c r="D1298" s="3"/>
      <c r="E1298" s="2"/>
      <c r="F1298" s="2"/>
      <c r="G1298" s="14"/>
      <c r="H1298" s="14"/>
      <c r="I1298" s="14"/>
      <c r="J1298" s="14"/>
      <c r="K1298" s="14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8"/>
      <c r="BU1298" s="8"/>
      <c r="BV1298" s="1"/>
      <c r="BW1298" s="1"/>
      <c r="BX1298" s="1"/>
      <c r="BY1298" s="1"/>
      <c r="BZ1298" s="1"/>
    </row>
    <row r="1299">
      <c r="A1299" s="3"/>
      <c r="B1299" s="33"/>
      <c r="C1299" s="3"/>
      <c r="D1299" s="3"/>
      <c r="E1299" s="2"/>
      <c r="F1299" s="2"/>
      <c r="G1299" s="14"/>
      <c r="H1299" s="14"/>
      <c r="I1299" s="14"/>
      <c r="J1299" s="14"/>
      <c r="K1299" s="14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8"/>
      <c r="BU1299" s="8"/>
      <c r="BV1299" s="1"/>
      <c r="BW1299" s="1"/>
      <c r="BX1299" s="1"/>
      <c r="BY1299" s="1"/>
      <c r="BZ1299" s="1"/>
    </row>
    <row r="1300">
      <c r="A1300" s="3"/>
      <c r="B1300" s="33"/>
      <c r="C1300" s="3"/>
      <c r="D1300" s="3"/>
      <c r="E1300" s="2"/>
      <c r="F1300" s="2"/>
      <c r="G1300" s="14"/>
      <c r="H1300" s="14"/>
      <c r="I1300" s="14"/>
      <c r="J1300" s="14"/>
      <c r="K1300" s="14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8"/>
      <c r="BU1300" s="8"/>
      <c r="BV1300" s="1"/>
      <c r="BW1300" s="1"/>
      <c r="BX1300" s="1"/>
      <c r="BY1300" s="1"/>
      <c r="BZ1300" s="1"/>
    </row>
    <row r="1301">
      <c r="A1301" s="3"/>
      <c r="B1301" s="33"/>
      <c r="C1301" s="3"/>
      <c r="D1301" s="3"/>
      <c r="E1301" s="2"/>
      <c r="F1301" s="2"/>
      <c r="G1301" s="14"/>
      <c r="H1301" s="14"/>
      <c r="I1301" s="14"/>
      <c r="J1301" s="14"/>
      <c r="K1301" s="14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8"/>
      <c r="BU1301" s="8"/>
      <c r="BV1301" s="1"/>
      <c r="BW1301" s="1"/>
      <c r="BX1301" s="1"/>
      <c r="BY1301" s="1"/>
      <c r="BZ1301" s="1"/>
    </row>
    <row r="1302">
      <c r="A1302" s="3"/>
      <c r="B1302" s="33"/>
      <c r="C1302" s="3"/>
      <c r="D1302" s="3"/>
      <c r="E1302" s="2"/>
      <c r="F1302" s="2"/>
      <c r="G1302" s="14"/>
      <c r="H1302" s="14"/>
      <c r="I1302" s="14"/>
      <c r="J1302" s="14"/>
      <c r="K1302" s="14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8"/>
      <c r="BU1302" s="8"/>
      <c r="BV1302" s="1"/>
      <c r="BW1302" s="1"/>
      <c r="BX1302" s="1"/>
      <c r="BY1302" s="1"/>
      <c r="BZ1302" s="1"/>
    </row>
    <row r="1303">
      <c r="A1303" s="3"/>
      <c r="B1303" s="33"/>
      <c r="C1303" s="3"/>
      <c r="D1303" s="3"/>
      <c r="E1303" s="2"/>
      <c r="F1303" s="2"/>
      <c r="G1303" s="14"/>
      <c r="H1303" s="14"/>
      <c r="I1303" s="14"/>
      <c r="J1303" s="14"/>
      <c r="K1303" s="14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8"/>
      <c r="BU1303" s="8"/>
      <c r="BV1303" s="1"/>
      <c r="BW1303" s="1"/>
      <c r="BX1303" s="1"/>
      <c r="BY1303" s="1"/>
      <c r="BZ1303" s="1"/>
    </row>
    <row r="1304">
      <c r="A1304" s="3"/>
      <c r="B1304" s="33"/>
      <c r="C1304" s="3"/>
      <c r="D1304" s="3"/>
      <c r="E1304" s="2"/>
      <c r="F1304" s="2"/>
      <c r="G1304" s="14"/>
      <c r="H1304" s="14"/>
      <c r="I1304" s="14"/>
      <c r="J1304" s="14"/>
      <c r="K1304" s="14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8"/>
      <c r="BU1304" s="8"/>
      <c r="BV1304" s="1"/>
      <c r="BW1304" s="1"/>
      <c r="BX1304" s="1"/>
      <c r="BY1304" s="1"/>
      <c r="BZ1304" s="1"/>
    </row>
    <row r="1305">
      <c r="A1305" s="3"/>
      <c r="B1305" s="33"/>
      <c r="C1305" s="3"/>
      <c r="D1305" s="3"/>
      <c r="E1305" s="2"/>
      <c r="F1305" s="2"/>
      <c r="G1305" s="14"/>
      <c r="H1305" s="14"/>
      <c r="I1305" s="14"/>
      <c r="J1305" s="14"/>
      <c r="K1305" s="14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8"/>
      <c r="BU1305" s="8"/>
      <c r="BV1305" s="1"/>
      <c r="BW1305" s="1"/>
      <c r="BX1305" s="1"/>
      <c r="BY1305" s="1"/>
      <c r="BZ1305" s="1"/>
    </row>
    <row r="1306">
      <c r="A1306" s="3"/>
      <c r="B1306" s="33"/>
      <c r="C1306" s="3"/>
      <c r="D1306" s="3"/>
      <c r="E1306" s="2"/>
      <c r="F1306" s="2"/>
      <c r="G1306" s="14"/>
      <c r="H1306" s="14"/>
      <c r="I1306" s="14"/>
      <c r="J1306" s="14"/>
      <c r="K1306" s="14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8"/>
      <c r="BU1306" s="8"/>
      <c r="BV1306" s="1"/>
      <c r="BW1306" s="1"/>
      <c r="BX1306" s="1"/>
      <c r="BY1306" s="1"/>
      <c r="BZ1306" s="1"/>
    </row>
    <row r="1307">
      <c r="A1307" s="3"/>
      <c r="B1307" s="33"/>
      <c r="C1307" s="3"/>
      <c r="D1307" s="3"/>
      <c r="E1307" s="2"/>
      <c r="F1307" s="2"/>
      <c r="G1307" s="14"/>
      <c r="H1307" s="14"/>
      <c r="I1307" s="14"/>
      <c r="J1307" s="14"/>
      <c r="K1307" s="14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8"/>
      <c r="BU1307" s="8"/>
      <c r="BV1307" s="1"/>
      <c r="BW1307" s="1"/>
      <c r="BX1307" s="1"/>
      <c r="BY1307" s="1"/>
      <c r="BZ1307" s="1"/>
    </row>
    <row r="1308">
      <c r="A1308" s="3"/>
      <c r="B1308" s="33"/>
      <c r="C1308" s="3"/>
      <c r="D1308" s="3"/>
      <c r="E1308" s="2"/>
      <c r="F1308" s="2"/>
      <c r="G1308" s="14"/>
      <c r="H1308" s="14"/>
      <c r="I1308" s="14"/>
      <c r="J1308" s="14"/>
      <c r="K1308" s="14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8"/>
      <c r="BU1308" s="8"/>
      <c r="BV1308" s="1"/>
      <c r="BW1308" s="1"/>
      <c r="BX1308" s="1"/>
      <c r="BY1308" s="1"/>
      <c r="BZ1308" s="1"/>
    </row>
    <row r="1309">
      <c r="A1309" s="3"/>
      <c r="B1309" s="33"/>
      <c r="C1309" s="3"/>
      <c r="D1309" s="3"/>
      <c r="E1309" s="2"/>
      <c r="F1309" s="2"/>
      <c r="G1309" s="14"/>
      <c r="H1309" s="14"/>
      <c r="I1309" s="14"/>
      <c r="J1309" s="14"/>
      <c r="K1309" s="14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8"/>
      <c r="BU1309" s="8"/>
      <c r="BV1309" s="1"/>
      <c r="BW1309" s="1"/>
      <c r="BX1309" s="1"/>
      <c r="BY1309" s="1"/>
      <c r="BZ1309" s="1"/>
    </row>
    <row r="1310">
      <c r="A1310" s="3"/>
      <c r="B1310" s="33"/>
      <c r="C1310" s="3"/>
      <c r="D1310" s="3"/>
      <c r="E1310" s="2"/>
      <c r="F1310" s="2"/>
      <c r="G1310" s="14"/>
      <c r="H1310" s="14"/>
      <c r="I1310" s="14"/>
      <c r="J1310" s="14"/>
      <c r="K1310" s="14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8"/>
      <c r="BU1310" s="8"/>
      <c r="BV1310" s="1"/>
      <c r="BW1310" s="1"/>
      <c r="BX1310" s="1"/>
      <c r="BY1310" s="1"/>
      <c r="BZ1310" s="1"/>
    </row>
    <row r="1311">
      <c r="A1311" s="3"/>
      <c r="B1311" s="33"/>
      <c r="C1311" s="3"/>
      <c r="D1311" s="3"/>
      <c r="E1311" s="2"/>
      <c r="F1311" s="2"/>
      <c r="G1311" s="14"/>
      <c r="H1311" s="14"/>
      <c r="I1311" s="14"/>
      <c r="J1311" s="14"/>
      <c r="K1311" s="14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8"/>
      <c r="BU1311" s="8"/>
      <c r="BV1311" s="1"/>
      <c r="BW1311" s="1"/>
      <c r="BX1311" s="1"/>
      <c r="BY1311" s="1"/>
      <c r="BZ1311" s="1"/>
    </row>
    <row r="1312">
      <c r="A1312" s="3"/>
      <c r="B1312" s="33"/>
      <c r="C1312" s="3"/>
      <c r="D1312" s="3"/>
      <c r="E1312" s="2"/>
      <c r="F1312" s="2"/>
      <c r="G1312" s="14"/>
      <c r="H1312" s="14"/>
      <c r="I1312" s="14"/>
      <c r="J1312" s="14"/>
      <c r="K1312" s="14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8"/>
      <c r="BU1312" s="8"/>
      <c r="BV1312" s="1"/>
      <c r="BW1312" s="1"/>
      <c r="BX1312" s="1"/>
      <c r="BY1312" s="1"/>
      <c r="BZ1312" s="1"/>
    </row>
    <row r="1313">
      <c r="A1313" s="3"/>
      <c r="B1313" s="33"/>
      <c r="C1313" s="3"/>
      <c r="D1313" s="3"/>
      <c r="E1313" s="2"/>
      <c r="F1313" s="2"/>
      <c r="G1313" s="14"/>
      <c r="H1313" s="14"/>
      <c r="I1313" s="14"/>
      <c r="J1313" s="14"/>
      <c r="K1313" s="14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8"/>
      <c r="BU1313" s="8"/>
      <c r="BV1313" s="1"/>
      <c r="BW1313" s="1"/>
      <c r="BX1313" s="1"/>
      <c r="BY1313" s="1"/>
      <c r="BZ1313" s="1"/>
    </row>
    <row r="1314">
      <c r="A1314" s="3"/>
      <c r="B1314" s="33"/>
      <c r="C1314" s="3"/>
      <c r="D1314" s="3"/>
      <c r="E1314" s="2"/>
      <c r="F1314" s="2"/>
      <c r="G1314" s="14"/>
      <c r="H1314" s="14"/>
      <c r="I1314" s="14"/>
      <c r="J1314" s="14"/>
      <c r="K1314" s="14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8"/>
      <c r="BU1314" s="8"/>
      <c r="BV1314" s="1"/>
      <c r="BW1314" s="1"/>
      <c r="BX1314" s="1"/>
      <c r="BY1314" s="1"/>
      <c r="BZ1314" s="1"/>
    </row>
    <row r="1315">
      <c r="A1315" s="3"/>
      <c r="B1315" s="33"/>
      <c r="C1315" s="3"/>
      <c r="D1315" s="3"/>
      <c r="E1315" s="2"/>
      <c r="F1315" s="2"/>
      <c r="G1315" s="14"/>
      <c r="H1315" s="14"/>
      <c r="I1315" s="14"/>
      <c r="J1315" s="14"/>
      <c r="K1315" s="14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8"/>
      <c r="BU1315" s="8"/>
      <c r="BV1315" s="1"/>
      <c r="BW1315" s="1"/>
      <c r="BX1315" s="1"/>
      <c r="BY1315" s="1"/>
      <c r="BZ1315" s="1"/>
    </row>
    <row r="1316">
      <c r="A1316" s="3"/>
      <c r="B1316" s="33"/>
      <c r="C1316" s="3"/>
      <c r="D1316" s="3"/>
      <c r="E1316" s="2"/>
      <c r="F1316" s="2"/>
      <c r="G1316" s="14"/>
      <c r="H1316" s="14"/>
      <c r="I1316" s="14"/>
      <c r="J1316" s="14"/>
      <c r="K1316" s="14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8"/>
      <c r="BU1316" s="8"/>
      <c r="BV1316" s="1"/>
      <c r="BW1316" s="1"/>
      <c r="BX1316" s="1"/>
      <c r="BY1316" s="1"/>
      <c r="BZ1316" s="1"/>
    </row>
    <row r="1317">
      <c r="A1317" s="3"/>
      <c r="B1317" s="33"/>
      <c r="C1317" s="3"/>
      <c r="D1317" s="3"/>
      <c r="E1317" s="2"/>
      <c r="F1317" s="2"/>
      <c r="G1317" s="14"/>
      <c r="H1317" s="14"/>
      <c r="I1317" s="14"/>
      <c r="J1317" s="14"/>
      <c r="K1317" s="14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8"/>
      <c r="BU1317" s="8"/>
      <c r="BV1317" s="1"/>
      <c r="BW1317" s="1"/>
      <c r="BX1317" s="1"/>
      <c r="BY1317" s="1"/>
      <c r="BZ1317" s="1"/>
    </row>
    <row r="1318">
      <c r="A1318" s="3"/>
      <c r="B1318" s="33"/>
      <c r="C1318" s="3"/>
      <c r="D1318" s="3"/>
      <c r="E1318" s="2"/>
      <c r="F1318" s="2"/>
      <c r="G1318" s="14"/>
      <c r="H1318" s="14"/>
      <c r="I1318" s="14"/>
      <c r="J1318" s="14"/>
      <c r="K1318" s="14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8"/>
      <c r="BU1318" s="8"/>
      <c r="BV1318" s="1"/>
      <c r="BW1318" s="1"/>
      <c r="BX1318" s="1"/>
      <c r="BY1318" s="1"/>
      <c r="BZ1318" s="1"/>
    </row>
    <row r="1319">
      <c r="A1319" s="3"/>
      <c r="B1319" s="33"/>
      <c r="C1319" s="3"/>
      <c r="D1319" s="3"/>
      <c r="E1319" s="2"/>
      <c r="F1319" s="2"/>
      <c r="G1319" s="14"/>
      <c r="H1319" s="14"/>
      <c r="I1319" s="14"/>
      <c r="J1319" s="14"/>
      <c r="K1319" s="14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8"/>
      <c r="BU1319" s="8"/>
      <c r="BV1319" s="1"/>
      <c r="BW1319" s="1"/>
      <c r="BX1319" s="1"/>
      <c r="BY1319" s="1"/>
      <c r="BZ1319" s="1"/>
    </row>
    <row r="1320">
      <c r="A1320" s="3"/>
      <c r="B1320" s="33"/>
      <c r="C1320" s="3"/>
      <c r="D1320" s="3"/>
      <c r="E1320" s="2"/>
      <c r="F1320" s="2"/>
      <c r="G1320" s="14"/>
      <c r="H1320" s="14"/>
      <c r="I1320" s="14"/>
      <c r="J1320" s="14"/>
      <c r="K1320" s="14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8"/>
      <c r="BU1320" s="8"/>
      <c r="BV1320" s="1"/>
      <c r="BW1320" s="1"/>
      <c r="BX1320" s="1"/>
      <c r="BY1320" s="1"/>
      <c r="BZ1320" s="1"/>
    </row>
    <row r="1321">
      <c r="A1321" s="3"/>
      <c r="B1321" s="33"/>
      <c r="C1321" s="3"/>
      <c r="D1321" s="3"/>
      <c r="E1321" s="2"/>
      <c r="F1321" s="2"/>
      <c r="G1321" s="14"/>
      <c r="H1321" s="14"/>
      <c r="I1321" s="14"/>
      <c r="J1321" s="14"/>
      <c r="K1321" s="14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8"/>
      <c r="BU1321" s="8"/>
      <c r="BV1321" s="1"/>
      <c r="BW1321" s="1"/>
      <c r="BX1321" s="1"/>
      <c r="BY1321" s="1"/>
      <c r="BZ1321" s="1"/>
    </row>
    <row r="1322">
      <c r="A1322" s="3"/>
      <c r="B1322" s="33"/>
      <c r="C1322" s="3"/>
      <c r="D1322" s="3"/>
      <c r="E1322" s="2"/>
      <c r="F1322" s="2"/>
      <c r="G1322" s="14"/>
      <c r="H1322" s="14"/>
      <c r="I1322" s="14"/>
      <c r="J1322" s="14"/>
      <c r="K1322" s="14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8"/>
      <c r="BU1322" s="8"/>
      <c r="BV1322" s="1"/>
      <c r="BW1322" s="1"/>
      <c r="BX1322" s="1"/>
      <c r="BY1322" s="1"/>
      <c r="BZ1322" s="1"/>
    </row>
    <row r="1323">
      <c r="A1323" s="3"/>
      <c r="B1323" s="33"/>
      <c r="C1323" s="3"/>
      <c r="D1323" s="3"/>
      <c r="E1323" s="2"/>
      <c r="F1323" s="2"/>
      <c r="G1323" s="14"/>
      <c r="H1323" s="14"/>
      <c r="I1323" s="14"/>
      <c r="J1323" s="14"/>
      <c r="K1323" s="14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8"/>
      <c r="BU1323" s="8"/>
      <c r="BV1323" s="1"/>
      <c r="BW1323" s="1"/>
      <c r="BX1323" s="1"/>
      <c r="BY1323" s="1"/>
      <c r="BZ1323" s="1"/>
    </row>
    <row r="1324">
      <c r="A1324" s="3"/>
      <c r="B1324" s="33"/>
      <c r="C1324" s="3"/>
      <c r="D1324" s="3"/>
      <c r="E1324" s="2"/>
      <c r="F1324" s="2"/>
      <c r="G1324" s="14"/>
      <c r="H1324" s="14"/>
      <c r="I1324" s="14"/>
      <c r="J1324" s="14"/>
      <c r="K1324" s="14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8"/>
      <c r="BU1324" s="8"/>
      <c r="BV1324" s="1"/>
      <c r="BW1324" s="1"/>
      <c r="BX1324" s="1"/>
      <c r="BY1324" s="1"/>
      <c r="BZ1324" s="1"/>
    </row>
    <row r="1325">
      <c r="A1325" s="3"/>
      <c r="B1325" s="33"/>
      <c r="C1325" s="3"/>
      <c r="D1325" s="3"/>
      <c r="E1325" s="2"/>
      <c r="F1325" s="2"/>
      <c r="G1325" s="14"/>
      <c r="H1325" s="14"/>
      <c r="I1325" s="14"/>
      <c r="J1325" s="14"/>
      <c r="K1325" s="14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8"/>
      <c r="BU1325" s="8"/>
      <c r="BV1325" s="1"/>
      <c r="BW1325" s="1"/>
      <c r="BX1325" s="1"/>
      <c r="BY1325" s="1"/>
      <c r="BZ1325" s="1"/>
    </row>
    <row r="1326">
      <c r="A1326" s="3"/>
      <c r="B1326" s="33"/>
      <c r="C1326" s="3"/>
      <c r="D1326" s="3"/>
      <c r="E1326" s="2"/>
      <c r="F1326" s="2"/>
      <c r="G1326" s="14"/>
      <c r="H1326" s="14"/>
      <c r="I1326" s="14"/>
      <c r="J1326" s="14"/>
      <c r="K1326" s="14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8"/>
      <c r="BU1326" s="8"/>
      <c r="BV1326" s="1"/>
      <c r="BW1326" s="1"/>
      <c r="BX1326" s="1"/>
      <c r="BY1326" s="1"/>
      <c r="BZ1326" s="1"/>
    </row>
    <row r="1327">
      <c r="A1327" s="3"/>
      <c r="B1327" s="33"/>
      <c r="C1327" s="3"/>
      <c r="D1327" s="3"/>
      <c r="E1327" s="2"/>
      <c r="F1327" s="2"/>
      <c r="G1327" s="14"/>
      <c r="H1327" s="14"/>
      <c r="I1327" s="14"/>
      <c r="J1327" s="14"/>
      <c r="K1327" s="14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8"/>
      <c r="BU1327" s="8"/>
      <c r="BV1327" s="1"/>
      <c r="BW1327" s="1"/>
      <c r="BX1327" s="1"/>
      <c r="BY1327" s="1"/>
      <c r="BZ1327" s="1"/>
    </row>
    <row r="1328">
      <c r="A1328" s="3"/>
      <c r="B1328" s="33"/>
      <c r="C1328" s="3"/>
      <c r="D1328" s="3"/>
      <c r="E1328" s="2"/>
      <c r="F1328" s="2"/>
      <c r="G1328" s="14"/>
      <c r="H1328" s="14"/>
      <c r="I1328" s="14"/>
      <c r="J1328" s="14"/>
      <c r="K1328" s="14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8"/>
      <c r="BU1328" s="8"/>
      <c r="BV1328" s="1"/>
      <c r="BW1328" s="1"/>
      <c r="BX1328" s="1"/>
      <c r="BY1328" s="1"/>
      <c r="BZ1328" s="1"/>
    </row>
    <row r="1329">
      <c r="A1329" s="3"/>
      <c r="B1329" s="33"/>
      <c r="C1329" s="3"/>
      <c r="D1329" s="3"/>
      <c r="E1329" s="2"/>
      <c r="F1329" s="2"/>
      <c r="G1329" s="14"/>
      <c r="H1329" s="14"/>
      <c r="I1329" s="14"/>
      <c r="J1329" s="14"/>
      <c r="K1329" s="14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8"/>
      <c r="BU1329" s="8"/>
      <c r="BV1329" s="1"/>
      <c r="BW1329" s="1"/>
      <c r="BX1329" s="1"/>
      <c r="BY1329" s="1"/>
      <c r="BZ1329" s="1"/>
    </row>
    <row r="1330">
      <c r="A1330" s="3"/>
      <c r="B1330" s="33"/>
      <c r="C1330" s="3"/>
      <c r="D1330" s="3"/>
      <c r="E1330" s="2"/>
      <c r="F1330" s="2"/>
      <c r="G1330" s="14"/>
      <c r="H1330" s="14"/>
      <c r="I1330" s="14"/>
      <c r="J1330" s="14"/>
      <c r="K1330" s="14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8"/>
      <c r="BU1330" s="8"/>
      <c r="BV1330" s="1"/>
      <c r="BW1330" s="1"/>
      <c r="BX1330" s="1"/>
      <c r="BY1330" s="1"/>
      <c r="BZ1330" s="1"/>
    </row>
    <row r="1331">
      <c r="A1331" s="3"/>
      <c r="B1331" s="33"/>
      <c r="C1331" s="3"/>
      <c r="D1331" s="3"/>
      <c r="E1331" s="2"/>
      <c r="F1331" s="2"/>
      <c r="G1331" s="14"/>
      <c r="H1331" s="14"/>
      <c r="I1331" s="14"/>
      <c r="J1331" s="14"/>
      <c r="K1331" s="14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8"/>
      <c r="BU1331" s="8"/>
      <c r="BV1331" s="1"/>
      <c r="BW1331" s="1"/>
      <c r="BX1331" s="1"/>
      <c r="BY1331" s="1"/>
      <c r="BZ1331" s="1"/>
    </row>
    <row r="1332">
      <c r="A1332" s="3"/>
      <c r="B1332" s="33"/>
      <c r="C1332" s="3"/>
      <c r="D1332" s="3"/>
      <c r="E1332" s="2"/>
      <c r="F1332" s="2"/>
      <c r="G1332" s="14"/>
      <c r="H1332" s="14"/>
      <c r="I1332" s="14"/>
      <c r="J1332" s="14"/>
      <c r="K1332" s="14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8"/>
      <c r="BU1332" s="8"/>
      <c r="BV1332" s="1"/>
      <c r="BW1332" s="1"/>
      <c r="BX1332" s="1"/>
      <c r="BY1332" s="1"/>
      <c r="BZ1332" s="1"/>
    </row>
    <row r="1333">
      <c r="A1333" s="3"/>
      <c r="B1333" s="33"/>
      <c r="C1333" s="3"/>
      <c r="D1333" s="3"/>
      <c r="E1333" s="2"/>
      <c r="F1333" s="2"/>
      <c r="G1333" s="14"/>
      <c r="H1333" s="14"/>
      <c r="I1333" s="14"/>
      <c r="J1333" s="14"/>
      <c r="K1333" s="14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8"/>
      <c r="BU1333" s="8"/>
      <c r="BV1333" s="1"/>
      <c r="BW1333" s="1"/>
      <c r="BX1333" s="1"/>
      <c r="BY1333" s="1"/>
      <c r="BZ1333" s="1"/>
    </row>
    <row r="1334">
      <c r="A1334" s="3"/>
      <c r="B1334" s="33"/>
      <c r="C1334" s="3"/>
      <c r="D1334" s="3"/>
      <c r="E1334" s="2"/>
      <c r="F1334" s="2"/>
      <c r="G1334" s="14"/>
      <c r="H1334" s="14"/>
      <c r="I1334" s="14"/>
      <c r="J1334" s="14"/>
      <c r="K1334" s="14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8"/>
      <c r="BU1334" s="8"/>
      <c r="BV1334" s="1"/>
      <c r="BW1334" s="1"/>
      <c r="BX1334" s="1"/>
      <c r="BY1334" s="1"/>
      <c r="BZ1334" s="1"/>
    </row>
    <row r="1335">
      <c r="A1335" s="3"/>
      <c r="B1335" s="33"/>
      <c r="C1335" s="3"/>
      <c r="D1335" s="3"/>
      <c r="E1335" s="2"/>
      <c r="F1335" s="2"/>
      <c r="G1335" s="14"/>
      <c r="H1335" s="14"/>
      <c r="I1335" s="14"/>
      <c r="J1335" s="14"/>
      <c r="K1335" s="14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8"/>
      <c r="BU1335" s="8"/>
      <c r="BV1335" s="1"/>
      <c r="BW1335" s="1"/>
      <c r="BX1335" s="1"/>
      <c r="BY1335" s="1"/>
      <c r="BZ1335" s="1"/>
    </row>
    <row r="1336">
      <c r="A1336" s="3"/>
      <c r="B1336" s="33"/>
      <c r="C1336" s="3"/>
      <c r="D1336" s="3"/>
      <c r="E1336" s="2"/>
      <c r="F1336" s="2"/>
      <c r="G1336" s="14"/>
      <c r="H1336" s="14"/>
      <c r="I1336" s="14"/>
      <c r="J1336" s="14"/>
      <c r="K1336" s="14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8"/>
      <c r="BU1336" s="8"/>
      <c r="BV1336" s="1"/>
      <c r="BW1336" s="1"/>
      <c r="BX1336" s="1"/>
      <c r="BY1336" s="1"/>
      <c r="BZ1336" s="1"/>
    </row>
    <row r="1337">
      <c r="A1337" s="3"/>
      <c r="B1337" s="33"/>
      <c r="C1337" s="3"/>
      <c r="D1337" s="3"/>
      <c r="E1337" s="2"/>
      <c r="F1337" s="2"/>
      <c r="G1337" s="14"/>
      <c r="H1337" s="14"/>
      <c r="I1337" s="14"/>
      <c r="J1337" s="14"/>
      <c r="K1337" s="14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8"/>
      <c r="BU1337" s="8"/>
      <c r="BV1337" s="1"/>
      <c r="BW1337" s="1"/>
      <c r="BX1337" s="1"/>
      <c r="BY1337" s="1"/>
      <c r="BZ1337" s="1"/>
    </row>
    <row r="1338">
      <c r="A1338" s="3"/>
      <c r="B1338" s="33"/>
      <c r="C1338" s="3"/>
      <c r="D1338" s="3"/>
      <c r="E1338" s="2"/>
      <c r="F1338" s="2"/>
      <c r="G1338" s="14"/>
      <c r="H1338" s="14"/>
      <c r="I1338" s="14"/>
      <c r="J1338" s="14"/>
      <c r="K1338" s="14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8"/>
      <c r="BU1338" s="8"/>
      <c r="BV1338" s="1"/>
      <c r="BW1338" s="1"/>
      <c r="BX1338" s="1"/>
      <c r="BY1338" s="1"/>
      <c r="BZ1338" s="1"/>
    </row>
    <row r="1339">
      <c r="A1339" s="3"/>
      <c r="B1339" s="33"/>
      <c r="C1339" s="3"/>
      <c r="D1339" s="3"/>
      <c r="E1339" s="2"/>
      <c r="F1339" s="2"/>
      <c r="G1339" s="14"/>
      <c r="H1339" s="14"/>
      <c r="I1339" s="14"/>
      <c r="J1339" s="14"/>
      <c r="K1339" s="14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8"/>
      <c r="BU1339" s="8"/>
      <c r="BV1339" s="1"/>
      <c r="BW1339" s="1"/>
      <c r="BX1339" s="1"/>
      <c r="BY1339" s="1"/>
      <c r="BZ1339" s="1"/>
    </row>
    <row r="1340">
      <c r="A1340" s="3"/>
      <c r="B1340" s="33"/>
      <c r="C1340" s="3"/>
      <c r="D1340" s="3"/>
      <c r="E1340" s="2"/>
      <c r="F1340" s="2"/>
      <c r="G1340" s="14"/>
      <c r="H1340" s="14"/>
      <c r="I1340" s="14"/>
      <c r="J1340" s="14"/>
      <c r="K1340" s="14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8"/>
      <c r="BU1340" s="8"/>
      <c r="BV1340" s="1"/>
      <c r="BW1340" s="1"/>
      <c r="BX1340" s="1"/>
      <c r="BY1340" s="1"/>
      <c r="BZ1340" s="1"/>
    </row>
    <row r="1341">
      <c r="A1341" s="3"/>
      <c r="B1341" s="33"/>
      <c r="C1341" s="3"/>
      <c r="D1341" s="3"/>
      <c r="E1341" s="2"/>
      <c r="F1341" s="2"/>
      <c r="G1341" s="14"/>
      <c r="H1341" s="14"/>
      <c r="I1341" s="14"/>
      <c r="J1341" s="14"/>
      <c r="K1341" s="14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8"/>
      <c r="BU1341" s="8"/>
      <c r="BV1341" s="1"/>
      <c r="BW1341" s="1"/>
      <c r="BX1341" s="1"/>
      <c r="BY1341" s="1"/>
      <c r="BZ1341" s="1"/>
    </row>
    <row r="1342">
      <c r="A1342" s="3"/>
      <c r="B1342" s="33"/>
      <c r="C1342" s="3"/>
      <c r="D1342" s="3"/>
      <c r="E1342" s="2"/>
      <c r="F1342" s="2"/>
      <c r="G1342" s="14"/>
      <c r="H1342" s="14"/>
      <c r="I1342" s="14"/>
      <c r="J1342" s="14"/>
      <c r="K1342" s="14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8"/>
      <c r="BU1342" s="8"/>
      <c r="BV1342" s="1"/>
      <c r="BW1342" s="1"/>
      <c r="BX1342" s="1"/>
      <c r="BY1342" s="1"/>
      <c r="BZ1342" s="1"/>
    </row>
    <row r="1343">
      <c r="A1343" s="3"/>
      <c r="B1343" s="33"/>
      <c r="C1343" s="3"/>
      <c r="D1343" s="3"/>
      <c r="E1343" s="2"/>
      <c r="F1343" s="2"/>
      <c r="G1343" s="14"/>
      <c r="H1343" s="14"/>
      <c r="I1343" s="14"/>
      <c r="J1343" s="14"/>
      <c r="K1343" s="14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8"/>
      <c r="BU1343" s="8"/>
      <c r="BV1343" s="1"/>
      <c r="BW1343" s="1"/>
      <c r="BX1343" s="1"/>
      <c r="BY1343" s="1"/>
      <c r="BZ1343" s="1"/>
    </row>
    <row r="1344">
      <c r="A1344" s="3"/>
      <c r="B1344" s="33"/>
      <c r="C1344" s="3"/>
      <c r="D1344" s="3"/>
      <c r="E1344" s="2"/>
      <c r="F1344" s="2"/>
      <c r="G1344" s="14"/>
      <c r="H1344" s="14"/>
      <c r="I1344" s="14"/>
      <c r="J1344" s="14"/>
      <c r="K1344" s="14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8"/>
      <c r="BU1344" s="8"/>
      <c r="BV1344" s="1"/>
      <c r="BW1344" s="1"/>
      <c r="BX1344" s="1"/>
      <c r="BY1344" s="1"/>
      <c r="BZ1344" s="1"/>
    </row>
    <row r="1345">
      <c r="A1345" s="3"/>
      <c r="B1345" s="33"/>
      <c r="C1345" s="3"/>
      <c r="D1345" s="3"/>
      <c r="E1345" s="2"/>
      <c r="F1345" s="2"/>
      <c r="G1345" s="14"/>
      <c r="H1345" s="14"/>
      <c r="I1345" s="14"/>
      <c r="J1345" s="14"/>
      <c r="K1345" s="14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8"/>
      <c r="BU1345" s="8"/>
      <c r="BV1345" s="1"/>
      <c r="BW1345" s="1"/>
      <c r="BX1345" s="1"/>
      <c r="BY1345" s="1"/>
      <c r="BZ1345" s="1"/>
    </row>
    <row r="1346">
      <c r="A1346" s="3"/>
      <c r="B1346" s="33"/>
      <c r="C1346" s="3"/>
      <c r="D1346" s="3"/>
      <c r="E1346" s="2"/>
      <c r="F1346" s="2"/>
      <c r="G1346" s="14"/>
      <c r="H1346" s="14"/>
      <c r="I1346" s="14"/>
      <c r="J1346" s="14"/>
      <c r="K1346" s="14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8"/>
      <c r="BU1346" s="8"/>
      <c r="BV1346" s="1"/>
      <c r="BW1346" s="1"/>
      <c r="BX1346" s="1"/>
      <c r="BY1346" s="1"/>
      <c r="BZ1346" s="1"/>
    </row>
    <row r="1347">
      <c r="A1347" s="3"/>
      <c r="B1347" s="33"/>
      <c r="C1347" s="3"/>
      <c r="D1347" s="3"/>
      <c r="E1347" s="2"/>
      <c r="F1347" s="2"/>
      <c r="G1347" s="14"/>
      <c r="H1347" s="14"/>
      <c r="I1347" s="14"/>
      <c r="J1347" s="14"/>
      <c r="K1347" s="14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8"/>
      <c r="BU1347" s="8"/>
      <c r="BV1347" s="1"/>
      <c r="BW1347" s="1"/>
      <c r="BX1347" s="1"/>
      <c r="BY1347" s="1"/>
      <c r="BZ1347" s="1"/>
    </row>
    <row r="1348">
      <c r="A1348" s="3"/>
      <c r="B1348" s="33"/>
      <c r="C1348" s="3"/>
      <c r="D1348" s="3"/>
      <c r="E1348" s="2"/>
      <c r="F1348" s="2"/>
      <c r="G1348" s="14"/>
      <c r="H1348" s="14"/>
      <c r="I1348" s="14"/>
      <c r="J1348" s="14"/>
      <c r="K1348" s="14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8"/>
      <c r="BU1348" s="8"/>
      <c r="BV1348" s="1"/>
      <c r="BW1348" s="1"/>
      <c r="BX1348" s="1"/>
      <c r="BY1348" s="1"/>
      <c r="BZ1348" s="1"/>
    </row>
    <row r="1349">
      <c r="A1349" s="3"/>
      <c r="B1349" s="33"/>
      <c r="C1349" s="3"/>
      <c r="D1349" s="3"/>
      <c r="E1349" s="2"/>
      <c r="F1349" s="2"/>
      <c r="G1349" s="14"/>
      <c r="H1349" s="14"/>
      <c r="I1349" s="14"/>
      <c r="J1349" s="14"/>
      <c r="K1349" s="14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8"/>
      <c r="BU1349" s="8"/>
      <c r="BV1349" s="1"/>
      <c r="BW1349" s="1"/>
      <c r="BX1349" s="1"/>
      <c r="BY1349" s="1"/>
      <c r="BZ1349" s="1"/>
    </row>
    <row r="1350">
      <c r="A1350" s="3"/>
      <c r="B1350" s="33"/>
      <c r="C1350" s="3"/>
      <c r="D1350" s="3"/>
      <c r="E1350" s="2"/>
      <c r="F1350" s="2"/>
      <c r="G1350" s="14"/>
      <c r="H1350" s="14"/>
      <c r="I1350" s="14"/>
      <c r="J1350" s="14"/>
      <c r="K1350" s="14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8"/>
      <c r="BU1350" s="8"/>
      <c r="BV1350" s="1"/>
      <c r="BW1350" s="1"/>
      <c r="BX1350" s="1"/>
      <c r="BY1350" s="1"/>
      <c r="BZ1350" s="1"/>
    </row>
    <row r="1351">
      <c r="A1351" s="3"/>
      <c r="B1351" s="33"/>
      <c r="C1351" s="3"/>
      <c r="D1351" s="3"/>
      <c r="E1351" s="2"/>
      <c r="F1351" s="2"/>
      <c r="G1351" s="14"/>
      <c r="H1351" s="14"/>
      <c r="I1351" s="14"/>
      <c r="J1351" s="14"/>
      <c r="K1351" s="14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8"/>
      <c r="BU1351" s="8"/>
      <c r="BV1351" s="1"/>
      <c r="BW1351" s="1"/>
      <c r="BX1351" s="1"/>
      <c r="BY1351" s="1"/>
      <c r="BZ1351" s="1"/>
    </row>
    <row r="1352">
      <c r="A1352" s="3"/>
      <c r="B1352" s="33"/>
      <c r="C1352" s="3"/>
      <c r="D1352" s="3"/>
      <c r="E1352" s="2"/>
      <c r="F1352" s="2"/>
      <c r="G1352" s="14"/>
      <c r="H1352" s="14"/>
      <c r="I1352" s="14"/>
      <c r="J1352" s="14"/>
      <c r="K1352" s="14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8"/>
      <c r="BU1352" s="8"/>
      <c r="BV1352" s="1"/>
      <c r="BW1352" s="1"/>
      <c r="BX1352" s="1"/>
      <c r="BY1352" s="1"/>
      <c r="BZ1352" s="1"/>
    </row>
    <row r="1353">
      <c r="A1353" s="3"/>
      <c r="B1353" s="33"/>
      <c r="C1353" s="3"/>
      <c r="D1353" s="3"/>
      <c r="E1353" s="2"/>
      <c r="F1353" s="2"/>
      <c r="G1353" s="14"/>
      <c r="H1353" s="14"/>
      <c r="I1353" s="14"/>
      <c r="J1353" s="14"/>
      <c r="K1353" s="14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8"/>
      <c r="BU1353" s="8"/>
      <c r="BV1353" s="1"/>
      <c r="BW1353" s="1"/>
      <c r="BX1353" s="1"/>
      <c r="BY1353" s="1"/>
      <c r="BZ1353" s="1"/>
    </row>
    <row r="1354">
      <c r="A1354" s="3"/>
      <c r="B1354" s="33"/>
      <c r="C1354" s="3"/>
      <c r="D1354" s="3"/>
      <c r="E1354" s="2"/>
      <c r="F1354" s="2"/>
      <c r="G1354" s="14"/>
      <c r="H1354" s="14"/>
      <c r="I1354" s="14"/>
      <c r="J1354" s="14"/>
      <c r="K1354" s="14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8"/>
      <c r="BU1354" s="8"/>
      <c r="BV1354" s="1"/>
      <c r="BW1354" s="1"/>
      <c r="BX1354" s="1"/>
      <c r="BY1354" s="1"/>
      <c r="BZ1354" s="1"/>
    </row>
    <row r="1355">
      <c r="A1355" s="3"/>
      <c r="B1355" s="33"/>
      <c r="C1355" s="3"/>
      <c r="D1355" s="3"/>
      <c r="E1355" s="2"/>
      <c r="F1355" s="2"/>
      <c r="G1355" s="14"/>
      <c r="H1355" s="14"/>
      <c r="I1355" s="14"/>
      <c r="J1355" s="14"/>
      <c r="K1355" s="14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8"/>
      <c r="BU1355" s="8"/>
      <c r="BV1355" s="1"/>
      <c r="BW1355" s="1"/>
      <c r="BX1355" s="1"/>
      <c r="BY1355" s="1"/>
      <c r="BZ1355" s="1"/>
    </row>
    <row r="1356">
      <c r="A1356" s="3"/>
      <c r="B1356" s="33"/>
      <c r="C1356" s="3"/>
      <c r="D1356" s="3"/>
      <c r="E1356" s="2"/>
      <c r="F1356" s="2"/>
      <c r="G1356" s="14"/>
      <c r="H1356" s="14"/>
      <c r="I1356" s="14"/>
      <c r="J1356" s="14"/>
      <c r="K1356" s="14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8"/>
      <c r="BU1356" s="8"/>
      <c r="BV1356" s="1"/>
      <c r="BW1356" s="1"/>
      <c r="BX1356" s="1"/>
      <c r="BY1356" s="1"/>
      <c r="BZ1356" s="1"/>
    </row>
    <row r="1357">
      <c r="A1357" s="3"/>
      <c r="B1357" s="33"/>
      <c r="C1357" s="3"/>
      <c r="D1357" s="3"/>
      <c r="E1357" s="2"/>
      <c r="F1357" s="2"/>
      <c r="G1357" s="14"/>
      <c r="H1357" s="14"/>
      <c r="I1357" s="14"/>
      <c r="J1357" s="14"/>
      <c r="K1357" s="14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8"/>
      <c r="BU1357" s="8"/>
      <c r="BV1357" s="1"/>
      <c r="BW1357" s="1"/>
      <c r="BX1357" s="1"/>
      <c r="BY1357" s="1"/>
      <c r="BZ1357" s="1"/>
    </row>
    <row r="1358">
      <c r="A1358" s="3"/>
      <c r="B1358" s="33"/>
      <c r="C1358" s="3"/>
      <c r="D1358" s="3"/>
      <c r="E1358" s="2"/>
      <c r="F1358" s="2"/>
      <c r="G1358" s="14"/>
      <c r="H1358" s="14"/>
      <c r="I1358" s="14"/>
      <c r="J1358" s="14"/>
      <c r="K1358" s="14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8"/>
      <c r="BU1358" s="8"/>
      <c r="BV1358" s="1"/>
      <c r="BW1358" s="1"/>
      <c r="BX1358" s="1"/>
      <c r="BY1358" s="1"/>
      <c r="BZ1358" s="1"/>
    </row>
    <row r="1359">
      <c r="A1359" s="3"/>
      <c r="B1359" s="33"/>
      <c r="C1359" s="3"/>
      <c r="D1359" s="3"/>
      <c r="E1359" s="2"/>
      <c r="F1359" s="2"/>
      <c r="G1359" s="14"/>
      <c r="H1359" s="14"/>
      <c r="I1359" s="14"/>
      <c r="J1359" s="14"/>
      <c r="K1359" s="14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8"/>
      <c r="BU1359" s="8"/>
      <c r="BV1359" s="1"/>
      <c r="BW1359" s="1"/>
      <c r="BX1359" s="1"/>
      <c r="BY1359" s="1"/>
      <c r="BZ1359" s="1"/>
    </row>
    <row r="1360">
      <c r="A1360" s="3"/>
      <c r="B1360" s="33"/>
      <c r="C1360" s="3"/>
      <c r="D1360" s="3"/>
      <c r="E1360" s="2"/>
      <c r="F1360" s="2"/>
      <c r="G1360" s="14"/>
      <c r="H1360" s="14"/>
      <c r="I1360" s="14"/>
      <c r="J1360" s="14"/>
      <c r="K1360" s="14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8"/>
      <c r="BU1360" s="8"/>
      <c r="BV1360" s="1"/>
      <c r="BW1360" s="1"/>
      <c r="BX1360" s="1"/>
      <c r="BY1360" s="1"/>
      <c r="BZ1360" s="1"/>
    </row>
    <row r="1361">
      <c r="A1361" s="3"/>
      <c r="B1361" s="33"/>
      <c r="C1361" s="3"/>
      <c r="D1361" s="3"/>
      <c r="E1361" s="2"/>
      <c r="F1361" s="2"/>
      <c r="G1361" s="14"/>
      <c r="H1361" s="14"/>
      <c r="I1361" s="14"/>
      <c r="J1361" s="14"/>
      <c r="K1361" s="14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8"/>
      <c r="BU1361" s="8"/>
      <c r="BV1361" s="1"/>
      <c r="BW1361" s="1"/>
      <c r="BX1361" s="1"/>
      <c r="BY1361" s="1"/>
      <c r="BZ1361" s="1"/>
    </row>
    <row r="1362">
      <c r="A1362" s="3"/>
      <c r="B1362" s="33"/>
      <c r="C1362" s="3"/>
      <c r="D1362" s="3"/>
      <c r="E1362" s="2"/>
      <c r="F1362" s="2"/>
      <c r="G1362" s="14"/>
      <c r="H1362" s="14"/>
      <c r="I1362" s="14"/>
      <c r="J1362" s="14"/>
      <c r="K1362" s="14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8"/>
      <c r="BU1362" s="8"/>
      <c r="BV1362" s="1"/>
      <c r="BW1362" s="1"/>
      <c r="BX1362" s="1"/>
      <c r="BY1362" s="1"/>
      <c r="BZ1362" s="1"/>
    </row>
    <row r="1363">
      <c r="A1363" s="3"/>
      <c r="B1363" s="33"/>
      <c r="C1363" s="3"/>
      <c r="D1363" s="3"/>
      <c r="E1363" s="2"/>
      <c r="F1363" s="2"/>
      <c r="G1363" s="14"/>
      <c r="H1363" s="14"/>
      <c r="I1363" s="14"/>
      <c r="J1363" s="14"/>
      <c r="K1363" s="14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8"/>
      <c r="BU1363" s="8"/>
      <c r="BV1363" s="1"/>
      <c r="BW1363" s="1"/>
      <c r="BX1363" s="1"/>
      <c r="BY1363" s="1"/>
      <c r="BZ1363" s="1"/>
    </row>
    <row r="1364">
      <c r="A1364" s="3"/>
      <c r="B1364" s="33"/>
      <c r="C1364" s="3"/>
      <c r="D1364" s="3"/>
      <c r="E1364" s="2"/>
      <c r="F1364" s="2"/>
      <c r="G1364" s="14"/>
      <c r="H1364" s="14"/>
      <c r="I1364" s="14"/>
      <c r="J1364" s="14"/>
      <c r="K1364" s="14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8"/>
      <c r="BU1364" s="8"/>
      <c r="BV1364" s="1"/>
      <c r="BW1364" s="1"/>
      <c r="BX1364" s="1"/>
      <c r="BY1364" s="1"/>
      <c r="BZ1364" s="1"/>
    </row>
    <row r="1365">
      <c r="A1365" s="3"/>
      <c r="B1365" s="33"/>
      <c r="C1365" s="3"/>
      <c r="D1365" s="3"/>
      <c r="E1365" s="2"/>
      <c r="F1365" s="2"/>
      <c r="G1365" s="14"/>
      <c r="H1365" s="14"/>
      <c r="I1365" s="14"/>
      <c r="J1365" s="14"/>
      <c r="K1365" s="14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8"/>
      <c r="BU1365" s="8"/>
      <c r="BV1365" s="1"/>
      <c r="BW1365" s="1"/>
      <c r="BX1365" s="1"/>
      <c r="BY1365" s="1"/>
      <c r="BZ1365" s="1"/>
    </row>
    <row r="1366">
      <c r="A1366" s="3"/>
      <c r="B1366" s="33"/>
      <c r="C1366" s="3"/>
      <c r="D1366" s="3"/>
      <c r="E1366" s="2"/>
      <c r="F1366" s="2"/>
      <c r="G1366" s="14"/>
      <c r="H1366" s="14"/>
      <c r="I1366" s="14"/>
      <c r="J1366" s="14"/>
      <c r="K1366" s="14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8"/>
      <c r="BU1366" s="8"/>
      <c r="BV1366" s="1"/>
      <c r="BW1366" s="1"/>
      <c r="BX1366" s="1"/>
      <c r="BY1366" s="1"/>
      <c r="BZ1366" s="1"/>
    </row>
    <row r="1367">
      <c r="A1367" s="3"/>
      <c r="B1367" s="33"/>
      <c r="C1367" s="3"/>
      <c r="D1367" s="3"/>
      <c r="E1367" s="2"/>
      <c r="F1367" s="2"/>
      <c r="G1367" s="14"/>
      <c r="H1367" s="14"/>
      <c r="I1367" s="14"/>
      <c r="J1367" s="14"/>
      <c r="K1367" s="14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8"/>
      <c r="BU1367" s="8"/>
      <c r="BV1367" s="1"/>
      <c r="BW1367" s="1"/>
      <c r="BX1367" s="1"/>
      <c r="BY1367" s="1"/>
      <c r="BZ1367" s="1"/>
    </row>
    <row r="1368">
      <c r="A1368" s="3"/>
      <c r="B1368" s="33"/>
      <c r="C1368" s="3"/>
      <c r="D1368" s="3"/>
      <c r="E1368" s="2"/>
      <c r="F1368" s="2"/>
      <c r="G1368" s="14"/>
      <c r="H1368" s="14"/>
      <c r="I1368" s="14"/>
      <c r="J1368" s="14"/>
      <c r="K1368" s="14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8"/>
      <c r="BU1368" s="8"/>
      <c r="BV1368" s="1"/>
      <c r="BW1368" s="1"/>
      <c r="BX1368" s="1"/>
      <c r="BY1368" s="1"/>
      <c r="BZ1368" s="1"/>
    </row>
    <row r="1369">
      <c r="A1369" s="3"/>
      <c r="B1369" s="33"/>
      <c r="C1369" s="3"/>
      <c r="D1369" s="3"/>
      <c r="E1369" s="2"/>
      <c r="F1369" s="2"/>
      <c r="G1369" s="14"/>
      <c r="H1369" s="14"/>
      <c r="I1369" s="14"/>
      <c r="J1369" s="14"/>
      <c r="K1369" s="14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8"/>
      <c r="BU1369" s="8"/>
      <c r="BV1369" s="1"/>
      <c r="BW1369" s="1"/>
      <c r="BX1369" s="1"/>
      <c r="BY1369" s="1"/>
      <c r="BZ1369" s="1"/>
    </row>
    <row r="1370">
      <c r="A1370" s="3"/>
      <c r="B1370" s="33"/>
      <c r="C1370" s="3"/>
      <c r="D1370" s="3"/>
      <c r="E1370" s="2"/>
      <c r="F1370" s="2"/>
      <c r="G1370" s="14"/>
      <c r="H1370" s="14"/>
      <c r="I1370" s="14"/>
      <c r="J1370" s="14"/>
      <c r="K1370" s="14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8"/>
      <c r="BU1370" s="8"/>
      <c r="BV1370" s="1"/>
      <c r="BW1370" s="1"/>
      <c r="BX1370" s="1"/>
      <c r="BY1370" s="1"/>
      <c r="BZ1370" s="1"/>
    </row>
    <row r="1371">
      <c r="A1371" s="3"/>
      <c r="B1371" s="33"/>
      <c r="C1371" s="3"/>
      <c r="D1371" s="3"/>
      <c r="E1371" s="2"/>
      <c r="F1371" s="2"/>
      <c r="G1371" s="14"/>
      <c r="H1371" s="14"/>
      <c r="I1371" s="14"/>
      <c r="J1371" s="14"/>
      <c r="K1371" s="14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8"/>
      <c r="BU1371" s="8"/>
      <c r="BV1371" s="1"/>
      <c r="BW1371" s="1"/>
      <c r="BX1371" s="1"/>
      <c r="BY1371" s="1"/>
      <c r="BZ1371" s="1"/>
    </row>
    <row r="1372">
      <c r="A1372" s="3"/>
      <c r="B1372" s="33"/>
      <c r="C1372" s="3"/>
      <c r="D1372" s="3"/>
      <c r="E1372" s="2"/>
      <c r="F1372" s="2"/>
      <c r="G1372" s="14"/>
      <c r="H1372" s="14"/>
      <c r="I1372" s="14"/>
      <c r="J1372" s="14"/>
      <c r="K1372" s="14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8"/>
      <c r="BU1372" s="8"/>
      <c r="BV1372" s="1"/>
      <c r="BW1372" s="1"/>
      <c r="BX1372" s="1"/>
      <c r="BY1372" s="1"/>
      <c r="BZ1372" s="1"/>
    </row>
    <row r="1373">
      <c r="A1373" s="3"/>
      <c r="B1373" s="33"/>
      <c r="C1373" s="3"/>
      <c r="D1373" s="3"/>
      <c r="E1373" s="2"/>
      <c r="F1373" s="2"/>
      <c r="G1373" s="14"/>
      <c r="H1373" s="14"/>
      <c r="I1373" s="14"/>
      <c r="J1373" s="14"/>
      <c r="K1373" s="14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8"/>
      <c r="BU1373" s="8"/>
      <c r="BV1373" s="1"/>
      <c r="BW1373" s="1"/>
      <c r="BX1373" s="1"/>
      <c r="BY1373" s="1"/>
      <c r="BZ1373" s="1"/>
    </row>
    <row r="1374">
      <c r="A1374" s="3"/>
      <c r="B1374" s="33"/>
      <c r="C1374" s="3"/>
      <c r="D1374" s="3"/>
      <c r="E1374" s="2"/>
      <c r="F1374" s="2"/>
      <c r="G1374" s="14"/>
      <c r="H1374" s="14"/>
      <c r="I1374" s="14"/>
      <c r="J1374" s="14"/>
      <c r="K1374" s="14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8"/>
      <c r="BU1374" s="8"/>
      <c r="BV1374" s="1"/>
      <c r="BW1374" s="1"/>
      <c r="BX1374" s="1"/>
      <c r="BY1374" s="1"/>
      <c r="BZ1374" s="1"/>
    </row>
    <row r="1375">
      <c r="A1375" s="3"/>
      <c r="B1375" s="33"/>
      <c r="C1375" s="3"/>
      <c r="D1375" s="3"/>
      <c r="E1375" s="2"/>
      <c r="F1375" s="2"/>
      <c r="G1375" s="14"/>
      <c r="H1375" s="14"/>
      <c r="I1375" s="14"/>
      <c r="J1375" s="14"/>
      <c r="K1375" s="14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8"/>
      <c r="BU1375" s="8"/>
      <c r="BV1375" s="1"/>
      <c r="BW1375" s="1"/>
      <c r="BX1375" s="1"/>
      <c r="BY1375" s="1"/>
      <c r="BZ1375" s="1"/>
    </row>
    <row r="1376">
      <c r="A1376" s="3"/>
      <c r="B1376" s="33"/>
      <c r="C1376" s="3"/>
      <c r="D1376" s="3"/>
      <c r="E1376" s="2"/>
      <c r="F1376" s="2"/>
      <c r="G1376" s="14"/>
      <c r="H1376" s="14"/>
      <c r="I1376" s="14"/>
      <c r="J1376" s="14"/>
      <c r="K1376" s="14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8"/>
      <c r="BU1376" s="8"/>
      <c r="BV1376" s="1"/>
      <c r="BW1376" s="1"/>
      <c r="BX1376" s="1"/>
      <c r="BY1376" s="1"/>
      <c r="BZ1376" s="1"/>
    </row>
    <row r="1377">
      <c r="A1377" s="3"/>
      <c r="B1377" s="33"/>
      <c r="C1377" s="3"/>
      <c r="D1377" s="3"/>
      <c r="E1377" s="2"/>
      <c r="F1377" s="2"/>
      <c r="G1377" s="14"/>
      <c r="H1377" s="14"/>
      <c r="I1377" s="14"/>
      <c r="J1377" s="14"/>
      <c r="K1377" s="14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8"/>
      <c r="BU1377" s="8"/>
      <c r="BV1377" s="1"/>
      <c r="BW1377" s="1"/>
      <c r="BX1377" s="1"/>
      <c r="BY1377" s="1"/>
      <c r="BZ1377" s="1"/>
    </row>
    <row r="1378">
      <c r="A1378" s="3"/>
      <c r="B1378" s="33"/>
      <c r="C1378" s="3"/>
      <c r="D1378" s="3"/>
      <c r="E1378" s="2"/>
      <c r="F1378" s="2"/>
      <c r="G1378" s="14"/>
      <c r="H1378" s="14"/>
      <c r="I1378" s="14"/>
      <c r="J1378" s="14"/>
      <c r="K1378" s="14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8"/>
      <c r="BU1378" s="8"/>
      <c r="BV1378" s="1"/>
      <c r="BW1378" s="1"/>
      <c r="BX1378" s="1"/>
      <c r="BY1378" s="1"/>
      <c r="BZ1378" s="1"/>
    </row>
    <row r="1379">
      <c r="A1379" s="3"/>
      <c r="B1379" s="33"/>
      <c r="C1379" s="3"/>
      <c r="D1379" s="3"/>
      <c r="E1379" s="2"/>
      <c r="F1379" s="2"/>
      <c r="G1379" s="14"/>
      <c r="H1379" s="14"/>
      <c r="I1379" s="14"/>
      <c r="J1379" s="14"/>
      <c r="K1379" s="14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8"/>
      <c r="BU1379" s="8"/>
      <c r="BV1379" s="1"/>
      <c r="BW1379" s="1"/>
      <c r="BX1379" s="1"/>
      <c r="BY1379" s="1"/>
      <c r="BZ1379" s="1"/>
    </row>
    <row r="1380">
      <c r="A1380" s="3"/>
      <c r="B1380" s="33"/>
      <c r="C1380" s="3"/>
      <c r="D1380" s="3"/>
      <c r="E1380" s="2"/>
      <c r="F1380" s="2"/>
      <c r="G1380" s="14"/>
      <c r="H1380" s="14"/>
      <c r="I1380" s="14"/>
      <c r="J1380" s="14"/>
      <c r="K1380" s="14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8"/>
      <c r="BU1380" s="8"/>
      <c r="BV1380" s="1"/>
      <c r="BW1380" s="1"/>
      <c r="BX1380" s="1"/>
      <c r="BY1380" s="1"/>
      <c r="BZ1380" s="1"/>
    </row>
    <row r="1381">
      <c r="A1381" s="3"/>
      <c r="B1381" s="33"/>
      <c r="C1381" s="3"/>
      <c r="D1381" s="3"/>
      <c r="E1381" s="2"/>
      <c r="F1381" s="2"/>
      <c r="G1381" s="14"/>
      <c r="H1381" s="14"/>
      <c r="I1381" s="14"/>
      <c r="J1381" s="14"/>
      <c r="K1381" s="14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8"/>
      <c r="BU1381" s="8"/>
      <c r="BV1381" s="1"/>
      <c r="BW1381" s="1"/>
      <c r="BX1381" s="1"/>
      <c r="BY1381" s="1"/>
      <c r="BZ1381" s="1"/>
    </row>
    <row r="1382">
      <c r="A1382" s="3"/>
      <c r="B1382" s="33"/>
      <c r="C1382" s="3"/>
      <c r="D1382" s="3"/>
      <c r="E1382" s="2"/>
      <c r="F1382" s="2"/>
      <c r="G1382" s="14"/>
      <c r="H1382" s="14"/>
      <c r="I1382" s="14"/>
      <c r="J1382" s="14"/>
      <c r="K1382" s="14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8"/>
      <c r="BU1382" s="8"/>
      <c r="BV1382" s="1"/>
      <c r="BW1382" s="1"/>
      <c r="BX1382" s="1"/>
      <c r="BY1382" s="1"/>
      <c r="BZ1382" s="1"/>
    </row>
    <row r="1383">
      <c r="A1383" s="3"/>
      <c r="B1383" s="33"/>
      <c r="C1383" s="3"/>
      <c r="D1383" s="3"/>
      <c r="E1383" s="2"/>
      <c r="F1383" s="2"/>
      <c r="G1383" s="14"/>
      <c r="H1383" s="14"/>
      <c r="I1383" s="14"/>
      <c r="J1383" s="14"/>
      <c r="K1383" s="14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8"/>
      <c r="BU1383" s="8"/>
      <c r="BV1383" s="1"/>
      <c r="BW1383" s="1"/>
      <c r="BX1383" s="1"/>
      <c r="BY1383" s="1"/>
      <c r="BZ1383" s="1"/>
    </row>
    <row r="1384">
      <c r="A1384" s="3"/>
      <c r="B1384" s="33"/>
      <c r="C1384" s="3"/>
      <c r="D1384" s="3"/>
      <c r="E1384" s="2"/>
      <c r="F1384" s="2"/>
      <c r="G1384" s="14"/>
      <c r="H1384" s="14"/>
      <c r="I1384" s="14"/>
      <c r="J1384" s="14"/>
      <c r="K1384" s="14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8"/>
      <c r="BU1384" s="8"/>
      <c r="BV1384" s="1"/>
      <c r="BW1384" s="1"/>
      <c r="BX1384" s="1"/>
      <c r="BY1384" s="1"/>
      <c r="BZ1384" s="1"/>
    </row>
    <row r="1385">
      <c r="A1385" s="3"/>
      <c r="B1385" s="33"/>
      <c r="C1385" s="3"/>
      <c r="D1385" s="3"/>
      <c r="E1385" s="2"/>
      <c r="F1385" s="2"/>
      <c r="G1385" s="14"/>
      <c r="H1385" s="14"/>
      <c r="I1385" s="14"/>
      <c r="J1385" s="14"/>
      <c r="K1385" s="14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8"/>
      <c r="BU1385" s="8"/>
      <c r="BV1385" s="1"/>
      <c r="BW1385" s="1"/>
      <c r="BX1385" s="1"/>
      <c r="BY1385" s="1"/>
      <c r="BZ1385" s="1"/>
    </row>
    <row r="1386">
      <c r="A1386" s="3"/>
      <c r="B1386" s="33"/>
      <c r="C1386" s="3"/>
      <c r="D1386" s="3"/>
      <c r="E1386" s="2"/>
      <c r="F1386" s="2"/>
      <c r="G1386" s="14"/>
      <c r="H1386" s="14"/>
      <c r="I1386" s="14"/>
      <c r="J1386" s="14"/>
      <c r="K1386" s="14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8"/>
      <c r="BU1386" s="8"/>
      <c r="BV1386" s="1"/>
      <c r="BW1386" s="1"/>
      <c r="BX1386" s="1"/>
      <c r="BY1386" s="1"/>
      <c r="BZ1386" s="1"/>
    </row>
    <row r="1387">
      <c r="A1387" s="3"/>
      <c r="B1387" s="33"/>
      <c r="C1387" s="3"/>
      <c r="D1387" s="3"/>
      <c r="E1387" s="2"/>
      <c r="F1387" s="2"/>
      <c r="G1387" s="14"/>
      <c r="H1387" s="14"/>
      <c r="I1387" s="14"/>
      <c r="J1387" s="14"/>
      <c r="K1387" s="14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8"/>
      <c r="BU1387" s="8"/>
      <c r="BV1387" s="1"/>
      <c r="BW1387" s="1"/>
      <c r="BX1387" s="1"/>
      <c r="BY1387" s="1"/>
      <c r="BZ1387" s="1"/>
    </row>
    <row r="1388">
      <c r="A1388" s="3"/>
      <c r="B1388" s="33"/>
      <c r="C1388" s="3"/>
      <c r="D1388" s="3"/>
      <c r="E1388" s="2"/>
      <c r="F1388" s="2"/>
      <c r="G1388" s="14"/>
      <c r="H1388" s="14"/>
      <c r="I1388" s="14"/>
      <c r="J1388" s="14"/>
      <c r="K1388" s="14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8"/>
      <c r="BU1388" s="8"/>
      <c r="BV1388" s="1"/>
      <c r="BW1388" s="1"/>
      <c r="BX1388" s="1"/>
      <c r="BY1388" s="1"/>
      <c r="BZ1388" s="1"/>
    </row>
    <row r="1389">
      <c r="A1389" s="3"/>
      <c r="B1389" s="33"/>
      <c r="C1389" s="3"/>
      <c r="D1389" s="3"/>
      <c r="E1389" s="2"/>
      <c r="F1389" s="2"/>
      <c r="G1389" s="14"/>
      <c r="H1389" s="14"/>
      <c r="I1389" s="14"/>
      <c r="J1389" s="14"/>
      <c r="K1389" s="14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8"/>
      <c r="BU1389" s="8"/>
      <c r="BV1389" s="1"/>
      <c r="BW1389" s="1"/>
      <c r="BX1389" s="1"/>
      <c r="BY1389" s="1"/>
      <c r="BZ1389" s="1"/>
    </row>
    <row r="1390">
      <c r="A1390" s="3"/>
      <c r="B1390" s="33"/>
      <c r="C1390" s="3"/>
      <c r="D1390" s="3"/>
      <c r="E1390" s="2"/>
      <c r="F1390" s="2"/>
      <c r="G1390" s="14"/>
      <c r="H1390" s="14"/>
      <c r="I1390" s="14"/>
      <c r="J1390" s="14"/>
      <c r="K1390" s="14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8"/>
      <c r="BU1390" s="8"/>
      <c r="BV1390" s="1"/>
      <c r="BW1390" s="1"/>
      <c r="BX1390" s="1"/>
      <c r="BY1390" s="1"/>
      <c r="BZ1390" s="1"/>
    </row>
    <row r="1391">
      <c r="A1391" s="3"/>
      <c r="B1391" s="33"/>
      <c r="C1391" s="3"/>
      <c r="D1391" s="3"/>
      <c r="E1391" s="2"/>
      <c r="F1391" s="2"/>
      <c r="G1391" s="14"/>
      <c r="H1391" s="14"/>
      <c r="I1391" s="14"/>
      <c r="J1391" s="14"/>
      <c r="K1391" s="14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8"/>
      <c r="BU1391" s="8"/>
      <c r="BV1391" s="1"/>
      <c r="BW1391" s="1"/>
      <c r="BX1391" s="1"/>
      <c r="BY1391" s="1"/>
      <c r="BZ1391" s="1"/>
    </row>
    <row r="1392">
      <c r="A1392" s="3"/>
      <c r="B1392" s="33"/>
      <c r="C1392" s="3"/>
      <c r="D1392" s="3"/>
      <c r="E1392" s="2"/>
      <c r="F1392" s="2"/>
      <c r="G1392" s="14"/>
      <c r="H1392" s="14"/>
      <c r="I1392" s="14"/>
      <c r="J1392" s="14"/>
      <c r="K1392" s="14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8"/>
      <c r="BU1392" s="8"/>
      <c r="BV1392" s="1"/>
      <c r="BW1392" s="1"/>
      <c r="BX1392" s="1"/>
      <c r="BY1392" s="1"/>
      <c r="BZ1392" s="1"/>
    </row>
    <row r="1393">
      <c r="A1393" s="3"/>
      <c r="B1393" s="33"/>
      <c r="C1393" s="3"/>
      <c r="D1393" s="3"/>
      <c r="E1393" s="2"/>
      <c r="F1393" s="2"/>
      <c r="G1393" s="14"/>
      <c r="H1393" s="14"/>
      <c r="I1393" s="14"/>
      <c r="J1393" s="14"/>
      <c r="K1393" s="14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8"/>
      <c r="BU1393" s="8"/>
      <c r="BV1393" s="1"/>
      <c r="BW1393" s="1"/>
      <c r="BX1393" s="1"/>
      <c r="BY1393" s="1"/>
      <c r="BZ1393" s="1"/>
    </row>
    <row r="1394">
      <c r="A1394" s="3"/>
      <c r="B1394" s="33"/>
      <c r="C1394" s="3"/>
      <c r="D1394" s="3"/>
      <c r="E1394" s="2"/>
      <c r="F1394" s="2"/>
      <c r="G1394" s="14"/>
      <c r="H1394" s="14"/>
      <c r="I1394" s="14"/>
      <c r="J1394" s="14"/>
      <c r="K1394" s="14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8"/>
      <c r="BU1394" s="8"/>
      <c r="BV1394" s="1"/>
      <c r="BW1394" s="1"/>
      <c r="BX1394" s="1"/>
      <c r="BY1394" s="1"/>
      <c r="BZ1394" s="1"/>
    </row>
    <row r="1395">
      <c r="A1395" s="3"/>
      <c r="B1395" s="33"/>
      <c r="C1395" s="3"/>
      <c r="D1395" s="3"/>
      <c r="E1395" s="2"/>
      <c r="F1395" s="2"/>
      <c r="G1395" s="14"/>
      <c r="H1395" s="14"/>
      <c r="I1395" s="14"/>
      <c r="J1395" s="14"/>
      <c r="K1395" s="14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8"/>
      <c r="BU1395" s="8"/>
      <c r="BV1395" s="1"/>
      <c r="BW1395" s="1"/>
      <c r="BX1395" s="1"/>
      <c r="BY1395" s="1"/>
      <c r="BZ1395" s="1"/>
    </row>
    <row r="1396">
      <c r="A1396" s="3"/>
      <c r="B1396" s="33"/>
      <c r="C1396" s="3"/>
      <c r="D1396" s="3"/>
      <c r="E1396" s="2"/>
      <c r="F1396" s="2"/>
      <c r="G1396" s="14"/>
      <c r="H1396" s="14"/>
      <c r="I1396" s="14"/>
      <c r="J1396" s="14"/>
      <c r="K1396" s="14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8"/>
      <c r="BU1396" s="8"/>
      <c r="BV1396" s="1"/>
      <c r="BW1396" s="1"/>
      <c r="BX1396" s="1"/>
      <c r="BY1396" s="1"/>
      <c r="BZ1396" s="1"/>
    </row>
    <row r="1397">
      <c r="A1397" s="3"/>
      <c r="B1397" s="33"/>
      <c r="C1397" s="3"/>
      <c r="D1397" s="3"/>
      <c r="E1397" s="2"/>
      <c r="F1397" s="2"/>
      <c r="G1397" s="14"/>
      <c r="H1397" s="14"/>
      <c r="I1397" s="14"/>
      <c r="J1397" s="14"/>
      <c r="K1397" s="14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8"/>
      <c r="BU1397" s="8"/>
      <c r="BV1397" s="1"/>
      <c r="BW1397" s="1"/>
      <c r="BX1397" s="1"/>
      <c r="BY1397" s="1"/>
      <c r="BZ1397" s="1"/>
    </row>
    <row r="1398">
      <c r="A1398" s="3"/>
      <c r="B1398" s="33"/>
      <c r="C1398" s="3"/>
      <c r="D1398" s="3"/>
      <c r="E1398" s="2"/>
      <c r="F1398" s="2"/>
      <c r="G1398" s="14"/>
      <c r="H1398" s="14"/>
      <c r="I1398" s="14"/>
      <c r="J1398" s="14"/>
      <c r="K1398" s="14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8"/>
      <c r="BU1398" s="8"/>
      <c r="BV1398" s="1"/>
      <c r="BW1398" s="1"/>
      <c r="BX1398" s="1"/>
      <c r="BY1398" s="1"/>
      <c r="BZ1398" s="1"/>
    </row>
    <row r="1399">
      <c r="A1399" s="3"/>
      <c r="B1399" s="33"/>
      <c r="C1399" s="3"/>
      <c r="D1399" s="3"/>
      <c r="E1399" s="2"/>
      <c r="F1399" s="2"/>
      <c r="G1399" s="14"/>
      <c r="H1399" s="14"/>
      <c r="I1399" s="14"/>
      <c r="J1399" s="14"/>
      <c r="K1399" s="14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8"/>
      <c r="BU1399" s="8"/>
      <c r="BV1399" s="1"/>
      <c r="BW1399" s="1"/>
      <c r="BX1399" s="1"/>
      <c r="BY1399" s="1"/>
      <c r="BZ1399" s="1"/>
    </row>
    <row r="1400">
      <c r="A1400" s="3"/>
      <c r="B1400" s="33"/>
      <c r="C1400" s="3"/>
      <c r="D1400" s="3"/>
      <c r="E1400" s="2"/>
      <c r="F1400" s="2"/>
      <c r="G1400" s="14"/>
      <c r="H1400" s="14"/>
      <c r="I1400" s="14"/>
      <c r="J1400" s="14"/>
      <c r="K1400" s="14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8"/>
      <c r="BU1400" s="8"/>
      <c r="BV1400" s="1"/>
      <c r="BW1400" s="1"/>
      <c r="BX1400" s="1"/>
      <c r="BY1400" s="1"/>
      <c r="BZ1400" s="1"/>
    </row>
    <row r="1401">
      <c r="A1401" s="3"/>
      <c r="B1401" s="33"/>
      <c r="C1401" s="3"/>
      <c r="D1401" s="3"/>
      <c r="E1401" s="2"/>
      <c r="F1401" s="2"/>
      <c r="G1401" s="14"/>
      <c r="H1401" s="14"/>
      <c r="I1401" s="14"/>
      <c r="J1401" s="14"/>
      <c r="K1401" s="14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8"/>
      <c r="BU1401" s="8"/>
      <c r="BV1401" s="1"/>
      <c r="BW1401" s="1"/>
      <c r="BX1401" s="1"/>
      <c r="BY1401" s="1"/>
      <c r="BZ1401" s="1"/>
    </row>
    <row r="1402">
      <c r="A1402" s="3"/>
      <c r="B1402" s="33"/>
      <c r="C1402" s="3"/>
      <c r="D1402" s="3"/>
      <c r="E1402" s="2"/>
      <c r="F1402" s="2"/>
      <c r="G1402" s="14"/>
      <c r="H1402" s="14"/>
      <c r="I1402" s="14"/>
      <c r="J1402" s="14"/>
      <c r="K1402" s="14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8"/>
      <c r="BU1402" s="8"/>
      <c r="BV1402" s="1"/>
      <c r="BW1402" s="1"/>
      <c r="BX1402" s="1"/>
      <c r="BY1402" s="1"/>
      <c r="BZ1402" s="1"/>
    </row>
    <row r="1403">
      <c r="A1403" s="3"/>
      <c r="B1403" s="33"/>
      <c r="C1403" s="3"/>
      <c r="D1403" s="3"/>
      <c r="E1403" s="2"/>
      <c r="F1403" s="2"/>
      <c r="G1403" s="14"/>
      <c r="H1403" s="14"/>
      <c r="I1403" s="14"/>
      <c r="J1403" s="14"/>
      <c r="K1403" s="14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8"/>
      <c r="BU1403" s="8"/>
      <c r="BV1403" s="1"/>
      <c r="BW1403" s="1"/>
      <c r="BX1403" s="1"/>
      <c r="BY1403" s="1"/>
      <c r="BZ1403" s="1"/>
    </row>
    <row r="1404">
      <c r="A1404" s="3"/>
      <c r="B1404" s="33"/>
      <c r="C1404" s="3"/>
      <c r="D1404" s="3"/>
      <c r="E1404" s="2"/>
      <c r="F1404" s="2"/>
      <c r="G1404" s="14"/>
      <c r="H1404" s="14"/>
      <c r="I1404" s="14"/>
      <c r="J1404" s="14"/>
      <c r="K1404" s="14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8"/>
      <c r="BU1404" s="8"/>
      <c r="BV1404" s="1"/>
      <c r="BW1404" s="1"/>
      <c r="BX1404" s="1"/>
      <c r="BY1404" s="1"/>
      <c r="BZ1404" s="1"/>
    </row>
    <row r="1405">
      <c r="A1405" s="3"/>
      <c r="B1405" s="33"/>
      <c r="C1405" s="3"/>
      <c r="D1405" s="3"/>
      <c r="E1405" s="2"/>
      <c r="F1405" s="2"/>
      <c r="G1405" s="14"/>
      <c r="H1405" s="14"/>
      <c r="I1405" s="14"/>
      <c r="J1405" s="14"/>
      <c r="K1405" s="14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8"/>
      <c r="BU1405" s="8"/>
      <c r="BV1405" s="1"/>
      <c r="BW1405" s="1"/>
      <c r="BX1405" s="1"/>
      <c r="BY1405" s="1"/>
      <c r="BZ1405" s="1"/>
    </row>
    <row r="1406">
      <c r="A1406" s="3"/>
      <c r="B1406" s="33"/>
      <c r="C1406" s="3"/>
      <c r="D1406" s="3"/>
      <c r="E1406" s="2"/>
      <c r="F1406" s="2"/>
      <c r="G1406" s="14"/>
      <c r="H1406" s="14"/>
      <c r="I1406" s="14"/>
      <c r="J1406" s="14"/>
      <c r="K1406" s="14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8"/>
      <c r="BU1406" s="8"/>
      <c r="BV1406" s="1"/>
      <c r="BW1406" s="1"/>
      <c r="BX1406" s="1"/>
      <c r="BY1406" s="1"/>
      <c r="BZ1406" s="1"/>
    </row>
    <row r="1407">
      <c r="A1407" s="3"/>
      <c r="B1407" s="33"/>
      <c r="C1407" s="3"/>
      <c r="D1407" s="3"/>
      <c r="E1407" s="2"/>
      <c r="F1407" s="2"/>
      <c r="G1407" s="14"/>
      <c r="H1407" s="14"/>
      <c r="I1407" s="14"/>
      <c r="J1407" s="14"/>
      <c r="K1407" s="14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8"/>
      <c r="BU1407" s="8"/>
      <c r="BV1407" s="1"/>
      <c r="BW1407" s="1"/>
      <c r="BX1407" s="1"/>
      <c r="BY1407" s="1"/>
      <c r="BZ1407" s="1"/>
    </row>
    <row r="1408">
      <c r="A1408" s="3"/>
      <c r="B1408" s="33"/>
      <c r="C1408" s="3"/>
      <c r="D1408" s="3"/>
      <c r="E1408" s="2"/>
      <c r="F1408" s="2"/>
      <c r="G1408" s="14"/>
      <c r="H1408" s="14"/>
      <c r="I1408" s="14"/>
      <c r="J1408" s="14"/>
      <c r="K1408" s="14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8"/>
      <c r="BU1408" s="8"/>
      <c r="BV1408" s="1"/>
      <c r="BW1408" s="1"/>
      <c r="BX1408" s="1"/>
      <c r="BY1408" s="1"/>
      <c r="BZ1408" s="1"/>
    </row>
    <row r="1409">
      <c r="A1409" s="3"/>
      <c r="B1409" s="33"/>
      <c r="C1409" s="3"/>
      <c r="D1409" s="3"/>
      <c r="E1409" s="2"/>
      <c r="F1409" s="2"/>
      <c r="G1409" s="14"/>
      <c r="H1409" s="14"/>
      <c r="I1409" s="14"/>
      <c r="J1409" s="14"/>
      <c r="K1409" s="14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8"/>
      <c r="BU1409" s="8"/>
      <c r="BV1409" s="1"/>
      <c r="BW1409" s="1"/>
      <c r="BX1409" s="1"/>
      <c r="BY1409" s="1"/>
      <c r="BZ1409" s="1"/>
    </row>
    <row r="1410">
      <c r="A1410" s="3"/>
      <c r="B1410" s="33"/>
      <c r="C1410" s="3"/>
      <c r="D1410" s="3"/>
      <c r="E1410" s="2"/>
      <c r="F1410" s="2"/>
      <c r="G1410" s="14"/>
      <c r="H1410" s="14"/>
      <c r="I1410" s="14"/>
      <c r="J1410" s="14"/>
      <c r="K1410" s="14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8"/>
      <c r="BU1410" s="8"/>
      <c r="BV1410" s="1"/>
      <c r="BW1410" s="1"/>
      <c r="BX1410" s="1"/>
      <c r="BY1410" s="1"/>
      <c r="BZ1410" s="1"/>
    </row>
    <row r="1411">
      <c r="A1411" s="3"/>
      <c r="B1411" s="33"/>
      <c r="C1411" s="3"/>
      <c r="D1411" s="3"/>
      <c r="E1411" s="2"/>
      <c r="F1411" s="2"/>
      <c r="G1411" s="14"/>
      <c r="H1411" s="14"/>
      <c r="I1411" s="14"/>
      <c r="J1411" s="14"/>
      <c r="K1411" s="14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8"/>
      <c r="BU1411" s="8"/>
      <c r="BV1411" s="1"/>
      <c r="BW1411" s="1"/>
      <c r="BX1411" s="1"/>
      <c r="BY1411" s="1"/>
      <c r="BZ1411" s="1"/>
    </row>
    <row r="1412">
      <c r="A1412" s="3"/>
      <c r="B1412" s="33"/>
      <c r="C1412" s="3"/>
      <c r="D1412" s="3"/>
      <c r="E1412" s="2"/>
      <c r="F1412" s="2"/>
      <c r="G1412" s="14"/>
      <c r="H1412" s="14"/>
      <c r="I1412" s="14"/>
      <c r="J1412" s="14"/>
      <c r="K1412" s="14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8"/>
      <c r="BU1412" s="8"/>
      <c r="BV1412" s="1"/>
      <c r="BW1412" s="1"/>
      <c r="BX1412" s="1"/>
      <c r="BY1412" s="1"/>
      <c r="BZ1412" s="1"/>
    </row>
    <row r="1413">
      <c r="A1413" s="3"/>
      <c r="B1413" s="33"/>
      <c r="C1413" s="3"/>
      <c r="D1413" s="3"/>
      <c r="E1413" s="2"/>
      <c r="F1413" s="2"/>
      <c r="G1413" s="14"/>
      <c r="H1413" s="14"/>
      <c r="I1413" s="14"/>
      <c r="J1413" s="14"/>
      <c r="K1413" s="14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8"/>
      <c r="BU1413" s="8"/>
      <c r="BV1413" s="1"/>
      <c r="BW1413" s="1"/>
      <c r="BX1413" s="1"/>
      <c r="BY1413" s="1"/>
      <c r="BZ1413" s="1"/>
    </row>
    <row r="1414">
      <c r="A1414" s="3"/>
      <c r="B1414" s="33"/>
      <c r="C1414" s="3"/>
      <c r="D1414" s="3"/>
      <c r="E1414" s="2"/>
      <c r="F1414" s="2"/>
      <c r="G1414" s="14"/>
      <c r="H1414" s="14"/>
      <c r="I1414" s="14"/>
      <c r="J1414" s="14"/>
      <c r="K1414" s="14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8"/>
      <c r="BU1414" s="8"/>
      <c r="BV1414" s="1"/>
      <c r="BW1414" s="1"/>
      <c r="BX1414" s="1"/>
      <c r="BY1414" s="1"/>
      <c r="BZ1414" s="1"/>
    </row>
    <row r="1415">
      <c r="A1415" s="3"/>
      <c r="B1415" s="33"/>
      <c r="C1415" s="3"/>
      <c r="D1415" s="3"/>
      <c r="E1415" s="2"/>
      <c r="F1415" s="2"/>
      <c r="G1415" s="14"/>
      <c r="H1415" s="14"/>
      <c r="I1415" s="14"/>
      <c r="J1415" s="14"/>
      <c r="K1415" s="14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8"/>
      <c r="BU1415" s="8"/>
      <c r="BV1415" s="1"/>
      <c r="BW1415" s="1"/>
      <c r="BX1415" s="1"/>
      <c r="BY1415" s="1"/>
      <c r="BZ1415" s="1"/>
    </row>
    <row r="1416">
      <c r="A1416" s="3"/>
      <c r="B1416" s="33"/>
      <c r="C1416" s="3"/>
      <c r="D1416" s="3"/>
      <c r="E1416" s="2"/>
      <c r="F1416" s="2"/>
      <c r="G1416" s="14"/>
      <c r="H1416" s="14"/>
      <c r="I1416" s="14"/>
      <c r="J1416" s="14"/>
      <c r="K1416" s="14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8"/>
      <c r="BU1416" s="8"/>
      <c r="BV1416" s="1"/>
      <c r="BW1416" s="1"/>
      <c r="BX1416" s="1"/>
      <c r="BY1416" s="1"/>
      <c r="BZ1416" s="1"/>
    </row>
    <row r="1417">
      <c r="A1417" s="3"/>
      <c r="B1417" s="33"/>
      <c r="C1417" s="3"/>
      <c r="D1417" s="3"/>
      <c r="E1417" s="2"/>
      <c r="F1417" s="2"/>
      <c r="G1417" s="14"/>
      <c r="H1417" s="14"/>
      <c r="I1417" s="14"/>
      <c r="J1417" s="14"/>
      <c r="K1417" s="14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8"/>
      <c r="BU1417" s="8"/>
      <c r="BV1417" s="1"/>
      <c r="BW1417" s="1"/>
      <c r="BX1417" s="1"/>
      <c r="BY1417" s="1"/>
      <c r="BZ1417" s="1"/>
    </row>
    <row r="1418">
      <c r="A1418" s="3"/>
      <c r="B1418" s="33"/>
      <c r="C1418" s="3"/>
      <c r="D1418" s="3"/>
      <c r="E1418" s="2"/>
      <c r="F1418" s="2"/>
      <c r="G1418" s="14"/>
      <c r="H1418" s="14"/>
      <c r="I1418" s="14"/>
      <c r="J1418" s="14"/>
      <c r="K1418" s="14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8"/>
      <c r="BU1418" s="8"/>
      <c r="BV1418" s="1"/>
      <c r="BW1418" s="1"/>
      <c r="BX1418" s="1"/>
      <c r="BY1418" s="1"/>
      <c r="BZ1418" s="1"/>
    </row>
    <row r="1419">
      <c r="A1419" s="3"/>
      <c r="B1419" s="33"/>
      <c r="C1419" s="3"/>
      <c r="D1419" s="3"/>
      <c r="E1419" s="2"/>
      <c r="F1419" s="2"/>
      <c r="G1419" s="14"/>
      <c r="H1419" s="14"/>
      <c r="I1419" s="14"/>
      <c r="J1419" s="14"/>
      <c r="K1419" s="14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8"/>
      <c r="BU1419" s="8"/>
      <c r="BV1419" s="1"/>
      <c r="BW1419" s="1"/>
      <c r="BX1419" s="1"/>
      <c r="BY1419" s="1"/>
      <c r="BZ1419" s="1"/>
    </row>
    <row r="1420">
      <c r="A1420" s="3"/>
      <c r="B1420" s="33"/>
      <c r="C1420" s="3"/>
      <c r="D1420" s="3"/>
      <c r="E1420" s="2"/>
      <c r="F1420" s="2"/>
      <c r="G1420" s="14"/>
      <c r="H1420" s="14"/>
      <c r="I1420" s="14"/>
      <c r="J1420" s="14"/>
      <c r="K1420" s="14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8"/>
      <c r="BU1420" s="8"/>
      <c r="BV1420" s="1"/>
      <c r="BW1420" s="1"/>
      <c r="BX1420" s="1"/>
      <c r="BY1420" s="1"/>
      <c r="BZ1420" s="1"/>
    </row>
    <row r="1421">
      <c r="A1421" s="3"/>
      <c r="B1421" s="33"/>
      <c r="C1421" s="3"/>
      <c r="D1421" s="3"/>
      <c r="E1421" s="2"/>
      <c r="F1421" s="2"/>
      <c r="G1421" s="14"/>
      <c r="H1421" s="14"/>
      <c r="I1421" s="14"/>
      <c r="J1421" s="14"/>
      <c r="K1421" s="14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8"/>
      <c r="BU1421" s="8"/>
      <c r="BV1421" s="1"/>
      <c r="BW1421" s="1"/>
      <c r="BX1421" s="1"/>
      <c r="BY1421" s="1"/>
      <c r="BZ1421" s="1"/>
    </row>
    <row r="1422">
      <c r="A1422" s="3"/>
      <c r="B1422" s="33"/>
      <c r="C1422" s="3"/>
      <c r="D1422" s="3"/>
      <c r="E1422" s="2"/>
      <c r="F1422" s="2"/>
      <c r="G1422" s="14"/>
      <c r="H1422" s="14"/>
      <c r="I1422" s="14"/>
      <c r="J1422" s="14"/>
      <c r="K1422" s="14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8"/>
      <c r="BU1422" s="8"/>
      <c r="BV1422" s="1"/>
      <c r="BW1422" s="1"/>
      <c r="BX1422" s="1"/>
      <c r="BY1422" s="1"/>
      <c r="BZ1422" s="1"/>
    </row>
    <row r="1423">
      <c r="A1423" s="3"/>
      <c r="B1423" s="33"/>
      <c r="C1423" s="3"/>
      <c r="D1423" s="3"/>
      <c r="E1423" s="2"/>
      <c r="F1423" s="2"/>
      <c r="G1423" s="14"/>
      <c r="H1423" s="14"/>
      <c r="I1423" s="14"/>
      <c r="J1423" s="14"/>
      <c r="K1423" s="14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8"/>
      <c r="BU1423" s="8"/>
      <c r="BV1423" s="1"/>
      <c r="BW1423" s="1"/>
      <c r="BX1423" s="1"/>
      <c r="BY1423" s="1"/>
      <c r="BZ1423" s="1"/>
    </row>
    <row r="1424">
      <c r="A1424" s="3"/>
      <c r="B1424" s="33"/>
      <c r="C1424" s="3"/>
      <c r="D1424" s="3"/>
      <c r="E1424" s="2"/>
      <c r="F1424" s="2"/>
      <c r="G1424" s="14"/>
      <c r="H1424" s="14"/>
      <c r="I1424" s="14"/>
      <c r="J1424" s="14"/>
      <c r="K1424" s="14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8"/>
      <c r="BU1424" s="8"/>
      <c r="BV1424" s="1"/>
      <c r="BW1424" s="1"/>
      <c r="BX1424" s="1"/>
      <c r="BY1424" s="1"/>
      <c r="BZ1424" s="1"/>
    </row>
    <row r="1425">
      <c r="A1425" s="3"/>
      <c r="B1425" s="33"/>
      <c r="C1425" s="3"/>
      <c r="D1425" s="3"/>
      <c r="E1425" s="2"/>
      <c r="F1425" s="2"/>
      <c r="G1425" s="14"/>
      <c r="H1425" s="14"/>
      <c r="I1425" s="14"/>
      <c r="J1425" s="14"/>
      <c r="K1425" s="14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8"/>
      <c r="BU1425" s="8"/>
      <c r="BV1425" s="1"/>
      <c r="BW1425" s="1"/>
      <c r="BX1425" s="1"/>
      <c r="BY1425" s="1"/>
      <c r="BZ1425" s="1"/>
    </row>
    <row r="1426">
      <c r="A1426" s="3"/>
      <c r="B1426" s="33"/>
      <c r="C1426" s="3"/>
      <c r="D1426" s="3"/>
      <c r="E1426" s="2"/>
      <c r="F1426" s="2"/>
      <c r="G1426" s="14"/>
      <c r="H1426" s="14"/>
      <c r="I1426" s="14"/>
      <c r="J1426" s="14"/>
      <c r="K1426" s="14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8"/>
      <c r="BU1426" s="8"/>
      <c r="BV1426" s="1"/>
      <c r="BW1426" s="1"/>
      <c r="BX1426" s="1"/>
      <c r="BY1426" s="1"/>
      <c r="BZ1426" s="1"/>
    </row>
    <row r="1427">
      <c r="A1427" s="3"/>
      <c r="B1427" s="33"/>
      <c r="C1427" s="3"/>
      <c r="D1427" s="3"/>
      <c r="E1427" s="2"/>
      <c r="F1427" s="2"/>
      <c r="G1427" s="14"/>
      <c r="H1427" s="14"/>
      <c r="I1427" s="14"/>
      <c r="J1427" s="14"/>
      <c r="K1427" s="14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8"/>
      <c r="BU1427" s="8"/>
      <c r="BV1427" s="1"/>
      <c r="BW1427" s="1"/>
      <c r="BX1427" s="1"/>
      <c r="BY1427" s="1"/>
      <c r="BZ1427" s="1"/>
    </row>
    <row r="1428">
      <c r="A1428" s="3"/>
      <c r="B1428" s="33"/>
      <c r="C1428" s="3"/>
      <c r="D1428" s="3"/>
      <c r="E1428" s="2"/>
      <c r="F1428" s="2"/>
      <c r="G1428" s="14"/>
      <c r="H1428" s="14"/>
      <c r="I1428" s="14"/>
      <c r="J1428" s="14"/>
      <c r="K1428" s="14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8"/>
      <c r="BU1428" s="8"/>
      <c r="BV1428" s="1"/>
      <c r="BW1428" s="1"/>
      <c r="BX1428" s="1"/>
      <c r="BY1428" s="1"/>
      <c r="BZ1428" s="1"/>
    </row>
    <row r="1429">
      <c r="A1429" s="3"/>
      <c r="B1429" s="33"/>
      <c r="C1429" s="3"/>
      <c r="D1429" s="3"/>
      <c r="E1429" s="2"/>
      <c r="F1429" s="2"/>
      <c r="G1429" s="14"/>
      <c r="H1429" s="14"/>
      <c r="I1429" s="14"/>
      <c r="J1429" s="14"/>
      <c r="K1429" s="14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8"/>
      <c r="BU1429" s="8"/>
      <c r="BV1429" s="1"/>
      <c r="BW1429" s="1"/>
      <c r="BX1429" s="1"/>
      <c r="BY1429" s="1"/>
      <c r="BZ1429" s="1"/>
    </row>
    <row r="1430">
      <c r="A1430" s="3"/>
      <c r="B1430" s="33"/>
      <c r="C1430" s="3"/>
      <c r="D1430" s="3"/>
      <c r="E1430" s="2"/>
      <c r="F1430" s="2"/>
      <c r="G1430" s="14"/>
      <c r="H1430" s="14"/>
      <c r="I1430" s="14"/>
      <c r="J1430" s="14"/>
      <c r="K1430" s="14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8"/>
      <c r="BU1430" s="8"/>
      <c r="BV1430" s="1"/>
      <c r="BW1430" s="1"/>
      <c r="BX1430" s="1"/>
      <c r="BY1430" s="1"/>
      <c r="BZ1430" s="1"/>
    </row>
    <row r="1431">
      <c r="A1431" s="3"/>
      <c r="B1431" s="33"/>
      <c r="C1431" s="3"/>
      <c r="D1431" s="3"/>
      <c r="E1431" s="2"/>
      <c r="F1431" s="2"/>
      <c r="G1431" s="14"/>
      <c r="H1431" s="14"/>
      <c r="I1431" s="14"/>
      <c r="J1431" s="14"/>
      <c r="K1431" s="14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8"/>
      <c r="BU1431" s="8"/>
      <c r="BV1431" s="1"/>
      <c r="BW1431" s="1"/>
      <c r="BX1431" s="1"/>
      <c r="BY1431" s="1"/>
      <c r="BZ1431" s="1"/>
    </row>
    <row r="1432">
      <c r="A1432" s="3"/>
      <c r="B1432" s="33"/>
      <c r="C1432" s="3"/>
      <c r="D1432" s="3"/>
      <c r="E1432" s="2"/>
      <c r="F1432" s="2"/>
      <c r="G1432" s="14"/>
      <c r="H1432" s="14"/>
      <c r="I1432" s="14"/>
      <c r="J1432" s="14"/>
      <c r="K1432" s="14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8"/>
      <c r="BU1432" s="8"/>
      <c r="BV1432" s="1"/>
      <c r="BW1432" s="1"/>
      <c r="BX1432" s="1"/>
      <c r="BY1432" s="1"/>
      <c r="BZ1432" s="1"/>
    </row>
    <row r="1433">
      <c r="A1433" s="3"/>
      <c r="B1433" s="33"/>
      <c r="C1433" s="3"/>
      <c r="D1433" s="3"/>
      <c r="E1433" s="2"/>
      <c r="F1433" s="2"/>
      <c r="G1433" s="14"/>
      <c r="H1433" s="14"/>
      <c r="I1433" s="14"/>
      <c r="J1433" s="14"/>
      <c r="K1433" s="14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8"/>
      <c r="BU1433" s="8"/>
      <c r="BV1433" s="1"/>
      <c r="BW1433" s="1"/>
      <c r="BX1433" s="1"/>
      <c r="BY1433" s="1"/>
      <c r="BZ1433" s="1"/>
    </row>
    <row r="1434">
      <c r="A1434" s="3"/>
      <c r="B1434" s="33"/>
      <c r="C1434" s="3"/>
      <c r="D1434" s="3"/>
      <c r="E1434" s="2"/>
      <c r="F1434" s="2"/>
      <c r="G1434" s="14"/>
      <c r="H1434" s="14"/>
      <c r="I1434" s="14"/>
      <c r="J1434" s="14"/>
      <c r="K1434" s="14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8"/>
      <c r="BU1434" s="8"/>
      <c r="BV1434" s="1"/>
      <c r="BW1434" s="1"/>
      <c r="BX1434" s="1"/>
      <c r="BY1434" s="1"/>
      <c r="BZ1434" s="1"/>
    </row>
    <row r="1435">
      <c r="A1435" s="3"/>
      <c r="B1435" s="33"/>
      <c r="C1435" s="3"/>
      <c r="D1435" s="3"/>
      <c r="E1435" s="2"/>
      <c r="F1435" s="2"/>
      <c r="G1435" s="14"/>
      <c r="H1435" s="14"/>
      <c r="I1435" s="14"/>
      <c r="J1435" s="14"/>
      <c r="K1435" s="14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8"/>
      <c r="BU1435" s="8"/>
      <c r="BV1435" s="1"/>
      <c r="BW1435" s="1"/>
      <c r="BX1435" s="1"/>
      <c r="BY1435" s="1"/>
      <c r="BZ1435" s="1"/>
    </row>
    <row r="1436">
      <c r="A1436" s="3"/>
      <c r="B1436" s="33"/>
      <c r="C1436" s="3"/>
      <c r="D1436" s="3"/>
      <c r="E1436" s="2"/>
      <c r="F1436" s="2"/>
      <c r="G1436" s="14"/>
      <c r="H1436" s="14"/>
      <c r="I1436" s="14"/>
      <c r="J1436" s="14"/>
      <c r="K1436" s="14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8"/>
      <c r="BU1436" s="8"/>
      <c r="BV1436" s="1"/>
      <c r="BW1436" s="1"/>
      <c r="BX1436" s="1"/>
      <c r="BY1436" s="1"/>
      <c r="BZ1436" s="1"/>
    </row>
    <row r="1437">
      <c r="A1437" s="3"/>
      <c r="B1437" s="33"/>
      <c r="C1437" s="3"/>
      <c r="D1437" s="3"/>
      <c r="E1437" s="2"/>
      <c r="F1437" s="2"/>
      <c r="G1437" s="14"/>
      <c r="H1437" s="14"/>
      <c r="I1437" s="14"/>
      <c r="J1437" s="14"/>
      <c r="K1437" s="14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8"/>
      <c r="BU1437" s="8"/>
      <c r="BV1437" s="1"/>
      <c r="BW1437" s="1"/>
      <c r="BX1437" s="1"/>
      <c r="BY1437" s="1"/>
      <c r="BZ1437" s="1"/>
    </row>
    <row r="1438">
      <c r="A1438" s="3"/>
      <c r="B1438" s="33"/>
      <c r="C1438" s="3"/>
      <c r="D1438" s="3"/>
      <c r="E1438" s="2"/>
      <c r="F1438" s="2"/>
      <c r="G1438" s="14"/>
      <c r="H1438" s="14"/>
      <c r="I1438" s="14"/>
      <c r="J1438" s="14"/>
      <c r="K1438" s="14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8"/>
      <c r="BU1438" s="8"/>
      <c r="BV1438" s="1"/>
      <c r="BW1438" s="1"/>
      <c r="BX1438" s="1"/>
      <c r="BY1438" s="1"/>
      <c r="BZ1438" s="1"/>
    </row>
    <row r="1439">
      <c r="A1439" s="3"/>
      <c r="B1439" s="33"/>
      <c r="C1439" s="3"/>
      <c r="D1439" s="3"/>
      <c r="E1439" s="2"/>
      <c r="F1439" s="2"/>
      <c r="G1439" s="14"/>
      <c r="H1439" s="14"/>
      <c r="I1439" s="14"/>
      <c r="J1439" s="14"/>
      <c r="K1439" s="14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8"/>
      <c r="BU1439" s="8"/>
      <c r="BV1439" s="1"/>
      <c r="BW1439" s="1"/>
      <c r="BX1439" s="1"/>
      <c r="BY1439" s="1"/>
      <c r="BZ1439" s="1"/>
    </row>
    <row r="1440">
      <c r="A1440" s="3"/>
      <c r="B1440" s="33"/>
      <c r="C1440" s="3"/>
      <c r="D1440" s="3"/>
      <c r="E1440" s="2"/>
      <c r="F1440" s="2"/>
      <c r="G1440" s="14"/>
      <c r="H1440" s="14"/>
      <c r="I1440" s="14"/>
      <c r="J1440" s="14"/>
      <c r="K1440" s="14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8"/>
      <c r="BU1440" s="8"/>
      <c r="BV1440" s="1"/>
      <c r="BW1440" s="1"/>
      <c r="BX1440" s="1"/>
      <c r="BY1440" s="1"/>
      <c r="BZ1440" s="1"/>
    </row>
    <row r="1441">
      <c r="A1441" s="3"/>
      <c r="B1441" s="33"/>
      <c r="C1441" s="3"/>
      <c r="D1441" s="3"/>
      <c r="E1441" s="2"/>
      <c r="F1441" s="2"/>
      <c r="G1441" s="14"/>
      <c r="H1441" s="14"/>
      <c r="I1441" s="14"/>
      <c r="J1441" s="14"/>
      <c r="K1441" s="14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8"/>
      <c r="BU1441" s="8"/>
      <c r="BV1441" s="1"/>
      <c r="BW1441" s="1"/>
      <c r="BX1441" s="1"/>
      <c r="BY1441" s="1"/>
      <c r="BZ1441" s="1"/>
    </row>
    <row r="1442">
      <c r="A1442" s="3"/>
      <c r="B1442" s="33"/>
      <c r="C1442" s="3"/>
      <c r="D1442" s="3"/>
      <c r="E1442" s="2"/>
      <c r="F1442" s="2"/>
      <c r="G1442" s="14"/>
      <c r="H1442" s="14"/>
      <c r="I1442" s="14"/>
      <c r="J1442" s="14"/>
      <c r="K1442" s="14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8"/>
      <c r="BU1442" s="8"/>
      <c r="BV1442" s="1"/>
      <c r="BW1442" s="1"/>
      <c r="BX1442" s="1"/>
      <c r="BY1442" s="1"/>
      <c r="BZ1442" s="1"/>
    </row>
    <row r="1443">
      <c r="A1443" s="3"/>
      <c r="B1443" s="33"/>
      <c r="C1443" s="3"/>
      <c r="D1443" s="3"/>
      <c r="E1443" s="2"/>
      <c r="F1443" s="2"/>
      <c r="G1443" s="14"/>
      <c r="H1443" s="14"/>
      <c r="I1443" s="14"/>
      <c r="J1443" s="14"/>
      <c r="K1443" s="14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8"/>
      <c r="BU1443" s="8"/>
      <c r="BV1443" s="1"/>
      <c r="BW1443" s="1"/>
      <c r="BX1443" s="1"/>
      <c r="BY1443" s="1"/>
      <c r="BZ1443" s="1"/>
    </row>
    <row r="1444">
      <c r="A1444" s="3"/>
      <c r="B1444" s="33"/>
      <c r="C1444" s="3"/>
      <c r="D1444" s="3"/>
      <c r="E1444" s="2"/>
      <c r="F1444" s="2"/>
      <c r="G1444" s="14"/>
      <c r="H1444" s="14"/>
      <c r="I1444" s="14"/>
      <c r="J1444" s="14"/>
      <c r="K1444" s="14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8"/>
      <c r="BU1444" s="8"/>
      <c r="BV1444" s="1"/>
      <c r="BW1444" s="1"/>
      <c r="BX1444" s="1"/>
      <c r="BY1444" s="1"/>
      <c r="BZ1444" s="1"/>
    </row>
    <row r="1445">
      <c r="A1445" s="3"/>
      <c r="B1445" s="33"/>
      <c r="C1445" s="3"/>
      <c r="D1445" s="3"/>
      <c r="E1445" s="2"/>
      <c r="F1445" s="2"/>
      <c r="G1445" s="14"/>
      <c r="H1445" s="14"/>
      <c r="I1445" s="14"/>
      <c r="J1445" s="14"/>
      <c r="K1445" s="14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8"/>
      <c r="BU1445" s="8"/>
      <c r="BV1445" s="1"/>
      <c r="BW1445" s="1"/>
      <c r="BX1445" s="1"/>
      <c r="BY1445" s="1"/>
      <c r="BZ1445" s="1"/>
    </row>
    <row r="1446">
      <c r="A1446" s="3"/>
      <c r="B1446" s="33"/>
      <c r="C1446" s="3"/>
      <c r="D1446" s="3"/>
      <c r="E1446" s="2"/>
      <c r="F1446" s="2"/>
      <c r="G1446" s="14"/>
      <c r="H1446" s="14"/>
      <c r="I1446" s="14"/>
      <c r="J1446" s="14"/>
      <c r="K1446" s="14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8"/>
      <c r="BU1446" s="8"/>
      <c r="BV1446" s="1"/>
      <c r="BW1446" s="1"/>
      <c r="BX1446" s="1"/>
      <c r="BY1446" s="1"/>
      <c r="BZ1446" s="1"/>
    </row>
    <row r="1447">
      <c r="A1447" s="3"/>
      <c r="B1447" s="33"/>
      <c r="C1447" s="3"/>
      <c r="D1447" s="3"/>
      <c r="E1447" s="2"/>
      <c r="F1447" s="2"/>
      <c r="G1447" s="14"/>
      <c r="H1447" s="14"/>
      <c r="I1447" s="14"/>
      <c r="J1447" s="14"/>
      <c r="K1447" s="14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8"/>
      <c r="BU1447" s="8"/>
      <c r="BV1447" s="1"/>
      <c r="BW1447" s="1"/>
      <c r="BX1447" s="1"/>
      <c r="BY1447" s="1"/>
      <c r="BZ1447" s="1"/>
    </row>
    <row r="1448">
      <c r="A1448" s="3"/>
      <c r="B1448" s="33"/>
      <c r="C1448" s="3"/>
      <c r="D1448" s="3"/>
      <c r="E1448" s="2"/>
      <c r="F1448" s="2"/>
      <c r="G1448" s="14"/>
      <c r="H1448" s="14"/>
      <c r="I1448" s="14"/>
      <c r="J1448" s="14"/>
      <c r="K1448" s="14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8"/>
      <c r="BU1448" s="8"/>
      <c r="BV1448" s="1"/>
      <c r="BW1448" s="1"/>
      <c r="BX1448" s="1"/>
      <c r="BY1448" s="1"/>
      <c r="BZ1448" s="1"/>
    </row>
    <row r="1449">
      <c r="A1449" s="3"/>
      <c r="B1449" s="33"/>
      <c r="C1449" s="3"/>
      <c r="D1449" s="3"/>
      <c r="E1449" s="2"/>
      <c r="F1449" s="2"/>
      <c r="G1449" s="14"/>
      <c r="H1449" s="14"/>
      <c r="I1449" s="14"/>
      <c r="J1449" s="14"/>
      <c r="K1449" s="14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8"/>
      <c r="BU1449" s="8"/>
      <c r="BV1449" s="1"/>
      <c r="BW1449" s="1"/>
      <c r="BX1449" s="1"/>
      <c r="BY1449" s="1"/>
      <c r="BZ1449" s="1"/>
    </row>
    <row r="1450">
      <c r="A1450" s="3"/>
      <c r="B1450" s="33"/>
      <c r="C1450" s="3"/>
      <c r="D1450" s="3"/>
      <c r="E1450" s="2"/>
      <c r="F1450" s="2"/>
      <c r="G1450" s="14"/>
      <c r="H1450" s="14"/>
      <c r="I1450" s="14"/>
      <c r="J1450" s="14"/>
      <c r="K1450" s="14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8"/>
      <c r="BU1450" s="8"/>
      <c r="BV1450" s="1"/>
      <c r="BW1450" s="1"/>
      <c r="BX1450" s="1"/>
      <c r="BY1450" s="1"/>
      <c r="BZ1450" s="1"/>
    </row>
    <row r="1451">
      <c r="A1451" s="3"/>
      <c r="B1451" s="33"/>
      <c r="C1451" s="3"/>
      <c r="D1451" s="3"/>
      <c r="E1451" s="2"/>
      <c r="F1451" s="2"/>
      <c r="G1451" s="14"/>
      <c r="H1451" s="14"/>
      <c r="I1451" s="14"/>
      <c r="J1451" s="14"/>
      <c r="K1451" s="14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8"/>
      <c r="BU1451" s="8"/>
      <c r="BV1451" s="1"/>
      <c r="BW1451" s="1"/>
      <c r="BX1451" s="1"/>
      <c r="BY1451" s="1"/>
      <c r="BZ1451" s="1"/>
    </row>
    <row r="1452">
      <c r="A1452" s="3"/>
      <c r="B1452" s="33"/>
      <c r="C1452" s="3"/>
      <c r="D1452" s="3"/>
      <c r="E1452" s="2"/>
      <c r="F1452" s="2"/>
      <c r="G1452" s="14"/>
      <c r="H1452" s="14"/>
      <c r="I1452" s="14"/>
      <c r="J1452" s="14"/>
      <c r="K1452" s="14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8"/>
      <c r="BU1452" s="8"/>
      <c r="BV1452" s="1"/>
      <c r="BW1452" s="1"/>
      <c r="BX1452" s="1"/>
      <c r="BY1452" s="1"/>
      <c r="BZ1452" s="1"/>
    </row>
    <row r="1453">
      <c r="A1453" s="3"/>
      <c r="B1453" s="33"/>
      <c r="C1453" s="3"/>
      <c r="D1453" s="3"/>
      <c r="E1453" s="2"/>
      <c r="F1453" s="2"/>
      <c r="G1453" s="14"/>
      <c r="H1453" s="14"/>
      <c r="I1453" s="14"/>
      <c r="J1453" s="14"/>
      <c r="K1453" s="14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8"/>
      <c r="BU1453" s="8"/>
      <c r="BV1453" s="1"/>
      <c r="BW1453" s="1"/>
      <c r="BX1453" s="1"/>
      <c r="BY1453" s="1"/>
      <c r="BZ1453" s="1"/>
    </row>
    <row r="1454">
      <c r="A1454" s="3"/>
      <c r="B1454" s="33"/>
      <c r="C1454" s="3"/>
      <c r="D1454" s="3"/>
      <c r="E1454" s="2"/>
      <c r="F1454" s="2"/>
      <c r="G1454" s="14"/>
      <c r="H1454" s="14"/>
      <c r="I1454" s="14"/>
      <c r="J1454" s="14"/>
      <c r="K1454" s="14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8"/>
      <c r="BU1454" s="8"/>
      <c r="BV1454" s="1"/>
      <c r="BW1454" s="1"/>
      <c r="BX1454" s="1"/>
      <c r="BY1454" s="1"/>
      <c r="BZ1454" s="1"/>
    </row>
    <row r="1455">
      <c r="A1455" s="3"/>
      <c r="B1455" s="33"/>
      <c r="C1455" s="3"/>
      <c r="D1455" s="3"/>
      <c r="E1455" s="2"/>
      <c r="F1455" s="2"/>
      <c r="G1455" s="14"/>
      <c r="H1455" s="14"/>
      <c r="I1455" s="14"/>
      <c r="J1455" s="14"/>
      <c r="K1455" s="14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8"/>
      <c r="BU1455" s="8"/>
      <c r="BV1455" s="1"/>
      <c r="BW1455" s="1"/>
      <c r="BX1455" s="1"/>
      <c r="BY1455" s="1"/>
      <c r="BZ1455" s="1"/>
    </row>
    <row r="1456">
      <c r="A1456" s="3"/>
      <c r="B1456" s="33"/>
      <c r="C1456" s="3"/>
      <c r="D1456" s="3"/>
      <c r="E1456" s="2"/>
      <c r="F1456" s="2"/>
      <c r="G1456" s="14"/>
      <c r="H1456" s="14"/>
      <c r="I1456" s="14"/>
      <c r="J1456" s="14"/>
      <c r="K1456" s="14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8"/>
      <c r="BU1456" s="8"/>
      <c r="BV1456" s="1"/>
      <c r="BW1456" s="1"/>
      <c r="BX1456" s="1"/>
      <c r="BY1456" s="1"/>
      <c r="BZ1456" s="1"/>
    </row>
    <row r="1457">
      <c r="A1457" s="3"/>
      <c r="B1457" s="33"/>
      <c r="C1457" s="3"/>
      <c r="D1457" s="3"/>
      <c r="E1457" s="2"/>
      <c r="F1457" s="2"/>
      <c r="G1457" s="14"/>
      <c r="H1457" s="14"/>
      <c r="I1457" s="14"/>
      <c r="J1457" s="14"/>
      <c r="K1457" s="14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8"/>
      <c r="BU1457" s="8"/>
      <c r="BV1457" s="1"/>
      <c r="BW1457" s="1"/>
      <c r="BX1457" s="1"/>
      <c r="BY1457" s="1"/>
      <c r="BZ1457" s="1"/>
    </row>
    <row r="1458">
      <c r="A1458" s="3"/>
      <c r="B1458" s="33"/>
      <c r="C1458" s="3"/>
      <c r="D1458" s="3"/>
      <c r="E1458" s="2"/>
      <c r="F1458" s="2"/>
      <c r="G1458" s="14"/>
      <c r="H1458" s="14"/>
      <c r="I1458" s="14"/>
      <c r="J1458" s="14"/>
      <c r="K1458" s="14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8"/>
      <c r="BU1458" s="8"/>
      <c r="BV1458" s="1"/>
      <c r="BW1458" s="1"/>
      <c r="BX1458" s="1"/>
      <c r="BY1458" s="1"/>
      <c r="BZ1458" s="1"/>
    </row>
    <row r="1459">
      <c r="A1459" s="3"/>
      <c r="B1459" s="33"/>
      <c r="C1459" s="3"/>
      <c r="D1459" s="3"/>
      <c r="E1459" s="2"/>
      <c r="F1459" s="2"/>
      <c r="G1459" s="14"/>
      <c r="H1459" s="14"/>
      <c r="I1459" s="14"/>
      <c r="J1459" s="14"/>
      <c r="K1459" s="14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8"/>
      <c r="BU1459" s="8"/>
      <c r="BV1459" s="1"/>
      <c r="BW1459" s="1"/>
      <c r="BX1459" s="1"/>
      <c r="BY1459" s="1"/>
      <c r="BZ1459" s="1"/>
    </row>
    <row r="1460">
      <c r="A1460" s="3"/>
      <c r="B1460" s="33"/>
      <c r="C1460" s="3"/>
      <c r="D1460" s="3"/>
      <c r="E1460" s="2"/>
      <c r="F1460" s="2"/>
      <c r="G1460" s="14"/>
      <c r="H1460" s="14"/>
      <c r="I1460" s="14"/>
      <c r="J1460" s="14"/>
      <c r="K1460" s="14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8"/>
      <c r="BU1460" s="8"/>
      <c r="BV1460" s="1"/>
      <c r="BW1460" s="1"/>
      <c r="BX1460" s="1"/>
      <c r="BY1460" s="1"/>
      <c r="BZ1460" s="1"/>
    </row>
    <row r="1461">
      <c r="A1461" s="3"/>
      <c r="B1461" s="33"/>
      <c r="C1461" s="3"/>
      <c r="D1461" s="3"/>
      <c r="E1461" s="2"/>
      <c r="F1461" s="2"/>
      <c r="G1461" s="14"/>
      <c r="H1461" s="14"/>
      <c r="I1461" s="14"/>
      <c r="J1461" s="14"/>
      <c r="K1461" s="14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8"/>
      <c r="BU1461" s="8"/>
      <c r="BV1461" s="1"/>
      <c r="BW1461" s="1"/>
      <c r="BX1461" s="1"/>
      <c r="BY1461" s="1"/>
      <c r="BZ1461" s="1"/>
    </row>
    <row r="1462">
      <c r="A1462" s="3"/>
      <c r="B1462" s="33"/>
      <c r="C1462" s="3"/>
      <c r="D1462" s="3"/>
      <c r="E1462" s="2"/>
      <c r="F1462" s="2"/>
      <c r="G1462" s="14"/>
      <c r="H1462" s="14"/>
      <c r="I1462" s="14"/>
      <c r="J1462" s="14"/>
      <c r="K1462" s="14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8"/>
      <c r="BU1462" s="8"/>
      <c r="BV1462" s="1"/>
      <c r="BW1462" s="1"/>
      <c r="BX1462" s="1"/>
      <c r="BY1462" s="1"/>
      <c r="BZ1462" s="1"/>
    </row>
    <row r="1463">
      <c r="A1463" s="3"/>
      <c r="B1463" s="33"/>
      <c r="C1463" s="3"/>
      <c r="D1463" s="3"/>
      <c r="E1463" s="2"/>
      <c r="F1463" s="2"/>
      <c r="G1463" s="14"/>
      <c r="H1463" s="14"/>
      <c r="I1463" s="14"/>
      <c r="J1463" s="14"/>
      <c r="K1463" s="14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8"/>
      <c r="BU1463" s="8"/>
      <c r="BV1463" s="1"/>
      <c r="BW1463" s="1"/>
      <c r="BX1463" s="1"/>
      <c r="BY1463" s="1"/>
      <c r="BZ1463" s="1"/>
    </row>
    <row r="1464">
      <c r="A1464" s="3"/>
      <c r="B1464" s="33"/>
      <c r="C1464" s="3"/>
      <c r="D1464" s="3"/>
      <c r="E1464" s="2"/>
      <c r="F1464" s="2"/>
      <c r="G1464" s="14"/>
      <c r="H1464" s="14"/>
      <c r="I1464" s="14"/>
      <c r="J1464" s="14"/>
      <c r="K1464" s="14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8"/>
      <c r="BU1464" s="8"/>
      <c r="BV1464" s="1"/>
      <c r="BW1464" s="1"/>
      <c r="BX1464" s="1"/>
      <c r="BY1464" s="1"/>
      <c r="BZ1464" s="1"/>
    </row>
    <row r="1465">
      <c r="A1465" s="3"/>
      <c r="B1465" s="33"/>
      <c r="C1465" s="3"/>
      <c r="D1465" s="3"/>
      <c r="E1465" s="2"/>
      <c r="F1465" s="2"/>
      <c r="G1465" s="14"/>
      <c r="H1465" s="14"/>
      <c r="I1465" s="14"/>
      <c r="J1465" s="14"/>
      <c r="K1465" s="14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8"/>
      <c r="BU1465" s="8"/>
      <c r="BV1465" s="1"/>
      <c r="BW1465" s="1"/>
      <c r="BX1465" s="1"/>
      <c r="BY1465" s="1"/>
      <c r="BZ1465" s="1"/>
    </row>
    <row r="1466">
      <c r="A1466" s="3"/>
      <c r="B1466" s="33"/>
      <c r="C1466" s="3"/>
      <c r="D1466" s="3"/>
      <c r="E1466" s="2"/>
      <c r="F1466" s="2"/>
      <c r="G1466" s="14"/>
      <c r="H1466" s="14"/>
      <c r="I1466" s="14"/>
      <c r="J1466" s="14"/>
      <c r="K1466" s="14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8"/>
      <c r="BU1466" s="8"/>
      <c r="BV1466" s="1"/>
      <c r="BW1466" s="1"/>
      <c r="BX1466" s="1"/>
      <c r="BY1466" s="1"/>
      <c r="BZ1466" s="1"/>
    </row>
    <row r="1467">
      <c r="A1467" s="3"/>
      <c r="B1467" s="33"/>
      <c r="C1467" s="3"/>
      <c r="D1467" s="3"/>
      <c r="E1467" s="2"/>
      <c r="F1467" s="2"/>
      <c r="G1467" s="14"/>
      <c r="H1467" s="14"/>
      <c r="I1467" s="14"/>
      <c r="J1467" s="14"/>
      <c r="K1467" s="14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8"/>
      <c r="BU1467" s="8"/>
      <c r="BV1467" s="1"/>
      <c r="BW1467" s="1"/>
      <c r="BX1467" s="1"/>
      <c r="BY1467" s="1"/>
      <c r="BZ1467" s="1"/>
    </row>
    <row r="1468">
      <c r="A1468" s="3"/>
      <c r="B1468" s="33"/>
      <c r="C1468" s="3"/>
      <c r="D1468" s="3"/>
      <c r="E1468" s="2"/>
      <c r="F1468" s="2"/>
      <c r="G1468" s="14"/>
      <c r="H1468" s="14"/>
      <c r="I1468" s="14"/>
      <c r="J1468" s="14"/>
      <c r="K1468" s="14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8"/>
      <c r="BU1468" s="8"/>
      <c r="BV1468" s="1"/>
      <c r="BW1468" s="1"/>
      <c r="BX1468" s="1"/>
      <c r="BY1468" s="1"/>
      <c r="BZ1468" s="1"/>
    </row>
    <row r="1469">
      <c r="A1469" s="3"/>
      <c r="B1469" s="33"/>
      <c r="C1469" s="3"/>
      <c r="D1469" s="3"/>
      <c r="E1469" s="2"/>
      <c r="F1469" s="2"/>
      <c r="G1469" s="14"/>
      <c r="H1469" s="14"/>
      <c r="I1469" s="14"/>
      <c r="J1469" s="14"/>
      <c r="K1469" s="14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8"/>
      <c r="BU1469" s="8"/>
      <c r="BV1469" s="1"/>
      <c r="BW1469" s="1"/>
      <c r="BX1469" s="1"/>
      <c r="BY1469" s="1"/>
      <c r="BZ1469" s="1"/>
    </row>
    <row r="1470">
      <c r="A1470" s="3"/>
      <c r="B1470" s="33"/>
      <c r="C1470" s="3"/>
      <c r="D1470" s="3"/>
      <c r="E1470" s="2"/>
      <c r="F1470" s="2"/>
      <c r="G1470" s="14"/>
      <c r="H1470" s="14"/>
      <c r="I1470" s="14"/>
      <c r="J1470" s="14"/>
      <c r="K1470" s="14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8"/>
      <c r="BU1470" s="8"/>
      <c r="BV1470" s="1"/>
      <c r="BW1470" s="1"/>
      <c r="BX1470" s="1"/>
      <c r="BY1470" s="1"/>
      <c r="BZ1470" s="1"/>
    </row>
  </sheetData>
  <autoFilter ref="$A$2:$BX$659"/>
  <conditionalFormatting sqref="AW62:BS62">
    <cfRule type="cellIs" dxfId="0" priority="1" operator="lessThan">
      <formula>"20%"</formula>
    </cfRule>
  </conditionalFormatting>
  <conditionalFormatting sqref="AW62:BS62">
    <cfRule type="cellIs" dxfId="1" priority="2" operator="greaterThan">
      <formula>"30%"</formula>
    </cfRule>
  </conditionalFormatting>
  <conditionalFormatting sqref="AW62:BS62">
    <cfRule type="cellIs" dxfId="2" priority="3" operator="lessThan">
      <formula>"25%"</formula>
    </cfRule>
  </conditionalFormatting>
  <conditionalFormatting sqref="AW62:BS62">
    <cfRule type="cellIs" dxfId="3" priority="4" operator="between">
      <formula>"25%"</formula>
      <formula>"30%"</formula>
    </cfRule>
  </conditionalFormatting>
  <conditionalFormatting sqref="AW62:BK62">
    <cfRule type="cellIs" dxfId="4" priority="5" operator="greaterThan">
      <formula>"30%"</formula>
    </cfRule>
  </conditionalFormatting>
  <conditionalFormatting sqref="AW62:BK62">
    <cfRule type="cellIs" dxfId="0" priority="6" operator="greaterThan">
      <formula>"35%"</formula>
    </cfRule>
  </conditionalFormatting>
  <hyperlinks>
    <hyperlink r:id="rId2" ref="BT7"/>
    <hyperlink r:id="rId3" ref="BT8"/>
    <hyperlink r:id="rId4" ref="BT22"/>
    <hyperlink r:id="rId5" ref="BT30"/>
    <hyperlink r:id="rId6" ref="BT31"/>
    <hyperlink r:id="rId7" ref="BT32"/>
    <hyperlink r:id="rId8" ref="BT33"/>
    <hyperlink r:id="rId9" location="gid=1397043084" ref="BT34"/>
    <hyperlink r:id="rId10" location="gid=1397043084" ref="BT35"/>
    <hyperlink r:id="rId11" ref="BT40"/>
    <hyperlink r:id="rId12" ref="BT72"/>
    <hyperlink r:id="rId13" location="gid=1924414496" ref="BT73"/>
    <hyperlink r:id="rId14" location="gid=1924414496" ref="BT74"/>
    <hyperlink r:id="rId15" location="gid=1739009613" ref="BT81"/>
    <hyperlink r:id="rId16" location="gid=1739009613" ref="BT82"/>
    <hyperlink r:id="rId17" location="gid=1739009613" ref="BT84"/>
    <hyperlink r:id="rId18" location="gid=1739009613" ref="BT85"/>
    <hyperlink r:id="rId19" location="gid=1320693490" ref="BT91"/>
    <hyperlink r:id="rId20" ref="BT99"/>
    <hyperlink r:id="rId21" ref="BT100"/>
    <hyperlink r:id="rId22" ref="BT102"/>
    <hyperlink r:id="rId23" location="gid=1924414496" ref="BT118"/>
    <hyperlink r:id="rId24" location="gid=1924414496" ref="BT119"/>
    <hyperlink r:id="rId25" location="gid=1924414496" ref="BT120"/>
    <hyperlink r:id="rId26" location="gid=1924414496" ref="BT121"/>
    <hyperlink r:id="rId27" location="gid=1924414496" ref="BT122"/>
    <hyperlink r:id="rId28" location="gid=1924414496" ref="BT123"/>
    <hyperlink r:id="rId29" location="gid=1924414496" ref="BT124"/>
    <hyperlink r:id="rId30" location="gid=1924414496" ref="BT125"/>
    <hyperlink r:id="rId31" location="gid=1924414496" ref="BT126"/>
    <hyperlink r:id="rId32" location="gid=1924414496" ref="BT127"/>
    <hyperlink r:id="rId33" location="gid=1924414496" ref="BT128"/>
    <hyperlink r:id="rId34" location="gid=1924414496" ref="BT129"/>
    <hyperlink r:id="rId35" location="gid=1924414496" ref="BT130"/>
    <hyperlink r:id="rId36" location="gid=1808287108" ref="BT135"/>
    <hyperlink r:id="rId37" ref="BT136"/>
    <hyperlink r:id="rId38" ref="BT138"/>
    <hyperlink r:id="rId39" ref="BT141"/>
    <hyperlink r:id="rId40" ref="BT142"/>
    <hyperlink r:id="rId41" ref="BT143"/>
    <hyperlink r:id="rId42" ref="BT146"/>
    <hyperlink r:id="rId43" location="gid=1924414496" ref="BT164"/>
    <hyperlink r:id="rId44" location="gid=1924414496" ref="BT165"/>
    <hyperlink r:id="rId45" location="gid=1924414496" ref="BT166"/>
    <hyperlink r:id="rId46" location="gid=1924414496" ref="BT167"/>
    <hyperlink r:id="rId47" location="gid=1924414496" ref="BT168"/>
    <hyperlink r:id="rId48" location="gid=1924414496" ref="BT169"/>
    <hyperlink r:id="rId49" location="gid=1924414496" ref="BT170"/>
    <hyperlink r:id="rId50" location="gid=1924414496" ref="BT171"/>
    <hyperlink r:id="rId51" location="gid=1924414496" ref="BT198"/>
    <hyperlink r:id="rId52" location="gid=1924414496" ref="BT199"/>
    <hyperlink r:id="rId53" location="gid=1924414496" ref="BT203"/>
    <hyperlink r:id="rId54" location="gid=1924414496" ref="BT204"/>
    <hyperlink r:id="rId55" location="gid=1924414496" ref="BT205"/>
    <hyperlink r:id="rId56" location="gid=1924414496" ref="BT206"/>
    <hyperlink r:id="rId57" location="gid=1924414496" ref="BT207"/>
    <hyperlink r:id="rId58" location="gid=1924414496" ref="BT208"/>
    <hyperlink r:id="rId59" location="gid=1924414496" ref="BT209"/>
    <hyperlink r:id="rId60" location="gid=1592040927" ref="BT226"/>
    <hyperlink r:id="rId61" location="gid=1592040927" ref="BT228"/>
    <hyperlink r:id="rId62" location="gid=28393921" ref="BT534"/>
    <hyperlink r:id="rId63" location="gid=28393921" ref="BT535"/>
    <hyperlink r:id="rId64" location="gid=28393921" ref="BT536"/>
    <hyperlink r:id="rId65" location="gid=28393921" ref="BT537"/>
    <hyperlink r:id="rId66" location="gid=28393921" ref="BT538"/>
    <hyperlink r:id="rId67" location="gid=28393921" ref="BT539"/>
    <hyperlink r:id="rId68" location="gid=28393921" ref="BT540"/>
    <hyperlink r:id="rId69" location="gid=28393921" ref="BT541"/>
    <hyperlink r:id="rId70" location="gid=1924414496" ref="BT545"/>
    <hyperlink r:id="rId71" location="gid=28393921" ref="BT547"/>
    <hyperlink r:id="rId72" location="gid=28393921" ref="BT548"/>
    <hyperlink r:id="rId73" location="gid=28393921" ref="BT549"/>
    <hyperlink r:id="rId74" location="gid=28393921" ref="BT550"/>
    <hyperlink r:id="rId75" location="gid=28393921" ref="BT551"/>
    <hyperlink r:id="rId76" location="gid=28393921" ref="BT552"/>
    <hyperlink r:id="rId77" location="gid=28393921" ref="BT553"/>
    <hyperlink r:id="rId78" location="gid=28393921" ref="BT554"/>
    <hyperlink r:id="rId79" location="gid=28393921" ref="BT555"/>
    <hyperlink r:id="rId80" location="gid=28393921" ref="BT557"/>
    <hyperlink r:id="rId81" location="gid=28393921" ref="BT570"/>
    <hyperlink r:id="rId82" location="gid=28393921" ref="BT580"/>
    <hyperlink r:id="rId83" location="gid=1924414496" ref="BT586"/>
    <hyperlink r:id="rId84" location="gid=1924414496" ref="BT587"/>
    <hyperlink r:id="rId85" location="gid=1924414496" ref="BT588"/>
    <hyperlink r:id="rId86" location="gid=1924414496" ref="BT589"/>
    <hyperlink r:id="rId87" location="gid=1924414496" ref="BT590"/>
    <hyperlink r:id="rId88" location="gid=1924414496" ref="BT591"/>
    <hyperlink r:id="rId89" location="gid=1924414496" ref="BT592"/>
    <hyperlink r:id="rId90" location="gid=1924414496" ref="BT593"/>
    <hyperlink r:id="rId91" location="gid=1924414496" ref="BW593"/>
    <hyperlink r:id="rId92" location="gid=1924414496" ref="BT594"/>
    <hyperlink r:id="rId93" location="gid=1924414496" ref="BT595"/>
    <hyperlink r:id="rId94" location="gid=1924414496" ref="BT596"/>
    <hyperlink r:id="rId95" location="gid=1924414496" ref="BT617"/>
    <hyperlink r:id="rId96" location="gid=1924414496" ref="BT618"/>
    <hyperlink r:id="rId97" location="gid=1924414496" ref="BT619"/>
    <hyperlink r:id="rId98" location="gid=1924414496" ref="BT620"/>
    <hyperlink r:id="rId99" location="gid=1924414496" ref="BT621"/>
    <hyperlink r:id="rId100" location="gid=1924414496" ref="BT622"/>
    <hyperlink r:id="rId101" location="gid=1924414496" ref="BT623"/>
    <hyperlink r:id="rId102" location="gid=1924414496" ref="BT668"/>
  </hyperlinks>
  <drawing r:id="rId103"/>
  <legacyDrawing r:id="rId104"/>
</worksheet>
</file>