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sty\Data\BACKUP RESTI_DATA_D\2018 TANGGAL 5 MARET 2018\laporan 2021\BANK RIAU\konsumtif\"/>
    </mc:Choice>
  </mc:AlternateContent>
  <bookViews>
    <workbookView xWindow="0" yWindow="0" windowWidth="28800" windowHeight="12135" tabRatio="863" activeTab="5"/>
  </bookViews>
  <sheets>
    <sheet name="KONSUMTIF" sheetId="1" r:id="rId1"/>
    <sheet name="IJP DESEMBER" sheetId="34" r:id="rId2"/>
    <sheet name="FEE DESEMBER" sheetId="33" r:id="rId3"/>
    <sheet name="ijp oktober" sheetId="30" state="hidden" r:id="rId4"/>
    <sheet name="fee oktober" sheetId="31" state="hidden" r:id="rId5"/>
    <sheet name="OUTSTANDING" sheetId="2" r:id="rId6"/>
    <sheet name="ijp sept" sheetId="28" state="hidden" r:id="rId7"/>
    <sheet name="fee sept" sheetId="29" state="hidden" r:id="rId8"/>
    <sheet name="IJP JULI" sheetId="3" state="hidden" r:id="rId9"/>
    <sheet name="FEE JULI" sheetId="4" state="hidden" r:id="rId10"/>
    <sheet name="IJP JUNI" sheetId="26" state="hidden" r:id="rId11"/>
    <sheet name="FEE JUNI" sheetId="27" state="hidden" r:id="rId12"/>
    <sheet name="IJP JANUARI" sheetId="17" state="hidden" r:id="rId13"/>
    <sheet name="FEE JANUARI" sheetId="16" state="hidden" r:id="rId14"/>
    <sheet name="IJP FEBRUARI" sheetId="18" state="hidden" r:id="rId15"/>
    <sheet name="FEE FEBRUARI" sheetId="19" state="hidden" r:id="rId16"/>
    <sheet name="IJP MARET" sheetId="20" state="hidden" r:id="rId17"/>
    <sheet name="FEE MARET" sheetId="21" state="hidden" r:id="rId18"/>
    <sheet name="IJP APRIL" sheetId="22" state="hidden" r:id="rId19"/>
    <sheet name="FEE APRIL" sheetId="23" state="hidden" r:id="rId20"/>
    <sheet name="FEE MEI" sheetId="25" state="hidden" r:id="rId21"/>
    <sheet name="IJP MEI" sheetId="24" state="hidden" r:id="rId22"/>
  </sheets>
  <calcPr calcId="152511" iterate="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5" i="34" l="1"/>
  <c r="F85" i="34"/>
  <c r="G85" i="34"/>
  <c r="H85" i="34"/>
  <c r="I85" i="34"/>
  <c r="J85" i="34"/>
  <c r="K85" i="34"/>
  <c r="L85" i="34"/>
  <c r="M85" i="34"/>
  <c r="N85" i="34"/>
  <c r="O85" i="34"/>
  <c r="P85" i="34"/>
  <c r="R85" i="34"/>
  <c r="S85" i="34"/>
  <c r="T85" i="34"/>
  <c r="U85" i="34"/>
  <c r="V85" i="34"/>
  <c r="W85" i="34"/>
  <c r="X85" i="34"/>
  <c r="Q85" i="34"/>
  <c r="W84" i="34"/>
  <c r="X84" i="34"/>
  <c r="W83" i="34"/>
  <c r="X83" i="34"/>
  <c r="W81" i="34"/>
  <c r="X81" i="34"/>
  <c r="W82" i="34"/>
  <c r="X82" i="34"/>
  <c r="W80" i="34"/>
  <c r="X80" i="34"/>
  <c r="R81" i="34"/>
  <c r="S81" i="34"/>
  <c r="T81" i="34"/>
  <c r="U81" i="34"/>
  <c r="V81" i="34"/>
  <c r="Q13" i="34"/>
  <c r="Q112" i="34"/>
  <c r="Q135" i="34"/>
  <c r="Q75" i="34"/>
  <c r="Q44" i="34"/>
  <c r="Q24" i="34"/>
  <c r="U119" i="34"/>
  <c r="T132" i="34"/>
  <c r="T131" i="34"/>
  <c r="T129" i="34"/>
  <c r="T128" i="34"/>
  <c r="T127" i="34"/>
  <c r="T126" i="34"/>
  <c r="T125" i="34"/>
  <c r="T124" i="34"/>
  <c r="T123" i="34"/>
  <c r="T122" i="34"/>
  <c r="T121" i="34"/>
  <c r="T119" i="34"/>
  <c r="U117" i="34"/>
  <c r="T117" i="34"/>
  <c r="U107" i="34"/>
  <c r="T107" i="34"/>
  <c r="T108" i="34"/>
  <c r="T111" i="34"/>
  <c r="T109" i="34"/>
  <c r="T91" i="34"/>
  <c r="T92" i="34"/>
  <c r="T93" i="34"/>
  <c r="T94" i="34"/>
  <c r="T95" i="34"/>
  <c r="T96" i="34"/>
  <c r="T97" i="34"/>
  <c r="T98" i="34"/>
  <c r="T99" i="34"/>
  <c r="T100" i="34"/>
  <c r="T101" i="34"/>
  <c r="T102" i="34"/>
  <c r="T103" i="34"/>
  <c r="T104" i="34"/>
  <c r="T105" i="34"/>
  <c r="T90" i="34"/>
  <c r="T82" i="34"/>
  <c r="T80" i="34"/>
  <c r="T72" i="34"/>
  <c r="T71" i="34"/>
  <c r="T69" i="34"/>
  <c r="T68" i="34"/>
  <c r="T67" i="34"/>
  <c r="T66" i="34"/>
  <c r="T65" i="34"/>
  <c r="T64" i="34"/>
  <c r="T63" i="34"/>
  <c r="T62" i="34"/>
  <c r="T61" i="34"/>
  <c r="T60" i="34"/>
  <c r="T59" i="34"/>
  <c r="T58" i="34"/>
  <c r="T57" i="34"/>
  <c r="T56" i="34"/>
  <c r="T54" i="34"/>
  <c r="T52" i="34"/>
  <c r="T51" i="34"/>
  <c r="T49" i="34"/>
  <c r="U41" i="34"/>
  <c r="T41" i="34"/>
  <c r="T39" i="34"/>
  <c r="T38" i="34"/>
  <c r="T36" i="34"/>
  <c r="T34" i="34"/>
  <c r="T32" i="34"/>
  <c r="T30" i="34"/>
  <c r="U29" i="34"/>
  <c r="T29" i="34"/>
  <c r="T21" i="34"/>
  <c r="T19" i="34"/>
  <c r="T20" i="34"/>
  <c r="T22" i="34"/>
  <c r="T23" i="34"/>
  <c r="T11" i="34"/>
  <c r="T5" i="34"/>
  <c r="N131" i="34"/>
  <c r="Q131" i="34"/>
  <c r="U131" i="34"/>
  <c r="V131" i="34"/>
  <c r="W131" i="34"/>
  <c r="X131" i="34"/>
  <c r="N132" i="34"/>
  <c r="Q132" i="34"/>
  <c r="U132" i="34"/>
  <c r="V132" i="34"/>
  <c r="W132" i="34"/>
  <c r="X132" i="34"/>
  <c r="X133" i="34"/>
  <c r="N121" i="34"/>
  <c r="Q121" i="34"/>
  <c r="U121" i="34"/>
  <c r="V121" i="34"/>
  <c r="W121" i="34"/>
  <c r="X121" i="34"/>
  <c r="N122" i="34"/>
  <c r="Q122" i="34"/>
  <c r="U122" i="34"/>
  <c r="V122" i="34"/>
  <c r="W122" i="34"/>
  <c r="X122" i="34"/>
  <c r="N123" i="34"/>
  <c r="Q123" i="34"/>
  <c r="U123" i="34"/>
  <c r="V123" i="34"/>
  <c r="W123" i="34"/>
  <c r="X123" i="34"/>
  <c r="N124" i="34"/>
  <c r="Q124" i="34"/>
  <c r="U124" i="34"/>
  <c r="V124" i="34"/>
  <c r="W124" i="34"/>
  <c r="X124" i="34"/>
  <c r="N125" i="34"/>
  <c r="Q125" i="34"/>
  <c r="U125" i="34"/>
  <c r="V125" i="34"/>
  <c r="W125" i="34"/>
  <c r="X125" i="34"/>
  <c r="N126" i="34"/>
  <c r="Q126" i="34"/>
  <c r="U126" i="34"/>
  <c r="V126" i="34"/>
  <c r="W126" i="34"/>
  <c r="X126" i="34"/>
  <c r="N127" i="34"/>
  <c r="Q127" i="34"/>
  <c r="U127" i="34"/>
  <c r="V127" i="34"/>
  <c r="W127" i="34"/>
  <c r="X127" i="34"/>
  <c r="N128" i="34"/>
  <c r="Q128" i="34"/>
  <c r="U128" i="34"/>
  <c r="V128" i="34"/>
  <c r="W128" i="34"/>
  <c r="X128" i="34"/>
  <c r="N129" i="34"/>
  <c r="Q129" i="34"/>
  <c r="U129" i="34"/>
  <c r="V129" i="34"/>
  <c r="W129" i="34"/>
  <c r="X129" i="34"/>
  <c r="X130" i="34"/>
  <c r="N119" i="34"/>
  <c r="Q119" i="34"/>
  <c r="V119" i="34"/>
  <c r="W119" i="34"/>
  <c r="X119" i="34"/>
  <c r="X120" i="34"/>
  <c r="N117" i="34"/>
  <c r="Q117" i="34"/>
  <c r="V117" i="34"/>
  <c r="W117" i="34"/>
  <c r="X117" i="34"/>
  <c r="X118" i="34"/>
  <c r="X134" i="34"/>
  <c r="N109" i="34"/>
  <c r="Q109" i="34"/>
  <c r="U109" i="34"/>
  <c r="V109" i="34"/>
  <c r="W109" i="34"/>
  <c r="X109" i="34"/>
  <c r="X110" i="34"/>
  <c r="N90" i="34"/>
  <c r="Q90" i="34"/>
  <c r="U90" i="34"/>
  <c r="V90" i="34"/>
  <c r="W90" i="34"/>
  <c r="X90" i="34"/>
  <c r="N91" i="34"/>
  <c r="Q91" i="34"/>
  <c r="U91" i="34"/>
  <c r="V91" i="34"/>
  <c r="W91" i="34"/>
  <c r="X91" i="34"/>
  <c r="N92" i="34"/>
  <c r="Q92" i="34"/>
  <c r="U92" i="34"/>
  <c r="V92" i="34"/>
  <c r="W92" i="34"/>
  <c r="X92" i="34"/>
  <c r="N93" i="34"/>
  <c r="Q93" i="34"/>
  <c r="U93" i="34"/>
  <c r="V93" i="34"/>
  <c r="W93" i="34"/>
  <c r="X93" i="34"/>
  <c r="N94" i="34"/>
  <c r="Q94" i="34"/>
  <c r="U94" i="34"/>
  <c r="V94" i="34"/>
  <c r="W94" i="34"/>
  <c r="X94" i="34"/>
  <c r="N95" i="34"/>
  <c r="Q95" i="34"/>
  <c r="U95" i="34"/>
  <c r="V95" i="34"/>
  <c r="W95" i="34"/>
  <c r="X95" i="34"/>
  <c r="N96" i="34"/>
  <c r="Q96" i="34"/>
  <c r="U96" i="34"/>
  <c r="V96" i="34"/>
  <c r="W96" i="34"/>
  <c r="X96" i="34"/>
  <c r="N97" i="34"/>
  <c r="Q97" i="34"/>
  <c r="U97" i="34"/>
  <c r="V97" i="34"/>
  <c r="W97" i="34"/>
  <c r="X97" i="34"/>
  <c r="N98" i="34"/>
  <c r="Q98" i="34"/>
  <c r="U98" i="34"/>
  <c r="V98" i="34"/>
  <c r="W98" i="34"/>
  <c r="X98" i="34"/>
  <c r="N99" i="34"/>
  <c r="Q99" i="34"/>
  <c r="U99" i="34"/>
  <c r="V99" i="34"/>
  <c r="W99" i="34"/>
  <c r="X99" i="34"/>
  <c r="N100" i="34"/>
  <c r="Q100" i="34"/>
  <c r="U100" i="34"/>
  <c r="V100" i="34"/>
  <c r="W100" i="34"/>
  <c r="X100" i="34"/>
  <c r="N101" i="34"/>
  <c r="Q101" i="34"/>
  <c r="U101" i="34"/>
  <c r="V101" i="34"/>
  <c r="W101" i="34"/>
  <c r="X101" i="34"/>
  <c r="N102" i="34"/>
  <c r="Q102" i="34"/>
  <c r="U102" i="34"/>
  <c r="V102" i="34"/>
  <c r="W102" i="34"/>
  <c r="X102" i="34"/>
  <c r="N103" i="34"/>
  <c r="Q103" i="34"/>
  <c r="U103" i="34"/>
  <c r="V103" i="34"/>
  <c r="W103" i="34"/>
  <c r="X103" i="34"/>
  <c r="N104" i="34"/>
  <c r="Q104" i="34"/>
  <c r="U104" i="34"/>
  <c r="V104" i="34"/>
  <c r="W104" i="34"/>
  <c r="X104" i="34"/>
  <c r="N105" i="34"/>
  <c r="Q105" i="34"/>
  <c r="U105" i="34"/>
  <c r="V105" i="34"/>
  <c r="W105" i="34"/>
  <c r="X105" i="34"/>
  <c r="X106" i="34"/>
  <c r="X111" i="34"/>
  <c r="X112" i="34"/>
  <c r="X135" i="34"/>
  <c r="W133" i="34"/>
  <c r="W130" i="34"/>
  <c r="W120" i="34"/>
  <c r="W118" i="34"/>
  <c r="W134" i="34"/>
  <c r="W110" i="34"/>
  <c r="W106" i="34"/>
  <c r="N107" i="34"/>
  <c r="Q107" i="34"/>
  <c r="V107" i="34"/>
  <c r="W107" i="34"/>
  <c r="W108" i="34"/>
  <c r="W111" i="34"/>
  <c r="W112" i="34"/>
  <c r="W135" i="34"/>
  <c r="V133" i="34"/>
  <c r="V130" i="34"/>
  <c r="V120" i="34"/>
  <c r="V118" i="34"/>
  <c r="V134" i="34"/>
  <c r="V110" i="34"/>
  <c r="V106" i="34"/>
  <c r="V108" i="34"/>
  <c r="V111" i="34"/>
  <c r="N80" i="34"/>
  <c r="Q80" i="34"/>
  <c r="V80" i="34"/>
  <c r="N82" i="34"/>
  <c r="Q82" i="34"/>
  <c r="U82" i="34"/>
  <c r="V82" i="34"/>
  <c r="V83" i="34"/>
  <c r="V84" i="34"/>
  <c r="N56" i="34"/>
  <c r="Q56" i="34"/>
  <c r="U56" i="34"/>
  <c r="V56" i="34"/>
  <c r="N57" i="34"/>
  <c r="Q57" i="34"/>
  <c r="U57" i="34"/>
  <c r="V57" i="34"/>
  <c r="N58" i="34"/>
  <c r="Q58" i="34"/>
  <c r="U58" i="34"/>
  <c r="V58" i="34"/>
  <c r="N59" i="34"/>
  <c r="Q59" i="34"/>
  <c r="U59" i="34"/>
  <c r="V59" i="34"/>
  <c r="N60" i="34"/>
  <c r="Q60" i="34"/>
  <c r="U60" i="34"/>
  <c r="V60" i="34"/>
  <c r="N61" i="34"/>
  <c r="Q61" i="34"/>
  <c r="U61" i="34"/>
  <c r="V61" i="34"/>
  <c r="N62" i="34"/>
  <c r="Q62" i="34"/>
  <c r="U62" i="34"/>
  <c r="V62" i="34"/>
  <c r="N63" i="34"/>
  <c r="Q63" i="34"/>
  <c r="U63" i="34"/>
  <c r="V63" i="34"/>
  <c r="N64" i="34"/>
  <c r="Q64" i="34"/>
  <c r="U64" i="34"/>
  <c r="V64" i="34"/>
  <c r="N65" i="34"/>
  <c r="Q65" i="34"/>
  <c r="U65" i="34"/>
  <c r="V65" i="34"/>
  <c r="N66" i="34"/>
  <c r="Q66" i="34"/>
  <c r="U66" i="34"/>
  <c r="V66" i="34"/>
  <c r="N67" i="34"/>
  <c r="Q67" i="34"/>
  <c r="U67" i="34"/>
  <c r="V67" i="34"/>
  <c r="N68" i="34"/>
  <c r="Q68" i="34"/>
  <c r="U68" i="34"/>
  <c r="V68" i="34"/>
  <c r="N69" i="34"/>
  <c r="Q69" i="34"/>
  <c r="U69" i="34"/>
  <c r="V69" i="34"/>
  <c r="V70" i="34"/>
  <c r="N54" i="34"/>
  <c r="Q54" i="34"/>
  <c r="U54" i="34"/>
  <c r="V54" i="34"/>
  <c r="V55" i="34"/>
  <c r="N51" i="34"/>
  <c r="Q51" i="34"/>
  <c r="U51" i="34"/>
  <c r="V51" i="34"/>
  <c r="N52" i="34"/>
  <c r="Q52" i="34"/>
  <c r="U52" i="34"/>
  <c r="V52" i="34"/>
  <c r="V53" i="34"/>
  <c r="N49" i="34"/>
  <c r="Q49" i="34"/>
  <c r="U49" i="34"/>
  <c r="V49" i="34"/>
  <c r="V50" i="34"/>
  <c r="N71" i="34"/>
  <c r="Q71" i="34"/>
  <c r="U71" i="34"/>
  <c r="V71" i="34"/>
  <c r="N72" i="34"/>
  <c r="Q72" i="34"/>
  <c r="U72" i="34"/>
  <c r="V72" i="34"/>
  <c r="V73" i="34"/>
  <c r="V74" i="34"/>
  <c r="V112" i="34"/>
  <c r="V135" i="34"/>
  <c r="U133" i="34"/>
  <c r="U130" i="34"/>
  <c r="U120" i="34"/>
  <c r="U118" i="34"/>
  <c r="U134" i="34"/>
  <c r="U110" i="34"/>
  <c r="U106" i="34"/>
  <c r="U108" i="34"/>
  <c r="U111" i="34"/>
  <c r="U83" i="34"/>
  <c r="U84" i="34"/>
  <c r="U70" i="34"/>
  <c r="U55" i="34"/>
  <c r="U53" i="34"/>
  <c r="U50" i="34"/>
  <c r="U73" i="34"/>
  <c r="U74" i="34"/>
  <c r="U112" i="34"/>
  <c r="U135" i="34"/>
  <c r="T133" i="34"/>
  <c r="T130" i="34"/>
  <c r="T120" i="34"/>
  <c r="T118" i="34"/>
  <c r="T134" i="34"/>
  <c r="T110" i="34"/>
  <c r="T106" i="34"/>
  <c r="T83" i="34"/>
  <c r="T84" i="34"/>
  <c r="T70" i="34"/>
  <c r="T55" i="34"/>
  <c r="T53" i="34"/>
  <c r="T50" i="34"/>
  <c r="T73" i="34"/>
  <c r="T74" i="34"/>
  <c r="T112" i="34"/>
  <c r="T135" i="34"/>
  <c r="S131" i="34"/>
  <c r="S132" i="34"/>
  <c r="S133" i="34"/>
  <c r="R121" i="34"/>
  <c r="S121" i="34"/>
  <c r="R122" i="34"/>
  <c r="S122" i="34"/>
  <c r="R123" i="34"/>
  <c r="S123" i="34"/>
  <c r="R124" i="34"/>
  <c r="S124" i="34"/>
  <c r="R125" i="34"/>
  <c r="S125" i="34"/>
  <c r="R126" i="34"/>
  <c r="S126" i="34"/>
  <c r="R127" i="34"/>
  <c r="S127" i="34"/>
  <c r="R128" i="34"/>
  <c r="S128" i="34"/>
  <c r="R129" i="34"/>
  <c r="S129" i="34"/>
  <c r="S130" i="34"/>
  <c r="R119" i="34"/>
  <c r="S119" i="34"/>
  <c r="S120" i="34"/>
  <c r="S117" i="34"/>
  <c r="S118" i="34"/>
  <c r="S134" i="34"/>
  <c r="R109" i="34"/>
  <c r="S109" i="34"/>
  <c r="S110" i="34"/>
  <c r="R90" i="34"/>
  <c r="S90" i="34"/>
  <c r="R91" i="34"/>
  <c r="S91" i="34"/>
  <c r="R92" i="34"/>
  <c r="S92" i="34"/>
  <c r="R93" i="34"/>
  <c r="S93" i="34"/>
  <c r="R94" i="34"/>
  <c r="S94" i="34"/>
  <c r="R95" i="34"/>
  <c r="S95" i="34"/>
  <c r="R96" i="34"/>
  <c r="S96" i="34"/>
  <c r="R97" i="34"/>
  <c r="S97" i="34"/>
  <c r="R98" i="34"/>
  <c r="S98" i="34"/>
  <c r="R99" i="34"/>
  <c r="S99" i="34"/>
  <c r="R100" i="34"/>
  <c r="S100" i="34"/>
  <c r="R101" i="34"/>
  <c r="S101" i="34"/>
  <c r="R102" i="34"/>
  <c r="S102" i="34"/>
  <c r="R103" i="34"/>
  <c r="S103" i="34"/>
  <c r="R104" i="34"/>
  <c r="S104" i="34"/>
  <c r="R105" i="34"/>
  <c r="S105" i="34"/>
  <c r="S106" i="34"/>
  <c r="S107" i="34"/>
  <c r="S108" i="34"/>
  <c r="S111" i="34"/>
  <c r="S80" i="34"/>
  <c r="R82" i="34"/>
  <c r="S82" i="34"/>
  <c r="S83" i="34"/>
  <c r="S84" i="34"/>
  <c r="R56" i="34"/>
  <c r="S56" i="34"/>
  <c r="R57" i="34"/>
  <c r="S57" i="34"/>
  <c r="R58" i="34"/>
  <c r="S58" i="34"/>
  <c r="R59" i="34"/>
  <c r="S59" i="34"/>
  <c r="R60" i="34"/>
  <c r="S60" i="34"/>
  <c r="R61" i="34"/>
  <c r="S61" i="34"/>
  <c r="R62" i="34"/>
  <c r="S62" i="34"/>
  <c r="R63" i="34"/>
  <c r="S63" i="34"/>
  <c r="R64" i="34"/>
  <c r="S64" i="34"/>
  <c r="R65" i="34"/>
  <c r="S65" i="34"/>
  <c r="R66" i="34"/>
  <c r="S66" i="34"/>
  <c r="R67" i="34"/>
  <c r="S67" i="34"/>
  <c r="R68" i="34"/>
  <c r="S68" i="34"/>
  <c r="R69" i="34"/>
  <c r="S69" i="34"/>
  <c r="S70" i="34"/>
  <c r="R54" i="34"/>
  <c r="S54" i="34"/>
  <c r="S55" i="34"/>
  <c r="R51" i="34"/>
  <c r="S51" i="34"/>
  <c r="R52" i="34"/>
  <c r="S52" i="34"/>
  <c r="S53" i="34"/>
  <c r="R49" i="34"/>
  <c r="S49" i="34"/>
  <c r="S50" i="34"/>
  <c r="R71" i="34"/>
  <c r="S71" i="34"/>
  <c r="R72" i="34"/>
  <c r="S72" i="34"/>
  <c r="S73" i="34"/>
  <c r="S74" i="34"/>
  <c r="S112" i="34"/>
  <c r="S135" i="34"/>
  <c r="R133" i="34"/>
  <c r="R130" i="34"/>
  <c r="R120" i="34"/>
  <c r="R118" i="34"/>
  <c r="R134" i="34"/>
  <c r="R110" i="34"/>
  <c r="R106" i="34"/>
  <c r="R108" i="34"/>
  <c r="R111" i="34"/>
  <c r="R83" i="34"/>
  <c r="R84" i="34"/>
  <c r="R70" i="34"/>
  <c r="R55" i="34"/>
  <c r="R53" i="34"/>
  <c r="R50" i="34"/>
  <c r="R73" i="34"/>
  <c r="R74" i="34"/>
  <c r="R112" i="34"/>
  <c r="R135" i="34"/>
  <c r="Q133" i="34"/>
  <c r="Q130" i="34"/>
  <c r="Q120" i="34"/>
  <c r="Q118" i="34"/>
  <c r="Q134" i="34"/>
  <c r="Q110" i="34"/>
  <c r="Q106" i="34"/>
  <c r="Q108" i="34"/>
  <c r="Q111" i="34"/>
  <c r="Q81" i="34"/>
  <c r="Q83" i="34"/>
  <c r="Q84" i="34"/>
  <c r="Q70" i="34"/>
  <c r="Q55" i="34"/>
  <c r="Q53" i="34"/>
  <c r="Q50" i="34"/>
  <c r="Q73" i="34"/>
  <c r="Q74" i="34"/>
  <c r="P133" i="34"/>
  <c r="P130" i="34"/>
  <c r="P120" i="34"/>
  <c r="P118" i="34"/>
  <c r="P134" i="34"/>
  <c r="P110" i="34"/>
  <c r="P106" i="34"/>
  <c r="P108" i="34"/>
  <c r="P111" i="34"/>
  <c r="P81" i="34"/>
  <c r="P83" i="34"/>
  <c r="P84" i="34"/>
  <c r="P70" i="34"/>
  <c r="P55" i="34"/>
  <c r="P53" i="34"/>
  <c r="P50" i="34"/>
  <c r="P73" i="34"/>
  <c r="P74" i="34"/>
  <c r="P112" i="34"/>
  <c r="P135" i="34"/>
  <c r="O133" i="34"/>
  <c r="O130" i="34"/>
  <c r="O120" i="34"/>
  <c r="O118" i="34"/>
  <c r="O134" i="34"/>
  <c r="O110" i="34"/>
  <c r="O106" i="34"/>
  <c r="O108" i="34"/>
  <c r="O111" i="34"/>
  <c r="O81" i="34"/>
  <c r="O83" i="34"/>
  <c r="O84" i="34"/>
  <c r="O70" i="34"/>
  <c r="O55" i="34"/>
  <c r="O53" i="34"/>
  <c r="O50" i="34"/>
  <c r="O73" i="34"/>
  <c r="O74" i="34"/>
  <c r="O112" i="34"/>
  <c r="O135" i="34"/>
  <c r="N133" i="34"/>
  <c r="N130" i="34"/>
  <c r="N120" i="34"/>
  <c r="N118" i="34"/>
  <c r="N134" i="34"/>
  <c r="N110" i="34"/>
  <c r="N106" i="34"/>
  <c r="N108" i="34"/>
  <c r="N111" i="34"/>
  <c r="N81" i="34"/>
  <c r="N83" i="34"/>
  <c r="N84" i="34"/>
  <c r="N70" i="34"/>
  <c r="N55" i="34"/>
  <c r="N53" i="34"/>
  <c r="N50" i="34"/>
  <c r="N73" i="34"/>
  <c r="N74" i="34"/>
  <c r="N112" i="34"/>
  <c r="N135" i="34"/>
  <c r="I131" i="34"/>
  <c r="I132" i="34"/>
  <c r="I133" i="34"/>
  <c r="I121" i="34"/>
  <c r="I122" i="34"/>
  <c r="I123" i="34"/>
  <c r="I124" i="34"/>
  <c r="I125" i="34"/>
  <c r="I126" i="34"/>
  <c r="I127" i="34"/>
  <c r="I128" i="34"/>
  <c r="I129" i="34"/>
  <c r="I130" i="34"/>
  <c r="I119" i="34"/>
  <c r="I120" i="34"/>
  <c r="I134" i="34"/>
  <c r="I109" i="34"/>
  <c r="I110" i="34"/>
  <c r="I90" i="34"/>
  <c r="I91" i="34"/>
  <c r="I92" i="34"/>
  <c r="I93" i="34"/>
  <c r="I94" i="34"/>
  <c r="I95" i="34"/>
  <c r="I96" i="34"/>
  <c r="I97" i="34"/>
  <c r="I98" i="34"/>
  <c r="I99" i="34"/>
  <c r="I100" i="34"/>
  <c r="I101" i="34"/>
  <c r="I102" i="34"/>
  <c r="I103" i="34"/>
  <c r="I104" i="34"/>
  <c r="I105" i="34"/>
  <c r="I106" i="34"/>
  <c r="I111" i="34"/>
  <c r="I82" i="34"/>
  <c r="I83" i="34"/>
  <c r="I84" i="34"/>
  <c r="I56" i="34"/>
  <c r="I57" i="34"/>
  <c r="I58" i="34"/>
  <c r="I59" i="34"/>
  <c r="I60" i="34"/>
  <c r="I61" i="34"/>
  <c r="I62" i="34"/>
  <c r="I63" i="34"/>
  <c r="I64" i="34"/>
  <c r="I65" i="34"/>
  <c r="I66" i="34"/>
  <c r="I67" i="34"/>
  <c r="I68" i="34"/>
  <c r="I69" i="34"/>
  <c r="I70" i="34"/>
  <c r="I54" i="34"/>
  <c r="I55" i="34"/>
  <c r="I51" i="34"/>
  <c r="I52" i="34"/>
  <c r="I53" i="34"/>
  <c r="I49" i="34"/>
  <c r="I50" i="34"/>
  <c r="I71" i="34"/>
  <c r="I72" i="34"/>
  <c r="I73" i="34"/>
  <c r="I74" i="34"/>
  <c r="I112" i="34"/>
  <c r="I135" i="34"/>
  <c r="H133" i="34"/>
  <c r="H130" i="34"/>
  <c r="H120" i="34"/>
  <c r="H134" i="34"/>
  <c r="H110" i="34"/>
  <c r="H106" i="34"/>
  <c r="H111" i="34"/>
  <c r="H83" i="34"/>
  <c r="H84" i="34"/>
  <c r="H70" i="34"/>
  <c r="H55" i="34"/>
  <c r="H53" i="34"/>
  <c r="H50" i="34"/>
  <c r="H73" i="34"/>
  <c r="H74" i="34"/>
  <c r="H112" i="34"/>
  <c r="H135" i="34"/>
  <c r="E133" i="34"/>
  <c r="E130" i="34"/>
  <c r="E120" i="34"/>
  <c r="E134" i="34"/>
  <c r="E110" i="34"/>
  <c r="E106" i="34"/>
  <c r="E111" i="34"/>
  <c r="E83" i="34"/>
  <c r="E84" i="34"/>
  <c r="E70" i="34"/>
  <c r="E55" i="34"/>
  <c r="E53" i="34"/>
  <c r="E50" i="34"/>
  <c r="E73" i="34"/>
  <c r="E74" i="34"/>
  <c r="E112" i="34"/>
  <c r="E135" i="34"/>
  <c r="G130" i="34"/>
  <c r="F130" i="34"/>
  <c r="I117" i="34"/>
  <c r="G111" i="34"/>
  <c r="G112" i="34"/>
  <c r="F110" i="34"/>
  <c r="F111" i="34"/>
  <c r="F112" i="34"/>
  <c r="M111" i="34"/>
  <c r="L111" i="34"/>
  <c r="K111" i="34"/>
  <c r="J111" i="34"/>
  <c r="X107" i="34"/>
  <c r="X108" i="34"/>
  <c r="I107" i="34"/>
  <c r="K105" i="34"/>
  <c r="K104" i="34"/>
  <c r="K103" i="34"/>
  <c r="K102" i="34"/>
  <c r="K101" i="34"/>
  <c r="K100" i="34"/>
  <c r="K99" i="34"/>
  <c r="K98" i="34"/>
  <c r="K97" i="34"/>
  <c r="K96" i="34"/>
  <c r="K95" i="34"/>
  <c r="K94" i="34"/>
  <c r="K93" i="34"/>
  <c r="K92" i="34"/>
  <c r="K91" i="34"/>
  <c r="K90" i="34"/>
  <c r="I80" i="34"/>
  <c r="AA75" i="34"/>
  <c r="Z56" i="34"/>
  <c r="Z57" i="34"/>
  <c r="Z58" i="34"/>
  <c r="Z59" i="34"/>
  <c r="Z60" i="34"/>
  <c r="Z61" i="34"/>
  <c r="Z62" i="34"/>
  <c r="Z63" i="34"/>
  <c r="Z64" i="34"/>
  <c r="Z65" i="34"/>
  <c r="Z66" i="34"/>
  <c r="Z67" i="34"/>
  <c r="Z68" i="34"/>
  <c r="Z69" i="34"/>
  <c r="Z70" i="34"/>
  <c r="Z54" i="34"/>
  <c r="Z55" i="34"/>
  <c r="Z51" i="34"/>
  <c r="Z52" i="34"/>
  <c r="Z53" i="34"/>
  <c r="Z49" i="34"/>
  <c r="Z50" i="34"/>
  <c r="Z71" i="34"/>
  <c r="Z72" i="34"/>
  <c r="Z73" i="34"/>
  <c r="Z74" i="34"/>
  <c r="N41" i="34"/>
  <c r="Q41" i="34"/>
  <c r="Z41" i="34"/>
  <c r="Z42" i="34"/>
  <c r="N38" i="34"/>
  <c r="Q38" i="34"/>
  <c r="Z38" i="34"/>
  <c r="N39" i="34"/>
  <c r="Q39" i="34"/>
  <c r="Z39" i="34"/>
  <c r="Z40" i="34"/>
  <c r="N36" i="34"/>
  <c r="Q36" i="34"/>
  <c r="Z36" i="34"/>
  <c r="Z37" i="34"/>
  <c r="N34" i="34"/>
  <c r="Q34" i="34"/>
  <c r="Z34" i="34"/>
  <c r="Z35" i="34"/>
  <c r="N32" i="34"/>
  <c r="Q32" i="34"/>
  <c r="Z32" i="34"/>
  <c r="Z33" i="34"/>
  <c r="N29" i="34"/>
  <c r="Q29" i="34"/>
  <c r="Z29" i="34"/>
  <c r="N30" i="34"/>
  <c r="Q30" i="34"/>
  <c r="Z30" i="34"/>
  <c r="Z31" i="34"/>
  <c r="Z43" i="34"/>
  <c r="N21" i="34"/>
  <c r="Q21" i="34"/>
  <c r="Z21" i="34"/>
  <c r="Z22" i="34"/>
  <c r="N19" i="34"/>
  <c r="Q19" i="34"/>
  <c r="Z19" i="34"/>
  <c r="Z20" i="34"/>
  <c r="Z23" i="34"/>
  <c r="N11" i="34"/>
  <c r="Q11" i="34"/>
  <c r="Z11" i="34"/>
  <c r="Z12" i="34"/>
  <c r="N5" i="34"/>
  <c r="Q5" i="34"/>
  <c r="Z5" i="34"/>
  <c r="Z6" i="34"/>
  <c r="Z13" i="34"/>
  <c r="Z24" i="34"/>
  <c r="Z44" i="34"/>
  <c r="Z75" i="34"/>
  <c r="Y70" i="34"/>
  <c r="Y55" i="34"/>
  <c r="Y53" i="34"/>
  <c r="Y50" i="34"/>
  <c r="Y73" i="34"/>
  <c r="Y74" i="34"/>
  <c r="Y42" i="34"/>
  <c r="Y40" i="34"/>
  <c r="Y37" i="34"/>
  <c r="Y35" i="34"/>
  <c r="Y33" i="34"/>
  <c r="Y31" i="34"/>
  <c r="Y43" i="34"/>
  <c r="Y22" i="34"/>
  <c r="Y23" i="34"/>
  <c r="Y12" i="34"/>
  <c r="Y6" i="34"/>
  <c r="Y13" i="34"/>
  <c r="Y24" i="34"/>
  <c r="Y44" i="34"/>
  <c r="Y75" i="34"/>
  <c r="W56" i="34"/>
  <c r="X56" i="34"/>
  <c r="W57" i="34"/>
  <c r="X57" i="34"/>
  <c r="W58" i="34"/>
  <c r="X58" i="34"/>
  <c r="W59" i="34"/>
  <c r="X59" i="34"/>
  <c r="W60" i="34"/>
  <c r="X60" i="34"/>
  <c r="W61" i="34"/>
  <c r="X61" i="34"/>
  <c r="W62" i="34"/>
  <c r="X62" i="34"/>
  <c r="W63" i="34"/>
  <c r="X63" i="34"/>
  <c r="W64" i="34"/>
  <c r="X64" i="34"/>
  <c r="W65" i="34"/>
  <c r="X65" i="34"/>
  <c r="W66" i="34"/>
  <c r="X66" i="34"/>
  <c r="W67" i="34"/>
  <c r="X67" i="34"/>
  <c r="W68" i="34"/>
  <c r="X68" i="34"/>
  <c r="W69" i="34"/>
  <c r="X69" i="34"/>
  <c r="X70" i="34"/>
  <c r="W54" i="34"/>
  <c r="X54" i="34"/>
  <c r="X55" i="34"/>
  <c r="W51" i="34"/>
  <c r="X51" i="34"/>
  <c r="W52" i="34"/>
  <c r="X52" i="34"/>
  <c r="X53" i="34"/>
  <c r="W49" i="34"/>
  <c r="X49" i="34"/>
  <c r="X50" i="34"/>
  <c r="W71" i="34"/>
  <c r="X71" i="34"/>
  <c r="W72" i="34"/>
  <c r="X72" i="34"/>
  <c r="X73" i="34"/>
  <c r="X74" i="34"/>
  <c r="V41" i="34"/>
  <c r="W41" i="34"/>
  <c r="X41" i="34"/>
  <c r="X42" i="34"/>
  <c r="U38" i="34"/>
  <c r="V38" i="34"/>
  <c r="W38" i="34"/>
  <c r="X38" i="34"/>
  <c r="U39" i="34"/>
  <c r="V39" i="34"/>
  <c r="W39" i="34"/>
  <c r="X39" i="34"/>
  <c r="X40" i="34"/>
  <c r="U36" i="34"/>
  <c r="V36" i="34"/>
  <c r="W36" i="34"/>
  <c r="X36" i="34"/>
  <c r="X37" i="34"/>
  <c r="U34" i="34"/>
  <c r="V34" i="34"/>
  <c r="W34" i="34"/>
  <c r="X34" i="34"/>
  <c r="X35" i="34"/>
  <c r="U32" i="34"/>
  <c r="V32" i="34"/>
  <c r="W32" i="34"/>
  <c r="X32" i="34"/>
  <c r="X33" i="34"/>
  <c r="V29" i="34"/>
  <c r="W29" i="34"/>
  <c r="X29" i="34"/>
  <c r="V30" i="34"/>
  <c r="W30" i="34"/>
  <c r="X30" i="34"/>
  <c r="X31" i="34"/>
  <c r="X43" i="34"/>
  <c r="U21" i="34"/>
  <c r="V21" i="34"/>
  <c r="W21" i="34"/>
  <c r="X21" i="34"/>
  <c r="X22" i="34"/>
  <c r="U19" i="34"/>
  <c r="V19" i="34"/>
  <c r="W19" i="34"/>
  <c r="X19" i="34"/>
  <c r="X20" i="34"/>
  <c r="X23" i="34"/>
  <c r="U11" i="34"/>
  <c r="V11" i="34"/>
  <c r="W11" i="34"/>
  <c r="X11" i="34"/>
  <c r="X12" i="34"/>
  <c r="U5" i="34"/>
  <c r="V5" i="34"/>
  <c r="W5" i="34"/>
  <c r="X5" i="34"/>
  <c r="X6" i="34"/>
  <c r="X13" i="34"/>
  <c r="X24" i="34"/>
  <c r="X44" i="34"/>
  <c r="X75" i="34"/>
  <c r="W70" i="34"/>
  <c r="W55" i="34"/>
  <c r="W53" i="34"/>
  <c r="W50" i="34"/>
  <c r="W73" i="34"/>
  <c r="W74" i="34"/>
  <c r="W42" i="34"/>
  <c r="W40" i="34"/>
  <c r="W37" i="34"/>
  <c r="W35" i="34"/>
  <c r="W33" i="34"/>
  <c r="W31" i="34"/>
  <c r="W43" i="34"/>
  <c r="W22" i="34"/>
  <c r="W20" i="34"/>
  <c r="W23" i="34"/>
  <c r="W12" i="34"/>
  <c r="W6" i="34"/>
  <c r="W13" i="34"/>
  <c r="W24" i="34"/>
  <c r="W44" i="34"/>
  <c r="W75" i="34"/>
  <c r="V42" i="34"/>
  <c r="V40" i="34"/>
  <c r="V37" i="34"/>
  <c r="V35" i="34"/>
  <c r="V33" i="34"/>
  <c r="V31" i="34"/>
  <c r="V43" i="34"/>
  <c r="V22" i="34"/>
  <c r="V20" i="34"/>
  <c r="V23" i="34"/>
  <c r="V12" i="34"/>
  <c r="V6" i="34"/>
  <c r="V13" i="34"/>
  <c r="V24" i="34"/>
  <c r="V44" i="34"/>
  <c r="V75" i="34"/>
  <c r="U42" i="34"/>
  <c r="U40" i="34"/>
  <c r="U37" i="34"/>
  <c r="U35" i="34"/>
  <c r="U33" i="34"/>
  <c r="U31" i="34"/>
  <c r="U43" i="34"/>
  <c r="U22" i="34"/>
  <c r="U20" i="34"/>
  <c r="U23" i="34"/>
  <c r="U12" i="34"/>
  <c r="U6" i="34"/>
  <c r="U13" i="34"/>
  <c r="U24" i="34"/>
  <c r="U44" i="34"/>
  <c r="U75" i="34"/>
  <c r="T42" i="34"/>
  <c r="T40" i="34"/>
  <c r="T37" i="34"/>
  <c r="T35" i="34"/>
  <c r="T33" i="34"/>
  <c r="T31" i="34"/>
  <c r="T43" i="34"/>
  <c r="T12" i="34"/>
  <c r="T6" i="34"/>
  <c r="T13" i="34"/>
  <c r="T24" i="34"/>
  <c r="T44" i="34"/>
  <c r="T75" i="34"/>
  <c r="S41" i="34"/>
  <c r="S42" i="34"/>
  <c r="R38" i="34"/>
  <c r="S38" i="34"/>
  <c r="R39" i="34"/>
  <c r="S39" i="34"/>
  <c r="S40" i="34"/>
  <c r="R36" i="34"/>
  <c r="S36" i="34"/>
  <c r="S37" i="34"/>
  <c r="R34" i="34"/>
  <c r="S34" i="34"/>
  <c r="S35" i="34"/>
  <c r="R32" i="34"/>
  <c r="S32" i="34"/>
  <c r="S33" i="34"/>
  <c r="S29" i="34"/>
  <c r="S30" i="34"/>
  <c r="S31" i="34"/>
  <c r="S43" i="34"/>
  <c r="R21" i="34"/>
  <c r="S21" i="34"/>
  <c r="S22" i="34"/>
  <c r="R19" i="34"/>
  <c r="S19" i="34"/>
  <c r="S20" i="34"/>
  <c r="S23" i="34"/>
  <c r="R11" i="34"/>
  <c r="S11" i="34"/>
  <c r="S12" i="34"/>
  <c r="R5" i="34"/>
  <c r="S5" i="34"/>
  <c r="S6" i="34"/>
  <c r="S13" i="34"/>
  <c r="S24" i="34"/>
  <c r="S44" i="34"/>
  <c r="S75" i="34"/>
  <c r="R42" i="34"/>
  <c r="R40" i="34"/>
  <c r="R37" i="34"/>
  <c r="R35" i="34"/>
  <c r="R33" i="34"/>
  <c r="R31" i="34"/>
  <c r="R43" i="34"/>
  <c r="R22" i="34"/>
  <c r="R20" i="34"/>
  <c r="R23" i="34"/>
  <c r="R12" i="34"/>
  <c r="R6" i="34"/>
  <c r="R13" i="34"/>
  <c r="R24" i="34"/>
  <c r="R44" i="34"/>
  <c r="R75" i="34"/>
  <c r="Q42" i="34"/>
  <c r="Q40" i="34"/>
  <c r="Q37" i="34"/>
  <c r="Q35" i="34"/>
  <c r="Q33" i="34"/>
  <c r="Q31" i="34"/>
  <c r="Q43" i="34"/>
  <c r="Q22" i="34"/>
  <c r="Q20" i="34"/>
  <c r="Q23" i="34"/>
  <c r="Q12" i="34"/>
  <c r="Q6" i="34"/>
  <c r="P42" i="34"/>
  <c r="P40" i="34"/>
  <c r="P37" i="34"/>
  <c r="P35" i="34"/>
  <c r="P33" i="34"/>
  <c r="P31" i="34"/>
  <c r="P43" i="34"/>
  <c r="P22" i="34"/>
  <c r="P20" i="34"/>
  <c r="P23" i="34"/>
  <c r="P24" i="34"/>
  <c r="P44" i="34"/>
  <c r="P75" i="34"/>
  <c r="O42" i="34"/>
  <c r="O40" i="34"/>
  <c r="O37" i="34"/>
  <c r="O35" i="34"/>
  <c r="O33" i="34"/>
  <c r="O31" i="34"/>
  <c r="O43" i="34"/>
  <c r="O22" i="34"/>
  <c r="O20" i="34"/>
  <c r="O23" i="34"/>
  <c r="O24" i="34"/>
  <c r="O44" i="34"/>
  <c r="O75" i="34"/>
  <c r="N42" i="34"/>
  <c r="N40" i="34"/>
  <c r="N37" i="34"/>
  <c r="N35" i="34"/>
  <c r="N33" i="34"/>
  <c r="N31" i="34"/>
  <c r="N43" i="34"/>
  <c r="N22" i="34"/>
  <c r="N20" i="34"/>
  <c r="N23" i="34"/>
  <c r="N24" i="34"/>
  <c r="N44" i="34"/>
  <c r="N75" i="34"/>
  <c r="M74" i="34"/>
  <c r="M43" i="34"/>
  <c r="M24" i="34"/>
  <c r="M44" i="34"/>
  <c r="M75" i="34"/>
  <c r="L74" i="34"/>
  <c r="L43" i="34"/>
  <c r="L24" i="34"/>
  <c r="L44" i="34"/>
  <c r="L75" i="34"/>
  <c r="K74" i="34"/>
  <c r="K43" i="34"/>
  <c r="K23" i="34"/>
  <c r="K24" i="34"/>
  <c r="K44" i="34"/>
  <c r="K75" i="34"/>
  <c r="J74" i="34"/>
  <c r="J43" i="34"/>
  <c r="J23" i="34"/>
  <c r="J24" i="34"/>
  <c r="J44" i="34"/>
  <c r="J75" i="34"/>
  <c r="I38" i="34"/>
  <c r="I39" i="34"/>
  <c r="I40" i="34"/>
  <c r="I36" i="34"/>
  <c r="I37" i="34"/>
  <c r="I34" i="34"/>
  <c r="I35" i="34"/>
  <c r="I32" i="34"/>
  <c r="I33" i="34"/>
  <c r="I43" i="34"/>
  <c r="I21" i="34"/>
  <c r="I22" i="34"/>
  <c r="I19" i="34"/>
  <c r="I20" i="34"/>
  <c r="I23" i="34"/>
  <c r="I11" i="34"/>
  <c r="I12" i="34"/>
  <c r="I5" i="34"/>
  <c r="I6" i="34"/>
  <c r="I13" i="34"/>
  <c r="I24" i="34"/>
  <c r="I44" i="34"/>
  <c r="I75" i="34"/>
  <c r="H40" i="34"/>
  <c r="H37" i="34"/>
  <c r="H35" i="34"/>
  <c r="H33" i="34"/>
  <c r="H43" i="34"/>
  <c r="H22" i="34"/>
  <c r="H20" i="34"/>
  <c r="H23" i="34"/>
  <c r="H12" i="34"/>
  <c r="H6" i="34"/>
  <c r="H13" i="34"/>
  <c r="H24" i="34"/>
  <c r="H44" i="34"/>
  <c r="H75" i="34"/>
  <c r="G74" i="34"/>
  <c r="G75" i="34"/>
  <c r="F74" i="34"/>
  <c r="F75" i="34"/>
  <c r="E40" i="34"/>
  <c r="E37" i="34"/>
  <c r="E35" i="34"/>
  <c r="E33" i="34"/>
  <c r="E43" i="34"/>
  <c r="E22" i="34"/>
  <c r="E20" i="34"/>
  <c r="E23" i="34"/>
  <c r="E12" i="34"/>
  <c r="E6" i="34"/>
  <c r="E13" i="34"/>
  <c r="E24" i="34"/>
  <c r="E44" i="34"/>
  <c r="E75" i="34"/>
  <c r="K72" i="34"/>
  <c r="K71" i="34"/>
  <c r="K69" i="34"/>
  <c r="K68" i="34"/>
  <c r="K67" i="34"/>
  <c r="K66" i="34"/>
  <c r="K65" i="34"/>
  <c r="K64" i="34"/>
  <c r="K63" i="34"/>
  <c r="K62" i="34"/>
  <c r="K61" i="34"/>
  <c r="K60" i="34"/>
  <c r="K59" i="34"/>
  <c r="K58" i="34"/>
  <c r="K57" i="34"/>
  <c r="K56" i="34"/>
  <c r="K54" i="34"/>
  <c r="K52" i="34"/>
  <c r="K51" i="34"/>
  <c r="K49" i="34"/>
  <c r="I41" i="34"/>
  <c r="K39" i="34"/>
  <c r="K38" i="34"/>
  <c r="K36" i="34"/>
  <c r="K34" i="34"/>
  <c r="K32" i="34"/>
  <c r="I30" i="34"/>
  <c r="I29" i="34"/>
  <c r="G23" i="34"/>
  <c r="G24" i="34"/>
  <c r="F23" i="34"/>
  <c r="F24" i="34"/>
  <c r="K21" i="34"/>
  <c r="K19" i="34"/>
  <c r="P12" i="34"/>
  <c r="O12" i="34"/>
  <c r="N12" i="34"/>
  <c r="K11" i="34"/>
  <c r="P6" i="34"/>
  <c r="O6" i="34"/>
  <c r="N6" i="34"/>
  <c r="K5" i="34"/>
  <c r="T21" i="22"/>
  <c r="T9" i="33"/>
  <c r="T8" i="33"/>
  <c r="P10" i="33"/>
  <c r="O10" i="33"/>
  <c r="H10" i="33"/>
  <c r="E10" i="33"/>
  <c r="R9" i="33"/>
  <c r="U9" i="33"/>
  <c r="Q9" i="33"/>
  <c r="N9" i="33"/>
  <c r="I9" i="33"/>
  <c r="R8" i="33"/>
  <c r="Q8" i="33"/>
  <c r="N8" i="33"/>
  <c r="N10" i="33"/>
  <c r="I8" i="33"/>
  <c r="I10" i="33"/>
  <c r="U8" i="33"/>
  <c r="U10" i="33"/>
  <c r="T10" i="33"/>
  <c r="S9" i="33"/>
  <c r="Q10" i="33"/>
  <c r="R10" i="33"/>
  <c r="S8" i="33"/>
  <c r="V8" i="33"/>
  <c r="T130" i="31"/>
  <c r="T129" i="31"/>
  <c r="T128" i="31"/>
  <c r="T127" i="31"/>
  <c r="T126" i="31"/>
  <c r="T125" i="31"/>
  <c r="T124" i="31"/>
  <c r="T123" i="31"/>
  <c r="T122" i="31"/>
  <c r="U120" i="31"/>
  <c r="T120" i="31"/>
  <c r="T109" i="31"/>
  <c r="T91" i="31"/>
  <c r="T92" i="31"/>
  <c r="T93" i="31"/>
  <c r="T94" i="31"/>
  <c r="T95" i="31"/>
  <c r="T96" i="31"/>
  <c r="T97" i="31"/>
  <c r="T98" i="31"/>
  <c r="T99" i="31"/>
  <c r="T100" i="31"/>
  <c r="T101" i="31"/>
  <c r="T102" i="31"/>
  <c r="T103" i="31"/>
  <c r="T104" i="31"/>
  <c r="T105" i="31"/>
  <c r="T90" i="31"/>
  <c r="T82" i="31"/>
  <c r="T72" i="31"/>
  <c r="T71" i="31"/>
  <c r="T69" i="31"/>
  <c r="T68" i="31"/>
  <c r="T67" i="31"/>
  <c r="T66" i="31"/>
  <c r="T65" i="31"/>
  <c r="T64" i="31"/>
  <c r="T63" i="31"/>
  <c r="T62" i="31"/>
  <c r="T61" i="31"/>
  <c r="T60" i="31"/>
  <c r="T59" i="31"/>
  <c r="T58" i="31"/>
  <c r="T57" i="31"/>
  <c r="T56" i="31"/>
  <c r="T54" i="31"/>
  <c r="T49" i="31"/>
  <c r="T39" i="31"/>
  <c r="T38" i="31"/>
  <c r="T36" i="31"/>
  <c r="T34" i="31"/>
  <c r="T32" i="31"/>
  <c r="T19" i="31"/>
  <c r="T11" i="31"/>
  <c r="T5" i="31"/>
  <c r="AC153" i="31"/>
  <c r="AB153" i="31"/>
  <c r="M136" i="31"/>
  <c r="L136" i="31"/>
  <c r="K136" i="31"/>
  <c r="J136" i="31"/>
  <c r="E135" i="31"/>
  <c r="S134" i="31"/>
  <c r="R134" i="31"/>
  <c r="P134" i="31"/>
  <c r="O134" i="31"/>
  <c r="O135" i="31"/>
  <c r="H134" i="31"/>
  <c r="E134" i="31"/>
  <c r="W133" i="31"/>
  <c r="X133" i="31"/>
  <c r="U133" i="31"/>
  <c r="V133" i="31"/>
  <c r="T133" i="31"/>
  <c r="N133" i="31"/>
  <c r="Q133" i="31"/>
  <c r="S133" i="31"/>
  <c r="I133" i="31"/>
  <c r="U132" i="31"/>
  <c r="T132" i="31"/>
  <c r="V132" i="31"/>
  <c r="V134" i="31"/>
  <c r="Q132" i="31"/>
  <c r="S132" i="31"/>
  <c r="N132" i="31"/>
  <c r="I132" i="31"/>
  <c r="I134" i="31"/>
  <c r="I135" i="31"/>
  <c r="P131" i="31"/>
  <c r="O131" i="31"/>
  <c r="K131" i="31"/>
  <c r="J131" i="31"/>
  <c r="I131" i="31"/>
  <c r="H131" i="31"/>
  <c r="F131" i="31"/>
  <c r="E131" i="31"/>
  <c r="R130" i="31"/>
  <c r="N130" i="31"/>
  <c r="Q130" i="31"/>
  <c r="I130" i="31"/>
  <c r="R129" i="31"/>
  <c r="N129" i="31"/>
  <c r="Q129" i="31"/>
  <c r="I129" i="31"/>
  <c r="R128" i="31"/>
  <c r="N128" i="31"/>
  <c r="Q128" i="31"/>
  <c r="I128" i="31"/>
  <c r="R127" i="31"/>
  <c r="N127" i="31"/>
  <c r="Q127" i="31"/>
  <c r="I127" i="31"/>
  <c r="R126" i="31"/>
  <c r="N126" i="31"/>
  <c r="Q126" i="31"/>
  <c r="I126" i="31"/>
  <c r="R125" i="31"/>
  <c r="N125" i="31"/>
  <c r="Q125" i="31"/>
  <c r="I125" i="31"/>
  <c r="R124" i="31"/>
  <c r="N124" i="31"/>
  <c r="Q124" i="31"/>
  <c r="I124" i="31"/>
  <c r="R123" i="31"/>
  <c r="N123" i="31"/>
  <c r="Q123" i="31"/>
  <c r="I123" i="31"/>
  <c r="R122" i="31"/>
  <c r="N122" i="31"/>
  <c r="I122" i="31"/>
  <c r="P121" i="31"/>
  <c r="O121" i="31"/>
  <c r="H121" i="31"/>
  <c r="E121" i="31"/>
  <c r="N120" i="31"/>
  <c r="I120" i="31"/>
  <c r="I121" i="31"/>
  <c r="T119" i="31"/>
  <c r="R119" i="31"/>
  <c r="P119" i="31"/>
  <c r="O119" i="31"/>
  <c r="N119" i="31"/>
  <c r="U118" i="31"/>
  <c r="T118" i="31"/>
  <c r="S118" i="31"/>
  <c r="S119" i="31"/>
  <c r="N118" i="31"/>
  <c r="Q118" i="31"/>
  <c r="Q119" i="31"/>
  <c r="I118" i="31"/>
  <c r="H111" i="31"/>
  <c r="G111" i="31"/>
  <c r="F111" i="31"/>
  <c r="R110" i="31"/>
  <c r="P110" i="31"/>
  <c r="P111" i="31"/>
  <c r="O110" i="31"/>
  <c r="N110" i="31"/>
  <c r="H110" i="31"/>
  <c r="F110" i="31"/>
  <c r="E110" i="31"/>
  <c r="E111" i="31"/>
  <c r="U109" i="31"/>
  <c r="U110" i="31"/>
  <c r="R109" i="31"/>
  <c r="Q109" i="31"/>
  <c r="N109" i="31"/>
  <c r="I109" i="31"/>
  <c r="I110" i="31"/>
  <c r="U108" i="31"/>
  <c r="R108" i="31"/>
  <c r="P108" i="31"/>
  <c r="O108" i="31"/>
  <c r="V107" i="31"/>
  <c r="V108" i="31"/>
  <c r="U107" i="31"/>
  <c r="T107" i="31"/>
  <c r="Q107" i="31"/>
  <c r="N107" i="31"/>
  <c r="N108" i="31"/>
  <c r="I107" i="31"/>
  <c r="P106" i="31"/>
  <c r="O106" i="31"/>
  <c r="H106" i="31"/>
  <c r="E106" i="31"/>
  <c r="U105" i="31"/>
  <c r="S105" i="31"/>
  <c r="R105" i="31"/>
  <c r="Q105" i="31"/>
  <c r="N105" i="31"/>
  <c r="K105" i="31"/>
  <c r="I105" i="31"/>
  <c r="N104" i="31"/>
  <c r="K104" i="31"/>
  <c r="I104" i="31"/>
  <c r="I106" i="31"/>
  <c r="U103" i="31"/>
  <c r="S103" i="31"/>
  <c r="R103" i="31"/>
  <c r="Q103" i="31"/>
  <c r="N103" i="31"/>
  <c r="K103" i="31"/>
  <c r="I103" i="31"/>
  <c r="R102" i="31"/>
  <c r="N102" i="31"/>
  <c r="Q102" i="31"/>
  <c r="K102" i="31"/>
  <c r="I102" i="31"/>
  <c r="Q101" i="31"/>
  <c r="S101" i="31"/>
  <c r="N101" i="31"/>
  <c r="R101" i="31"/>
  <c r="K101" i="31"/>
  <c r="I101" i="31"/>
  <c r="R100" i="31"/>
  <c r="N100" i="31"/>
  <c r="Q100" i="31"/>
  <c r="K100" i="31"/>
  <c r="I100" i="31"/>
  <c r="U99" i="31"/>
  <c r="S99" i="31"/>
  <c r="R99" i="31"/>
  <c r="Q99" i="31"/>
  <c r="N99" i="31"/>
  <c r="K99" i="31"/>
  <c r="I99" i="31"/>
  <c r="N98" i="31"/>
  <c r="K98" i="31"/>
  <c r="I98" i="31"/>
  <c r="U97" i="31"/>
  <c r="Q97" i="31"/>
  <c r="S97" i="31"/>
  <c r="N97" i="31"/>
  <c r="R97" i="31"/>
  <c r="K97" i="31"/>
  <c r="I97" i="31"/>
  <c r="R96" i="31"/>
  <c r="N96" i="31"/>
  <c r="Q96" i="31"/>
  <c r="K96" i="31"/>
  <c r="I96" i="31"/>
  <c r="U95" i="31"/>
  <c r="R95" i="31"/>
  <c r="Q95" i="31"/>
  <c r="S95" i="31"/>
  <c r="N95" i="31"/>
  <c r="K95" i="31"/>
  <c r="I95" i="31"/>
  <c r="R94" i="31"/>
  <c r="U94" i="31"/>
  <c r="Q94" i="31"/>
  <c r="N94" i="31"/>
  <c r="K94" i="31"/>
  <c r="I94" i="31"/>
  <c r="N93" i="31"/>
  <c r="K93" i="31"/>
  <c r="I93" i="31"/>
  <c r="N92" i="31"/>
  <c r="Q92" i="31"/>
  <c r="K92" i="31"/>
  <c r="I92" i="31"/>
  <c r="S91" i="31"/>
  <c r="R91" i="31"/>
  <c r="U91" i="31"/>
  <c r="Q91" i="31"/>
  <c r="N91" i="31"/>
  <c r="K91" i="31"/>
  <c r="I91" i="31"/>
  <c r="N90" i="31"/>
  <c r="K90" i="31"/>
  <c r="I90" i="31"/>
  <c r="N84" i="31"/>
  <c r="H84" i="31"/>
  <c r="G84" i="31"/>
  <c r="U83" i="31"/>
  <c r="U84" i="31"/>
  <c r="P83" i="31"/>
  <c r="P84" i="31"/>
  <c r="O83" i="31"/>
  <c r="O84" i="31"/>
  <c r="H83" i="31"/>
  <c r="G83" i="31"/>
  <c r="F83" i="31"/>
  <c r="F84" i="31"/>
  <c r="F85" i="31"/>
  <c r="F112" i="31"/>
  <c r="F136" i="31"/>
  <c r="E83" i="31"/>
  <c r="E84" i="31"/>
  <c r="R82" i="31"/>
  <c r="U82" i="31"/>
  <c r="Q82" i="31"/>
  <c r="N82" i="31"/>
  <c r="N83" i="31"/>
  <c r="I82" i="31"/>
  <c r="I83" i="31"/>
  <c r="I84" i="31"/>
  <c r="X81" i="31"/>
  <c r="W81" i="31"/>
  <c r="V81" i="31"/>
  <c r="U81" i="31"/>
  <c r="T81" i="31"/>
  <c r="S81" i="31"/>
  <c r="R81" i="31"/>
  <c r="Q81" i="31"/>
  <c r="P81" i="31"/>
  <c r="O81" i="31"/>
  <c r="Q80" i="31"/>
  <c r="S80" i="31"/>
  <c r="N80" i="31"/>
  <c r="N81" i="31"/>
  <c r="I80" i="31"/>
  <c r="M74" i="31"/>
  <c r="L74" i="31"/>
  <c r="K74" i="31"/>
  <c r="J74" i="31"/>
  <c r="G74" i="31"/>
  <c r="G75" i="31"/>
  <c r="F74" i="31"/>
  <c r="F75" i="31"/>
  <c r="Y73" i="31"/>
  <c r="U73" i="31"/>
  <c r="R73" i="31"/>
  <c r="P73" i="31"/>
  <c r="O73" i="31"/>
  <c r="N73" i="31"/>
  <c r="I73" i="31"/>
  <c r="H73" i="31"/>
  <c r="E73" i="31"/>
  <c r="U72" i="31"/>
  <c r="Q72" i="31"/>
  <c r="S72" i="31"/>
  <c r="N72" i="31"/>
  <c r="R72" i="31"/>
  <c r="K72" i="31"/>
  <c r="I72" i="31"/>
  <c r="U71" i="31"/>
  <c r="Q71" i="31"/>
  <c r="N71" i="31"/>
  <c r="R71" i="31"/>
  <c r="K71" i="31"/>
  <c r="I71" i="31"/>
  <c r="Y70" i="31"/>
  <c r="U70" i="31"/>
  <c r="U74" i="31"/>
  <c r="P70" i="31"/>
  <c r="O70" i="31"/>
  <c r="O74" i="31"/>
  <c r="H70" i="31"/>
  <c r="E70" i="31"/>
  <c r="U69" i="31"/>
  <c r="R69" i="31"/>
  <c r="N69" i="31"/>
  <c r="Q69" i="31"/>
  <c r="K69" i="31"/>
  <c r="I69" i="31"/>
  <c r="U68" i="31"/>
  <c r="R68" i="31"/>
  <c r="N68" i="31"/>
  <c r="Q68" i="31"/>
  <c r="K68" i="31"/>
  <c r="I68" i="31"/>
  <c r="U67" i="31"/>
  <c r="R67" i="31"/>
  <c r="N67" i="31"/>
  <c r="Q67" i="31"/>
  <c r="K67" i="31"/>
  <c r="I67" i="31"/>
  <c r="U66" i="31"/>
  <c r="R66" i="31"/>
  <c r="N66" i="31"/>
  <c r="Q66" i="31"/>
  <c r="K66" i="31"/>
  <c r="I66" i="31"/>
  <c r="U65" i="31"/>
  <c r="R65" i="31"/>
  <c r="N65" i="31"/>
  <c r="Q65" i="31"/>
  <c r="K65" i="31"/>
  <c r="I65" i="31"/>
  <c r="U64" i="31"/>
  <c r="N64" i="31"/>
  <c r="Q64" i="31"/>
  <c r="K64" i="31"/>
  <c r="I64" i="31"/>
  <c r="U63" i="31"/>
  <c r="R63" i="31"/>
  <c r="N63" i="31"/>
  <c r="Q63" i="31"/>
  <c r="K63" i="31"/>
  <c r="I63" i="31"/>
  <c r="U62" i="31"/>
  <c r="N62" i="31"/>
  <c r="Q62" i="31"/>
  <c r="K62" i="31"/>
  <c r="I62" i="31"/>
  <c r="U61" i="31"/>
  <c r="R61" i="31"/>
  <c r="N61" i="31"/>
  <c r="Q61" i="31"/>
  <c r="K61" i="31"/>
  <c r="I61" i="31"/>
  <c r="U60" i="31"/>
  <c r="N60" i="31"/>
  <c r="Q60" i="31"/>
  <c r="K60" i="31"/>
  <c r="I60" i="31"/>
  <c r="U59" i="31"/>
  <c r="R59" i="31"/>
  <c r="N59" i="31"/>
  <c r="Q59" i="31"/>
  <c r="K59" i="31"/>
  <c r="I59" i="31"/>
  <c r="U58" i="31"/>
  <c r="N58" i="31"/>
  <c r="Q58" i="31"/>
  <c r="K58" i="31"/>
  <c r="I58" i="31"/>
  <c r="U57" i="31"/>
  <c r="R57" i="31"/>
  <c r="N57" i="31"/>
  <c r="Q57" i="31"/>
  <c r="K57" i="31"/>
  <c r="I57" i="31"/>
  <c r="U56" i="31"/>
  <c r="N56" i="31"/>
  <c r="K56" i="31"/>
  <c r="I56" i="31"/>
  <c r="I70" i="31"/>
  <c r="Y55" i="31"/>
  <c r="U55" i="31"/>
  <c r="P55" i="31"/>
  <c r="O55" i="31"/>
  <c r="H55" i="31"/>
  <c r="E55" i="31"/>
  <c r="U54" i="31"/>
  <c r="R54" i="31"/>
  <c r="N54" i="31"/>
  <c r="K54" i="31"/>
  <c r="I54" i="31"/>
  <c r="I55" i="31"/>
  <c r="Z53" i="31"/>
  <c r="Y53" i="31"/>
  <c r="X53" i="31"/>
  <c r="W53" i="31"/>
  <c r="V53" i="31"/>
  <c r="U53" i="31"/>
  <c r="T53" i="31"/>
  <c r="P53" i="31"/>
  <c r="O53" i="31"/>
  <c r="H53" i="31"/>
  <c r="E53" i="31"/>
  <c r="N52" i="31"/>
  <c r="R52" i="31"/>
  <c r="K52" i="31"/>
  <c r="I52" i="31"/>
  <c r="R51" i="31"/>
  <c r="Q51" i="31"/>
  <c r="N51" i="31"/>
  <c r="K51" i="31"/>
  <c r="I51" i="31"/>
  <c r="I53" i="31"/>
  <c r="Y50" i="31"/>
  <c r="R50" i="31"/>
  <c r="P50" i="31"/>
  <c r="O50" i="31"/>
  <c r="N50" i="31"/>
  <c r="H50" i="31"/>
  <c r="E50" i="31"/>
  <c r="U49" i="31"/>
  <c r="U50" i="31"/>
  <c r="R49" i="31"/>
  <c r="Q49" i="31"/>
  <c r="Q50" i="31"/>
  <c r="N49" i="31"/>
  <c r="K49" i="31"/>
  <c r="I49" i="31"/>
  <c r="I50" i="31"/>
  <c r="P43" i="31"/>
  <c r="K43" i="31"/>
  <c r="J43" i="31"/>
  <c r="H43" i="31"/>
  <c r="Z42" i="31"/>
  <c r="Y42" i="31"/>
  <c r="T42" i="31"/>
  <c r="R42" i="31"/>
  <c r="P42" i="31"/>
  <c r="O42" i="31"/>
  <c r="N42" i="31"/>
  <c r="V41" i="31"/>
  <c r="U41" i="31"/>
  <c r="U42" i="31"/>
  <c r="T41" i="31"/>
  <c r="Z41" i="31"/>
  <c r="Q41" i="31"/>
  <c r="N41" i="31"/>
  <c r="I41" i="31"/>
  <c r="Y40" i="31"/>
  <c r="Y43" i="31"/>
  <c r="P40" i="31"/>
  <c r="O40" i="31"/>
  <c r="H40" i="31"/>
  <c r="E40" i="31"/>
  <c r="E43" i="31"/>
  <c r="U39" i="31"/>
  <c r="U40" i="31"/>
  <c r="N39" i="31"/>
  <c r="K39" i="31"/>
  <c r="I39" i="31"/>
  <c r="U38" i="31"/>
  <c r="R38" i="31"/>
  <c r="Q38" i="31"/>
  <c r="N38" i="31"/>
  <c r="K38" i="31"/>
  <c r="I38" i="31"/>
  <c r="I40" i="31"/>
  <c r="Y37" i="31"/>
  <c r="U37" i="31"/>
  <c r="Q37" i="31"/>
  <c r="P37" i="31"/>
  <c r="O37" i="31"/>
  <c r="N37" i="31"/>
  <c r="H37" i="31"/>
  <c r="E37" i="31"/>
  <c r="U36" i="31"/>
  <c r="R36" i="31"/>
  <c r="Q36" i="31"/>
  <c r="N36" i="31"/>
  <c r="K36" i="31"/>
  <c r="I36" i="31"/>
  <c r="I37" i="31"/>
  <c r="Y35" i="31"/>
  <c r="U35" i="31"/>
  <c r="P35" i="31"/>
  <c r="O35" i="31"/>
  <c r="N35" i="31"/>
  <c r="H35" i="31"/>
  <c r="E35" i="31"/>
  <c r="U34" i="31"/>
  <c r="R34" i="31"/>
  <c r="Q34" i="31"/>
  <c r="S34" i="31"/>
  <c r="S35" i="31"/>
  <c r="N34" i="31"/>
  <c r="K34" i="31"/>
  <c r="I34" i="31"/>
  <c r="I35" i="31"/>
  <c r="Y33" i="31"/>
  <c r="U33" i="31"/>
  <c r="Q33" i="31"/>
  <c r="P33" i="31"/>
  <c r="O33" i="31"/>
  <c r="N33" i="31"/>
  <c r="I33" i="31"/>
  <c r="H33" i="31"/>
  <c r="E33" i="31"/>
  <c r="U32" i="31"/>
  <c r="R32" i="31"/>
  <c r="Q32" i="31"/>
  <c r="S32" i="31"/>
  <c r="S33" i="31"/>
  <c r="N32" i="31"/>
  <c r="K32" i="31"/>
  <c r="I32" i="31"/>
  <c r="Y31" i="31"/>
  <c r="R31" i="31"/>
  <c r="P31" i="31"/>
  <c r="O31" i="31"/>
  <c r="Z30" i="31"/>
  <c r="W30" i="31"/>
  <c r="X30" i="31"/>
  <c r="U30" i="31"/>
  <c r="V30" i="31"/>
  <c r="T30" i="31"/>
  <c r="N30" i="31"/>
  <c r="Q30" i="31"/>
  <c r="Q31" i="31"/>
  <c r="I30" i="31"/>
  <c r="U29" i="31"/>
  <c r="U31" i="31"/>
  <c r="T29" i="31"/>
  <c r="Z29" i="31"/>
  <c r="Z31" i="31"/>
  <c r="N29" i="31"/>
  <c r="Q29" i="31"/>
  <c r="S29" i="31"/>
  <c r="I29" i="31"/>
  <c r="K24" i="31"/>
  <c r="G24" i="31"/>
  <c r="F24" i="31"/>
  <c r="K23" i="31"/>
  <c r="J23" i="31"/>
  <c r="J24" i="31"/>
  <c r="E23" i="31"/>
  <c r="Z22" i="31"/>
  <c r="Y22" i="31"/>
  <c r="X22" i="31"/>
  <c r="W22" i="31"/>
  <c r="V22" i="31"/>
  <c r="U22" i="31"/>
  <c r="T22" i="31"/>
  <c r="Q21" i="31"/>
  <c r="S21" i="31"/>
  <c r="S22" i="31"/>
  <c r="N21" i="31"/>
  <c r="R21" i="31"/>
  <c r="K21" i="31"/>
  <c r="I21" i="31"/>
  <c r="Y20" i="31"/>
  <c r="Y23" i="31"/>
  <c r="P20" i="31"/>
  <c r="P23" i="31"/>
  <c r="P24" i="31"/>
  <c r="O20" i="31"/>
  <c r="O23" i="31"/>
  <c r="I20" i="31"/>
  <c r="I23" i="31"/>
  <c r="H20" i="31"/>
  <c r="H23" i="31"/>
  <c r="H24" i="31"/>
  <c r="E20" i="31"/>
  <c r="U19" i="31"/>
  <c r="U20" i="31"/>
  <c r="U23" i="31"/>
  <c r="U24" i="31"/>
  <c r="N19" i="31"/>
  <c r="Q19" i="31"/>
  <c r="K19" i="31"/>
  <c r="I19" i="31"/>
  <c r="Y13" i="31"/>
  <c r="U13" i="31"/>
  <c r="P13" i="31"/>
  <c r="M13" i="31"/>
  <c r="M24" i="31"/>
  <c r="L13" i="31"/>
  <c r="L24" i="31"/>
  <c r="K13" i="31"/>
  <c r="J13" i="31"/>
  <c r="G13" i="31"/>
  <c r="F13" i="31"/>
  <c r="Y12" i="31"/>
  <c r="P12" i="31"/>
  <c r="O12" i="31"/>
  <c r="N12" i="31"/>
  <c r="H12" i="31"/>
  <c r="E12" i="31"/>
  <c r="U11" i="31"/>
  <c r="U12" i="31"/>
  <c r="R11" i="31"/>
  <c r="S11" i="31"/>
  <c r="S12" i="31"/>
  <c r="Q11" i="31"/>
  <c r="Q12" i="31"/>
  <c r="N11" i="31"/>
  <c r="K11" i="31"/>
  <c r="I11" i="31"/>
  <c r="I12" i="31"/>
  <c r="Y6" i="31"/>
  <c r="P6" i="31"/>
  <c r="O6" i="31"/>
  <c r="N6" i="31"/>
  <c r="N13" i="31"/>
  <c r="H6" i="31"/>
  <c r="H13" i="31"/>
  <c r="E6" i="31"/>
  <c r="E13" i="31"/>
  <c r="U5" i="31"/>
  <c r="U6" i="31"/>
  <c r="R5" i="31"/>
  <c r="Q5" i="31"/>
  <c r="N5" i="31"/>
  <c r="K5" i="31"/>
  <c r="I5" i="31"/>
  <c r="I6" i="31"/>
  <c r="S10" i="33"/>
  <c r="V9" i="33"/>
  <c r="W9" i="33"/>
  <c r="X9" i="33"/>
  <c r="W8" i="33"/>
  <c r="X8" i="33"/>
  <c r="Q20" i="31"/>
  <c r="Q23" i="31"/>
  <c r="U43" i="31"/>
  <c r="U44" i="31"/>
  <c r="Q6" i="31"/>
  <c r="Q13" i="31"/>
  <c r="S5" i="31"/>
  <c r="S6" i="31"/>
  <c r="S13" i="31"/>
  <c r="S30" i="31"/>
  <c r="R39" i="31"/>
  <c r="Q39" i="31"/>
  <c r="O43" i="31"/>
  <c r="O44" i="31"/>
  <c r="H44" i="31"/>
  <c r="I13" i="31"/>
  <c r="Z5" i="31"/>
  <c r="Z6" i="31"/>
  <c r="R33" i="31"/>
  <c r="Z32" i="31"/>
  <c r="Z33" i="31"/>
  <c r="V36" i="31"/>
  <c r="V37" i="31"/>
  <c r="S38" i="31"/>
  <c r="Q40" i="31"/>
  <c r="J44" i="31"/>
  <c r="I74" i="31"/>
  <c r="I75" i="31"/>
  <c r="I85" i="31"/>
  <c r="Z72" i="31"/>
  <c r="Q83" i="31"/>
  <c r="Q84" i="31"/>
  <c r="S82" i="31"/>
  <c r="S83" i="31"/>
  <c r="S84" i="31"/>
  <c r="R6" i="31"/>
  <c r="Y24" i="31"/>
  <c r="Y44" i="31"/>
  <c r="S31" i="31"/>
  <c r="Q35" i="31"/>
  <c r="S36" i="31"/>
  <c r="S37" i="31"/>
  <c r="I43" i="31"/>
  <c r="Z38" i="31"/>
  <c r="N40" i="31"/>
  <c r="V42" i="31"/>
  <c r="W41" i="31"/>
  <c r="R55" i="31"/>
  <c r="Z54" i="31"/>
  <c r="Z55" i="31"/>
  <c r="Z57" i="31"/>
  <c r="S57" i="31"/>
  <c r="S59" i="31"/>
  <c r="S61" i="31"/>
  <c r="Z61" i="31"/>
  <c r="Z63" i="31"/>
  <c r="S63" i="31"/>
  <c r="Z65" i="31"/>
  <c r="Z67" i="31"/>
  <c r="Z69" i="31"/>
  <c r="V69" i="31"/>
  <c r="V11" i="31"/>
  <c r="V12" i="31"/>
  <c r="R12" i="31"/>
  <c r="R19" i="31"/>
  <c r="N20" i="31"/>
  <c r="N23" i="31"/>
  <c r="N24" i="31"/>
  <c r="T31" i="31"/>
  <c r="V29" i="31"/>
  <c r="V31" i="31"/>
  <c r="W29" i="31"/>
  <c r="R37" i="31"/>
  <c r="Z36" i="31"/>
  <c r="Z37" i="31"/>
  <c r="Q42" i="31"/>
  <c r="Q43" i="31"/>
  <c r="S41" i="31"/>
  <c r="S42" i="31"/>
  <c r="N43" i="31"/>
  <c r="N44" i="31"/>
  <c r="P44" i="31"/>
  <c r="S51" i="31"/>
  <c r="P74" i="31"/>
  <c r="P75" i="31"/>
  <c r="P85" i="31"/>
  <c r="P112" i="31"/>
  <c r="S62" i="31"/>
  <c r="S64" i="31"/>
  <c r="T73" i="31"/>
  <c r="Z71" i="31"/>
  <c r="Z73" i="31"/>
  <c r="W71" i="31"/>
  <c r="S107" i="31"/>
  <c r="S108" i="31"/>
  <c r="Q108" i="31"/>
  <c r="R35" i="31"/>
  <c r="Z66" i="31"/>
  <c r="V66" i="31"/>
  <c r="Z68" i="31"/>
  <c r="N70" i="31"/>
  <c r="Q56" i="31"/>
  <c r="E74" i="31"/>
  <c r="E75" i="31"/>
  <c r="E85" i="31"/>
  <c r="E112" i="31"/>
  <c r="E136" i="31"/>
  <c r="R56" i="31"/>
  <c r="R62" i="31"/>
  <c r="H74" i="31"/>
  <c r="H75" i="31"/>
  <c r="H85" i="31"/>
  <c r="H112" i="31"/>
  <c r="G85" i="31"/>
  <c r="O13" i="31"/>
  <c r="O24" i="31"/>
  <c r="I24" i="31"/>
  <c r="N31" i="31"/>
  <c r="K44" i="31"/>
  <c r="Q52" i="31"/>
  <c r="S52" i="31"/>
  <c r="N53" i="31"/>
  <c r="R58" i="31"/>
  <c r="R60" i="31"/>
  <c r="R64" i="31"/>
  <c r="E24" i="31"/>
  <c r="E44" i="31"/>
  <c r="S49" i="31"/>
  <c r="S50" i="31"/>
  <c r="Z49" i="31"/>
  <c r="Z50" i="31"/>
  <c r="N55" i="31"/>
  <c r="Q54" i="31"/>
  <c r="S65" i="31"/>
  <c r="S66" i="31"/>
  <c r="S67" i="31"/>
  <c r="S68" i="31"/>
  <c r="S69" i="31"/>
  <c r="Q73" i="31"/>
  <c r="S71" i="31"/>
  <c r="S73" i="31"/>
  <c r="N106" i="31"/>
  <c r="N111" i="31"/>
  <c r="R90" i="31"/>
  <c r="Q90" i="31"/>
  <c r="U96" i="31"/>
  <c r="V96" i="31"/>
  <c r="Q110" i="31"/>
  <c r="S109" i="31"/>
  <c r="S110" i="31"/>
  <c r="V118" i="31"/>
  <c r="V119" i="31"/>
  <c r="U119" i="31"/>
  <c r="Q120" i="31"/>
  <c r="N121" i="31"/>
  <c r="R120" i="31"/>
  <c r="V72" i="31"/>
  <c r="W72" i="31"/>
  <c r="X72" i="31"/>
  <c r="R93" i="31"/>
  <c r="Q93" i="31"/>
  <c r="S93" i="31"/>
  <c r="S94" i="31"/>
  <c r="S100" i="31"/>
  <c r="S92" i="31"/>
  <c r="U100" i="31"/>
  <c r="U102" i="31"/>
  <c r="Q104" i="31"/>
  <c r="R104" i="31"/>
  <c r="I111" i="31"/>
  <c r="Q134" i="31"/>
  <c r="Y74" i="31"/>
  <c r="Y75" i="31"/>
  <c r="V71" i="31"/>
  <c r="R83" i="31"/>
  <c r="R84" i="31"/>
  <c r="R92" i="31"/>
  <c r="S96" i="31"/>
  <c r="Q98" i="31"/>
  <c r="R98" i="31"/>
  <c r="V100" i="31"/>
  <c r="V101" i="31"/>
  <c r="U101" i="31"/>
  <c r="G112" i="31"/>
  <c r="G136" i="31"/>
  <c r="U122" i="31"/>
  <c r="R131" i="31"/>
  <c r="U123" i="31"/>
  <c r="U124" i="31"/>
  <c r="U125" i="31"/>
  <c r="U126" i="31"/>
  <c r="U127" i="31"/>
  <c r="U128" i="31"/>
  <c r="U129" i="31"/>
  <c r="U130" i="31"/>
  <c r="H135" i="31"/>
  <c r="V97" i="31"/>
  <c r="S102" i="31"/>
  <c r="T108" i="31"/>
  <c r="W107" i="31"/>
  <c r="S123" i="31"/>
  <c r="S125" i="31"/>
  <c r="S127" i="31"/>
  <c r="S129" i="31"/>
  <c r="N134" i="31"/>
  <c r="P135" i="31"/>
  <c r="U134" i="31"/>
  <c r="O111" i="31"/>
  <c r="Q122" i="31"/>
  <c r="N131" i="31"/>
  <c r="S124" i="31"/>
  <c r="S126" i="31"/>
  <c r="S128" i="31"/>
  <c r="S130" i="31"/>
  <c r="T134" i="31"/>
  <c r="W132" i="31"/>
  <c r="V95" i="31"/>
  <c r="V99" i="31"/>
  <c r="V103" i="31"/>
  <c r="U119" i="30"/>
  <c r="T132" i="30"/>
  <c r="T131" i="30"/>
  <c r="T129" i="30"/>
  <c r="T128" i="30"/>
  <c r="T127" i="30"/>
  <c r="T126" i="30"/>
  <c r="T125" i="30"/>
  <c r="T124" i="30"/>
  <c r="T123" i="30"/>
  <c r="T122" i="30"/>
  <c r="T121" i="30"/>
  <c r="T119" i="30"/>
  <c r="U117" i="30"/>
  <c r="T117" i="30"/>
  <c r="U107" i="30"/>
  <c r="T109" i="30"/>
  <c r="T107" i="30"/>
  <c r="T91" i="30"/>
  <c r="T92" i="30"/>
  <c r="T93" i="30"/>
  <c r="T94" i="30"/>
  <c r="T95" i="30"/>
  <c r="T96" i="30"/>
  <c r="T97" i="30"/>
  <c r="T98" i="30"/>
  <c r="T99" i="30"/>
  <c r="T100" i="30"/>
  <c r="T101" i="30"/>
  <c r="T102" i="30"/>
  <c r="T103" i="30"/>
  <c r="T104" i="30"/>
  <c r="T105" i="30"/>
  <c r="T90" i="30"/>
  <c r="T82" i="30"/>
  <c r="T80" i="30"/>
  <c r="T72" i="30"/>
  <c r="T71" i="30"/>
  <c r="T69" i="30"/>
  <c r="T68" i="30"/>
  <c r="T67" i="30"/>
  <c r="T66" i="30"/>
  <c r="T65" i="30"/>
  <c r="T64" i="30"/>
  <c r="T63" i="30"/>
  <c r="T62" i="30"/>
  <c r="T61" i="30"/>
  <c r="Z61" i="30"/>
  <c r="T60" i="30"/>
  <c r="T59" i="30"/>
  <c r="T58" i="30"/>
  <c r="T57" i="30"/>
  <c r="T56" i="30"/>
  <c r="T54" i="30"/>
  <c r="T52" i="30"/>
  <c r="T51" i="30"/>
  <c r="T49" i="30"/>
  <c r="U41" i="30"/>
  <c r="U30" i="30"/>
  <c r="U29" i="30"/>
  <c r="T41" i="30"/>
  <c r="T39" i="30"/>
  <c r="T38" i="30"/>
  <c r="T36" i="30"/>
  <c r="T34" i="30"/>
  <c r="T32" i="30"/>
  <c r="T30" i="30"/>
  <c r="T21" i="30"/>
  <c r="T29" i="30"/>
  <c r="T19" i="30"/>
  <c r="T11" i="30"/>
  <c r="T5" i="30"/>
  <c r="R133" i="30"/>
  <c r="P133" i="30"/>
  <c r="P134" i="30"/>
  <c r="O133" i="30"/>
  <c r="I133" i="30"/>
  <c r="H133" i="30"/>
  <c r="H134" i="30"/>
  <c r="E133" i="30"/>
  <c r="S132" i="30"/>
  <c r="N132" i="30"/>
  <c r="Q132" i="30"/>
  <c r="I132" i="30"/>
  <c r="N131" i="30"/>
  <c r="Q131" i="30"/>
  <c r="I131" i="30"/>
  <c r="P130" i="30"/>
  <c r="O130" i="30"/>
  <c r="I130" i="30"/>
  <c r="H130" i="30"/>
  <c r="G130" i="30"/>
  <c r="F130" i="30"/>
  <c r="E130" i="30"/>
  <c r="E134" i="30"/>
  <c r="U129" i="30"/>
  <c r="Q129" i="30"/>
  <c r="N129" i="30"/>
  <c r="R129" i="30"/>
  <c r="I129" i="30"/>
  <c r="N128" i="30"/>
  <c r="R128" i="30"/>
  <c r="I128" i="30"/>
  <c r="U127" i="30"/>
  <c r="Q127" i="30"/>
  <c r="N127" i="30"/>
  <c r="R127" i="30"/>
  <c r="I127" i="30"/>
  <c r="R126" i="30"/>
  <c r="N126" i="30"/>
  <c r="Q126" i="30"/>
  <c r="I126" i="30"/>
  <c r="U125" i="30"/>
  <c r="Q125" i="30"/>
  <c r="N125" i="30"/>
  <c r="R125" i="30"/>
  <c r="I125" i="30"/>
  <c r="R124" i="30"/>
  <c r="N124" i="30"/>
  <c r="Q124" i="30"/>
  <c r="S124" i="30"/>
  <c r="I124" i="30"/>
  <c r="Q123" i="30"/>
  <c r="N123" i="30"/>
  <c r="R123" i="30"/>
  <c r="I123" i="30"/>
  <c r="S122" i="30"/>
  <c r="R122" i="30"/>
  <c r="N122" i="30"/>
  <c r="Q122" i="30"/>
  <c r="I122" i="30"/>
  <c r="U121" i="30"/>
  <c r="Q121" i="30"/>
  <c r="N121" i="30"/>
  <c r="N130" i="30"/>
  <c r="I121" i="30"/>
  <c r="P120" i="30"/>
  <c r="O120" i="30"/>
  <c r="O134" i="30"/>
  <c r="H120" i="30"/>
  <c r="E120" i="30"/>
  <c r="U120" i="30"/>
  <c r="Q119" i="30"/>
  <c r="N119" i="30"/>
  <c r="N120" i="30"/>
  <c r="I119" i="30"/>
  <c r="I120" i="30"/>
  <c r="R118" i="30"/>
  <c r="P118" i="30"/>
  <c r="O118" i="30"/>
  <c r="Q117" i="30"/>
  <c r="N117" i="30"/>
  <c r="N118" i="30"/>
  <c r="I117" i="30"/>
  <c r="O111" i="30"/>
  <c r="M111" i="30"/>
  <c r="L111" i="30"/>
  <c r="K111" i="30"/>
  <c r="J111" i="30"/>
  <c r="G111" i="30"/>
  <c r="G112" i="30"/>
  <c r="P110" i="30"/>
  <c r="O110" i="30"/>
  <c r="H110" i="30"/>
  <c r="F110" i="30"/>
  <c r="F111" i="30"/>
  <c r="F112" i="30"/>
  <c r="E110" i="30"/>
  <c r="E111" i="30"/>
  <c r="R109" i="30"/>
  <c r="R110" i="30"/>
  <c r="N109" i="30"/>
  <c r="N110" i="30"/>
  <c r="I109" i="30"/>
  <c r="I110" i="30"/>
  <c r="R108" i="30"/>
  <c r="P108" i="30"/>
  <c r="O108" i="30"/>
  <c r="S107" i="30"/>
  <c r="S108" i="30"/>
  <c r="N107" i="30"/>
  <c r="Q107" i="30"/>
  <c r="I107" i="30"/>
  <c r="P106" i="30"/>
  <c r="O106" i="30"/>
  <c r="H106" i="30"/>
  <c r="E106" i="30"/>
  <c r="R105" i="30"/>
  <c r="Q105" i="30"/>
  <c r="U105" i="30"/>
  <c r="N105" i="30"/>
  <c r="K105" i="30"/>
  <c r="I105" i="30"/>
  <c r="R104" i="30"/>
  <c r="Q104" i="30"/>
  <c r="U104" i="30"/>
  <c r="N104" i="30"/>
  <c r="K104" i="30"/>
  <c r="I104" i="30"/>
  <c r="N103" i="30"/>
  <c r="K103" i="30"/>
  <c r="I103" i="30"/>
  <c r="N102" i="30"/>
  <c r="R102" i="30"/>
  <c r="K102" i="30"/>
  <c r="I102" i="30"/>
  <c r="R101" i="30"/>
  <c r="N101" i="30"/>
  <c r="Q101" i="30"/>
  <c r="K101" i="30"/>
  <c r="I101" i="30"/>
  <c r="U100" i="30"/>
  <c r="R100" i="30"/>
  <c r="Q100" i="30"/>
  <c r="N100" i="30"/>
  <c r="K100" i="30"/>
  <c r="I100" i="30"/>
  <c r="N99" i="30"/>
  <c r="K99" i="30"/>
  <c r="I99" i="30"/>
  <c r="N98" i="30"/>
  <c r="R98" i="30"/>
  <c r="K98" i="30"/>
  <c r="I98" i="30"/>
  <c r="R97" i="30"/>
  <c r="N97" i="30"/>
  <c r="Q97" i="30"/>
  <c r="K97" i="30"/>
  <c r="I97" i="30"/>
  <c r="U96" i="30"/>
  <c r="R96" i="30"/>
  <c r="Q96" i="30"/>
  <c r="N96" i="30"/>
  <c r="K96" i="30"/>
  <c r="I96" i="30"/>
  <c r="N95" i="30"/>
  <c r="K95" i="30"/>
  <c r="I95" i="30"/>
  <c r="S94" i="30"/>
  <c r="Q94" i="30"/>
  <c r="N94" i="30"/>
  <c r="R94" i="30"/>
  <c r="K94" i="30"/>
  <c r="I94" i="30"/>
  <c r="R93" i="30"/>
  <c r="N93" i="30"/>
  <c r="Q93" i="30"/>
  <c r="K93" i="30"/>
  <c r="I93" i="30"/>
  <c r="S92" i="30"/>
  <c r="R92" i="30"/>
  <c r="Q92" i="30"/>
  <c r="N92" i="30"/>
  <c r="K92" i="30"/>
  <c r="I92" i="30"/>
  <c r="N91" i="30"/>
  <c r="R91" i="30"/>
  <c r="K91" i="30"/>
  <c r="I91" i="30"/>
  <c r="N90" i="30"/>
  <c r="K90" i="30"/>
  <c r="I90" i="30"/>
  <c r="P84" i="30"/>
  <c r="O84" i="30"/>
  <c r="E84" i="30"/>
  <c r="Q83" i="30"/>
  <c r="P83" i="30"/>
  <c r="O83" i="30"/>
  <c r="H83" i="30"/>
  <c r="H84" i="30"/>
  <c r="E83" i="30"/>
  <c r="Q82" i="30"/>
  <c r="U82" i="30"/>
  <c r="U83" i="30"/>
  <c r="N82" i="30"/>
  <c r="I82" i="30"/>
  <c r="I83" i="30"/>
  <c r="I84" i="30"/>
  <c r="R81" i="30"/>
  <c r="P81" i="30"/>
  <c r="O81" i="30"/>
  <c r="N80" i="30"/>
  <c r="N81" i="30"/>
  <c r="I80" i="30"/>
  <c r="AA75" i="30"/>
  <c r="F75" i="30"/>
  <c r="M74" i="30"/>
  <c r="L74" i="30"/>
  <c r="K74" i="30"/>
  <c r="J74" i="30"/>
  <c r="G74" i="30"/>
  <c r="G75" i="30"/>
  <c r="F74" i="30"/>
  <c r="Y73" i="30"/>
  <c r="U73" i="30"/>
  <c r="P73" i="30"/>
  <c r="O73" i="30"/>
  <c r="I73" i="30"/>
  <c r="H73" i="30"/>
  <c r="E73" i="30"/>
  <c r="U72" i="30"/>
  <c r="Q72" i="30"/>
  <c r="N72" i="30"/>
  <c r="R72" i="30"/>
  <c r="K72" i="30"/>
  <c r="I72" i="30"/>
  <c r="U71" i="30"/>
  <c r="N71" i="30"/>
  <c r="R71" i="30"/>
  <c r="R73" i="30"/>
  <c r="K71" i="30"/>
  <c r="I71" i="30"/>
  <c r="Y70" i="30"/>
  <c r="P70" i="30"/>
  <c r="O70" i="30"/>
  <c r="N70" i="30"/>
  <c r="I70" i="30"/>
  <c r="H70" i="30"/>
  <c r="E70" i="30"/>
  <c r="U69" i="30"/>
  <c r="N69" i="30"/>
  <c r="R69" i="30"/>
  <c r="K69" i="30"/>
  <c r="I69" i="30"/>
  <c r="U68" i="30"/>
  <c r="Q68" i="30"/>
  <c r="N68" i="30"/>
  <c r="R68" i="30"/>
  <c r="K68" i="30"/>
  <c r="I68" i="30"/>
  <c r="U67" i="30"/>
  <c r="S67" i="30"/>
  <c r="Q67" i="30"/>
  <c r="N67" i="30"/>
  <c r="R67" i="30"/>
  <c r="K67" i="30"/>
  <c r="I67" i="30"/>
  <c r="U66" i="30"/>
  <c r="Q66" i="30"/>
  <c r="N66" i="30"/>
  <c r="R66" i="30"/>
  <c r="K66" i="30"/>
  <c r="I66" i="30"/>
  <c r="Z65" i="30"/>
  <c r="U65" i="30"/>
  <c r="S65" i="30"/>
  <c r="Q65" i="30"/>
  <c r="N65" i="30"/>
  <c r="R65" i="30"/>
  <c r="K65" i="30"/>
  <c r="I65" i="30"/>
  <c r="U64" i="30"/>
  <c r="Q64" i="30"/>
  <c r="N64" i="30"/>
  <c r="R64" i="30"/>
  <c r="K64" i="30"/>
  <c r="I64" i="30"/>
  <c r="U63" i="30"/>
  <c r="S63" i="30"/>
  <c r="Q63" i="30"/>
  <c r="N63" i="30"/>
  <c r="R63" i="30"/>
  <c r="K63" i="30"/>
  <c r="I63" i="30"/>
  <c r="U62" i="30"/>
  <c r="Q62" i="30"/>
  <c r="N62" i="30"/>
  <c r="R62" i="30"/>
  <c r="K62" i="30"/>
  <c r="I62" i="30"/>
  <c r="U61" i="30"/>
  <c r="S61" i="30"/>
  <c r="Q61" i="30"/>
  <c r="N61" i="30"/>
  <c r="R61" i="30"/>
  <c r="K61" i="30"/>
  <c r="I61" i="30"/>
  <c r="U60" i="30"/>
  <c r="Q60" i="30"/>
  <c r="N60" i="30"/>
  <c r="R60" i="30"/>
  <c r="K60" i="30"/>
  <c r="I60" i="30"/>
  <c r="U59" i="30"/>
  <c r="Q59" i="30"/>
  <c r="N59" i="30"/>
  <c r="R59" i="30"/>
  <c r="K59" i="30"/>
  <c r="I59" i="30"/>
  <c r="U58" i="30"/>
  <c r="Q58" i="30"/>
  <c r="N58" i="30"/>
  <c r="R58" i="30"/>
  <c r="K58" i="30"/>
  <c r="I58" i="30"/>
  <c r="U57" i="30"/>
  <c r="Q57" i="30"/>
  <c r="N57" i="30"/>
  <c r="R57" i="30"/>
  <c r="K57" i="30"/>
  <c r="I57" i="30"/>
  <c r="U56" i="30"/>
  <c r="Q56" i="30"/>
  <c r="N56" i="30"/>
  <c r="R56" i="30"/>
  <c r="R70" i="30"/>
  <c r="K56" i="30"/>
  <c r="I56" i="30"/>
  <c r="Y55" i="30"/>
  <c r="P55" i="30"/>
  <c r="O55" i="30"/>
  <c r="O74" i="30"/>
  <c r="N55" i="30"/>
  <c r="I55" i="30"/>
  <c r="H55" i="30"/>
  <c r="E55" i="30"/>
  <c r="U54" i="30"/>
  <c r="U55" i="30"/>
  <c r="Q54" i="30"/>
  <c r="N54" i="30"/>
  <c r="R54" i="30"/>
  <c r="R55" i="30"/>
  <c r="K54" i="30"/>
  <c r="I54" i="30"/>
  <c r="Y53" i="30"/>
  <c r="P53" i="30"/>
  <c r="O53" i="30"/>
  <c r="N53" i="30"/>
  <c r="I53" i="30"/>
  <c r="H53" i="30"/>
  <c r="E53" i="30"/>
  <c r="U52" i="30"/>
  <c r="Q52" i="30"/>
  <c r="N52" i="30"/>
  <c r="R52" i="30"/>
  <c r="K52" i="30"/>
  <c r="I52" i="30"/>
  <c r="U51" i="30"/>
  <c r="Q51" i="30"/>
  <c r="N51" i="30"/>
  <c r="R51" i="30"/>
  <c r="R53" i="30"/>
  <c r="K51" i="30"/>
  <c r="I51" i="30"/>
  <c r="Y50" i="30"/>
  <c r="P50" i="30"/>
  <c r="O50" i="30"/>
  <c r="N50" i="30"/>
  <c r="I50" i="30"/>
  <c r="H50" i="30"/>
  <c r="E50" i="30"/>
  <c r="U49" i="30"/>
  <c r="U50" i="30"/>
  <c r="Q49" i="30"/>
  <c r="N49" i="30"/>
  <c r="R49" i="30"/>
  <c r="S49" i="30"/>
  <c r="S50" i="30"/>
  <c r="K49" i="30"/>
  <c r="I49" i="30"/>
  <c r="M43" i="30"/>
  <c r="L43" i="30"/>
  <c r="L44" i="30"/>
  <c r="L75" i="30"/>
  <c r="K43" i="30"/>
  <c r="J43" i="30"/>
  <c r="Y42" i="30"/>
  <c r="R42" i="30"/>
  <c r="P42" i="30"/>
  <c r="O42" i="30"/>
  <c r="N42" i="30"/>
  <c r="U42" i="30"/>
  <c r="Q41" i="30"/>
  <c r="N41" i="30"/>
  <c r="I41" i="30"/>
  <c r="Y40" i="30"/>
  <c r="U40" i="30"/>
  <c r="P40" i="30"/>
  <c r="O40" i="30"/>
  <c r="I40" i="30"/>
  <c r="H40" i="30"/>
  <c r="E40" i="30"/>
  <c r="U39" i="30"/>
  <c r="N39" i="30"/>
  <c r="Q39" i="30"/>
  <c r="K39" i="30"/>
  <c r="I39" i="30"/>
  <c r="U38" i="30"/>
  <c r="N38" i="30"/>
  <c r="R38" i="30"/>
  <c r="K38" i="30"/>
  <c r="I38" i="30"/>
  <c r="Y37" i="30"/>
  <c r="U37" i="30"/>
  <c r="P37" i="30"/>
  <c r="O37" i="30"/>
  <c r="H37" i="30"/>
  <c r="E37" i="30"/>
  <c r="U36" i="30"/>
  <c r="R36" i="30"/>
  <c r="R37" i="30"/>
  <c r="N36" i="30"/>
  <c r="K36" i="30"/>
  <c r="I36" i="30"/>
  <c r="I37" i="30"/>
  <c r="Y35" i="30"/>
  <c r="U35" i="30"/>
  <c r="P35" i="30"/>
  <c r="O35" i="30"/>
  <c r="H35" i="30"/>
  <c r="E35" i="30"/>
  <c r="U34" i="30"/>
  <c r="R34" i="30"/>
  <c r="R35" i="30"/>
  <c r="N34" i="30"/>
  <c r="K34" i="30"/>
  <c r="I34" i="30"/>
  <c r="I35" i="30"/>
  <c r="Y33" i="30"/>
  <c r="U33" i="30"/>
  <c r="P33" i="30"/>
  <c r="P43" i="30"/>
  <c r="O33" i="30"/>
  <c r="H33" i="30"/>
  <c r="H43" i="30"/>
  <c r="E33" i="30"/>
  <c r="U32" i="30"/>
  <c r="R32" i="30"/>
  <c r="R33" i="30"/>
  <c r="N32" i="30"/>
  <c r="K32" i="30"/>
  <c r="I32" i="30"/>
  <c r="I33" i="30"/>
  <c r="Y31" i="30"/>
  <c r="R31" i="30"/>
  <c r="P31" i="30"/>
  <c r="O31" i="30"/>
  <c r="N30" i="30"/>
  <c r="Q30" i="30"/>
  <c r="I30" i="30"/>
  <c r="U31" i="30"/>
  <c r="N29" i="30"/>
  <c r="N31" i="30"/>
  <c r="I29" i="30"/>
  <c r="M24" i="30"/>
  <c r="L24" i="30"/>
  <c r="F24" i="30"/>
  <c r="K23" i="30"/>
  <c r="K24" i="30"/>
  <c r="J23" i="30"/>
  <c r="J24" i="30"/>
  <c r="H23" i="30"/>
  <c r="G23" i="30"/>
  <c r="G24" i="30"/>
  <c r="F23" i="30"/>
  <c r="Y22" i="30"/>
  <c r="Y23" i="30"/>
  <c r="Y24" i="30"/>
  <c r="P22" i="30"/>
  <c r="P23" i="30"/>
  <c r="P24" i="30"/>
  <c r="O22" i="30"/>
  <c r="O23" i="30"/>
  <c r="O24" i="30"/>
  <c r="N22" i="30"/>
  <c r="H22" i="30"/>
  <c r="E22" i="30"/>
  <c r="E23" i="30"/>
  <c r="E24" i="30"/>
  <c r="U21" i="30"/>
  <c r="U22" i="30"/>
  <c r="U23" i="30"/>
  <c r="S21" i="30"/>
  <c r="S22" i="30"/>
  <c r="R21" i="30"/>
  <c r="R22" i="30"/>
  <c r="Q21" i="30"/>
  <c r="N21" i="30"/>
  <c r="K21" i="30"/>
  <c r="I21" i="30"/>
  <c r="I22" i="30"/>
  <c r="I23" i="30"/>
  <c r="Y20" i="30"/>
  <c r="P20" i="30"/>
  <c r="O20" i="30"/>
  <c r="N20" i="30"/>
  <c r="N23" i="30"/>
  <c r="N24" i="30"/>
  <c r="H20" i="30"/>
  <c r="E20" i="30"/>
  <c r="U19" i="30"/>
  <c r="U20" i="30"/>
  <c r="R19" i="30"/>
  <c r="R20" i="30"/>
  <c r="Q19" i="30"/>
  <c r="N19" i="30"/>
  <c r="K19" i="30"/>
  <c r="I19" i="30"/>
  <c r="I20" i="30"/>
  <c r="Y12" i="30"/>
  <c r="Y13" i="30"/>
  <c r="U12" i="30"/>
  <c r="P12" i="30"/>
  <c r="O12" i="30"/>
  <c r="H12" i="30"/>
  <c r="H13" i="30"/>
  <c r="E12" i="30"/>
  <c r="E13" i="30"/>
  <c r="U11" i="30"/>
  <c r="R11" i="30"/>
  <c r="R12" i="30"/>
  <c r="N11" i="30"/>
  <c r="K11" i="30"/>
  <c r="I11" i="30"/>
  <c r="I12" i="30"/>
  <c r="Y6" i="30"/>
  <c r="U6" i="30"/>
  <c r="P6" i="30"/>
  <c r="O6" i="30"/>
  <c r="H6" i="30"/>
  <c r="E6" i="30"/>
  <c r="U5" i="30"/>
  <c r="R5" i="30"/>
  <c r="R6" i="30"/>
  <c r="R13" i="30"/>
  <c r="N5" i="30"/>
  <c r="K5" i="30"/>
  <c r="I5" i="30"/>
  <c r="I6" i="30"/>
  <c r="W10" i="33"/>
  <c r="X10" i="33"/>
  <c r="V10" i="33"/>
  <c r="T110" i="31"/>
  <c r="W127" i="31"/>
  <c r="X127" i="31"/>
  <c r="V127" i="31"/>
  <c r="V124" i="31"/>
  <c r="W124" i="31"/>
  <c r="X124" i="31"/>
  <c r="V94" i="31"/>
  <c r="W94" i="31"/>
  <c r="X94" i="31"/>
  <c r="R106" i="31"/>
  <c r="R111" i="31"/>
  <c r="U90" i="31"/>
  <c r="W99" i="31"/>
  <c r="X99" i="31"/>
  <c r="S122" i="31"/>
  <c r="S131" i="31"/>
  <c r="S135" i="31"/>
  <c r="Q131" i="31"/>
  <c r="W108" i="31"/>
  <c r="X107" i="31"/>
  <c r="X108" i="31"/>
  <c r="U104" i="31"/>
  <c r="V104" i="31"/>
  <c r="W95" i="31"/>
  <c r="X95" i="31"/>
  <c r="W134" i="31"/>
  <c r="X132" i="31"/>
  <c r="X134" i="31"/>
  <c r="P136" i="31"/>
  <c r="W97" i="31"/>
  <c r="X97" i="31"/>
  <c r="V130" i="31"/>
  <c r="W130" i="31"/>
  <c r="X130" i="31"/>
  <c r="V129" i="31"/>
  <c r="W129" i="31"/>
  <c r="X129" i="31"/>
  <c r="V126" i="31"/>
  <c r="W126" i="31"/>
  <c r="X126" i="31"/>
  <c r="V125" i="31"/>
  <c r="W125" i="31"/>
  <c r="X125" i="31"/>
  <c r="T131" i="31"/>
  <c r="W122" i="31"/>
  <c r="V122" i="31"/>
  <c r="S98" i="31"/>
  <c r="V91" i="31"/>
  <c r="W91" i="31"/>
  <c r="X91" i="31"/>
  <c r="S104" i="31"/>
  <c r="U93" i="31"/>
  <c r="W118" i="31"/>
  <c r="Q111" i="31"/>
  <c r="T50" i="31"/>
  <c r="V49" i="31"/>
  <c r="V50" i="31"/>
  <c r="S56" i="31"/>
  <c r="S70" i="31"/>
  <c r="Q70" i="31"/>
  <c r="S60" i="31"/>
  <c r="Q53" i="31"/>
  <c r="Q44" i="31"/>
  <c r="X29" i="31"/>
  <c r="X31" i="31"/>
  <c r="W31" i="31"/>
  <c r="V19" i="31"/>
  <c r="V20" i="31"/>
  <c r="V23" i="31"/>
  <c r="R20" i="31"/>
  <c r="R23" i="31"/>
  <c r="R24" i="31"/>
  <c r="V65" i="31"/>
  <c r="V59" i="31"/>
  <c r="W59" i="31"/>
  <c r="X59" i="31"/>
  <c r="R13" i="31"/>
  <c r="Z11" i="31"/>
  <c r="Z12" i="31"/>
  <c r="Z13" i="31"/>
  <c r="N135" i="31"/>
  <c r="V105" i="31"/>
  <c r="W105" i="31"/>
  <c r="X105" i="31"/>
  <c r="V102" i="31"/>
  <c r="W102" i="31"/>
  <c r="X102" i="31"/>
  <c r="V73" i="31"/>
  <c r="U121" i="31"/>
  <c r="U135" i="31"/>
  <c r="R121" i="31"/>
  <c r="W96" i="31"/>
  <c r="X96" i="31"/>
  <c r="S90" i="31"/>
  <c r="S106" i="31"/>
  <c r="Q106" i="31"/>
  <c r="S54" i="31"/>
  <c r="S55" i="31"/>
  <c r="Q55" i="31"/>
  <c r="V58" i="31"/>
  <c r="Z58" i="31"/>
  <c r="V62" i="31"/>
  <c r="Z62" i="31"/>
  <c r="N74" i="31"/>
  <c r="N75" i="31"/>
  <c r="N85" i="31"/>
  <c r="N112" i="31"/>
  <c r="W66" i="31"/>
  <c r="X66" i="31"/>
  <c r="O75" i="31"/>
  <c r="O85" i="31"/>
  <c r="O112" i="31"/>
  <c r="O136" i="31"/>
  <c r="S58" i="31"/>
  <c r="T37" i="31"/>
  <c r="W36" i="31"/>
  <c r="W69" i="31"/>
  <c r="X69" i="31"/>
  <c r="V67" i="31"/>
  <c r="W67" i="31"/>
  <c r="X67" i="31"/>
  <c r="Z59" i="31"/>
  <c r="T40" i="31"/>
  <c r="W38" i="31"/>
  <c r="V38" i="31"/>
  <c r="U75" i="31"/>
  <c r="U85" i="31"/>
  <c r="S40" i="31"/>
  <c r="S43" i="31"/>
  <c r="S44" i="31"/>
  <c r="S39" i="31"/>
  <c r="S19" i="31"/>
  <c r="S20" i="31"/>
  <c r="S23" i="31"/>
  <c r="S24" i="31"/>
  <c r="V128" i="31"/>
  <c r="W128" i="31"/>
  <c r="X128" i="31"/>
  <c r="R135" i="31"/>
  <c r="T83" i="31"/>
  <c r="T84" i="31"/>
  <c r="V82" i="31"/>
  <c r="V83" i="31"/>
  <c r="V84" i="31"/>
  <c r="I112" i="31"/>
  <c r="I136" i="31"/>
  <c r="R70" i="31"/>
  <c r="R74" i="31"/>
  <c r="Z56" i="31"/>
  <c r="V56" i="31"/>
  <c r="W68" i="31"/>
  <c r="X68" i="31"/>
  <c r="T35" i="31"/>
  <c r="W73" i="31"/>
  <c r="V61" i="31"/>
  <c r="W61" i="31"/>
  <c r="X61" i="31"/>
  <c r="T55" i="31"/>
  <c r="V54" i="31"/>
  <c r="V55" i="31"/>
  <c r="W42" i="31"/>
  <c r="X41" i="31"/>
  <c r="X42" i="31"/>
  <c r="Z39" i="31"/>
  <c r="Z40" i="31"/>
  <c r="R40" i="31"/>
  <c r="R43" i="31"/>
  <c r="R44" i="31"/>
  <c r="V39" i="31"/>
  <c r="V34" i="31"/>
  <c r="V35" i="31"/>
  <c r="Q24" i="31"/>
  <c r="W103" i="31"/>
  <c r="X103" i="31"/>
  <c r="V109" i="31"/>
  <c r="V110" i="31"/>
  <c r="V123" i="31"/>
  <c r="W123" i="31"/>
  <c r="X123" i="31"/>
  <c r="H136" i="31"/>
  <c r="U131" i="31"/>
  <c r="W101" i="31"/>
  <c r="X101" i="31"/>
  <c r="U98" i="31"/>
  <c r="U92" i="31"/>
  <c r="Q135" i="31"/>
  <c r="W100" i="31"/>
  <c r="X100" i="31"/>
  <c r="Q121" i="31"/>
  <c r="S120" i="31"/>
  <c r="S121" i="31"/>
  <c r="S111" i="31"/>
  <c r="X71" i="31"/>
  <c r="X73" i="31"/>
  <c r="V68" i="31"/>
  <c r="Z34" i="31"/>
  <c r="Z35" i="31"/>
  <c r="S53" i="31"/>
  <c r="T12" i="31"/>
  <c r="W11" i="31"/>
  <c r="W65" i="31"/>
  <c r="X65" i="31"/>
  <c r="W63" i="31"/>
  <c r="X63" i="31"/>
  <c r="V63" i="31"/>
  <c r="V57" i="31"/>
  <c r="W57" i="31"/>
  <c r="X57" i="31"/>
  <c r="I44" i="31"/>
  <c r="T33" i="31"/>
  <c r="V32" i="31"/>
  <c r="V33" i="31"/>
  <c r="T6" i="31"/>
  <c r="V5" i="31"/>
  <c r="V6" i="31"/>
  <c r="V13" i="31"/>
  <c r="W5" i="31"/>
  <c r="V41" i="30"/>
  <c r="V42" i="30"/>
  <c r="H24" i="30"/>
  <c r="H44" i="30"/>
  <c r="R74" i="30"/>
  <c r="I13" i="30"/>
  <c r="I24" i="30"/>
  <c r="J44" i="30"/>
  <c r="P44" i="30"/>
  <c r="R23" i="30"/>
  <c r="R24" i="30"/>
  <c r="U24" i="30"/>
  <c r="S19" i="30"/>
  <c r="S20" i="30"/>
  <c r="S23" i="30"/>
  <c r="V30" i="30"/>
  <c r="O43" i="30"/>
  <c r="O44" i="30"/>
  <c r="O75" i="30"/>
  <c r="R50" i="30"/>
  <c r="O85" i="30"/>
  <c r="V62" i="30"/>
  <c r="S62" i="30"/>
  <c r="Z66" i="30"/>
  <c r="V66" i="30"/>
  <c r="S66" i="30"/>
  <c r="W67" i="30"/>
  <c r="X67" i="30"/>
  <c r="P74" i="30"/>
  <c r="P75" i="30"/>
  <c r="N12" i="30"/>
  <c r="Q11" i="30"/>
  <c r="U13" i="30"/>
  <c r="Q22" i="30"/>
  <c r="Q29" i="30"/>
  <c r="S30" i="30"/>
  <c r="N35" i="30"/>
  <c r="Q34" i="30"/>
  <c r="R39" i="30"/>
  <c r="R40" i="30"/>
  <c r="R43" i="30"/>
  <c r="R44" i="30"/>
  <c r="Q50" i="30"/>
  <c r="V49" i="30"/>
  <c r="V50" i="30"/>
  <c r="Z49" i="30"/>
  <c r="Z50" i="30"/>
  <c r="Q53" i="30"/>
  <c r="Z51" i="30"/>
  <c r="S52" i="30"/>
  <c r="Q55" i="30"/>
  <c r="V54" i="30"/>
  <c r="V55" i="30"/>
  <c r="S54" i="30"/>
  <c r="S55" i="30"/>
  <c r="H74" i="30"/>
  <c r="S56" i="30"/>
  <c r="V56" i="30"/>
  <c r="S58" i="30"/>
  <c r="N40" i="30"/>
  <c r="N43" i="30"/>
  <c r="N44" i="30"/>
  <c r="Q38" i="30"/>
  <c r="I43" i="30"/>
  <c r="U43" i="30"/>
  <c r="M44" i="30"/>
  <c r="M75" i="30"/>
  <c r="Q20" i="30"/>
  <c r="V19" i="30"/>
  <c r="V20" i="30"/>
  <c r="Z30" i="30"/>
  <c r="N37" i="30"/>
  <c r="Q36" i="30"/>
  <c r="Z39" i="30"/>
  <c r="E43" i="30"/>
  <c r="E44" i="30"/>
  <c r="Q42" i="30"/>
  <c r="Z41" i="30"/>
  <c r="Z42" i="30"/>
  <c r="S41" i="30"/>
  <c r="S42" i="30"/>
  <c r="Y43" i="30"/>
  <c r="Y44" i="30"/>
  <c r="K44" i="30"/>
  <c r="K75" i="30"/>
  <c r="S51" i="30"/>
  <c r="S53" i="30"/>
  <c r="U70" i="30"/>
  <c r="Z59" i="30"/>
  <c r="V60" i="30"/>
  <c r="Z60" i="30"/>
  <c r="S60" i="30"/>
  <c r="Z63" i="30"/>
  <c r="Z64" i="30"/>
  <c r="V64" i="30"/>
  <c r="S64" i="30"/>
  <c r="Z67" i="30"/>
  <c r="Z68" i="30"/>
  <c r="S68" i="30"/>
  <c r="I85" i="30"/>
  <c r="N6" i="30"/>
  <c r="Q5" i="30"/>
  <c r="N33" i="30"/>
  <c r="Q32" i="30"/>
  <c r="T42" i="30"/>
  <c r="U53" i="30"/>
  <c r="S57" i="30"/>
  <c r="V57" i="30"/>
  <c r="J75" i="30"/>
  <c r="N106" i="30"/>
  <c r="N111" i="30"/>
  <c r="Q90" i="30"/>
  <c r="R95" i="30"/>
  <c r="Q95" i="30"/>
  <c r="U101" i="30"/>
  <c r="S101" i="30"/>
  <c r="V101" i="30"/>
  <c r="U118" i="30"/>
  <c r="Q118" i="30"/>
  <c r="S117" i="30"/>
  <c r="S118" i="30"/>
  <c r="U126" i="30"/>
  <c r="V126" i="30"/>
  <c r="S126" i="30"/>
  <c r="E74" i="30"/>
  <c r="E75" i="30"/>
  <c r="Y74" i="30"/>
  <c r="Y75" i="30"/>
  <c r="S72" i="30"/>
  <c r="T83" i="30"/>
  <c r="R90" i="30"/>
  <c r="V59" i="30"/>
  <c r="W59" i="30"/>
  <c r="X59" i="30"/>
  <c r="V61" i="30"/>
  <c r="W61" i="30"/>
  <c r="X61" i="30"/>
  <c r="V63" i="30"/>
  <c r="W63" i="30"/>
  <c r="X63" i="30"/>
  <c r="V65" i="30"/>
  <c r="W65" i="30"/>
  <c r="X65" i="30"/>
  <c r="V67" i="30"/>
  <c r="Q69" i="30"/>
  <c r="Q71" i="30"/>
  <c r="V72" i="30"/>
  <c r="N73" i="30"/>
  <c r="N74" i="30"/>
  <c r="Q80" i="30"/>
  <c r="N83" i="30"/>
  <c r="N84" i="30"/>
  <c r="N85" i="30"/>
  <c r="R82" i="30"/>
  <c r="I106" i="30"/>
  <c r="Q91" i="30"/>
  <c r="U92" i="30"/>
  <c r="S59" i="30"/>
  <c r="I74" i="30"/>
  <c r="R99" i="30"/>
  <c r="Q99" i="30"/>
  <c r="O112" i="30"/>
  <c r="O135" i="30"/>
  <c r="S123" i="30"/>
  <c r="U123" i="30"/>
  <c r="V96" i="30"/>
  <c r="S96" i="30"/>
  <c r="R103" i="30"/>
  <c r="Q103" i="30"/>
  <c r="H111" i="30"/>
  <c r="Q120" i="30"/>
  <c r="V119" i="30"/>
  <c r="V120" i="30"/>
  <c r="S125" i="30"/>
  <c r="V125" i="30"/>
  <c r="U93" i="30"/>
  <c r="V93" i="30"/>
  <c r="S93" i="30"/>
  <c r="U97" i="30"/>
  <c r="S97" i="30"/>
  <c r="S100" i="30"/>
  <c r="V100" i="30"/>
  <c r="U122" i="30"/>
  <c r="V122" i="30"/>
  <c r="S127" i="30"/>
  <c r="V127" i="30"/>
  <c r="S129" i="30"/>
  <c r="V129" i="30"/>
  <c r="S131" i="30"/>
  <c r="S133" i="30"/>
  <c r="U131" i="30"/>
  <c r="U133" i="30"/>
  <c r="U132" i="30"/>
  <c r="Q133" i="30"/>
  <c r="V104" i="30"/>
  <c r="S104" i="30"/>
  <c r="U108" i="30"/>
  <c r="Q108" i="30"/>
  <c r="I111" i="30"/>
  <c r="I112" i="30"/>
  <c r="P111" i="30"/>
  <c r="U124" i="30"/>
  <c r="V124" i="30"/>
  <c r="T133" i="30"/>
  <c r="I134" i="30"/>
  <c r="S105" i="30"/>
  <c r="R119" i="30"/>
  <c r="R120" i="30"/>
  <c r="R121" i="30"/>
  <c r="R130" i="30"/>
  <c r="R134" i="30"/>
  <c r="N133" i="30"/>
  <c r="N134" i="30"/>
  <c r="U94" i="30"/>
  <c r="Q98" i="30"/>
  <c r="Q102" i="30"/>
  <c r="N108" i="30"/>
  <c r="Q128" i="30"/>
  <c r="Q130" i="30"/>
  <c r="Q109" i="30"/>
  <c r="AC153" i="29"/>
  <c r="AB153" i="29"/>
  <c r="H131" i="29"/>
  <c r="I131" i="29"/>
  <c r="J131" i="29"/>
  <c r="K131" i="29"/>
  <c r="N131" i="29"/>
  <c r="O131" i="29"/>
  <c r="P131" i="29"/>
  <c r="Q131" i="29"/>
  <c r="G130" i="28"/>
  <c r="H130" i="28"/>
  <c r="I130" i="28"/>
  <c r="N121" i="28"/>
  <c r="N130" i="28"/>
  <c r="O130" i="28"/>
  <c r="P130" i="28"/>
  <c r="H131" i="1"/>
  <c r="I131" i="1"/>
  <c r="N122" i="1"/>
  <c r="N131" i="1"/>
  <c r="O131" i="1"/>
  <c r="P131" i="1"/>
  <c r="R133" i="1"/>
  <c r="R132" i="1"/>
  <c r="T72" i="2"/>
  <c r="U72" i="2"/>
  <c r="V72" i="2"/>
  <c r="T73" i="2"/>
  <c r="U73" i="2"/>
  <c r="V73" i="2"/>
  <c r="T74" i="2"/>
  <c r="U74" i="2"/>
  <c r="V74" i="2"/>
  <c r="T75" i="2"/>
  <c r="U75" i="2"/>
  <c r="V75" i="2"/>
  <c r="T76" i="2"/>
  <c r="U76" i="2"/>
  <c r="V76" i="2"/>
  <c r="T77" i="2"/>
  <c r="U77" i="2"/>
  <c r="V77" i="2"/>
  <c r="T78" i="2"/>
  <c r="U78" i="2"/>
  <c r="V78" i="2"/>
  <c r="T79" i="2"/>
  <c r="U79" i="2"/>
  <c r="V79" i="2"/>
  <c r="T80" i="2"/>
  <c r="U80" i="2"/>
  <c r="V80" i="2"/>
  <c r="T81" i="2"/>
  <c r="U81" i="2"/>
  <c r="V81" i="2"/>
  <c r="T82" i="2"/>
  <c r="U82" i="2"/>
  <c r="V82" i="2"/>
  <c r="T83" i="2"/>
  <c r="U83" i="2"/>
  <c r="V83" i="2"/>
  <c r="T71" i="2"/>
  <c r="U71" i="2"/>
  <c r="V71" i="2"/>
  <c r="I72" i="2"/>
  <c r="I73" i="2"/>
  <c r="I74" i="2"/>
  <c r="I75" i="2"/>
  <c r="I76" i="2"/>
  <c r="I77" i="2"/>
  <c r="I78" i="2"/>
  <c r="I79" i="2"/>
  <c r="I80" i="2"/>
  <c r="I81" i="2"/>
  <c r="I82" i="2"/>
  <c r="I83" i="2"/>
  <c r="I71" i="2"/>
  <c r="F136" i="29"/>
  <c r="G136" i="29"/>
  <c r="H135" i="29"/>
  <c r="H136" i="29"/>
  <c r="I135" i="29"/>
  <c r="I136" i="29"/>
  <c r="J136" i="29"/>
  <c r="K136" i="29"/>
  <c r="L136" i="29"/>
  <c r="M136" i="29"/>
  <c r="N122" i="29"/>
  <c r="N135" i="29"/>
  <c r="N136" i="29"/>
  <c r="O135" i="29"/>
  <c r="O136" i="29"/>
  <c r="P135" i="29"/>
  <c r="P136" i="29"/>
  <c r="Q122" i="29"/>
  <c r="Q135" i="29"/>
  <c r="Q136" i="29"/>
  <c r="R122" i="29"/>
  <c r="R131" i="29"/>
  <c r="R135" i="29"/>
  <c r="R136" i="29"/>
  <c r="S122" i="29"/>
  <c r="S131" i="29"/>
  <c r="S135" i="29"/>
  <c r="S136" i="29"/>
  <c r="T122" i="29"/>
  <c r="T131" i="29"/>
  <c r="T135" i="29"/>
  <c r="T136" i="29"/>
  <c r="U122" i="29"/>
  <c r="U131" i="29"/>
  <c r="U135" i="29"/>
  <c r="U136" i="29"/>
  <c r="V122" i="29"/>
  <c r="V131" i="29"/>
  <c r="V135" i="29"/>
  <c r="V136" i="29"/>
  <c r="W122" i="29"/>
  <c r="W131" i="29"/>
  <c r="W135" i="29"/>
  <c r="W136" i="29"/>
  <c r="X122" i="29"/>
  <c r="X131" i="29"/>
  <c r="X135" i="29"/>
  <c r="X136" i="29"/>
  <c r="E136" i="29"/>
  <c r="U120" i="29"/>
  <c r="S134" i="29"/>
  <c r="T134" i="29"/>
  <c r="U134" i="29"/>
  <c r="V134" i="29"/>
  <c r="W134" i="29"/>
  <c r="X134" i="29"/>
  <c r="U121" i="29"/>
  <c r="V120" i="29"/>
  <c r="V121" i="29"/>
  <c r="W120" i="29"/>
  <c r="W121" i="29"/>
  <c r="X120" i="29"/>
  <c r="X121" i="29"/>
  <c r="S121" i="29"/>
  <c r="T121" i="29"/>
  <c r="S119" i="29"/>
  <c r="T119" i="29"/>
  <c r="U119" i="29"/>
  <c r="V119" i="29"/>
  <c r="W119" i="29"/>
  <c r="X119" i="29"/>
  <c r="T120" i="29"/>
  <c r="T123" i="29"/>
  <c r="U123" i="29"/>
  <c r="V123" i="29"/>
  <c r="W123" i="29"/>
  <c r="X123" i="29"/>
  <c r="T124" i="29"/>
  <c r="U124" i="29"/>
  <c r="V124" i="29"/>
  <c r="W124" i="29"/>
  <c r="X124" i="29"/>
  <c r="T125" i="29"/>
  <c r="U125" i="29"/>
  <c r="V125" i="29"/>
  <c r="W125" i="29"/>
  <c r="X125" i="29"/>
  <c r="T126" i="29"/>
  <c r="U126" i="29"/>
  <c r="V126" i="29"/>
  <c r="W126" i="29"/>
  <c r="X126" i="29"/>
  <c r="T127" i="29"/>
  <c r="U127" i="29"/>
  <c r="V127" i="29"/>
  <c r="W127" i="29"/>
  <c r="X127" i="29"/>
  <c r="T128" i="29"/>
  <c r="U128" i="29"/>
  <c r="V128" i="29"/>
  <c r="W128" i="29"/>
  <c r="X128" i="29"/>
  <c r="T129" i="29"/>
  <c r="U129" i="29"/>
  <c r="V129" i="29"/>
  <c r="W129" i="29"/>
  <c r="X129" i="29"/>
  <c r="T130" i="29"/>
  <c r="U130" i="29"/>
  <c r="V130" i="29"/>
  <c r="W130" i="29"/>
  <c r="X130" i="29"/>
  <c r="T132" i="29"/>
  <c r="U132" i="29"/>
  <c r="V132" i="29"/>
  <c r="W132" i="29"/>
  <c r="X132" i="29"/>
  <c r="T133" i="29"/>
  <c r="U133" i="29"/>
  <c r="V133" i="29"/>
  <c r="W133" i="29"/>
  <c r="X133" i="29"/>
  <c r="T118" i="29"/>
  <c r="U118" i="29"/>
  <c r="V118" i="29"/>
  <c r="W118" i="29"/>
  <c r="X118" i="29"/>
  <c r="N132" i="29"/>
  <c r="Q132" i="29"/>
  <c r="S132" i="29"/>
  <c r="N133" i="29"/>
  <c r="Q133" i="29"/>
  <c r="S133" i="29"/>
  <c r="N123" i="29"/>
  <c r="Q123" i="29"/>
  <c r="R123" i="29"/>
  <c r="S123" i="29"/>
  <c r="N124" i="29"/>
  <c r="Q124" i="29"/>
  <c r="R124" i="29"/>
  <c r="S124" i="29"/>
  <c r="N125" i="29"/>
  <c r="Q125" i="29"/>
  <c r="R125" i="29"/>
  <c r="S125" i="29"/>
  <c r="N126" i="29"/>
  <c r="Q126" i="29"/>
  <c r="R126" i="29"/>
  <c r="S126" i="29"/>
  <c r="N127" i="29"/>
  <c r="Q127" i="29"/>
  <c r="R127" i="29"/>
  <c r="S127" i="29"/>
  <c r="N128" i="29"/>
  <c r="Q128" i="29"/>
  <c r="R128" i="29"/>
  <c r="S128" i="29"/>
  <c r="N129" i="29"/>
  <c r="Q129" i="29"/>
  <c r="R129" i="29"/>
  <c r="S129" i="29"/>
  <c r="N130" i="29"/>
  <c r="Q130" i="29"/>
  <c r="R130" i="29"/>
  <c r="S130" i="29"/>
  <c r="N120" i="29"/>
  <c r="Q120" i="29"/>
  <c r="R120" i="29"/>
  <c r="S120" i="29"/>
  <c r="N118" i="29"/>
  <c r="Q118" i="29"/>
  <c r="S118" i="29"/>
  <c r="R134" i="29"/>
  <c r="R121" i="29"/>
  <c r="R119" i="29"/>
  <c r="Q134" i="29"/>
  <c r="Q121" i="29"/>
  <c r="Q119" i="29"/>
  <c r="P134" i="29"/>
  <c r="P121" i="29"/>
  <c r="P119" i="29"/>
  <c r="O134" i="29"/>
  <c r="O121" i="29"/>
  <c r="O119" i="29"/>
  <c r="N134" i="29"/>
  <c r="N121" i="29"/>
  <c r="N119" i="29"/>
  <c r="I132" i="29"/>
  <c r="I133" i="29"/>
  <c r="I134" i="29"/>
  <c r="I120" i="29"/>
  <c r="I121" i="29"/>
  <c r="H134" i="29"/>
  <c r="H121" i="29"/>
  <c r="E134" i="29"/>
  <c r="E131" i="29"/>
  <c r="E121" i="29"/>
  <c r="E135" i="29"/>
  <c r="F131" i="29"/>
  <c r="I130" i="29"/>
  <c r="I129" i="29"/>
  <c r="I128" i="29"/>
  <c r="I127" i="29"/>
  <c r="I126" i="29"/>
  <c r="I125" i="29"/>
  <c r="I124" i="29"/>
  <c r="I123" i="29"/>
  <c r="I122" i="29"/>
  <c r="I118" i="29"/>
  <c r="U119" i="28"/>
  <c r="U117" i="28"/>
  <c r="R133" i="28"/>
  <c r="S133" i="28"/>
  <c r="T133" i="28"/>
  <c r="U133" i="28"/>
  <c r="V133" i="28"/>
  <c r="W133" i="28"/>
  <c r="X133" i="28"/>
  <c r="R121" i="28"/>
  <c r="R130" i="28"/>
  <c r="R134" i="28"/>
  <c r="Q121" i="28"/>
  <c r="S121" i="28"/>
  <c r="S130" i="28"/>
  <c r="S134" i="28"/>
  <c r="T121" i="28"/>
  <c r="T130" i="28"/>
  <c r="T134" i="28"/>
  <c r="U118" i="28"/>
  <c r="U120" i="28"/>
  <c r="U121" i="28"/>
  <c r="U130" i="28"/>
  <c r="U134" i="28"/>
  <c r="V117" i="28"/>
  <c r="V118" i="28"/>
  <c r="V119" i="28"/>
  <c r="V120" i="28"/>
  <c r="V121" i="28"/>
  <c r="V130" i="28"/>
  <c r="V134" i="28"/>
  <c r="W117" i="28"/>
  <c r="W118" i="28"/>
  <c r="W119" i="28"/>
  <c r="W120" i="28"/>
  <c r="W121" i="28"/>
  <c r="W130" i="28"/>
  <c r="W134" i="28"/>
  <c r="X117" i="28"/>
  <c r="X118" i="28"/>
  <c r="X119" i="28"/>
  <c r="X120" i="28"/>
  <c r="X121" i="28"/>
  <c r="X130" i="28"/>
  <c r="X134" i="28"/>
  <c r="R135" i="28"/>
  <c r="S135" i="28"/>
  <c r="T135" i="28"/>
  <c r="U135" i="28"/>
  <c r="V135" i="28"/>
  <c r="W135" i="28"/>
  <c r="X135" i="28"/>
  <c r="R120" i="28"/>
  <c r="S120" i="28"/>
  <c r="T120" i="28"/>
  <c r="R118" i="28"/>
  <c r="S118" i="28"/>
  <c r="T118" i="28"/>
  <c r="T119" i="28"/>
  <c r="T122" i="28"/>
  <c r="U122" i="28"/>
  <c r="V122" i="28"/>
  <c r="W122" i="28"/>
  <c r="X122" i="28"/>
  <c r="T123" i="28"/>
  <c r="U123" i="28"/>
  <c r="V123" i="28"/>
  <c r="W123" i="28"/>
  <c r="X123" i="28"/>
  <c r="T124" i="28"/>
  <c r="U124" i="28"/>
  <c r="V124" i="28"/>
  <c r="W124" i="28"/>
  <c r="X124" i="28"/>
  <c r="T125" i="28"/>
  <c r="U125" i="28"/>
  <c r="V125" i="28"/>
  <c r="W125" i="28"/>
  <c r="X125" i="28"/>
  <c r="T126" i="28"/>
  <c r="U126" i="28"/>
  <c r="V126" i="28"/>
  <c r="W126" i="28"/>
  <c r="X126" i="28"/>
  <c r="T127" i="28"/>
  <c r="U127" i="28"/>
  <c r="V127" i="28"/>
  <c r="W127" i="28"/>
  <c r="X127" i="28"/>
  <c r="T128" i="28"/>
  <c r="U128" i="28"/>
  <c r="V128" i="28"/>
  <c r="W128" i="28"/>
  <c r="X128" i="28"/>
  <c r="T129" i="28"/>
  <c r="U129" i="28"/>
  <c r="V129" i="28"/>
  <c r="W129" i="28"/>
  <c r="X129" i="28"/>
  <c r="T131" i="28"/>
  <c r="U131" i="28"/>
  <c r="V131" i="28"/>
  <c r="W131" i="28"/>
  <c r="X131" i="28"/>
  <c r="T132" i="28"/>
  <c r="U132" i="28"/>
  <c r="V132" i="28"/>
  <c r="W132" i="28"/>
  <c r="X132" i="28"/>
  <c r="T117" i="28"/>
  <c r="N131" i="28"/>
  <c r="Q131" i="28"/>
  <c r="S131" i="28"/>
  <c r="N132" i="28"/>
  <c r="Q132" i="28"/>
  <c r="S132" i="28"/>
  <c r="N122" i="28"/>
  <c r="Q122" i="28"/>
  <c r="R122" i="28"/>
  <c r="S122" i="28"/>
  <c r="N123" i="28"/>
  <c r="Q123" i="28"/>
  <c r="R123" i="28"/>
  <c r="S123" i="28"/>
  <c r="N124" i="28"/>
  <c r="Q124" i="28"/>
  <c r="R124" i="28"/>
  <c r="S124" i="28"/>
  <c r="N125" i="28"/>
  <c r="Q125" i="28"/>
  <c r="R125" i="28"/>
  <c r="S125" i="28"/>
  <c r="N126" i="28"/>
  <c r="Q126" i="28"/>
  <c r="R126" i="28"/>
  <c r="S126" i="28"/>
  <c r="N127" i="28"/>
  <c r="Q127" i="28"/>
  <c r="R127" i="28"/>
  <c r="S127" i="28"/>
  <c r="N128" i="28"/>
  <c r="Q128" i="28"/>
  <c r="R128" i="28"/>
  <c r="S128" i="28"/>
  <c r="N129" i="28"/>
  <c r="Q129" i="28"/>
  <c r="R129" i="28"/>
  <c r="S129" i="28"/>
  <c r="N119" i="28"/>
  <c r="Q119" i="28"/>
  <c r="R119" i="28"/>
  <c r="S119" i="28"/>
  <c r="N117" i="28"/>
  <c r="Q117" i="28"/>
  <c r="S117" i="28"/>
  <c r="Q133" i="28"/>
  <c r="Q130" i="28"/>
  <c r="Q120" i="28"/>
  <c r="Q118" i="28"/>
  <c r="Q134" i="28"/>
  <c r="Q135" i="28"/>
  <c r="P133" i="28"/>
  <c r="P120" i="28"/>
  <c r="P118" i="28"/>
  <c r="P134" i="28"/>
  <c r="P135" i="28"/>
  <c r="O133" i="28"/>
  <c r="O120" i="28"/>
  <c r="O118" i="28"/>
  <c r="O134" i="28"/>
  <c r="O135" i="28"/>
  <c r="N133" i="28"/>
  <c r="N120" i="28"/>
  <c r="N118" i="28"/>
  <c r="N134" i="28"/>
  <c r="N135" i="28"/>
  <c r="I131" i="28"/>
  <c r="I132" i="28"/>
  <c r="I133" i="28"/>
  <c r="I119" i="28"/>
  <c r="I120" i="28"/>
  <c r="I134" i="28"/>
  <c r="I135" i="28"/>
  <c r="H133" i="28"/>
  <c r="H120" i="28"/>
  <c r="H134" i="28"/>
  <c r="H135" i="28"/>
  <c r="E133" i="28"/>
  <c r="E130" i="28"/>
  <c r="E120" i="28"/>
  <c r="E134" i="28"/>
  <c r="E135" i="28"/>
  <c r="F130" i="28"/>
  <c r="I129" i="28"/>
  <c r="I128" i="28"/>
  <c r="I127" i="28"/>
  <c r="I126" i="28"/>
  <c r="I125" i="28"/>
  <c r="I124" i="28"/>
  <c r="I123" i="28"/>
  <c r="I122" i="28"/>
  <c r="I121" i="28"/>
  <c r="I117" i="28"/>
  <c r="N109" i="29"/>
  <c r="R109" i="29"/>
  <c r="T109" i="29"/>
  <c r="U109" i="29"/>
  <c r="V109" i="29"/>
  <c r="W109" i="29"/>
  <c r="X109" i="29"/>
  <c r="X110" i="29"/>
  <c r="N90" i="29"/>
  <c r="R90" i="29"/>
  <c r="T90" i="29"/>
  <c r="U90" i="29"/>
  <c r="V90" i="29"/>
  <c r="W90" i="29"/>
  <c r="X90" i="29"/>
  <c r="N91" i="29"/>
  <c r="R91" i="29"/>
  <c r="T91" i="29"/>
  <c r="U91" i="29"/>
  <c r="V91" i="29"/>
  <c r="W91" i="29"/>
  <c r="X91" i="29"/>
  <c r="N92" i="29"/>
  <c r="R92" i="29"/>
  <c r="T92" i="29"/>
  <c r="U92" i="29"/>
  <c r="V92" i="29"/>
  <c r="W92" i="29"/>
  <c r="X92" i="29"/>
  <c r="N93" i="29"/>
  <c r="R93" i="29"/>
  <c r="T93" i="29"/>
  <c r="U93" i="29"/>
  <c r="V93" i="29"/>
  <c r="W93" i="29"/>
  <c r="X93" i="29"/>
  <c r="N94" i="29"/>
  <c r="R94" i="29"/>
  <c r="T94" i="29"/>
  <c r="U94" i="29"/>
  <c r="V94" i="29"/>
  <c r="W94" i="29"/>
  <c r="X94" i="29"/>
  <c r="N95" i="29"/>
  <c r="R95" i="29"/>
  <c r="T95" i="29"/>
  <c r="U95" i="29"/>
  <c r="V95" i="29"/>
  <c r="W95" i="29"/>
  <c r="X95" i="29"/>
  <c r="N96" i="29"/>
  <c r="R96" i="29"/>
  <c r="T96" i="29"/>
  <c r="U96" i="29"/>
  <c r="V96" i="29"/>
  <c r="W96" i="29"/>
  <c r="X96" i="29"/>
  <c r="N97" i="29"/>
  <c r="R97" i="29"/>
  <c r="T97" i="29"/>
  <c r="U97" i="29"/>
  <c r="V97" i="29"/>
  <c r="W97" i="29"/>
  <c r="X97" i="29"/>
  <c r="N98" i="29"/>
  <c r="R98" i="29"/>
  <c r="T98" i="29"/>
  <c r="U98" i="29"/>
  <c r="V98" i="29"/>
  <c r="W98" i="29"/>
  <c r="X98" i="29"/>
  <c r="N99" i="29"/>
  <c r="R99" i="29"/>
  <c r="T99" i="29"/>
  <c r="U99" i="29"/>
  <c r="V99" i="29"/>
  <c r="W99" i="29"/>
  <c r="X99" i="29"/>
  <c r="N100" i="29"/>
  <c r="R100" i="29"/>
  <c r="T100" i="29"/>
  <c r="U100" i="29"/>
  <c r="V100" i="29"/>
  <c r="W100" i="29"/>
  <c r="X100" i="29"/>
  <c r="N101" i="29"/>
  <c r="R101" i="29"/>
  <c r="T101" i="29"/>
  <c r="U101" i="29"/>
  <c r="V101" i="29"/>
  <c r="W101" i="29"/>
  <c r="X101" i="29"/>
  <c r="N102" i="29"/>
  <c r="R102" i="29"/>
  <c r="T102" i="29"/>
  <c r="U102" i="29"/>
  <c r="V102" i="29"/>
  <c r="W102" i="29"/>
  <c r="X102" i="29"/>
  <c r="N103" i="29"/>
  <c r="R103" i="29"/>
  <c r="T103" i="29"/>
  <c r="U103" i="29"/>
  <c r="V103" i="29"/>
  <c r="W103" i="29"/>
  <c r="X103" i="29"/>
  <c r="N104" i="29"/>
  <c r="R104" i="29"/>
  <c r="T104" i="29"/>
  <c r="U104" i="29"/>
  <c r="V104" i="29"/>
  <c r="W104" i="29"/>
  <c r="X104" i="29"/>
  <c r="N105" i="29"/>
  <c r="R105" i="29"/>
  <c r="T105" i="29"/>
  <c r="U105" i="29"/>
  <c r="V105" i="29"/>
  <c r="W105" i="29"/>
  <c r="X105" i="29"/>
  <c r="X106" i="29"/>
  <c r="X111" i="29"/>
  <c r="N82" i="29"/>
  <c r="R82" i="29"/>
  <c r="T82" i="29"/>
  <c r="U82" i="29"/>
  <c r="V82" i="29"/>
  <c r="W82" i="29"/>
  <c r="X82" i="29"/>
  <c r="X83" i="29"/>
  <c r="X84" i="29"/>
  <c r="N56" i="29"/>
  <c r="R56" i="29"/>
  <c r="T56" i="29"/>
  <c r="U56" i="29"/>
  <c r="V56" i="29"/>
  <c r="W56" i="29"/>
  <c r="X56" i="29"/>
  <c r="N57" i="29"/>
  <c r="R57" i="29"/>
  <c r="T57" i="29"/>
  <c r="U57" i="29"/>
  <c r="V57" i="29"/>
  <c r="W57" i="29"/>
  <c r="X57" i="29"/>
  <c r="N58" i="29"/>
  <c r="R58" i="29"/>
  <c r="T58" i="29"/>
  <c r="U58" i="29"/>
  <c r="V58" i="29"/>
  <c r="W58" i="29"/>
  <c r="X58" i="29"/>
  <c r="N59" i="29"/>
  <c r="R59" i="29"/>
  <c r="T59" i="29"/>
  <c r="U59" i="29"/>
  <c r="V59" i="29"/>
  <c r="W59" i="29"/>
  <c r="X59" i="29"/>
  <c r="N60" i="29"/>
  <c r="R60" i="29"/>
  <c r="T60" i="29"/>
  <c r="U60" i="29"/>
  <c r="V60" i="29"/>
  <c r="W60" i="29"/>
  <c r="X60" i="29"/>
  <c r="N61" i="29"/>
  <c r="R61" i="29"/>
  <c r="T61" i="29"/>
  <c r="U61" i="29"/>
  <c r="V61" i="29"/>
  <c r="W61" i="29"/>
  <c r="X61" i="29"/>
  <c r="N62" i="29"/>
  <c r="R62" i="29"/>
  <c r="T62" i="29"/>
  <c r="U62" i="29"/>
  <c r="V62" i="29"/>
  <c r="W62" i="29"/>
  <c r="X62" i="29"/>
  <c r="N63" i="29"/>
  <c r="R63" i="29"/>
  <c r="T63" i="29"/>
  <c r="U63" i="29"/>
  <c r="V63" i="29"/>
  <c r="W63" i="29"/>
  <c r="X63" i="29"/>
  <c r="N64" i="29"/>
  <c r="R64" i="29"/>
  <c r="T64" i="29"/>
  <c r="U64" i="29"/>
  <c r="V64" i="29"/>
  <c r="W64" i="29"/>
  <c r="X64" i="29"/>
  <c r="N65" i="29"/>
  <c r="R65" i="29"/>
  <c r="T65" i="29"/>
  <c r="U65" i="29"/>
  <c r="V65" i="29"/>
  <c r="W65" i="29"/>
  <c r="X65" i="29"/>
  <c r="N66" i="29"/>
  <c r="R66" i="29"/>
  <c r="T66" i="29"/>
  <c r="U66" i="29"/>
  <c r="V66" i="29"/>
  <c r="W66" i="29"/>
  <c r="X66" i="29"/>
  <c r="N67" i="29"/>
  <c r="R67" i="29"/>
  <c r="T67" i="29"/>
  <c r="U67" i="29"/>
  <c r="V67" i="29"/>
  <c r="W67" i="29"/>
  <c r="X67" i="29"/>
  <c r="N68" i="29"/>
  <c r="R68" i="29"/>
  <c r="T68" i="29"/>
  <c r="U68" i="29"/>
  <c r="V68" i="29"/>
  <c r="W68" i="29"/>
  <c r="X68" i="29"/>
  <c r="N69" i="29"/>
  <c r="R69" i="29"/>
  <c r="T69" i="29"/>
  <c r="U69" i="29"/>
  <c r="V69" i="29"/>
  <c r="W69" i="29"/>
  <c r="X69" i="29"/>
  <c r="X70" i="29"/>
  <c r="N54" i="29"/>
  <c r="R54" i="29"/>
  <c r="T54" i="29"/>
  <c r="U54" i="29"/>
  <c r="V54" i="29"/>
  <c r="W54" i="29"/>
  <c r="X54" i="29"/>
  <c r="X55" i="29"/>
  <c r="X53" i="29"/>
  <c r="N49" i="29"/>
  <c r="R49" i="29"/>
  <c r="T49" i="29"/>
  <c r="U49" i="29"/>
  <c r="V49" i="29"/>
  <c r="W49" i="29"/>
  <c r="X49" i="29"/>
  <c r="X50" i="29"/>
  <c r="N71" i="29"/>
  <c r="R71" i="29"/>
  <c r="T71" i="29"/>
  <c r="U71" i="29"/>
  <c r="V71" i="29"/>
  <c r="W71" i="29"/>
  <c r="X71" i="29"/>
  <c r="N72" i="29"/>
  <c r="R72" i="29"/>
  <c r="T72" i="29"/>
  <c r="U72" i="29"/>
  <c r="V72" i="29"/>
  <c r="W72" i="29"/>
  <c r="X72" i="29"/>
  <c r="X73" i="29"/>
  <c r="X74" i="29"/>
  <c r="T41" i="29"/>
  <c r="U41" i="29"/>
  <c r="V41" i="29"/>
  <c r="W41" i="29"/>
  <c r="X41" i="29"/>
  <c r="X42" i="29"/>
  <c r="N38" i="29"/>
  <c r="R38" i="29"/>
  <c r="T38" i="29"/>
  <c r="U38" i="29"/>
  <c r="V38" i="29"/>
  <c r="W38" i="29"/>
  <c r="X38" i="29"/>
  <c r="N39" i="29"/>
  <c r="R39" i="29"/>
  <c r="T39" i="29"/>
  <c r="U39" i="29"/>
  <c r="V39" i="29"/>
  <c r="W39" i="29"/>
  <c r="X39" i="29"/>
  <c r="X40" i="29"/>
  <c r="N36" i="29"/>
  <c r="R36" i="29"/>
  <c r="T36" i="29"/>
  <c r="U36" i="29"/>
  <c r="V36" i="29"/>
  <c r="W36" i="29"/>
  <c r="X36" i="29"/>
  <c r="X37" i="29"/>
  <c r="N34" i="29"/>
  <c r="R34" i="29"/>
  <c r="T34" i="29"/>
  <c r="U34" i="29"/>
  <c r="V34" i="29"/>
  <c r="W34" i="29"/>
  <c r="X34" i="29"/>
  <c r="X35" i="29"/>
  <c r="N32" i="29"/>
  <c r="R32" i="29"/>
  <c r="T32" i="29"/>
  <c r="U32" i="29"/>
  <c r="V32" i="29"/>
  <c r="W32" i="29"/>
  <c r="X32" i="29"/>
  <c r="X33" i="29"/>
  <c r="T29" i="29"/>
  <c r="U29" i="29"/>
  <c r="V29" i="29"/>
  <c r="W29" i="29"/>
  <c r="X29" i="29"/>
  <c r="T30" i="29"/>
  <c r="U30" i="29"/>
  <c r="V30" i="29"/>
  <c r="W30" i="29"/>
  <c r="X30" i="29"/>
  <c r="X31" i="29"/>
  <c r="X43" i="29"/>
  <c r="X75" i="29"/>
  <c r="X85" i="29"/>
  <c r="X112" i="29"/>
  <c r="W110" i="29"/>
  <c r="W106" i="29"/>
  <c r="W111" i="29"/>
  <c r="W83" i="29"/>
  <c r="W84" i="29"/>
  <c r="W70" i="29"/>
  <c r="W55" i="29"/>
  <c r="W53" i="29"/>
  <c r="W50" i="29"/>
  <c r="W73" i="29"/>
  <c r="W74" i="29"/>
  <c r="W42" i="29"/>
  <c r="W40" i="29"/>
  <c r="W37" i="29"/>
  <c r="W35" i="29"/>
  <c r="W33" i="29"/>
  <c r="W31" i="29"/>
  <c r="W43" i="29"/>
  <c r="W75" i="29"/>
  <c r="W85" i="29"/>
  <c r="W112" i="29"/>
  <c r="V110" i="29"/>
  <c r="V106" i="29"/>
  <c r="V111" i="29"/>
  <c r="V83" i="29"/>
  <c r="V84" i="29"/>
  <c r="V70" i="29"/>
  <c r="V55" i="29"/>
  <c r="V53" i="29"/>
  <c r="V50" i="29"/>
  <c r="V73" i="29"/>
  <c r="V74" i="29"/>
  <c r="V42" i="29"/>
  <c r="V40" i="29"/>
  <c r="V37" i="29"/>
  <c r="V35" i="29"/>
  <c r="V33" i="29"/>
  <c r="V31" i="29"/>
  <c r="V43" i="29"/>
  <c r="V75" i="29"/>
  <c r="V85" i="29"/>
  <c r="V112" i="29"/>
  <c r="U110" i="29"/>
  <c r="U106" i="29"/>
  <c r="U111" i="29"/>
  <c r="U83" i="29"/>
  <c r="U84" i="29"/>
  <c r="U70" i="29"/>
  <c r="U55" i="29"/>
  <c r="U53" i="29"/>
  <c r="U50" i="29"/>
  <c r="U73" i="29"/>
  <c r="U74" i="29"/>
  <c r="U42" i="29"/>
  <c r="U40" i="29"/>
  <c r="U37" i="29"/>
  <c r="U35" i="29"/>
  <c r="U33" i="29"/>
  <c r="U31" i="29"/>
  <c r="U43" i="29"/>
  <c r="U75" i="29"/>
  <c r="U85" i="29"/>
  <c r="U112" i="29"/>
  <c r="T110" i="29"/>
  <c r="T106" i="29"/>
  <c r="T111" i="29"/>
  <c r="T83" i="29"/>
  <c r="T84" i="29"/>
  <c r="T70" i="29"/>
  <c r="T55" i="29"/>
  <c r="T53" i="29"/>
  <c r="T50" i="29"/>
  <c r="T73" i="29"/>
  <c r="T74" i="29"/>
  <c r="T42" i="29"/>
  <c r="T40" i="29"/>
  <c r="T37" i="29"/>
  <c r="T35" i="29"/>
  <c r="T33" i="29"/>
  <c r="T31" i="29"/>
  <c r="T43" i="29"/>
  <c r="T75" i="29"/>
  <c r="T85" i="29"/>
  <c r="T112" i="29"/>
  <c r="Q109" i="29"/>
  <c r="S109" i="29"/>
  <c r="S110" i="29"/>
  <c r="Q90" i="29"/>
  <c r="S90" i="29"/>
  <c r="Q91" i="29"/>
  <c r="S91" i="29"/>
  <c r="Q92" i="29"/>
  <c r="S92" i="29"/>
  <c r="Q93" i="29"/>
  <c r="S93" i="29"/>
  <c r="Q94" i="29"/>
  <c r="S94" i="29"/>
  <c r="Q95" i="29"/>
  <c r="S95" i="29"/>
  <c r="Q96" i="29"/>
  <c r="S96" i="29"/>
  <c r="Q97" i="29"/>
  <c r="S97" i="29"/>
  <c r="Q98" i="29"/>
  <c r="S98" i="29"/>
  <c r="Q99" i="29"/>
  <c r="S99" i="29"/>
  <c r="Q100" i="29"/>
  <c r="S100" i="29"/>
  <c r="Q101" i="29"/>
  <c r="S101" i="29"/>
  <c r="Q102" i="29"/>
  <c r="S102" i="29"/>
  <c r="Q103" i="29"/>
  <c r="S103" i="29"/>
  <c r="Q104" i="29"/>
  <c r="S104" i="29"/>
  <c r="Q105" i="29"/>
  <c r="S105" i="29"/>
  <c r="S106" i="29"/>
  <c r="S111" i="29"/>
  <c r="Q82" i="29"/>
  <c r="S82" i="29"/>
  <c r="S83" i="29"/>
  <c r="S84" i="29"/>
  <c r="Q56" i="29"/>
  <c r="S56" i="29"/>
  <c r="Q57" i="29"/>
  <c r="S57" i="29"/>
  <c r="Q58" i="29"/>
  <c r="S58" i="29"/>
  <c r="Q59" i="29"/>
  <c r="S59" i="29"/>
  <c r="Q60" i="29"/>
  <c r="S60" i="29"/>
  <c r="Q61" i="29"/>
  <c r="S61" i="29"/>
  <c r="Q62" i="29"/>
  <c r="S62" i="29"/>
  <c r="Q63" i="29"/>
  <c r="S63" i="29"/>
  <c r="Q64" i="29"/>
  <c r="S64" i="29"/>
  <c r="Q65" i="29"/>
  <c r="S65" i="29"/>
  <c r="Q66" i="29"/>
  <c r="S66" i="29"/>
  <c r="Q67" i="29"/>
  <c r="S67" i="29"/>
  <c r="Q68" i="29"/>
  <c r="S68" i="29"/>
  <c r="Q69" i="29"/>
  <c r="S69" i="29"/>
  <c r="S70" i="29"/>
  <c r="Q54" i="29"/>
  <c r="S54" i="29"/>
  <c r="S55" i="29"/>
  <c r="N51" i="29"/>
  <c r="Q51" i="29"/>
  <c r="R51" i="29"/>
  <c r="S51" i="29"/>
  <c r="N52" i="29"/>
  <c r="Q52" i="29"/>
  <c r="R52" i="29"/>
  <c r="S52" i="29"/>
  <c r="S53" i="29"/>
  <c r="Q49" i="29"/>
  <c r="S49" i="29"/>
  <c r="S50" i="29"/>
  <c r="Q71" i="29"/>
  <c r="S71" i="29"/>
  <c r="Q72" i="29"/>
  <c r="S72" i="29"/>
  <c r="S73" i="29"/>
  <c r="S74" i="29"/>
  <c r="N41" i="29"/>
  <c r="Q41" i="29"/>
  <c r="S41" i="29"/>
  <c r="S42" i="29"/>
  <c r="Q38" i="29"/>
  <c r="S38" i="29"/>
  <c r="Q39" i="29"/>
  <c r="S39" i="29"/>
  <c r="S40" i="29"/>
  <c r="Q36" i="29"/>
  <c r="S36" i="29"/>
  <c r="S37" i="29"/>
  <c r="Q34" i="29"/>
  <c r="S34" i="29"/>
  <c r="S35" i="29"/>
  <c r="Q32" i="29"/>
  <c r="S32" i="29"/>
  <c r="S33" i="29"/>
  <c r="N29" i="29"/>
  <c r="Q29" i="29"/>
  <c r="S29" i="29"/>
  <c r="N30" i="29"/>
  <c r="Q30" i="29"/>
  <c r="S30" i="29"/>
  <c r="S31" i="29"/>
  <c r="S43" i="29"/>
  <c r="S75" i="29"/>
  <c r="S85" i="29"/>
  <c r="S112" i="29"/>
  <c r="R110" i="29"/>
  <c r="R106" i="29"/>
  <c r="R111" i="29"/>
  <c r="R83" i="29"/>
  <c r="R84" i="29"/>
  <c r="R70" i="29"/>
  <c r="R55" i="29"/>
  <c r="R50" i="29"/>
  <c r="R73" i="29"/>
  <c r="R74" i="29"/>
  <c r="R42" i="29"/>
  <c r="R40" i="29"/>
  <c r="R37" i="29"/>
  <c r="R35" i="29"/>
  <c r="R33" i="29"/>
  <c r="R31" i="29"/>
  <c r="R43" i="29"/>
  <c r="R75" i="29"/>
  <c r="R85" i="29"/>
  <c r="R112" i="29"/>
  <c r="Q110" i="29"/>
  <c r="Q106" i="29"/>
  <c r="Q111" i="29"/>
  <c r="Q83" i="29"/>
  <c r="Q84" i="29"/>
  <c r="Q70" i="29"/>
  <c r="Q55" i="29"/>
  <c r="Q53" i="29"/>
  <c r="Q50" i="29"/>
  <c r="Q73" i="29"/>
  <c r="Q74" i="29"/>
  <c r="Q42" i="29"/>
  <c r="Q40" i="29"/>
  <c r="Q37" i="29"/>
  <c r="Q35" i="29"/>
  <c r="Q33" i="29"/>
  <c r="Q31" i="29"/>
  <c r="Q43" i="29"/>
  <c r="Q75" i="29"/>
  <c r="Q85" i="29"/>
  <c r="Q112" i="29"/>
  <c r="P110" i="29"/>
  <c r="P106" i="29"/>
  <c r="P111" i="29"/>
  <c r="P83" i="29"/>
  <c r="P84" i="29"/>
  <c r="P70" i="29"/>
  <c r="P55" i="29"/>
  <c r="P53" i="29"/>
  <c r="P50" i="29"/>
  <c r="P73" i="29"/>
  <c r="P74" i="29"/>
  <c r="P42" i="29"/>
  <c r="P40" i="29"/>
  <c r="P37" i="29"/>
  <c r="P35" i="29"/>
  <c r="P33" i="29"/>
  <c r="P31" i="29"/>
  <c r="P43" i="29"/>
  <c r="P75" i="29"/>
  <c r="P85" i="29"/>
  <c r="P112" i="29"/>
  <c r="O110" i="29"/>
  <c r="O106" i="29"/>
  <c r="O111" i="29"/>
  <c r="O83" i="29"/>
  <c r="O84" i="29"/>
  <c r="O70" i="29"/>
  <c r="O55" i="29"/>
  <c r="O53" i="29"/>
  <c r="O50" i="29"/>
  <c r="O73" i="29"/>
  <c r="O74" i="29"/>
  <c r="O42" i="29"/>
  <c r="O40" i="29"/>
  <c r="O37" i="29"/>
  <c r="O35" i="29"/>
  <c r="O33" i="29"/>
  <c r="O31" i="29"/>
  <c r="O43" i="29"/>
  <c r="O75" i="29"/>
  <c r="O85" i="29"/>
  <c r="O112" i="29"/>
  <c r="N110" i="29"/>
  <c r="N106" i="29"/>
  <c r="N111" i="29"/>
  <c r="N83" i="29"/>
  <c r="N84" i="29"/>
  <c r="N70" i="29"/>
  <c r="N55" i="29"/>
  <c r="N53" i="29"/>
  <c r="N50" i="29"/>
  <c r="N73" i="29"/>
  <c r="N74" i="29"/>
  <c r="N42" i="29"/>
  <c r="N40" i="29"/>
  <c r="N37" i="29"/>
  <c r="N35" i="29"/>
  <c r="N33" i="29"/>
  <c r="N31" i="29"/>
  <c r="N43" i="29"/>
  <c r="N75" i="29"/>
  <c r="N85" i="29"/>
  <c r="N112" i="29"/>
  <c r="I109" i="29"/>
  <c r="I110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11" i="29"/>
  <c r="I82" i="29"/>
  <c r="I83" i="29"/>
  <c r="I84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54" i="29"/>
  <c r="I55" i="29"/>
  <c r="I51" i="29"/>
  <c r="I52" i="29"/>
  <c r="I53" i="29"/>
  <c r="I49" i="29"/>
  <c r="I50" i="29"/>
  <c r="I71" i="29"/>
  <c r="I72" i="29"/>
  <c r="I73" i="29"/>
  <c r="I74" i="29"/>
  <c r="I38" i="29"/>
  <c r="I39" i="29"/>
  <c r="I40" i="29"/>
  <c r="I36" i="29"/>
  <c r="I37" i="29"/>
  <c r="I34" i="29"/>
  <c r="I35" i="29"/>
  <c r="I32" i="29"/>
  <c r="I33" i="29"/>
  <c r="I43" i="29"/>
  <c r="I75" i="29"/>
  <c r="I85" i="29"/>
  <c r="I112" i="29"/>
  <c r="H110" i="29"/>
  <c r="H106" i="29"/>
  <c r="H111" i="29"/>
  <c r="H83" i="29"/>
  <c r="H84" i="29"/>
  <c r="H70" i="29"/>
  <c r="H55" i="29"/>
  <c r="H53" i="29"/>
  <c r="H50" i="29"/>
  <c r="H73" i="29"/>
  <c r="H74" i="29"/>
  <c r="H40" i="29"/>
  <c r="H37" i="29"/>
  <c r="H35" i="29"/>
  <c r="H33" i="29"/>
  <c r="H43" i="29"/>
  <c r="H75" i="29"/>
  <c r="H85" i="29"/>
  <c r="H112" i="29"/>
  <c r="G111" i="29"/>
  <c r="G83" i="29"/>
  <c r="G84" i="29"/>
  <c r="G74" i="29"/>
  <c r="G75" i="29"/>
  <c r="G85" i="29"/>
  <c r="G112" i="29"/>
  <c r="F110" i="29"/>
  <c r="F111" i="29"/>
  <c r="F83" i="29"/>
  <c r="F84" i="29"/>
  <c r="F74" i="29"/>
  <c r="F75" i="29"/>
  <c r="F85" i="29"/>
  <c r="F112" i="29"/>
  <c r="E110" i="29"/>
  <c r="E106" i="29"/>
  <c r="E111" i="29"/>
  <c r="E83" i="29"/>
  <c r="E84" i="29"/>
  <c r="E70" i="29"/>
  <c r="E55" i="29"/>
  <c r="E53" i="29"/>
  <c r="E50" i="29"/>
  <c r="E73" i="29"/>
  <c r="E74" i="29"/>
  <c r="E40" i="29"/>
  <c r="E37" i="29"/>
  <c r="E35" i="29"/>
  <c r="E33" i="29"/>
  <c r="E43" i="29"/>
  <c r="E75" i="29"/>
  <c r="E85" i="29"/>
  <c r="E112" i="29"/>
  <c r="T107" i="29"/>
  <c r="U107" i="29"/>
  <c r="V107" i="29"/>
  <c r="W107" i="29"/>
  <c r="X107" i="29"/>
  <c r="X108" i="29"/>
  <c r="W108" i="29"/>
  <c r="V108" i="29"/>
  <c r="U108" i="29"/>
  <c r="T108" i="29"/>
  <c r="N107" i="29"/>
  <c r="Q107" i="29"/>
  <c r="S107" i="29"/>
  <c r="S108" i="29"/>
  <c r="R108" i="29"/>
  <c r="Q108" i="29"/>
  <c r="P108" i="29"/>
  <c r="O108" i="29"/>
  <c r="N108" i="29"/>
  <c r="I107" i="29"/>
  <c r="K105" i="29"/>
  <c r="K104" i="29"/>
  <c r="K103" i="29"/>
  <c r="K102" i="29"/>
  <c r="K101" i="29"/>
  <c r="K100" i="29"/>
  <c r="K99" i="29"/>
  <c r="K98" i="29"/>
  <c r="K97" i="29"/>
  <c r="K96" i="29"/>
  <c r="K95" i="29"/>
  <c r="K94" i="29"/>
  <c r="K93" i="29"/>
  <c r="K92" i="29"/>
  <c r="K91" i="29"/>
  <c r="K90" i="29"/>
  <c r="K83" i="29"/>
  <c r="K84" i="29"/>
  <c r="K85" i="29"/>
  <c r="J83" i="29"/>
  <c r="J84" i="29"/>
  <c r="J85" i="29"/>
  <c r="X81" i="29"/>
  <c r="W81" i="29"/>
  <c r="V81" i="29"/>
  <c r="U81" i="29"/>
  <c r="T81" i="29"/>
  <c r="N80" i="29"/>
  <c r="Q80" i="29"/>
  <c r="S80" i="29"/>
  <c r="S81" i="29"/>
  <c r="R81" i="29"/>
  <c r="Q81" i="29"/>
  <c r="P81" i="29"/>
  <c r="O81" i="29"/>
  <c r="N81" i="29"/>
  <c r="I80" i="29"/>
  <c r="Z56" i="29"/>
  <c r="Z57" i="29"/>
  <c r="Z58" i="29"/>
  <c r="Z59" i="29"/>
  <c r="Z60" i="29"/>
  <c r="Z61" i="29"/>
  <c r="Z62" i="29"/>
  <c r="Z63" i="29"/>
  <c r="Z64" i="29"/>
  <c r="Z65" i="29"/>
  <c r="Z66" i="29"/>
  <c r="Z67" i="29"/>
  <c r="Z68" i="29"/>
  <c r="Z69" i="29"/>
  <c r="Z70" i="29"/>
  <c r="Z54" i="29"/>
  <c r="Z55" i="29"/>
  <c r="Z53" i="29"/>
  <c r="Z49" i="29"/>
  <c r="Z50" i="29"/>
  <c r="Z71" i="29"/>
  <c r="Z72" i="29"/>
  <c r="Z73" i="29"/>
  <c r="Z74" i="29"/>
  <c r="Z41" i="29"/>
  <c r="Z42" i="29"/>
  <c r="Z38" i="29"/>
  <c r="Z39" i="29"/>
  <c r="Z40" i="29"/>
  <c r="Z36" i="29"/>
  <c r="Z37" i="29"/>
  <c r="Z34" i="29"/>
  <c r="Z35" i="29"/>
  <c r="Z32" i="29"/>
  <c r="Z33" i="29"/>
  <c r="Z29" i="29"/>
  <c r="Z30" i="29"/>
  <c r="Z31" i="29"/>
  <c r="Z43" i="29"/>
  <c r="Z75" i="29"/>
  <c r="Y70" i="29"/>
  <c r="Y55" i="29"/>
  <c r="Y53" i="29"/>
  <c r="Y50" i="29"/>
  <c r="Y73" i="29"/>
  <c r="Y74" i="29"/>
  <c r="Y42" i="29"/>
  <c r="Y40" i="29"/>
  <c r="Y37" i="29"/>
  <c r="Y35" i="29"/>
  <c r="Y33" i="29"/>
  <c r="Y31" i="29"/>
  <c r="Y43" i="29"/>
  <c r="Y75" i="29"/>
  <c r="M74" i="29"/>
  <c r="L74" i="29"/>
  <c r="K74" i="29"/>
  <c r="J74" i="29"/>
  <c r="K72" i="29"/>
  <c r="K71" i="29"/>
  <c r="K69" i="29"/>
  <c r="K68" i="29"/>
  <c r="K67" i="29"/>
  <c r="K66" i="29"/>
  <c r="K65" i="29"/>
  <c r="K64" i="29"/>
  <c r="K63" i="29"/>
  <c r="K62" i="29"/>
  <c r="K61" i="29"/>
  <c r="K60" i="29"/>
  <c r="K59" i="29"/>
  <c r="K58" i="29"/>
  <c r="K57" i="29"/>
  <c r="K56" i="29"/>
  <c r="K54" i="29"/>
  <c r="K52" i="29"/>
  <c r="K51" i="29"/>
  <c r="K49" i="29"/>
  <c r="Z22" i="29"/>
  <c r="N19" i="29"/>
  <c r="R19" i="29"/>
  <c r="T19" i="29"/>
  <c r="Z19" i="29"/>
  <c r="Z20" i="29"/>
  <c r="Z23" i="29"/>
  <c r="N5" i="29"/>
  <c r="R5" i="29"/>
  <c r="T5" i="29"/>
  <c r="Z5" i="29"/>
  <c r="Z6" i="29"/>
  <c r="N11" i="29"/>
  <c r="R11" i="29"/>
  <c r="T11" i="29"/>
  <c r="Z11" i="29"/>
  <c r="Z12" i="29"/>
  <c r="Z13" i="29"/>
  <c r="Z24" i="29"/>
  <c r="Z44" i="29"/>
  <c r="Y22" i="29"/>
  <c r="Y20" i="29"/>
  <c r="Y23" i="29"/>
  <c r="Y6" i="29"/>
  <c r="Y12" i="29"/>
  <c r="Y13" i="29"/>
  <c r="Y24" i="29"/>
  <c r="Y44" i="29"/>
  <c r="X22" i="29"/>
  <c r="U19" i="29"/>
  <c r="V19" i="29"/>
  <c r="W19" i="29"/>
  <c r="X19" i="29"/>
  <c r="X20" i="29"/>
  <c r="X23" i="29"/>
  <c r="U5" i="29"/>
  <c r="V5" i="29"/>
  <c r="W5" i="29"/>
  <c r="X5" i="29"/>
  <c r="X6" i="29"/>
  <c r="U11" i="29"/>
  <c r="V11" i="29"/>
  <c r="W11" i="29"/>
  <c r="X11" i="29"/>
  <c r="X12" i="29"/>
  <c r="X13" i="29"/>
  <c r="X24" i="29"/>
  <c r="X44" i="29"/>
  <c r="W22" i="29"/>
  <c r="W20" i="29"/>
  <c r="W23" i="29"/>
  <c r="W6" i="29"/>
  <c r="W12" i="29"/>
  <c r="W13" i="29"/>
  <c r="W24" i="29"/>
  <c r="W44" i="29"/>
  <c r="V22" i="29"/>
  <c r="V20" i="29"/>
  <c r="V23" i="29"/>
  <c r="V6" i="29"/>
  <c r="V12" i="29"/>
  <c r="V13" i="29"/>
  <c r="V24" i="29"/>
  <c r="V44" i="29"/>
  <c r="U22" i="29"/>
  <c r="U20" i="29"/>
  <c r="U23" i="29"/>
  <c r="U6" i="29"/>
  <c r="U12" i="29"/>
  <c r="U13" i="29"/>
  <c r="U24" i="29"/>
  <c r="U44" i="29"/>
  <c r="T22" i="29"/>
  <c r="T20" i="29"/>
  <c r="T23" i="29"/>
  <c r="T6" i="29"/>
  <c r="T12" i="29"/>
  <c r="T13" i="29"/>
  <c r="T24" i="29"/>
  <c r="T44" i="29"/>
  <c r="N21" i="29"/>
  <c r="Q21" i="29"/>
  <c r="R21" i="29"/>
  <c r="S21" i="29"/>
  <c r="S22" i="29"/>
  <c r="Q19" i="29"/>
  <c r="S19" i="29"/>
  <c r="S20" i="29"/>
  <c r="S23" i="29"/>
  <c r="Q5" i="29"/>
  <c r="S5" i="29"/>
  <c r="S6" i="29"/>
  <c r="Q11" i="29"/>
  <c r="S11" i="29"/>
  <c r="S12" i="29"/>
  <c r="S13" i="29"/>
  <c r="S24" i="29"/>
  <c r="S44" i="29"/>
  <c r="R20" i="29"/>
  <c r="R23" i="29"/>
  <c r="R6" i="29"/>
  <c r="R12" i="29"/>
  <c r="R13" i="29"/>
  <c r="R24" i="29"/>
  <c r="R44" i="29"/>
  <c r="Q20" i="29"/>
  <c r="Q23" i="29"/>
  <c r="Q6" i="29"/>
  <c r="Q12" i="29"/>
  <c r="Q13" i="29"/>
  <c r="Q24" i="29"/>
  <c r="Q44" i="29"/>
  <c r="P20" i="29"/>
  <c r="P23" i="29"/>
  <c r="P6" i="29"/>
  <c r="P12" i="29"/>
  <c r="P13" i="29"/>
  <c r="P24" i="29"/>
  <c r="P44" i="29"/>
  <c r="O20" i="29"/>
  <c r="O23" i="29"/>
  <c r="O6" i="29"/>
  <c r="O12" i="29"/>
  <c r="O13" i="29"/>
  <c r="O24" i="29"/>
  <c r="O44" i="29"/>
  <c r="N20" i="29"/>
  <c r="N23" i="29"/>
  <c r="N6" i="29"/>
  <c r="N12" i="29"/>
  <c r="N13" i="29"/>
  <c r="N24" i="29"/>
  <c r="N44" i="29"/>
  <c r="K43" i="29"/>
  <c r="K23" i="29"/>
  <c r="K13" i="29"/>
  <c r="K24" i="29"/>
  <c r="K44" i="29"/>
  <c r="J43" i="29"/>
  <c r="J23" i="29"/>
  <c r="J13" i="29"/>
  <c r="J24" i="29"/>
  <c r="J44" i="29"/>
  <c r="I19" i="29"/>
  <c r="I20" i="29"/>
  <c r="I23" i="29"/>
  <c r="I5" i="29"/>
  <c r="I6" i="29"/>
  <c r="I11" i="29"/>
  <c r="I12" i="29"/>
  <c r="I13" i="29"/>
  <c r="I24" i="29"/>
  <c r="I44" i="29"/>
  <c r="H20" i="29"/>
  <c r="H23" i="29"/>
  <c r="H6" i="29"/>
  <c r="H12" i="29"/>
  <c r="H13" i="29"/>
  <c r="H24" i="29"/>
  <c r="H44" i="29"/>
  <c r="E20" i="29"/>
  <c r="E23" i="29"/>
  <c r="E6" i="29"/>
  <c r="E12" i="29"/>
  <c r="E13" i="29"/>
  <c r="E24" i="29"/>
  <c r="E44" i="29"/>
  <c r="I41" i="29"/>
  <c r="K39" i="29"/>
  <c r="K38" i="29"/>
  <c r="K36" i="29"/>
  <c r="K34" i="29"/>
  <c r="K32" i="29"/>
  <c r="I30" i="29"/>
  <c r="I29" i="29"/>
  <c r="M13" i="29"/>
  <c r="M24" i="29"/>
  <c r="L13" i="29"/>
  <c r="L24" i="29"/>
  <c r="G13" i="29"/>
  <c r="G24" i="29"/>
  <c r="F13" i="29"/>
  <c r="F24" i="29"/>
  <c r="K21" i="29"/>
  <c r="I21" i="29"/>
  <c r="K19" i="29"/>
  <c r="K11" i="29"/>
  <c r="K5" i="29"/>
  <c r="N109" i="28"/>
  <c r="Q109" i="28"/>
  <c r="T109" i="28"/>
  <c r="U109" i="28"/>
  <c r="V109" i="28"/>
  <c r="W109" i="28"/>
  <c r="X109" i="28"/>
  <c r="X110" i="28"/>
  <c r="N90" i="28"/>
  <c r="Q90" i="28"/>
  <c r="T90" i="28"/>
  <c r="U90" i="28"/>
  <c r="V90" i="28"/>
  <c r="W90" i="28"/>
  <c r="X90" i="28"/>
  <c r="N91" i="28"/>
  <c r="Q91" i="28"/>
  <c r="T91" i="28"/>
  <c r="U91" i="28"/>
  <c r="V91" i="28"/>
  <c r="W91" i="28"/>
  <c r="X91" i="28"/>
  <c r="N92" i="28"/>
  <c r="Q92" i="28"/>
  <c r="T92" i="28"/>
  <c r="U92" i="28"/>
  <c r="V92" i="28"/>
  <c r="W92" i="28"/>
  <c r="X92" i="28"/>
  <c r="N93" i="28"/>
  <c r="Q93" i="28"/>
  <c r="T93" i="28"/>
  <c r="U93" i="28"/>
  <c r="V93" i="28"/>
  <c r="W93" i="28"/>
  <c r="X93" i="28"/>
  <c r="N94" i="28"/>
  <c r="Q94" i="28"/>
  <c r="T94" i="28"/>
  <c r="U94" i="28"/>
  <c r="V94" i="28"/>
  <c r="W94" i="28"/>
  <c r="X94" i="28"/>
  <c r="N95" i="28"/>
  <c r="Q95" i="28"/>
  <c r="T95" i="28"/>
  <c r="U95" i="28"/>
  <c r="V95" i="28"/>
  <c r="W95" i="28"/>
  <c r="X95" i="28"/>
  <c r="N96" i="28"/>
  <c r="Q96" i="28"/>
  <c r="T96" i="28"/>
  <c r="U96" i="28"/>
  <c r="V96" i="28"/>
  <c r="W96" i="28"/>
  <c r="X96" i="28"/>
  <c r="N97" i="28"/>
  <c r="Q97" i="28"/>
  <c r="T97" i="28"/>
  <c r="U97" i="28"/>
  <c r="V97" i="28"/>
  <c r="W97" i="28"/>
  <c r="X97" i="28"/>
  <c r="N98" i="28"/>
  <c r="Q98" i="28"/>
  <c r="T98" i="28"/>
  <c r="U98" i="28"/>
  <c r="V98" i="28"/>
  <c r="W98" i="28"/>
  <c r="X98" i="28"/>
  <c r="N99" i="28"/>
  <c r="Q99" i="28"/>
  <c r="T99" i="28"/>
  <c r="U99" i="28"/>
  <c r="V99" i="28"/>
  <c r="W99" i="28"/>
  <c r="X99" i="28"/>
  <c r="N100" i="28"/>
  <c r="Q100" i="28"/>
  <c r="T100" i="28"/>
  <c r="U100" i="28"/>
  <c r="V100" i="28"/>
  <c r="W100" i="28"/>
  <c r="X100" i="28"/>
  <c r="N101" i="28"/>
  <c r="Q101" i="28"/>
  <c r="T101" i="28"/>
  <c r="U101" i="28"/>
  <c r="V101" i="28"/>
  <c r="W101" i="28"/>
  <c r="X101" i="28"/>
  <c r="N102" i="28"/>
  <c r="Q102" i="28"/>
  <c r="T102" i="28"/>
  <c r="U102" i="28"/>
  <c r="V102" i="28"/>
  <c r="W102" i="28"/>
  <c r="X102" i="28"/>
  <c r="N103" i="28"/>
  <c r="Q103" i="28"/>
  <c r="T103" i="28"/>
  <c r="U103" i="28"/>
  <c r="V103" i="28"/>
  <c r="W103" i="28"/>
  <c r="X103" i="28"/>
  <c r="N104" i="28"/>
  <c r="Q104" i="28"/>
  <c r="T104" i="28"/>
  <c r="U104" i="28"/>
  <c r="V104" i="28"/>
  <c r="W104" i="28"/>
  <c r="X104" i="28"/>
  <c r="N105" i="28"/>
  <c r="Q105" i="28"/>
  <c r="T105" i="28"/>
  <c r="U105" i="28"/>
  <c r="V105" i="28"/>
  <c r="W105" i="28"/>
  <c r="X105" i="28"/>
  <c r="X106" i="28"/>
  <c r="X111" i="28"/>
  <c r="X112" i="28"/>
  <c r="W110" i="28"/>
  <c r="W106" i="28"/>
  <c r="N107" i="28"/>
  <c r="Q107" i="28"/>
  <c r="T107" i="28"/>
  <c r="U107" i="28"/>
  <c r="V107" i="28"/>
  <c r="W107" i="28"/>
  <c r="W108" i="28"/>
  <c r="W111" i="28"/>
  <c r="W112" i="28"/>
  <c r="V110" i="28"/>
  <c r="V106" i="28"/>
  <c r="V108" i="28"/>
  <c r="V111" i="28"/>
  <c r="N80" i="28"/>
  <c r="Q80" i="28"/>
  <c r="T80" i="28"/>
  <c r="U80" i="28"/>
  <c r="V80" i="28"/>
  <c r="V81" i="28"/>
  <c r="N82" i="28"/>
  <c r="Q82" i="28"/>
  <c r="T82" i="28"/>
  <c r="U82" i="28"/>
  <c r="V82" i="28"/>
  <c r="V83" i="28"/>
  <c r="V84" i="28"/>
  <c r="N56" i="28"/>
  <c r="Q56" i="28"/>
  <c r="T56" i="28"/>
  <c r="U56" i="28"/>
  <c r="V56" i="28"/>
  <c r="N57" i="28"/>
  <c r="Q57" i="28"/>
  <c r="T57" i="28"/>
  <c r="U57" i="28"/>
  <c r="V57" i="28"/>
  <c r="N58" i="28"/>
  <c r="Q58" i="28"/>
  <c r="T58" i="28"/>
  <c r="U58" i="28"/>
  <c r="V58" i="28"/>
  <c r="N59" i="28"/>
  <c r="Q59" i="28"/>
  <c r="T59" i="28"/>
  <c r="U59" i="28"/>
  <c r="V59" i="28"/>
  <c r="N60" i="28"/>
  <c r="Q60" i="28"/>
  <c r="T60" i="28"/>
  <c r="U60" i="28"/>
  <c r="V60" i="28"/>
  <c r="N61" i="28"/>
  <c r="Q61" i="28"/>
  <c r="T61" i="28"/>
  <c r="U61" i="28"/>
  <c r="V61" i="28"/>
  <c r="N62" i="28"/>
  <c r="Q62" i="28"/>
  <c r="T62" i="28"/>
  <c r="U62" i="28"/>
  <c r="V62" i="28"/>
  <c r="N63" i="28"/>
  <c r="Q63" i="28"/>
  <c r="T63" i="28"/>
  <c r="U63" i="28"/>
  <c r="V63" i="28"/>
  <c r="N64" i="28"/>
  <c r="Q64" i="28"/>
  <c r="T64" i="28"/>
  <c r="U64" i="28"/>
  <c r="V64" i="28"/>
  <c r="N65" i="28"/>
  <c r="Q65" i="28"/>
  <c r="T65" i="28"/>
  <c r="U65" i="28"/>
  <c r="V65" i="28"/>
  <c r="N66" i="28"/>
  <c r="Q66" i="28"/>
  <c r="T66" i="28"/>
  <c r="U66" i="28"/>
  <c r="V66" i="28"/>
  <c r="N67" i="28"/>
  <c r="Q67" i="28"/>
  <c r="T67" i="28"/>
  <c r="U67" i="28"/>
  <c r="V67" i="28"/>
  <c r="N68" i="28"/>
  <c r="Q68" i="28"/>
  <c r="T68" i="28"/>
  <c r="U68" i="28"/>
  <c r="V68" i="28"/>
  <c r="N69" i="28"/>
  <c r="Q69" i="28"/>
  <c r="T69" i="28"/>
  <c r="U69" i="28"/>
  <c r="V69" i="28"/>
  <c r="V70" i="28"/>
  <c r="N54" i="28"/>
  <c r="Q54" i="28"/>
  <c r="T54" i="28"/>
  <c r="U54" i="28"/>
  <c r="V54" i="28"/>
  <c r="V55" i="28"/>
  <c r="N51" i="28"/>
  <c r="Q51" i="28"/>
  <c r="T51" i="28"/>
  <c r="U51" i="28"/>
  <c r="V51" i="28"/>
  <c r="N52" i="28"/>
  <c r="Q52" i="28"/>
  <c r="T52" i="28"/>
  <c r="U52" i="28"/>
  <c r="V52" i="28"/>
  <c r="V53" i="28"/>
  <c r="N49" i="28"/>
  <c r="Q49" i="28"/>
  <c r="T49" i="28"/>
  <c r="U49" i="28"/>
  <c r="V49" i="28"/>
  <c r="V50" i="28"/>
  <c r="N71" i="28"/>
  <c r="Q71" i="28"/>
  <c r="T71" i="28"/>
  <c r="U71" i="28"/>
  <c r="V71" i="28"/>
  <c r="N72" i="28"/>
  <c r="Q72" i="28"/>
  <c r="T72" i="28"/>
  <c r="U72" i="28"/>
  <c r="V72" i="28"/>
  <c r="V73" i="28"/>
  <c r="V74" i="28"/>
  <c r="V85" i="28"/>
  <c r="V112" i="28"/>
  <c r="U110" i="28"/>
  <c r="U106" i="28"/>
  <c r="U108" i="28"/>
  <c r="U111" i="28"/>
  <c r="U81" i="28"/>
  <c r="U83" i="28"/>
  <c r="U84" i="28"/>
  <c r="U70" i="28"/>
  <c r="U55" i="28"/>
  <c r="U53" i="28"/>
  <c r="U50" i="28"/>
  <c r="U73" i="28"/>
  <c r="U74" i="28"/>
  <c r="U85" i="28"/>
  <c r="U112" i="28"/>
  <c r="T110" i="28"/>
  <c r="T106" i="28"/>
  <c r="T108" i="28"/>
  <c r="T111" i="28"/>
  <c r="T81" i="28"/>
  <c r="T83" i="28"/>
  <c r="T84" i="28"/>
  <c r="T70" i="28"/>
  <c r="T55" i="28"/>
  <c r="T53" i="28"/>
  <c r="T50" i="28"/>
  <c r="T73" i="28"/>
  <c r="T74" i="28"/>
  <c r="T85" i="28"/>
  <c r="T112" i="28"/>
  <c r="R109" i="28"/>
  <c r="S109" i="28"/>
  <c r="S110" i="28"/>
  <c r="R90" i="28"/>
  <c r="S90" i="28"/>
  <c r="R91" i="28"/>
  <c r="S91" i="28"/>
  <c r="R92" i="28"/>
  <c r="S92" i="28"/>
  <c r="R93" i="28"/>
  <c r="S93" i="28"/>
  <c r="R94" i="28"/>
  <c r="S94" i="28"/>
  <c r="R95" i="28"/>
  <c r="S95" i="28"/>
  <c r="R96" i="28"/>
  <c r="S96" i="28"/>
  <c r="R97" i="28"/>
  <c r="S97" i="28"/>
  <c r="R98" i="28"/>
  <c r="S98" i="28"/>
  <c r="R99" i="28"/>
  <c r="S99" i="28"/>
  <c r="R100" i="28"/>
  <c r="S100" i="28"/>
  <c r="R101" i="28"/>
  <c r="S101" i="28"/>
  <c r="R102" i="28"/>
  <c r="S102" i="28"/>
  <c r="R103" i="28"/>
  <c r="S103" i="28"/>
  <c r="R104" i="28"/>
  <c r="S104" i="28"/>
  <c r="R105" i="28"/>
  <c r="S105" i="28"/>
  <c r="S106" i="28"/>
  <c r="S107" i="28"/>
  <c r="S108" i="28"/>
  <c r="S111" i="28"/>
  <c r="S80" i="28"/>
  <c r="S81" i="28"/>
  <c r="R82" i="28"/>
  <c r="S82" i="28"/>
  <c r="S83" i="28"/>
  <c r="S84" i="28"/>
  <c r="R56" i="28"/>
  <c r="S56" i="28"/>
  <c r="R57" i="28"/>
  <c r="S57" i="28"/>
  <c r="R58" i="28"/>
  <c r="S58" i="28"/>
  <c r="R59" i="28"/>
  <c r="S59" i="28"/>
  <c r="R60" i="28"/>
  <c r="S60" i="28"/>
  <c r="R61" i="28"/>
  <c r="S61" i="28"/>
  <c r="R62" i="28"/>
  <c r="S62" i="28"/>
  <c r="R63" i="28"/>
  <c r="S63" i="28"/>
  <c r="R64" i="28"/>
  <c r="S64" i="28"/>
  <c r="R65" i="28"/>
  <c r="S65" i="28"/>
  <c r="R66" i="28"/>
  <c r="S66" i="28"/>
  <c r="R67" i="28"/>
  <c r="S67" i="28"/>
  <c r="R68" i="28"/>
  <c r="S68" i="28"/>
  <c r="R69" i="28"/>
  <c r="S69" i="28"/>
  <c r="S70" i="28"/>
  <c r="R54" i="28"/>
  <c r="S54" i="28"/>
  <c r="S55" i="28"/>
  <c r="R51" i="28"/>
  <c r="S51" i="28"/>
  <c r="R52" i="28"/>
  <c r="S52" i="28"/>
  <c r="S53" i="28"/>
  <c r="R49" i="28"/>
  <c r="S49" i="28"/>
  <c r="S50" i="28"/>
  <c r="R71" i="28"/>
  <c r="S71" i="28"/>
  <c r="R72" i="28"/>
  <c r="S72" i="28"/>
  <c r="S73" i="28"/>
  <c r="S74" i="28"/>
  <c r="S85" i="28"/>
  <c r="S112" i="28"/>
  <c r="R110" i="28"/>
  <c r="R106" i="28"/>
  <c r="R108" i="28"/>
  <c r="R111" i="28"/>
  <c r="R81" i="28"/>
  <c r="R83" i="28"/>
  <c r="R84" i="28"/>
  <c r="R70" i="28"/>
  <c r="R55" i="28"/>
  <c r="R53" i="28"/>
  <c r="R50" i="28"/>
  <c r="R73" i="28"/>
  <c r="R74" i="28"/>
  <c r="R85" i="28"/>
  <c r="R112" i="28"/>
  <c r="Q110" i="28"/>
  <c r="Q106" i="28"/>
  <c r="Q108" i="28"/>
  <c r="Q111" i="28"/>
  <c r="Q81" i="28"/>
  <c r="Q83" i="28"/>
  <c r="Q84" i="28"/>
  <c r="Q70" i="28"/>
  <c r="Q55" i="28"/>
  <c r="Q53" i="28"/>
  <c r="Q50" i="28"/>
  <c r="Q73" i="28"/>
  <c r="Q74" i="28"/>
  <c r="Q85" i="28"/>
  <c r="Q112" i="28"/>
  <c r="P110" i="28"/>
  <c r="P106" i="28"/>
  <c r="P108" i="28"/>
  <c r="P111" i="28"/>
  <c r="P81" i="28"/>
  <c r="P83" i="28"/>
  <c r="P84" i="28"/>
  <c r="P70" i="28"/>
  <c r="P55" i="28"/>
  <c r="P53" i="28"/>
  <c r="P50" i="28"/>
  <c r="P73" i="28"/>
  <c r="P74" i="28"/>
  <c r="P85" i="28"/>
  <c r="P112" i="28"/>
  <c r="O110" i="28"/>
  <c r="O106" i="28"/>
  <c r="O108" i="28"/>
  <c r="O111" i="28"/>
  <c r="O81" i="28"/>
  <c r="O83" i="28"/>
  <c r="O84" i="28"/>
  <c r="O70" i="28"/>
  <c r="O55" i="28"/>
  <c r="O53" i="28"/>
  <c r="O50" i="28"/>
  <c r="O73" i="28"/>
  <c r="O74" i="28"/>
  <c r="O85" i="28"/>
  <c r="O112" i="28"/>
  <c r="N110" i="28"/>
  <c r="N106" i="28"/>
  <c r="N108" i="28"/>
  <c r="N111" i="28"/>
  <c r="N81" i="28"/>
  <c r="N83" i="28"/>
  <c r="N84" i="28"/>
  <c r="N70" i="28"/>
  <c r="N55" i="28"/>
  <c r="N53" i="28"/>
  <c r="N50" i="28"/>
  <c r="N73" i="28"/>
  <c r="N74" i="28"/>
  <c r="N85" i="28"/>
  <c r="N112" i="28"/>
  <c r="I109" i="28"/>
  <c r="I110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105" i="28"/>
  <c r="I106" i="28"/>
  <c r="I111" i="28"/>
  <c r="I82" i="28"/>
  <c r="I83" i="28"/>
  <c r="I84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54" i="28"/>
  <c r="I55" i="28"/>
  <c r="I51" i="28"/>
  <c r="I52" i="28"/>
  <c r="I53" i="28"/>
  <c r="I49" i="28"/>
  <c r="I50" i="28"/>
  <c r="I71" i="28"/>
  <c r="I72" i="28"/>
  <c r="I73" i="28"/>
  <c r="I74" i="28"/>
  <c r="I85" i="28"/>
  <c r="I112" i="28"/>
  <c r="H110" i="28"/>
  <c r="H106" i="28"/>
  <c r="H111" i="28"/>
  <c r="H83" i="28"/>
  <c r="H84" i="28"/>
  <c r="H70" i="28"/>
  <c r="H55" i="28"/>
  <c r="H53" i="28"/>
  <c r="H50" i="28"/>
  <c r="H73" i="28"/>
  <c r="H74" i="28"/>
  <c r="H85" i="28"/>
  <c r="H112" i="28"/>
  <c r="G111" i="28"/>
  <c r="G112" i="28"/>
  <c r="F110" i="28"/>
  <c r="F111" i="28"/>
  <c r="F112" i="28"/>
  <c r="E110" i="28"/>
  <c r="E106" i="28"/>
  <c r="E111" i="28"/>
  <c r="E83" i="28"/>
  <c r="E84" i="28"/>
  <c r="E70" i="28"/>
  <c r="E55" i="28"/>
  <c r="E53" i="28"/>
  <c r="E50" i="28"/>
  <c r="E73" i="28"/>
  <c r="E74" i="28"/>
  <c r="E85" i="28"/>
  <c r="E112" i="28"/>
  <c r="M111" i="28"/>
  <c r="L111" i="28"/>
  <c r="K111" i="28"/>
  <c r="J111" i="28"/>
  <c r="X107" i="28"/>
  <c r="X108" i="28"/>
  <c r="I107" i="28"/>
  <c r="K105" i="28"/>
  <c r="K104" i="28"/>
  <c r="K103" i="28"/>
  <c r="K102" i="28"/>
  <c r="K101" i="28"/>
  <c r="K100" i="28"/>
  <c r="K99" i="28"/>
  <c r="K98" i="28"/>
  <c r="K97" i="28"/>
  <c r="K96" i="28"/>
  <c r="K95" i="28"/>
  <c r="K94" i="28"/>
  <c r="K93" i="28"/>
  <c r="K92" i="28"/>
  <c r="K91" i="28"/>
  <c r="K90" i="28"/>
  <c r="I80" i="28"/>
  <c r="AA75" i="28"/>
  <c r="Z56" i="28"/>
  <c r="Z57" i="28"/>
  <c r="Z58" i="28"/>
  <c r="Z59" i="28"/>
  <c r="Z60" i="28"/>
  <c r="Z61" i="28"/>
  <c r="Z62" i="28"/>
  <c r="Z63" i="28"/>
  <c r="Z64" i="28"/>
  <c r="Z65" i="28"/>
  <c r="Z66" i="28"/>
  <c r="Z67" i="28"/>
  <c r="Z68" i="28"/>
  <c r="Z69" i="28"/>
  <c r="Z70" i="28"/>
  <c r="Z54" i="28"/>
  <c r="Z55" i="28"/>
  <c r="Z51" i="28"/>
  <c r="Z52" i="28"/>
  <c r="Z53" i="28"/>
  <c r="Z49" i="28"/>
  <c r="Z50" i="28"/>
  <c r="Z71" i="28"/>
  <c r="Z72" i="28"/>
  <c r="Z73" i="28"/>
  <c r="Z74" i="28"/>
  <c r="N41" i="28"/>
  <c r="Q41" i="28"/>
  <c r="T41" i="28"/>
  <c r="Z41" i="28"/>
  <c r="Z42" i="28"/>
  <c r="N38" i="28"/>
  <c r="Q38" i="28"/>
  <c r="T38" i="28"/>
  <c r="Z38" i="28"/>
  <c r="N39" i="28"/>
  <c r="Q39" i="28"/>
  <c r="T39" i="28"/>
  <c r="Z39" i="28"/>
  <c r="Z40" i="28"/>
  <c r="N36" i="28"/>
  <c r="Q36" i="28"/>
  <c r="T36" i="28"/>
  <c r="Z36" i="28"/>
  <c r="Z37" i="28"/>
  <c r="N34" i="28"/>
  <c r="Q34" i="28"/>
  <c r="T34" i="28"/>
  <c r="Z34" i="28"/>
  <c r="Z35" i="28"/>
  <c r="N32" i="28"/>
  <c r="Q32" i="28"/>
  <c r="T32" i="28"/>
  <c r="Z32" i="28"/>
  <c r="Z33" i="28"/>
  <c r="N29" i="28"/>
  <c r="Q29" i="28"/>
  <c r="T29" i="28"/>
  <c r="Z29" i="28"/>
  <c r="N30" i="28"/>
  <c r="Q30" i="28"/>
  <c r="T30" i="28"/>
  <c r="Z30" i="28"/>
  <c r="Z31" i="28"/>
  <c r="Z43" i="28"/>
  <c r="N21" i="28"/>
  <c r="Q21" i="28"/>
  <c r="T21" i="28"/>
  <c r="Z21" i="28"/>
  <c r="Z22" i="28"/>
  <c r="N19" i="28"/>
  <c r="Q19" i="28"/>
  <c r="T19" i="28"/>
  <c r="Z19" i="28"/>
  <c r="Z20" i="28"/>
  <c r="Z23" i="28"/>
  <c r="N11" i="28"/>
  <c r="Q11" i="28"/>
  <c r="T11" i="28"/>
  <c r="Z11" i="28"/>
  <c r="Z12" i="28"/>
  <c r="N5" i="28"/>
  <c r="Q5" i="28"/>
  <c r="T5" i="28"/>
  <c r="Z5" i="28"/>
  <c r="Z6" i="28"/>
  <c r="Z13" i="28"/>
  <c r="Z24" i="28"/>
  <c r="Z44" i="28"/>
  <c r="Z75" i="28"/>
  <c r="Y70" i="28"/>
  <c r="Y55" i="28"/>
  <c r="Y53" i="28"/>
  <c r="Y50" i="28"/>
  <c r="Y73" i="28"/>
  <c r="Y74" i="28"/>
  <c r="Y42" i="28"/>
  <c r="Y40" i="28"/>
  <c r="Y37" i="28"/>
  <c r="Y35" i="28"/>
  <c r="Y33" i="28"/>
  <c r="Y31" i="28"/>
  <c r="Y43" i="28"/>
  <c r="Y22" i="28"/>
  <c r="Y20" i="28"/>
  <c r="Y23" i="28"/>
  <c r="Y12" i="28"/>
  <c r="Y6" i="28"/>
  <c r="Y13" i="28"/>
  <c r="Y24" i="28"/>
  <c r="Y44" i="28"/>
  <c r="Y75" i="28"/>
  <c r="W56" i="28"/>
  <c r="X56" i="28"/>
  <c r="W57" i="28"/>
  <c r="X57" i="28"/>
  <c r="W58" i="28"/>
  <c r="X58" i="28"/>
  <c r="W59" i="28"/>
  <c r="X59" i="28"/>
  <c r="W60" i="28"/>
  <c r="X60" i="28"/>
  <c r="W61" i="28"/>
  <c r="X61" i="28"/>
  <c r="W62" i="28"/>
  <c r="X62" i="28"/>
  <c r="W63" i="28"/>
  <c r="X63" i="28"/>
  <c r="W64" i="28"/>
  <c r="X64" i="28"/>
  <c r="W65" i="28"/>
  <c r="X65" i="28"/>
  <c r="W66" i="28"/>
  <c r="X66" i="28"/>
  <c r="W67" i="28"/>
  <c r="X67" i="28"/>
  <c r="W68" i="28"/>
  <c r="X68" i="28"/>
  <c r="W69" i="28"/>
  <c r="X69" i="28"/>
  <c r="X70" i="28"/>
  <c r="W54" i="28"/>
  <c r="X54" i="28"/>
  <c r="X55" i="28"/>
  <c r="W51" i="28"/>
  <c r="X51" i="28"/>
  <c r="W52" i="28"/>
  <c r="X52" i="28"/>
  <c r="X53" i="28"/>
  <c r="W49" i="28"/>
  <c r="X49" i="28"/>
  <c r="X50" i="28"/>
  <c r="W71" i="28"/>
  <c r="X71" i="28"/>
  <c r="W72" i="28"/>
  <c r="X72" i="28"/>
  <c r="X73" i="28"/>
  <c r="X74" i="28"/>
  <c r="U41" i="28"/>
  <c r="V41" i="28"/>
  <c r="W41" i="28"/>
  <c r="X41" i="28"/>
  <c r="X42" i="28"/>
  <c r="U38" i="28"/>
  <c r="V38" i="28"/>
  <c r="W38" i="28"/>
  <c r="X38" i="28"/>
  <c r="U39" i="28"/>
  <c r="V39" i="28"/>
  <c r="W39" i="28"/>
  <c r="X39" i="28"/>
  <c r="X40" i="28"/>
  <c r="U36" i="28"/>
  <c r="V36" i="28"/>
  <c r="W36" i="28"/>
  <c r="X36" i="28"/>
  <c r="X37" i="28"/>
  <c r="U34" i="28"/>
  <c r="V34" i="28"/>
  <c r="W34" i="28"/>
  <c r="X34" i="28"/>
  <c r="X35" i="28"/>
  <c r="U32" i="28"/>
  <c r="V32" i="28"/>
  <c r="W32" i="28"/>
  <c r="X32" i="28"/>
  <c r="X33" i="28"/>
  <c r="U29" i="28"/>
  <c r="V29" i="28"/>
  <c r="W29" i="28"/>
  <c r="X29" i="28"/>
  <c r="U30" i="28"/>
  <c r="V30" i="28"/>
  <c r="W30" i="28"/>
  <c r="X30" i="28"/>
  <c r="X31" i="28"/>
  <c r="X43" i="28"/>
  <c r="U21" i="28"/>
  <c r="V21" i="28"/>
  <c r="W21" i="28"/>
  <c r="X21" i="28"/>
  <c r="X22" i="28"/>
  <c r="U19" i="28"/>
  <c r="V19" i="28"/>
  <c r="W19" i="28"/>
  <c r="X19" i="28"/>
  <c r="X20" i="28"/>
  <c r="X23" i="28"/>
  <c r="U11" i="28"/>
  <c r="V11" i="28"/>
  <c r="W11" i="28"/>
  <c r="X11" i="28"/>
  <c r="X12" i="28"/>
  <c r="U5" i="28"/>
  <c r="V5" i="28"/>
  <c r="W5" i="28"/>
  <c r="X5" i="28"/>
  <c r="X6" i="28"/>
  <c r="X13" i="28"/>
  <c r="X24" i="28"/>
  <c r="X44" i="28"/>
  <c r="X75" i="28"/>
  <c r="W70" i="28"/>
  <c r="W55" i="28"/>
  <c r="W53" i="28"/>
  <c r="W50" i="28"/>
  <c r="W73" i="28"/>
  <c r="W74" i="28"/>
  <c r="W42" i="28"/>
  <c r="W40" i="28"/>
  <c r="W37" i="28"/>
  <c r="W35" i="28"/>
  <c r="W33" i="28"/>
  <c r="W31" i="28"/>
  <c r="W43" i="28"/>
  <c r="W22" i="28"/>
  <c r="W20" i="28"/>
  <c r="W23" i="28"/>
  <c r="W12" i="28"/>
  <c r="W6" i="28"/>
  <c r="W13" i="28"/>
  <c r="W24" i="28"/>
  <c r="W44" i="28"/>
  <c r="W75" i="28"/>
  <c r="V42" i="28"/>
  <c r="V40" i="28"/>
  <c r="V37" i="28"/>
  <c r="V35" i="28"/>
  <c r="V33" i="28"/>
  <c r="V31" i="28"/>
  <c r="V43" i="28"/>
  <c r="V22" i="28"/>
  <c r="V20" i="28"/>
  <c r="V23" i="28"/>
  <c r="V12" i="28"/>
  <c r="V6" i="28"/>
  <c r="V13" i="28"/>
  <c r="V24" i="28"/>
  <c r="V44" i="28"/>
  <c r="V75" i="28"/>
  <c r="U42" i="28"/>
  <c r="U40" i="28"/>
  <c r="U37" i="28"/>
  <c r="U35" i="28"/>
  <c r="U33" i="28"/>
  <c r="U31" i="28"/>
  <c r="U43" i="28"/>
  <c r="U22" i="28"/>
  <c r="U20" i="28"/>
  <c r="U23" i="28"/>
  <c r="U12" i="28"/>
  <c r="U6" i="28"/>
  <c r="U13" i="28"/>
  <c r="U24" i="28"/>
  <c r="U44" i="28"/>
  <c r="U75" i="28"/>
  <c r="T42" i="28"/>
  <c r="T40" i="28"/>
  <c r="T37" i="28"/>
  <c r="T35" i="28"/>
  <c r="T33" i="28"/>
  <c r="T31" i="28"/>
  <c r="T43" i="28"/>
  <c r="T22" i="28"/>
  <c r="T20" i="28"/>
  <c r="T23" i="28"/>
  <c r="T12" i="28"/>
  <c r="T6" i="28"/>
  <c r="T13" i="28"/>
  <c r="T24" i="28"/>
  <c r="T44" i="28"/>
  <c r="T75" i="28"/>
  <c r="S41" i="28"/>
  <c r="S42" i="28"/>
  <c r="R38" i="28"/>
  <c r="S38" i="28"/>
  <c r="R39" i="28"/>
  <c r="S39" i="28"/>
  <c r="S40" i="28"/>
  <c r="R36" i="28"/>
  <c r="S36" i="28"/>
  <c r="S37" i="28"/>
  <c r="R34" i="28"/>
  <c r="S34" i="28"/>
  <c r="S35" i="28"/>
  <c r="R32" i="28"/>
  <c r="S32" i="28"/>
  <c r="S33" i="28"/>
  <c r="S29" i="28"/>
  <c r="S30" i="28"/>
  <c r="S31" i="28"/>
  <c r="S43" i="28"/>
  <c r="R21" i="28"/>
  <c r="S21" i="28"/>
  <c r="S22" i="28"/>
  <c r="R19" i="28"/>
  <c r="S19" i="28"/>
  <c r="S20" i="28"/>
  <c r="S23" i="28"/>
  <c r="R11" i="28"/>
  <c r="S11" i="28"/>
  <c r="S12" i="28"/>
  <c r="R5" i="28"/>
  <c r="S5" i="28"/>
  <c r="S6" i="28"/>
  <c r="S13" i="28"/>
  <c r="S24" i="28"/>
  <c r="S44" i="28"/>
  <c r="S75" i="28"/>
  <c r="R42" i="28"/>
  <c r="R40" i="28"/>
  <c r="R37" i="28"/>
  <c r="R35" i="28"/>
  <c r="R33" i="28"/>
  <c r="R31" i="28"/>
  <c r="R43" i="28"/>
  <c r="R22" i="28"/>
  <c r="R20" i="28"/>
  <c r="R23" i="28"/>
  <c r="R12" i="28"/>
  <c r="R6" i="28"/>
  <c r="R13" i="28"/>
  <c r="R24" i="28"/>
  <c r="R44" i="28"/>
  <c r="R75" i="28"/>
  <c r="Q42" i="28"/>
  <c r="Q40" i="28"/>
  <c r="Q37" i="28"/>
  <c r="Q35" i="28"/>
  <c r="Q33" i="28"/>
  <c r="Q31" i="28"/>
  <c r="Q43" i="28"/>
  <c r="Q22" i="28"/>
  <c r="Q20" i="28"/>
  <c r="Q23" i="28"/>
  <c r="Q12" i="28"/>
  <c r="Q6" i="28"/>
  <c r="Q13" i="28"/>
  <c r="Q24" i="28"/>
  <c r="Q44" i="28"/>
  <c r="Q75" i="28"/>
  <c r="P42" i="28"/>
  <c r="P40" i="28"/>
  <c r="P37" i="28"/>
  <c r="P35" i="28"/>
  <c r="P33" i="28"/>
  <c r="P31" i="28"/>
  <c r="P43" i="28"/>
  <c r="P22" i="28"/>
  <c r="P20" i="28"/>
  <c r="P23" i="28"/>
  <c r="P24" i="28"/>
  <c r="P44" i="28"/>
  <c r="P75" i="28"/>
  <c r="O42" i="28"/>
  <c r="O40" i="28"/>
  <c r="O37" i="28"/>
  <c r="O35" i="28"/>
  <c r="O33" i="28"/>
  <c r="O31" i="28"/>
  <c r="O43" i="28"/>
  <c r="O22" i="28"/>
  <c r="O20" i="28"/>
  <c r="O23" i="28"/>
  <c r="O24" i="28"/>
  <c r="O44" i="28"/>
  <c r="O75" i="28"/>
  <c r="N42" i="28"/>
  <c r="N40" i="28"/>
  <c r="N37" i="28"/>
  <c r="N35" i="28"/>
  <c r="N33" i="28"/>
  <c r="N31" i="28"/>
  <c r="N43" i="28"/>
  <c r="N22" i="28"/>
  <c r="N20" i="28"/>
  <c r="N23" i="28"/>
  <c r="N24" i="28"/>
  <c r="N44" i="28"/>
  <c r="N75" i="28"/>
  <c r="M74" i="28"/>
  <c r="M43" i="28"/>
  <c r="M24" i="28"/>
  <c r="M44" i="28"/>
  <c r="M75" i="28"/>
  <c r="L74" i="28"/>
  <c r="L43" i="28"/>
  <c r="L24" i="28"/>
  <c r="L44" i="28"/>
  <c r="L75" i="28"/>
  <c r="K74" i="28"/>
  <c r="K43" i="28"/>
  <c r="K23" i="28"/>
  <c r="K24" i="28"/>
  <c r="K44" i="28"/>
  <c r="K75" i="28"/>
  <c r="J74" i="28"/>
  <c r="J43" i="28"/>
  <c r="J23" i="28"/>
  <c r="J24" i="28"/>
  <c r="J44" i="28"/>
  <c r="J75" i="28"/>
  <c r="I38" i="28"/>
  <c r="I39" i="28"/>
  <c r="I40" i="28"/>
  <c r="I36" i="28"/>
  <c r="I37" i="28"/>
  <c r="I34" i="28"/>
  <c r="I35" i="28"/>
  <c r="I32" i="28"/>
  <c r="I33" i="28"/>
  <c r="I43" i="28"/>
  <c r="I21" i="28"/>
  <c r="I22" i="28"/>
  <c r="I19" i="28"/>
  <c r="I20" i="28"/>
  <c r="I23" i="28"/>
  <c r="I11" i="28"/>
  <c r="I12" i="28"/>
  <c r="I5" i="28"/>
  <c r="I6" i="28"/>
  <c r="I13" i="28"/>
  <c r="I24" i="28"/>
  <c r="I44" i="28"/>
  <c r="I75" i="28"/>
  <c r="H40" i="28"/>
  <c r="H37" i="28"/>
  <c r="H35" i="28"/>
  <c r="H33" i="28"/>
  <c r="H43" i="28"/>
  <c r="H22" i="28"/>
  <c r="H20" i="28"/>
  <c r="H23" i="28"/>
  <c r="H12" i="28"/>
  <c r="H6" i="28"/>
  <c r="H13" i="28"/>
  <c r="H24" i="28"/>
  <c r="H44" i="28"/>
  <c r="H75" i="28"/>
  <c r="G74" i="28"/>
  <c r="G75" i="28"/>
  <c r="F74" i="28"/>
  <c r="F75" i="28"/>
  <c r="E40" i="28"/>
  <c r="E37" i="28"/>
  <c r="E35" i="28"/>
  <c r="E33" i="28"/>
  <c r="E43" i="28"/>
  <c r="E22" i="28"/>
  <c r="E20" i="28"/>
  <c r="E23" i="28"/>
  <c r="E12" i="28"/>
  <c r="E6" i="28"/>
  <c r="E13" i="28"/>
  <c r="E24" i="28"/>
  <c r="E44" i="28"/>
  <c r="E75" i="28"/>
  <c r="K72" i="28"/>
  <c r="K71" i="28"/>
  <c r="K69" i="28"/>
  <c r="K68" i="28"/>
  <c r="K67" i="28"/>
  <c r="K66" i="28"/>
  <c r="K65" i="28"/>
  <c r="K64" i="28"/>
  <c r="K63" i="28"/>
  <c r="K62" i="28"/>
  <c r="K61" i="28"/>
  <c r="K60" i="28"/>
  <c r="K59" i="28"/>
  <c r="K58" i="28"/>
  <c r="K57" i="28"/>
  <c r="K56" i="28"/>
  <c r="K54" i="28"/>
  <c r="K52" i="28"/>
  <c r="K51" i="28"/>
  <c r="K49" i="28"/>
  <c r="I41" i="28"/>
  <c r="K39" i="28"/>
  <c r="K38" i="28"/>
  <c r="K36" i="28"/>
  <c r="K34" i="28"/>
  <c r="K32" i="28"/>
  <c r="I30" i="28"/>
  <c r="I29" i="28"/>
  <c r="G23" i="28"/>
  <c r="G24" i="28"/>
  <c r="F23" i="28"/>
  <c r="F24" i="28"/>
  <c r="K21" i="28"/>
  <c r="K19" i="28"/>
  <c r="P12" i="28"/>
  <c r="O12" i="28"/>
  <c r="N12" i="28"/>
  <c r="K11" i="28"/>
  <c r="P6" i="28"/>
  <c r="O6" i="28"/>
  <c r="N6" i="28"/>
  <c r="K5" i="28"/>
  <c r="R130" i="1"/>
  <c r="R129" i="1"/>
  <c r="R128" i="1"/>
  <c r="R127" i="1"/>
  <c r="R126" i="1"/>
  <c r="R125" i="1"/>
  <c r="R124" i="1"/>
  <c r="R123" i="1"/>
  <c r="R122" i="1"/>
  <c r="E131" i="1"/>
  <c r="F131" i="1"/>
  <c r="H135" i="1"/>
  <c r="H136" i="1"/>
  <c r="N135" i="1"/>
  <c r="N136" i="1"/>
  <c r="P135" i="1"/>
  <c r="P136" i="1"/>
  <c r="R131" i="1"/>
  <c r="R134" i="1"/>
  <c r="R135" i="1"/>
  <c r="R136" i="1"/>
  <c r="V136" i="1"/>
  <c r="I135" i="1"/>
  <c r="I136" i="1"/>
  <c r="V135" i="1"/>
  <c r="E135" i="1"/>
  <c r="E136" i="1"/>
  <c r="N133" i="1"/>
  <c r="Q133" i="1"/>
  <c r="I133" i="1"/>
  <c r="N132" i="1"/>
  <c r="Q132" i="1"/>
  <c r="I132" i="1"/>
  <c r="V134" i="1"/>
  <c r="T134" i="1"/>
  <c r="P134" i="1"/>
  <c r="O134" i="1"/>
  <c r="H134" i="1"/>
  <c r="E134" i="1"/>
  <c r="I134" i="1"/>
  <c r="U133" i="1"/>
  <c r="S133" i="1"/>
  <c r="S132" i="1"/>
  <c r="U132" i="1"/>
  <c r="N134" i="1"/>
  <c r="N123" i="1"/>
  <c r="Q123" i="1"/>
  <c r="N125" i="1"/>
  <c r="Q125" i="1"/>
  <c r="Q126" i="1"/>
  <c r="N127" i="1"/>
  <c r="Q127" i="1"/>
  <c r="U127" i="1"/>
  <c r="N129" i="1"/>
  <c r="Q129" i="1"/>
  <c r="Q122" i="1"/>
  <c r="N130" i="1"/>
  <c r="Q130" i="1"/>
  <c r="S130" i="1"/>
  <c r="N128" i="1"/>
  <c r="N126" i="1"/>
  <c r="U125" i="1"/>
  <c r="S125" i="1"/>
  <c r="N124" i="1"/>
  <c r="Q124" i="1"/>
  <c r="U124" i="1"/>
  <c r="V131" i="1"/>
  <c r="T131" i="1"/>
  <c r="T135" i="1"/>
  <c r="T136" i="1"/>
  <c r="O135" i="1"/>
  <c r="O136" i="1"/>
  <c r="I122" i="1"/>
  <c r="I123" i="1"/>
  <c r="I124" i="1"/>
  <c r="I125" i="1"/>
  <c r="I126" i="1"/>
  <c r="I127" i="1"/>
  <c r="I128" i="1"/>
  <c r="I129" i="1"/>
  <c r="I130" i="1"/>
  <c r="N120" i="1"/>
  <c r="Q120" i="1"/>
  <c r="S120" i="1"/>
  <c r="S121" i="1"/>
  <c r="U120" i="1"/>
  <c r="U121" i="1"/>
  <c r="R120" i="1"/>
  <c r="V121" i="1"/>
  <c r="T121" i="1"/>
  <c r="R121" i="1"/>
  <c r="Q121" i="1"/>
  <c r="P121" i="1"/>
  <c r="O121" i="1"/>
  <c r="N121" i="1"/>
  <c r="I120" i="1"/>
  <c r="I121" i="1"/>
  <c r="H121" i="1"/>
  <c r="E121" i="1"/>
  <c r="N118" i="1"/>
  <c r="Q118" i="1"/>
  <c r="S118" i="1"/>
  <c r="S119" i="1"/>
  <c r="U118" i="1"/>
  <c r="U119" i="1"/>
  <c r="V119" i="1"/>
  <c r="T119" i="1"/>
  <c r="R119" i="1"/>
  <c r="Q119" i="1"/>
  <c r="P119" i="1"/>
  <c r="O119" i="1"/>
  <c r="N119" i="1"/>
  <c r="I118" i="1"/>
  <c r="Q111" i="3"/>
  <c r="N110" i="1"/>
  <c r="R110" i="1"/>
  <c r="R111" i="1"/>
  <c r="N91" i="1"/>
  <c r="R91" i="1"/>
  <c r="N92" i="1"/>
  <c r="R92" i="1"/>
  <c r="S92" i="1"/>
  <c r="N93" i="1"/>
  <c r="R93" i="1"/>
  <c r="N94" i="1"/>
  <c r="R94" i="1"/>
  <c r="S94" i="1"/>
  <c r="N95" i="1"/>
  <c r="R95" i="1"/>
  <c r="S95" i="1"/>
  <c r="N96" i="1"/>
  <c r="R96" i="1"/>
  <c r="S96" i="1"/>
  <c r="N97" i="1"/>
  <c r="R97" i="1"/>
  <c r="S97" i="1"/>
  <c r="N98" i="1"/>
  <c r="R98" i="1"/>
  <c r="N99" i="1"/>
  <c r="R99" i="1"/>
  <c r="N100" i="1"/>
  <c r="R100" i="1"/>
  <c r="S100" i="1"/>
  <c r="N101" i="1"/>
  <c r="R101" i="1"/>
  <c r="N102" i="1"/>
  <c r="R102" i="1"/>
  <c r="S102" i="1"/>
  <c r="N103" i="1"/>
  <c r="R103" i="1"/>
  <c r="S103" i="1"/>
  <c r="N104" i="1"/>
  <c r="R104" i="1"/>
  <c r="S104" i="1"/>
  <c r="N105" i="1"/>
  <c r="R105" i="1"/>
  <c r="S105" i="1"/>
  <c r="N106" i="1"/>
  <c r="R106" i="1"/>
  <c r="S106" i="1"/>
  <c r="R109" i="1"/>
  <c r="Q110" i="1"/>
  <c r="Q91" i="1"/>
  <c r="S91" i="1"/>
  <c r="Q92" i="1"/>
  <c r="Q93" i="1"/>
  <c r="S93" i="1"/>
  <c r="Q94" i="1"/>
  <c r="Q95" i="1"/>
  <c r="Q96" i="1"/>
  <c r="Q97" i="1"/>
  <c r="Q98" i="1"/>
  <c r="S98" i="1"/>
  <c r="Q99" i="1"/>
  <c r="S99" i="1"/>
  <c r="Q100" i="1"/>
  <c r="Q101" i="1"/>
  <c r="S101" i="1"/>
  <c r="Q102" i="1"/>
  <c r="Q103" i="1"/>
  <c r="Q104" i="1"/>
  <c r="Q105" i="1"/>
  <c r="Q106" i="1"/>
  <c r="N108" i="1"/>
  <c r="T111" i="1"/>
  <c r="T107" i="1"/>
  <c r="T109" i="1"/>
  <c r="T112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V111" i="1"/>
  <c r="V107" i="1"/>
  <c r="V109" i="1"/>
  <c r="Q107" i="1"/>
  <c r="T109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U107" i="3"/>
  <c r="U109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90" i="3"/>
  <c r="U80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R111" i="3"/>
  <c r="S111" i="3"/>
  <c r="T111" i="3"/>
  <c r="T107" i="3"/>
  <c r="S110" i="4"/>
  <c r="T110" i="4"/>
  <c r="U110" i="4"/>
  <c r="U111" i="4"/>
  <c r="U112" i="4"/>
  <c r="S111" i="4"/>
  <c r="S112" i="4"/>
  <c r="S108" i="4"/>
  <c r="T108" i="4"/>
  <c r="U108" i="4"/>
  <c r="V108" i="4"/>
  <c r="W108" i="4"/>
  <c r="X108" i="4"/>
  <c r="S106" i="4"/>
  <c r="T106" i="4"/>
  <c r="T111" i="4"/>
  <c r="T112" i="4"/>
  <c r="U106" i="4"/>
  <c r="T107" i="4"/>
  <c r="V107" i="4"/>
  <c r="W107" i="4"/>
  <c r="X107" i="4"/>
  <c r="T90" i="4"/>
  <c r="U107" i="4"/>
  <c r="V109" i="4"/>
  <c r="V110" i="4"/>
  <c r="U109" i="4"/>
  <c r="G111" i="4"/>
  <c r="G112" i="4"/>
  <c r="P110" i="4"/>
  <c r="O110" i="4"/>
  <c r="H110" i="4"/>
  <c r="F110" i="4"/>
  <c r="F111" i="4"/>
  <c r="F112" i="4"/>
  <c r="E110" i="4"/>
  <c r="E111" i="4"/>
  <c r="E112" i="4"/>
  <c r="N109" i="4"/>
  <c r="R109" i="4"/>
  <c r="R110" i="4"/>
  <c r="I109" i="4"/>
  <c r="I110" i="4"/>
  <c r="I111" i="4"/>
  <c r="I112" i="4"/>
  <c r="R108" i="4"/>
  <c r="P108" i="4"/>
  <c r="O108" i="4"/>
  <c r="N108" i="4"/>
  <c r="N107" i="4"/>
  <c r="Q107" i="4"/>
  <c r="I107" i="4"/>
  <c r="P106" i="4"/>
  <c r="P111" i="4"/>
  <c r="P112" i="4"/>
  <c r="O106" i="4"/>
  <c r="O111" i="4"/>
  <c r="O112" i="4"/>
  <c r="H106" i="4"/>
  <c r="H111" i="4"/>
  <c r="H112" i="4"/>
  <c r="E106" i="4"/>
  <c r="N105" i="4"/>
  <c r="R105" i="4"/>
  <c r="K105" i="4"/>
  <c r="I105" i="4"/>
  <c r="R104" i="4"/>
  <c r="Q104" i="4"/>
  <c r="S104" i="4"/>
  <c r="N104" i="4"/>
  <c r="K104" i="4"/>
  <c r="I104" i="4"/>
  <c r="N103" i="4"/>
  <c r="R103" i="4"/>
  <c r="K103" i="4"/>
  <c r="I103" i="4"/>
  <c r="R102" i="4"/>
  <c r="Q102" i="4"/>
  <c r="S102" i="4"/>
  <c r="N102" i="4"/>
  <c r="K102" i="4"/>
  <c r="I102" i="4"/>
  <c r="N101" i="4"/>
  <c r="R101" i="4"/>
  <c r="K101" i="4"/>
  <c r="I101" i="4"/>
  <c r="R100" i="4"/>
  <c r="Q100" i="4"/>
  <c r="S100" i="4"/>
  <c r="N100" i="4"/>
  <c r="K100" i="4"/>
  <c r="I100" i="4"/>
  <c r="N99" i="4"/>
  <c r="R99" i="4"/>
  <c r="K99" i="4"/>
  <c r="I99" i="4"/>
  <c r="R98" i="4"/>
  <c r="Q98" i="4"/>
  <c r="S98" i="4"/>
  <c r="N98" i="4"/>
  <c r="K98" i="4"/>
  <c r="I98" i="4"/>
  <c r="N97" i="4"/>
  <c r="R97" i="4"/>
  <c r="K97" i="4"/>
  <c r="I97" i="4"/>
  <c r="R96" i="4"/>
  <c r="Q96" i="4"/>
  <c r="S96" i="4"/>
  <c r="N96" i="4"/>
  <c r="K96" i="4"/>
  <c r="I96" i="4"/>
  <c r="N95" i="4"/>
  <c r="R95" i="4"/>
  <c r="K95" i="4"/>
  <c r="I95" i="4"/>
  <c r="R94" i="4"/>
  <c r="Q94" i="4"/>
  <c r="S94" i="4"/>
  <c r="N94" i="4"/>
  <c r="K94" i="4"/>
  <c r="I94" i="4"/>
  <c r="N93" i="4"/>
  <c r="R93" i="4"/>
  <c r="K93" i="4"/>
  <c r="I93" i="4"/>
  <c r="R92" i="4"/>
  <c r="Q92" i="4"/>
  <c r="S92" i="4"/>
  <c r="N92" i="4"/>
  <c r="K92" i="4"/>
  <c r="I92" i="4"/>
  <c r="N91" i="4"/>
  <c r="R91" i="4"/>
  <c r="K91" i="4"/>
  <c r="I91" i="4"/>
  <c r="R90" i="4"/>
  <c r="Q90" i="4"/>
  <c r="N90" i="4"/>
  <c r="N106" i="4"/>
  <c r="K90" i="4"/>
  <c r="I90" i="4"/>
  <c r="I106" i="4"/>
  <c r="T109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90" i="3"/>
  <c r="R110" i="3"/>
  <c r="S110" i="3"/>
  <c r="T110" i="3"/>
  <c r="U110" i="3"/>
  <c r="R112" i="3"/>
  <c r="S112" i="3"/>
  <c r="R108" i="3"/>
  <c r="S108" i="3"/>
  <c r="T108" i="3"/>
  <c r="U108" i="3"/>
  <c r="G112" i="3"/>
  <c r="P110" i="3"/>
  <c r="O110" i="3"/>
  <c r="H110" i="3"/>
  <c r="F110" i="3"/>
  <c r="F112" i="3"/>
  <c r="E110" i="3"/>
  <c r="N109" i="3"/>
  <c r="N110" i="3"/>
  <c r="I109" i="3"/>
  <c r="I110" i="3"/>
  <c r="P108" i="3"/>
  <c r="O108" i="3"/>
  <c r="N107" i="3"/>
  <c r="Q107" i="3"/>
  <c r="I107" i="3"/>
  <c r="P106" i="3"/>
  <c r="O106" i="3"/>
  <c r="H106" i="3"/>
  <c r="E106" i="3"/>
  <c r="N105" i="3"/>
  <c r="R105" i="3"/>
  <c r="K105" i="3"/>
  <c r="I105" i="3"/>
  <c r="Q104" i="3"/>
  <c r="N104" i="3"/>
  <c r="R104" i="3"/>
  <c r="S104" i="3"/>
  <c r="K104" i="3"/>
  <c r="I104" i="3"/>
  <c r="N103" i="3"/>
  <c r="Q103" i="3"/>
  <c r="K103" i="3"/>
  <c r="I103" i="3"/>
  <c r="Q102" i="3"/>
  <c r="N102" i="3"/>
  <c r="R102" i="3"/>
  <c r="S102" i="3"/>
  <c r="K102" i="3"/>
  <c r="I102" i="3"/>
  <c r="N101" i="3"/>
  <c r="R101" i="3"/>
  <c r="K101" i="3"/>
  <c r="I101" i="3"/>
  <c r="Q100" i="3"/>
  <c r="N100" i="3"/>
  <c r="R100" i="3"/>
  <c r="S100" i="3"/>
  <c r="K100" i="3"/>
  <c r="I100" i="3"/>
  <c r="N99" i="3"/>
  <c r="Q99" i="3"/>
  <c r="K99" i="3"/>
  <c r="I99" i="3"/>
  <c r="N98" i="3"/>
  <c r="R98" i="3"/>
  <c r="K98" i="3"/>
  <c r="I98" i="3"/>
  <c r="N97" i="3"/>
  <c r="R97" i="3"/>
  <c r="K97" i="3"/>
  <c r="I97" i="3"/>
  <c r="N96" i="3"/>
  <c r="R96" i="3"/>
  <c r="K96" i="3"/>
  <c r="I96" i="3"/>
  <c r="N95" i="3"/>
  <c r="Q95" i="3"/>
  <c r="K95" i="3"/>
  <c r="I95" i="3"/>
  <c r="N94" i="3"/>
  <c r="R94" i="3"/>
  <c r="K94" i="3"/>
  <c r="I94" i="3"/>
  <c r="N93" i="3"/>
  <c r="Q93" i="3"/>
  <c r="K93" i="3"/>
  <c r="I93" i="3"/>
  <c r="N92" i="3"/>
  <c r="R92" i="3"/>
  <c r="K92" i="3"/>
  <c r="I92" i="3"/>
  <c r="N91" i="3"/>
  <c r="R91" i="3"/>
  <c r="K91" i="3"/>
  <c r="I91" i="3"/>
  <c r="N90" i="3"/>
  <c r="N106" i="3"/>
  <c r="K90" i="3"/>
  <c r="I90" i="3"/>
  <c r="T51" i="2"/>
  <c r="I51" i="2"/>
  <c r="U51" i="2"/>
  <c r="V51" i="2"/>
  <c r="T52" i="2"/>
  <c r="I52" i="2"/>
  <c r="U52" i="2"/>
  <c r="V52" i="2"/>
  <c r="T53" i="2"/>
  <c r="I53" i="2"/>
  <c r="U53" i="2"/>
  <c r="V53" i="2"/>
  <c r="T54" i="2"/>
  <c r="I54" i="2"/>
  <c r="U54" i="2"/>
  <c r="V54" i="2"/>
  <c r="T55" i="2"/>
  <c r="I55" i="2"/>
  <c r="U55" i="2"/>
  <c r="V55" i="2"/>
  <c r="T56" i="2"/>
  <c r="I56" i="2"/>
  <c r="U56" i="2"/>
  <c r="V56" i="2"/>
  <c r="T57" i="2"/>
  <c r="I57" i="2"/>
  <c r="U57" i="2"/>
  <c r="V57" i="2"/>
  <c r="T58" i="2"/>
  <c r="I58" i="2"/>
  <c r="U58" i="2"/>
  <c r="V58" i="2"/>
  <c r="T59" i="2"/>
  <c r="I59" i="2"/>
  <c r="U59" i="2"/>
  <c r="V59" i="2"/>
  <c r="T60" i="2"/>
  <c r="I60" i="2"/>
  <c r="U60" i="2"/>
  <c r="V60" i="2"/>
  <c r="T61" i="2"/>
  <c r="I61" i="2"/>
  <c r="U61" i="2"/>
  <c r="V61" i="2"/>
  <c r="T62" i="2"/>
  <c r="I62" i="2"/>
  <c r="U62" i="2"/>
  <c r="V62" i="2"/>
  <c r="T63" i="2"/>
  <c r="I63" i="2"/>
  <c r="U63" i="2"/>
  <c r="V63" i="2"/>
  <c r="T64" i="2"/>
  <c r="I64" i="2"/>
  <c r="U64" i="2"/>
  <c r="V64" i="2"/>
  <c r="T65" i="2"/>
  <c r="I65" i="2"/>
  <c r="U65" i="2"/>
  <c r="V65" i="2"/>
  <c r="T66" i="2"/>
  <c r="I66" i="2"/>
  <c r="U66" i="2"/>
  <c r="V66" i="2"/>
  <c r="T67" i="2"/>
  <c r="I67" i="2"/>
  <c r="U67" i="2"/>
  <c r="V67" i="2"/>
  <c r="I50" i="2"/>
  <c r="T50" i="2"/>
  <c r="U50" i="2"/>
  <c r="V50" i="2"/>
  <c r="F111" i="1"/>
  <c r="F112" i="1"/>
  <c r="F113" i="1"/>
  <c r="G112" i="1"/>
  <c r="G113" i="1"/>
  <c r="H111" i="1"/>
  <c r="H107" i="1"/>
  <c r="H84" i="1"/>
  <c r="H85" i="1"/>
  <c r="H70" i="1"/>
  <c r="H55" i="1"/>
  <c r="H53" i="1"/>
  <c r="H50" i="1"/>
  <c r="H73" i="1"/>
  <c r="H39" i="1"/>
  <c r="H36" i="1"/>
  <c r="H34" i="1"/>
  <c r="H42" i="1"/>
  <c r="H32" i="1"/>
  <c r="H21" i="1"/>
  <c r="H19" i="1"/>
  <c r="H22" i="1"/>
  <c r="H23" i="1"/>
  <c r="H12" i="1"/>
  <c r="H6" i="1"/>
  <c r="H13" i="1"/>
  <c r="I110" i="1"/>
  <c r="I111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83" i="1"/>
  <c r="I84" i="1"/>
  <c r="I8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54" i="1"/>
  <c r="I55" i="1"/>
  <c r="I51" i="1"/>
  <c r="I52" i="1"/>
  <c r="I53" i="1"/>
  <c r="I49" i="1"/>
  <c r="I50" i="1"/>
  <c r="I71" i="1"/>
  <c r="I72" i="1"/>
  <c r="I73" i="1"/>
  <c r="I37" i="1"/>
  <c r="I38" i="1"/>
  <c r="I39" i="1"/>
  <c r="I35" i="1"/>
  <c r="I36" i="1"/>
  <c r="I42" i="1"/>
  <c r="I43" i="1"/>
  <c r="I33" i="1"/>
  <c r="I34" i="1"/>
  <c r="I31" i="1"/>
  <c r="I32" i="1"/>
  <c r="I20" i="1"/>
  <c r="I21" i="1"/>
  <c r="I22" i="1"/>
  <c r="I23" i="1"/>
  <c r="I18" i="1"/>
  <c r="I19" i="1"/>
  <c r="I11" i="1"/>
  <c r="I12" i="1"/>
  <c r="I5" i="1"/>
  <c r="I6" i="1"/>
  <c r="I13" i="1"/>
  <c r="N111" i="1"/>
  <c r="N112" i="1"/>
  <c r="N107" i="1"/>
  <c r="N81" i="1"/>
  <c r="N82" i="1"/>
  <c r="N85" i="1"/>
  <c r="N83" i="1"/>
  <c r="N84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54" i="1"/>
  <c r="N55" i="1"/>
  <c r="N51" i="1"/>
  <c r="N52" i="1"/>
  <c r="N53" i="1"/>
  <c r="N49" i="1"/>
  <c r="N71" i="1"/>
  <c r="N72" i="1"/>
  <c r="N73" i="1"/>
  <c r="N40" i="1"/>
  <c r="N41" i="1"/>
  <c r="N37" i="1"/>
  <c r="N38" i="1"/>
  <c r="N35" i="1"/>
  <c r="N36" i="1"/>
  <c r="N33" i="1"/>
  <c r="N34" i="1"/>
  <c r="N31" i="1"/>
  <c r="N32" i="1"/>
  <c r="N28" i="1"/>
  <c r="N29" i="1"/>
  <c r="N30" i="1"/>
  <c r="N20" i="1"/>
  <c r="N21" i="1"/>
  <c r="N22" i="1"/>
  <c r="N18" i="1"/>
  <c r="N19" i="1"/>
  <c r="N11" i="1"/>
  <c r="N12" i="1"/>
  <c r="N5" i="1"/>
  <c r="O111" i="1"/>
  <c r="O112" i="1"/>
  <c r="O107" i="1"/>
  <c r="O82" i="1"/>
  <c r="O85" i="1"/>
  <c r="O84" i="1"/>
  <c r="O70" i="1"/>
  <c r="O55" i="1"/>
  <c r="O53" i="1"/>
  <c r="O74" i="1"/>
  <c r="O50" i="1"/>
  <c r="O73" i="1"/>
  <c r="O41" i="1"/>
  <c r="O39" i="1"/>
  <c r="O36" i="1"/>
  <c r="O34" i="1"/>
  <c r="O32" i="1"/>
  <c r="O30" i="1"/>
  <c r="O21" i="1"/>
  <c r="O19" i="1"/>
  <c r="O12" i="1"/>
  <c r="O6" i="1"/>
  <c r="O13" i="1"/>
  <c r="P111" i="1"/>
  <c r="P107" i="1"/>
  <c r="P112" i="1"/>
  <c r="P82" i="1"/>
  <c r="P84" i="1"/>
  <c r="P85" i="1"/>
  <c r="P70" i="1"/>
  <c r="P55" i="1"/>
  <c r="P53" i="1"/>
  <c r="P50" i="1"/>
  <c r="P73" i="1"/>
  <c r="P41" i="1"/>
  <c r="P39" i="1"/>
  <c r="P36" i="1"/>
  <c r="P34" i="1"/>
  <c r="P32" i="1"/>
  <c r="P30" i="1"/>
  <c r="P42" i="1"/>
  <c r="P43" i="1"/>
  <c r="P21" i="1"/>
  <c r="P19" i="1"/>
  <c r="P22" i="1"/>
  <c r="P12" i="1"/>
  <c r="P13" i="1"/>
  <c r="P23" i="1"/>
  <c r="P6" i="1"/>
  <c r="Q81" i="1"/>
  <c r="Q83" i="1"/>
  <c r="Q84" i="1"/>
  <c r="Q57" i="1"/>
  <c r="Q58" i="1"/>
  <c r="Q59" i="1"/>
  <c r="Q61" i="1"/>
  <c r="Q62" i="1"/>
  <c r="Q63" i="1"/>
  <c r="S63" i="1"/>
  <c r="Q65" i="1"/>
  <c r="Q66" i="1"/>
  <c r="Q67" i="1"/>
  <c r="Q69" i="1"/>
  <c r="Q54" i="1"/>
  <c r="Q51" i="1"/>
  <c r="Q52" i="1"/>
  <c r="Q53" i="1"/>
  <c r="Q71" i="1"/>
  <c r="Q72" i="1"/>
  <c r="Q40" i="1"/>
  <c r="Q41" i="1"/>
  <c r="Q38" i="1"/>
  <c r="Q35" i="1"/>
  <c r="Q33" i="1"/>
  <c r="Q34" i="1"/>
  <c r="Q31" i="1"/>
  <c r="Q28" i="1"/>
  <c r="Q29" i="1"/>
  <c r="Q30" i="1"/>
  <c r="Q20" i="1"/>
  <c r="Q21" i="1"/>
  <c r="Q18" i="1"/>
  <c r="Q11" i="1"/>
  <c r="Q12" i="1"/>
  <c r="R82" i="1"/>
  <c r="R83" i="1"/>
  <c r="R84" i="1"/>
  <c r="R85" i="1"/>
  <c r="R57" i="1"/>
  <c r="R58" i="1"/>
  <c r="R59" i="1"/>
  <c r="R61" i="1"/>
  <c r="R62" i="1"/>
  <c r="R63" i="1"/>
  <c r="R65" i="1"/>
  <c r="R66" i="1"/>
  <c r="R67" i="1"/>
  <c r="R69" i="1"/>
  <c r="R54" i="1"/>
  <c r="R55" i="1"/>
  <c r="R51" i="1"/>
  <c r="R52" i="1"/>
  <c r="R53" i="1"/>
  <c r="R71" i="1"/>
  <c r="R72" i="1"/>
  <c r="R41" i="1"/>
  <c r="R38" i="1"/>
  <c r="R35" i="1"/>
  <c r="R36" i="1"/>
  <c r="R33" i="1"/>
  <c r="R34" i="1"/>
  <c r="R31" i="1"/>
  <c r="R32" i="1"/>
  <c r="R30" i="1"/>
  <c r="R20" i="1"/>
  <c r="R21" i="1"/>
  <c r="R22" i="1"/>
  <c r="R18" i="1"/>
  <c r="R19" i="1"/>
  <c r="R11" i="1"/>
  <c r="S83" i="1"/>
  <c r="S84" i="1"/>
  <c r="S57" i="1"/>
  <c r="S58" i="1"/>
  <c r="S61" i="1"/>
  <c r="S62" i="1"/>
  <c r="S65" i="1"/>
  <c r="S66" i="1"/>
  <c r="S69" i="1"/>
  <c r="S51" i="1"/>
  <c r="S53" i="1"/>
  <c r="S52" i="1"/>
  <c r="S71" i="1"/>
  <c r="S40" i="1"/>
  <c r="S41" i="1"/>
  <c r="S38" i="1"/>
  <c r="S33" i="1"/>
  <c r="S34" i="1"/>
  <c r="S28" i="1"/>
  <c r="S30" i="1"/>
  <c r="S29" i="1"/>
  <c r="S20" i="1"/>
  <c r="S21" i="1"/>
  <c r="V82" i="1"/>
  <c r="V85" i="1"/>
  <c r="V84" i="1"/>
  <c r="V70" i="1"/>
  <c r="V55" i="1"/>
  <c r="V53" i="1"/>
  <c r="V74" i="1"/>
  <c r="V50" i="1"/>
  <c r="V73" i="1"/>
  <c r="V41" i="1"/>
  <c r="V39" i="1"/>
  <c r="V36" i="1"/>
  <c r="V34" i="1"/>
  <c r="V32" i="1"/>
  <c r="V30" i="1"/>
  <c r="V21" i="1"/>
  <c r="V19" i="1"/>
  <c r="V12" i="1"/>
  <c r="V6" i="1"/>
  <c r="V13" i="1"/>
  <c r="E111" i="1"/>
  <c r="E107" i="1"/>
  <c r="E112" i="1"/>
  <c r="E84" i="1"/>
  <c r="E85" i="1"/>
  <c r="E70" i="1"/>
  <c r="E55" i="1"/>
  <c r="E53" i="1"/>
  <c r="E50" i="1"/>
  <c r="E73" i="1"/>
  <c r="E74" i="1"/>
  <c r="E39" i="1"/>
  <c r="E36" i="1"/>
  <c r="E42" i="1"/>
  <c r="E34" i="1"/>
  <c r="E32" i="1"/>
  <c r="E21" i="1"/>
  <c r="E19" i="1"/>
  <c r="E22" i="1"/>
  <c r="E23" i="1"/>
  <c r="E12" i="1"/>
  <c r="E6" i="1"/>
  <c r="E13" i="1"/>
  <c r="W109" i="4"/>
  <c r="R106" i="4"/>
  <c r="R111" i="4"/>
  <c r="R112" i="4"/>
  <c r="S107" i="4"/>
  <c r="Q108" i="4"/>
  <c r="N110" i="4"/>
  <c r="N111" i="4"/>
  <c r="N112" i="4"/>
  <c r="S90" i="4"/>
  <c r="Q91" i="4"/>
  <c r="S91" i="4"/>
  <c r="Q93" i="4"/>
  <c r="S93" i="4"/>
  <c r="Q95" i="4"/>
  <c r="S95" i="4"/>
  <c r="Q97" i="4"/>
  <c r="S97" i="4"/>
  <c r="Q99" i="4"/>
  <c r="S99" i="4"/>
  <c r="Q101" i="4"/>
  <c r="S101" i="4"/>
  <c r="Q103" i="4"/>
  <c r="S103" i="4"/>
  <c r="Q105" i="4"/>
  <c r="S105" i="4"/>
  <c r="Q109" i="4"/>
  <c r="S94" i="3"/>
  <c r="S98" i="3"/>
  <c r="Q90" i="3"/>
  <c r="S90" i="3"/>
  <c r="Q92" i="3"/>
  <c r="S92" i="3"/>
  <c r="Q94" i="3"/>
  <c r="Q96" i="3"/>
  <c r="S96" i="3"/>
  <c r="Q98" i="3"/>
  <c r="V107" i="3"/>
  <c r="V108" i="3"/>
  <c r="I106" i="3"/>
  <c r="R90" i="3"/>
  <c r="N108" i="3"/>
  <c r="S93" i="3"/>
  <c r="Q108" i="3"/>
  <c r="S107" i="3"/>
  <c r="Q91" i="3"/>
  <c r="S91" i="3"/>
  <c r="Q97" i="3"/>
  <c r="S97" i="3"/>
  <c r="Q101" i="3"/>
  <c r="S101" i="3"/>
  <c r="Q105" i="3"/>
  <c r="S105" i="3"/>
  <c r="Q109" i="3"/>
  <c r="R93" i="3"/>
  <c r="R95" i="3"/>
  <c r="S95" i="3"/>
  <c r="R99" i="3"/>
  <c r="S99" i="3"/>
  <c r="R103" i="3"/>
  <c r="S103" i="3"/>
  <c r="R109" i="3"/>
  <c r="X109" i="4"/>
  <c r="X110" i="4"/>
  <c r="W110" i="4"/>
  <c r="Q110" i="4"/>
  <c r="S109" i="4"/>
  <c r="Q106" i="4"/>
  <c r="W107" i="3"/>
  <c r="R106" i="3"/>
  <c r="V109" i="3"/>
  <c r="S106" i="3"/>
  <c r="Q106" i="3"/>
  <c r="Q110" i="3"/>
  <c r="S109" i="3"/>
  <c r="P109" i="1"/>
  <c r="O109" i="1"/>
  <c r="I108" i="1"/>
  <c r="W109" i="3"/>
  <c r="V110" i="3"/>
  <c r="Q111" i="4"/>
  <c r="Q112" i="4"/>
  <c r="X107" i="3"/>
  <c r="X108" i="3"/>
  <c r="W108" i="3"/>
  <c r="U91" i="4"/>
  <c r="V92" i="4"/>
  <c r="U92" i="4"/>
  <c r="V93" i="4"/>
  <c r="U93" i="4"/>
  <c r="U94" i="4"/>
  <c r="U95" i="4"/>
  <c r="U96" i="4"/>
  <c r="U97" i="4"/>
  <c r="V97" i="4"/>
  <c r="U98" i="4"/>
  <c r="V98" i="4"/>
  <c r="V99" i="4"/>
  <c r="U99" i="4"/>
  <c r="U100" i="4"/>
  <c r="U101" i="4"/>
  <c r="V101" i="4"/>
  <c r="W101" i="4"/>
  <c r="X101" i="4"/>
  <c r="U102" i="4"/>
  <c r="V102" i="4"/>
  <c r="V103" i="4"/>
  <c r="U103" i="4"/>
  <c r="U104" i="4"/>
  <c r="V105" i="4"/>
  <c r="U105" i="4"/>
  <c r="V90" i="4"/>
  <c r="W90" i="4"/>
  <c r="X90" i="4"/>
  <c r="U90" i="4"/>
  <c r="T82" i="4"/>
  <c r="T72" i="4"/>
  <c r="T71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4" i="4"/>
  <c r="T49" i="4"/>
  <c r="T39" i="4"/>
  <c r="T38" i="4"/>
  <c r="T36" i="4"/>
  <c r="T34" i="4"/>
  <c r="T32" i="4"/>
  <c r="T19" i="4"/>
  <c r="T11" i="4"/>
  <c r="T5" i="4"/>
  <c r="X109" i="3"/>
  <c r="X110" i="3"/>
  <c r="W110" i="3"/>
  <c r="W97" i="4"/>
  <c r="X97" i="4"/>
  <c r="W105" i="4"/>
  <c r="X105" i="4"/>
  <c r="V100" i="4"/>
  <c r="V91" i="4"/>
  <c r="V104" i="4"/>
  <c r="W98" i="4"/>
  <c r="X98" i="4"/>
  <c r="V95" i="4"/>
  <c r="W93" i="4"/>
  <c r="X93" i="4"/>
  <c r="W102" i="4"/>
  <c r="X102" i="4"/>
  <c r="V94" i="4"/>
  <c r="W94" i="4"/>
  <c r="X94" i="4"/>
  <c r="W104" i="4"/>
  <c r="X104" i="4"/>
  <c r="W100" i="4"/>
  <c r="X100" i="4"/>
  <c r="W92" i="4"/>
  <c r="X92" i="4"/>
  <c r="W103" i="4"/>
  <c r="X103" i="4"/>
  <c r="W99" i="4"/>
  <c r="X99" i="4"/>
  <c r="V96" i="4"/>
  <c r="W96" i="4"/>
  <c r="X96" i="4"/>
  <c r="W95" i="4"/>
  <c r="X95" i="4"/>
  <c r="W91" i="4"/>
  <c r="V91" i="3"/>
  <c r="V97" i="3"/>
  <c r="V99" i="3"/>
  <c r="V101" i="3"/>
  <c r="V105" i="3"/>
  <c r="V94" i="3"/>
  <c r="W94" i="3"/>
  <c r="X94" i="3"/>
  <c r="V95" i="3"/>
  <c r="V98" i="3"/>
  <c r="W98" i="3"/>
  <c r="X98" i="3"/>
  <c r="V102" i="3"/>
  <c r="W102" i="3"/>
  <c r="X102" i="3"/>
  <c r="V103" i="3"/>
  <c r="T65" i="3"/>
  <c r="T51" i="3"/>
  <c r="U30" i="3"/>
  <c r="U29" i="3"/>
  <c r="P84" i="4"/>
  <c r="O84" i="4"/>
  <c r="J84" i="4"/>
  <c r="J85" i="4"/>
  <c r="F84" i="4"/>
  <c r="E84" i="4"/>
  <c r="P83" i="4"/>
  <c r="O83" i="4"/>
  <c r="K83" i="4"/>
  <c r="K84" i="4"/>
  <c r="K85" i="4"/>
  <c r="J83" i="4"/>
  <c r="H83" i="4"/>
  <c r="H84" i="4"/>
  <c r="G83" i="4"/>
  <c r="G84" i="4"/>
  <c r="G85" i="4"/>
  <c r="F83" i="4"/>
  <c r="E83" i="4"/>
  <c r="N82" i="4"/>
  <c r="R82" i="4"/>
  <c r="I82" i="4"/>
  <c r="I83" i="4"/>
  <c r="I84" i="4"/>
  <c r="X81" i="4"/>
  <c r="W81" i="4"/>
  <c r="V81" i="4"/>
  <c r="U81" i="4"/>
  <c r="T81" i="4"/>
  <c r="R81" i="4"/>
  <c r="Q81" i="4"/>
  <c r="P81" i="4"/>
  <c r="O81" i="4"/>
  <c r="N81" i="4"/>
  <c r="S80" i="4"/>
  <c r="S81" i="4"/>
  <c r="N80" i="4"/>
  <c r="Q80" i="4"/>
  <c r="I80" i="4"/>
  <c r="G75" i="4"/>
  <c r="F75" i="4"/>
  <c r="P74" i="4"/>
  <c r="M74" i="4"/>
  <c r="L74" i="4"/>
  <c r="K74" i="4"/>
  <c r="J74" i="4"/>
  <c r="G74" i="4"/>
  <c r="F74" i="4"/>
  <c r="Y73" i="4"/>
  <c r="R73" i="4"/>
  <c r="P73" i="4"/>
  <c r="O73" i="4"/>
  <c r="N73" i="4"/>
  <c r="H73" i="4"/>
  <c r="E73" i="4"/>
  <c r="U72" i="4"/>
  <c r="R72" i="4"/>
  <c r="Q72" i="4"/>
  <c r="S72" i="4"/>
  <c r="N72" i="4"/>
  <c r="K72" i="4"/>
  <c r="I72" i="4"/>
  <c r="U71" i="4"/>
  <c r="U73" i="4"/>
  <c r="R71" i="4"/>
  <c r="Q71" i="4"/>
  <c r="N71" i="4"/>
  <c r="K71" i="4"/>
  <c r="I71" i="4"/>
  <c r="I73" i="4"/>
  <c r="Y70" i="4"/>
  <c r="R70" i="4"/>
  <c r="P70" i="4"/>
  <c r="O70" i="4"/>
  <c r="O74" i="4"/>
  <c r="N70" i="4"/>
  <c r="H70" i="4"/>
  <c r="E70" i="4"/>
  <c r="U69" i="4"/>
  <c r="R69" i="4"/>
  <c r="Q69" i="4"/>
  <c r="S69" i="4"/>
  <c r="N69" i="4"/>
  <c r="K69" i="4"/>
  <c r="I69" i="4"/>
  <c r="U68" i="4"/>
  <c r="R68" i="4"/>
  <c r="Q68" i="4"/>
  <c r="S68" i="4"/>
  <c r="N68" i="4"/>
  <c r="K68" i="4"/>
  <c r="I68" i="4"/>
  <c r="U67" i="4"/>
  <c r="R67" i="4"/>
  <c r="Q67" i="4"/>
  <c r="S67" i="4"/>
  <c r="N67" i="4"/>
  <c r="K67" i="4"/>
  <c r="I67" i="4"/>
  <c r="U66" i="4"/>
  <c r="S66" i="4"/>
  <c r="R66" i="4"/>
  <c r="Q66" i="4"/>
  <c r="N66" i="4"/>
  <c r="K66" i="4"/>
  <c r="I66" i="4"/>
  <c r="U65" i="4"/>
  <c r="R65" i="4"/>
  <c r="Q65" i="4"/>
  <c r="S65" i="4"/>
  <c r="N65" i="4"/>
  <c r="K65" i="4"/>
  <c r="I65" i="4"/>
  <c r="U64" i="4"/>
  <c r="R64" i="4"/>
  <c r="Q64" i="4"/>
  <c r="S64" i="4"/>
  <c r="N64" i="4"/>
  <c r="K64" i="4"/>
  <c r="I64" i="4"/>
  <c r="U63" i="4"/>
  <c r="R63" i="4"/>
  <c r="Q63" i="4"/>
  <c r="S63" i="4"/>
  <c r="N63" i="4"/>
  <c r="K63" i="4"/>
  <c r="I63" i="4"/>
  <c r="U62" i="4"/>
  <c r="S62" i="4"/>
  <c r="R62" i="4"/>
  <c r="Q62" i="4"/>
  <c r="N62" i="4"/>
  <c r="K62" i="4"/>
  <c r="I62" i="4"/>
  <c r="U61" i="4"/>
  <c r="S61" i="4"/>
  <c r="R61" i="4"/>
  <c r="Q61" i="4"/>
  <c r="N61" i="4"/>
  <c r="K61" i="4"/>
  <c r="I61" i="4"/>
  <c r="U60" i="4"/>
  <c r="R60" i="4"/>
  <c r="Q60" i="4"/>
  <c r="S60" i="4"/>
  <c r="N60" i="4"/>
  <c r="K60" i="4"/>
  <c r="I60" i="4"/>
  <c r="U59" i="4"/>
  <c r="R59" i="4"/>
  <c r="Q59" i="4"/>
  <c r="S59" i="4"/>
  <c r="N59" i="4"/>
  <c r="K59" i="4"/>
  <c r="I59" i="4"/>
  <c r="U58" i="4"/>
  <c r="S58" i="4"/>
  <c r="R58" i="4"/>
  <c r="Q58" i="4"/>
  <c r="N58" i="4"/>
  <c r="K58" i="4"/>
  <c r="I58" i="4"/>
  <c r="U57" i="4"/>
  <c r="S57" i="4"/>
  <c r="R57" i="4"/>
  <c r="Q57" i="4"/>
  <c r="N57" i="4"/>
  <c r="K57" i="4"/>
  <c r="I57" i="4"/>
  <c r="U56" i="4"/>
  <c r="R56" i="4"/>
  <c r="Q56" i="4"/>
  <c r="N56" i="4"/>
  <c r="K56" i="4"/>
  <c r="I56" i="4"/>
  <c r="I70" i="4"/>
  <c r="Y55" i="4"/>
  <c r="R55" i="4"/>
  <c r="P55" i="4"/>
  <c r="O55" i="4"/>
  <c r="N55" i="4"/>
  <c r="H55" i="4"/>
  <c r="H74" i="4"/>
  <c r="E55" i="4"/>
  <c r="U54" i="4"/>
  <c r="U55" i="4"/>
  <c r="R54" i="4"/>
  <c r="Q54" i="4"/>
  <c r="N54" i="4"/>
  <c r="K54" i="4"/>
  <c r="I54" i="4"/>
  <c r="I55" i="4"/>
  <c r="Z53" i="4"/>
  <c r="Y53" i="4"/>
  <c r="X53" i="4"/>
  <c r="W53" i="4"/>
  <c r="V53" i="4"/>
  <c r="U53" i="4"/>
  <c r="T53" i="4"/>
  <c r="P53" i="4"/>
  <c r="O53" i="4"/>
  <c r="H53" i="4"/>
  <c r="E53" i="4"/>
  <c r="N52" i="4"/>
  <c r="Q52" i="4"/>
  <c r="K52" i="4"/>
  <c r="I52" i="4"/>
  <c r="N51" i="4"/>
  <c r="K51" i="4"/>
  <c r="I51" i="4"/>
  <c r="I53" i="4"/>
  <c r="Y50" i="4"/>
  <c r="U50" i="4"/>
  <c r="P50" i="4"/>
  <c r="O50" i="4"/>
  <c r="N50" i="4"/>
  <c r="H50" i="4"/>
  <c r="E50" i="4"/>
  <c r="U49" i="4"/>
  <c r="Q49" i="4"/>
  <c r="N49" i="4"/>
  <c r="R49" i="4"/>
  <c r="K49" i="4"/>
  <c r="I49" i="4"/>
  <c r="I50" i="4"/>
  <c r="K43" i="4"/>
  <c r="J43" i="4"/>
  <c r="Y42" i="4"/>
  <c r="R42" i="4"/>
  <c r="P42" i="4"/>
  <c r="O42" i="4"/>
  <c r="O43" i="4"/>
  <c r="Z41" i="4"/>
  <c r="Z42" i="4"/>
  <c r="V41" i="4"/>
  <c r="V42" i="4"/>
  <c r="U41" i="4"/>
  <c r="U42" i="4"/>
  <c r="T41" i="4"/>
  <c r="T42" i="4"/>
  <c r="Q41" i="4"/>
  <c r="N41" i="4"/>
  <c r="N42" i="4"/>
  <c r="I41" i="4"/>
  <c r="Y40" i="4"/>
  <c r="P40" i="4"/>
  <c r="O40" i="4"/>
  <c r="H40" i="4"/>
  <c r="E40" i="4"/>
  <c r="U39" i="4"/>
  <c r="R39" i="4"/>
  <c r="N39" i="4"/>
  <c r="Q39" i="4"/>
  <c r="K39" i="4"/>
  <c r="I39" i="4"/>
  <c r="U38" i="4"/>
  <c r="U40" i="4"/>
  <c r="R38" i="4"/>
  <c r="N38" i="4"/>
  <c r="N40" i="4"/>
  <c r="K38" i="4"/>
  <c r="I38" i="4"/>
  <c r="I40" i="4"/>
  <c r="Y37" i="4"/>
  <c r="U37" i="4"/>
  <c r="P37" i="4"/>
  <c r="P43" i="4"/>
  <c r="O37" i="4"/>
  <c r="H37" i="4"/>
  <c r="E37" i="4"/>
  <c r="U36" i="4"/>
  <c r="R36" i="4"/>
  <c r="N36" i="4"/>
  <c r="N37" i="4"/>
  <c r="K36" i="4"/>
  <c r="I36" i="4"/>
  <c r="I37" i="4"/>
  <c r="Y35" i="4"/>
  <c r="U35" i="4"/>
  <c r="P35" i="4"/>
  <c r="O35" i="4"/>
  <c r="H35" i="4"/>
  <c r="E35" i="4"/>
  <c r="U34" i="4"/>
  <c r="R34" i="4"/>
  <c r="N34" i="4"/>
  <c r="N35" i="4"/>
  <c r="K34" i="4"/>
  <c r="I34" i="4"/>
  <c r="I35" i="4"/>
  <c r="Y33" i="4"/>
  <c r="U33" i="4"/>
  <c r="P33" i="4"/>
  <c r="O33" i="4"/>
  <c r="H33" i="4"/>
  <c r="E33" i="4"/>
  <c r="U32" i="4"/>
  <c r="R32" i="4"/>
  <c r="N32" i="4"/>
  <c r="N33" i="4"/>
  <c r="K32" i="4"/>
  <c r="I32" i="4"/>
  <c r="I33" i="4"/>
  <c r="Y31" i="4"/>
  <c r="R31" i="4"/>
  <c r="P31" i="4"/>
  <c r="O31" i="4"/>
  <c r="U30" i="4"/>
  <c r="T30" i="4"/>
  <c r="V30" i="4"/>
  <c r="W30" i="4"/>
  <c r="X30" i="4"/>
  <c r="S30" i="4"/>
  <c r="N30" i="4"/>
  <c r="Q30" i="4"/>
  <c r="I30" i="4"/>
  <c r="Z29" i="4"/>
  <c r="U29" i="4"/>
  <c r="T29" i="4"/>
  <c r="N29" i="4"/>
  <c r="I29" i="4"/>
  <c r="M24" i="4"/>
  <c r="L24" i="4"/>
  <c r="K23" i="4"/>
  <c r="J23" i="4"/>
  <c r="J24" i="4"/>
  <c r="H23" i="4"/>
  <c r="H24" i="4"/>
  <c r="Z22" i="4"/>
  <c r="Y22" i="4"/>
  <c r="Y23" i="4"/>
  <c r="X22" i="4"/>
  <c r="W22" i="4"/>
  <c r="V22" i="4"/>
  <c r="U22" i="4"/>
  <c r="T22" i="4"/>
  <c r="R21" i="4"/>
  <c r="Q21" i="4"/>
  <c r="S21" i="4"/>
  <c r="S22" i="4"/>
  <c r="N21" i="4"/>
  <c r="K21" i="4"/>
  <c r="I21" i="4"/>
  <c r="Y20" i="4"/>
  <c r="R20" i="4"/>
  <c r="R23" i="4"/>
  <c r="P20" i="4"/>
  <c r="P23" i="4"/>
  <c r="P24" i="4"/>
  <c r="O20" i="4"/>
  <c r="O23" i="4"/>
  <c r="N20" i="4"/>
  <c r="N23" i="4"/>
  <c r="H20" i="4"/>
  <c r="E20" i="4"/>
  <c r="E23" i="4"/>
  <c r="U19" i="4"/>
  <c r="U20" i="4"/>
  <c r="R19" i="4"/>
  <c r="Q19" i="4"/>
  <c r="N19" i="4"/>
  <c r="K19" i="4"/>
  <c r="I19" i="4"/>
  <c r="I20" i="4"/>
  <c r="I23" i="4"/>
  <c r="I24" i="4"/>
  <c r="O13" i="4"/>
  <c r="M13" i="4"/>
  <c r="L13" i="4"/>
  <c r="K13" i="4"/>
  <c r="J13" i="4"/>
  <c r="G13" i="4"/>
  <c r="G24" i="4"/>
  <c r="F13" i="4"/>
  <c r="F24" i="4"/>
  <c r="Y12" i="4"/>
  <c r="P12" i="4"/>
  <c r="O12" i="4"/>
  <c r="I12" i="4"/>
  <c r="H12" i="4"/>
  <c r="E12" i="4"/>
  <c r="U11" i="4"/>
  <c r="U12" i="4"/>
  <c r="N11" i="4"/>
  <c r="R11" i="4"/>
  <c r="K11" i="4"/>
  <c r="I11" i="4"/>
  <c r="Y6" i="4"/>
  <c r="Y13" i="4"/>
  <c r="P6" i="4"/>
  <c r="P13" i="4"/>
  <c r="O6" i="4"/>
  <c r="I6" i="4"/>
  <c r="I13" i="4"/>
  <c r="H6" i="4"/>
  <c r="H13" i="4"/>
  <c r="E6" i="4"/>
  <c r="E13" i="4"/>
  <c r="U5" i="4"/>
  <c r="U6" i="4"/>
  <c r="N5" i="4"/>
  <c r="R5" i="4"/>
  <c r="K5" i="4"/>
  <c r="I5" i="4"/>
  <c r="P83" i="3"/>
  <c r="O83" i="3"/>
  <c r="N83" i="3"/>
  <c r="H83" i="3"/>
  <c r="H84" i="3"/>
  <c r="E83" i="3"/>
  <c r="E84" i="3"/>
  <c r="Q82" i="3"/>
  <c r="U82" i="3"/>
  <c r="U83" i="3"/>
  <c r="N82" i="3"/>
  <c r="R82" i="3"/>
  <c r="R83" i="3"/>
  <c r="I82" i="3"/>
  <c r="I83" i="3"/>
  <c r="I84" i="3"/>
  <c r="R81" i="3"/>
  <c r="P81" i="3"/>
  <c r="O81" i="3"/>
  <c r="O84" i="3"/>
  <c r="N80" i="3"/>
  <c r="Q80" i="3"/>
  <c r="I80" i="3"/>
  <c r="AA75" i="3"/>
  <c r="F75" i="3"/>
  <c r="M74" i="3"/>
  <c r="L74" i="3"/>
  <c r="K74" i="3"/>
  <c r="J74" i="3"/>
  <c r="G74" i="3"/>
  <c r="G75" i="3"/>
  <c r="F74" i="3"/>
  <c r="Y73" i="3"/>
  <c r="P73" i="3"/>
  <c r="O73" i="3"/>
  <c r="H73" i="3"/>
  <c r="E73" i="3"/>
  <c r="U72" i="3"/>
  <c r="R72" i="3"/>
  <c r="Q72" i="3"/>
  <c r="T72" i="3"/>
  <c r="N72" i="3"/>
  <c r="K72" i="3"/>
  <c r="I72" i="3"/>
  <c r="U71" i="3"/>
  <c r="Q71" i="3"/>
  <c r="T71" i="3"/>
  <c r="N71" i="3"/>
  <c r="N73" i="3"/>
  <c r="K71" i="3"/>
  <c r="I71" i="3"/>
  <c r="Y70" i="3"/>
  <c r="Y74" i="3"/>
  <c r="P70" i="3"/>
  <c r="O70" i="3"/>
  <c r="H70" i="3"/>
  <c r="E70" i="3"/>
  <c r="U69" i="3"/>
  <c r="Q69" i="3"/>
  <c r="T69" i="3"/>
  <c r="N69" i="3"/>
  <c r="R69" i="3"/>
  <c r="K69" i="3"/>
  <c r="I69" i="3"/>
  <c r="U68" i="3"/>
  <c r="N68" i="3"/>
  <c r="R68" i="3"/>
  <c r="K68" i="3"/>
  <c r="I68" i="3"/>
  <c r="U67" i="3"/>
  <c r="R67" i="3"/>
  <c r="N67" i="3"/>
  <c r="Q67" i="3"/>
  <c r="T67" i="3"/>
  <c r="K67" i="3"/>
  <c r="I67" i="3"/>
  <c r="U66" i="3"/>
  <c r="Q66" i="3"/>
  <c r="S66" i="3"/>
  <c r="N66" i="3"/>
  <c r="R66" i="3"/>
  <c r="K66" i="3"/>
  <c r="I66" i="3"/>
  <c r="U65" i="3"/>
  <c r="R65" i="3"/>
  <c r="Q65" i="3"/>
  <c r="N65" i="3"/>
  <c r="K65" i="3"/>
  <c r="I65" i="3"/>
  <c r="U64" i="3"/>
  <c r="R64" i="3"/>
  <c r="N64" i="3"/>
  <c r="Q64" i="3"/>
  <c r="K64" i="3"/>
  <c r="I64" i="3"/>
  <c r="U63" i="3"/>
  <c r="N63" i="3"/>
  <c r="R63" i="3"/>
  <c r="K63" i="3"/>
  <c r="I63" i="3"/>
  <c r="U62" i="3"/>
  <c r="R62" i="3"/>
  <c r="N62" i="3"/>
  <c r="Q62" i="3"/>
  <c r="T62" i="3"/>
  <c r="K62" i="3"/>
  <c r="I62" i="3"/>
  <c r="U61" i="3"/>
  <c r="N61" i="3"/>
  <c r="R61" i="3"/>
  <c r="K61" i="3"/>
  <c r="I61" i="3"/>
  <c r="U60" i="3"/>
  <c r="S60" i="3"/>
  <c r="R60" i="3"/>
  <c r="Q60" i="3"/>
  <c r="T60" i="3"/>
  <c r="N60" i="3"/>
  <c r="K60" i="3"/>
  <c r="I60" i="3"/>
  <c r="U59" i="3"/>
  <c r="Q59" i="3"/>
  <c r="T59" i="3"/>
  <c r="N59" i="3"/>
  <c r="R59" i="3"/>
  <c r="K59" i="3"/>
  <c r="I59" i="3"/>
  <c r="U58" i="3"/>
  <c r="N58" i="3"/>
  <c r="R58" i="3"/>
  <c r="K58" i="3"/>
  <c r="I58" i="3"/>
  <c r="U57" i="3"/>
  <c r="R57" i="3"/>
  <c r="N57" i="3"/>
  <c r="Q57" i="3"/>
  <c r="T57" i="3"/>
  <c r="K57" i="3"/>
  <c r="I57" i="3"/>
  <c r="U56" i="3"/>
  <c r="N56" i="3"/>
  <c r="R56" i="3"/>
  <c r="K56" i="3"/>
  <c r="I56" i="3"/>
  <c r="Y55" i="3"/>
  <c r="P55" i="3"/>
  <c r="O55" i="3"/>
  <c r="H55" i="3"/>
  <c r="E55" i="3"/>
  <c r="U54" i="3"/>
  <c r="U55" i="3"/>
  <c r="N54" i="3"/>
  <c r="N55" i="3"/>
  <c r="K54" i="3"/>
  <c r="I54" i="3"/>
  <c r="I55" i="3"/>
  <c r="Y53" i="3"/>
  <c r="P53" i="3"/>
  <c r="O53" i="3"/>
  <c r="H53" i="3"/>
  <c r="E53" i="3"/>
  <c r="U52" i="3"/>
  <c r="N52" i="3"/>
  <c r="N53" i="3"/>
  <c r="K52" i="3"/>
  <c r="I52" i="3"/>
  <c r="U51" i="3"/>
  <c r="S51" i="3"/>
  <c r="R51" i="3"/>
  <c r="Q51" i="3"/>
  <c r="N51" i="3"/>
  <c r="K51" i="3"/>
  <c r="I51" i="3"/>
  <c r="Y50" i="3"/>
  <c r="P50" i="3"/>
  <c r="O50" i="3"/>
  <c r="H50" i="3"/>
  <c r="E50" i="3"/>
  <c r="U49" i="3"/>
  <c r="U50" i="3"/>
  <c r="N49" i="3"/>
  <c r="N50" i="3"/>
  <c r="K49" i="3"/>
  <c r="I49" i="3"/>
  <c r="I50" i="3"/>
  <c r="M43" i="3"/>
  <c r="L43" i="3"/>
  <c r="L44" i="3"/>
  <c r="K43" i="3"/>
  <c r="J43" i="3"/>
  <c r="Y42" i="3"/>
  <c r="R42" i="3"/>
  <c r="P42" i="3"/>
  <c r="O42" i="3"/>
  <c r="N42" i="3"/>
  <c r="U41" i="3"/>
  <c r="U42" i="3"/>
  <c r="Q41" i="3"/>
  <c r="T41" i="3"/>
  <c r="N41" i="3"/>
  <c r="I41" i="3"/>
  <c r="Y40" i="3"/>
  <c r="P40" i="3"/>
  <c r="O40" i="3"/>
  <c r="I40" i="3"/>
  <c r="H40" i="3"/>
  <c r="H43" i="3"/>
  <c r="E40" i="3"/>
  <c r="U39" i="3"/>
  <c r="N39" i="3"/>
  <c r="K39" i="3"/>
  <c r="I39" i="3"/>
  <c r="U38" i="3"/>
  <c r="U40" i="3"/>
  <c r="N38" i="3"/>
  <c r="K38" i="3"/>
  <c r="I38" i="3"/>
  <c r="Y37" i="3"/>
  <c r="U37" i="3"/>
  <c r="P37" i="3"/>
  <c r="O37" i="3"/>
  <c r="H37" i="3"/>
  <c r="E37" i="3"/>
  <c r="U36" i="3"/>
  <c r="N36" i="3"/>
  <c r="K36" i="3"/>
  <c r="I36" i="3"/>
  <c r="I37" i="3"/>
  <c r="Y35" i="3"/>
  <c r="P35" i="3"/>
  <c r="O35" i="3"/>
  <c r="H35" i="3"/>
  <c r="E35" i="3"/>
  <c r="U34" i="3"/>
  <c r="U35" i="3"/>
  <c r="N34" i="3"/>
  <c r="R34" i="3"/>
  <c r="R35" i="3"/>
  <c r="K34" i="3"/>
  <c r="I34" i="3"/>
  <c r="I35" i="3"/>
  <c r="Y33" i="3"/>
  <c r="U33" i="3"/>
  <c r="P33" i="3"/>
  <c r="O33" i="3"/>
  <c r="H33" i="3"/>
  <c r="E33" i="3"/>
  <c r="U32" i="3"/>
  <c r="N32" i="3"/>
  <c r="K32" i="3"/>
  <c r="I32" i="3"/>
  <c r="I33" i="3"/>
  <c r="Y31" i="3"/>
  <c r="R31" i="3"/>
  <c r="Q31" i="3"/>
  <c r="P31" i="3"/>
  <c r="O31" i="3"/>
  <c r="U31" i="3"/>
  <c r="S30" i="3"/>
  <c r="N30" i="3"/>
  <c r="Q30" i="3"/>
  <c r="T30" i="3"/>
  <c r="Z30" i="3"/>
  <c r="I30" i="3"/>
  <c r="S29" i="3"/>
  <c r="S31" i="3"/>
  <c r="Q29" i="3"/>
  <c r="T29" i="3"/>
  <c r="N29" i="3"/>
  <c r="N31" i="3"/>
  <c r="I29" i="3"/>
  <c r="M24" i="3"/>
  <c r="L24" i="3"/>
  <c r="F24" i="3"/>
  <c r="K23" i="3"/>
  <c r="K24" i="3"/>
  <c r="J23" i="3"/>
  <c r="J24" i="3"/>
  <c r="G23" i="3"/>
  <c r="G24" i="3"/>
  <c r="F23" i="3"/>
  <c r="Y22" i="3"/>
  <c r="P22" i="3"/>
  <c r="O22" i="3"/>
  <c r="O23" i="3"/>
  <c r="O24" i="3"/>
  <c r="H22" i="3"/>
  <c r="H23" i="3"/>
  <c r="E22" i="3"/>
  <c r="U21" i="3"/>
  <c r="U22" i="3"/>
  <c r="U23" i="3"/>
  <c r="N21" i="3"/>
  <c r="R21" i="3"/>
  <c r="R22" i="3"/>
  <c r="K21" i="3"/>
  <c r="I21" i="3"/>
  <c r="I22" i="3"/>
  <c r="Y20" i="3"/>
  <c r="P20" i="3"/>
  <c r="O20" i="3"/>
  <c r="H20" i="3"/>
  <c r="E20" i="3"/>
  <c r="U19" i="3"/>
  <c r="U20" i="3"/>
  <c r="N19" i="3"/>
  <c r="R19" i="3"/>
  <c r="R20" i="3"/>
  <c r="K19" i="3"/>
  <c r="I19" i="3"/>
  <c r="I20" i="3"/>
  <c r="Y12" i="3"/>
  <c r="P12" i="3"/>
  <c r="O12" i="3"/>
  <c r="H12" i="3"/>
  <c r="E12" i="3"/>
  <c r="U11" i="3"/>
  <c r="U12" i="3"/>
  <c r="Q11" i="3"/>
  <c r="T11" i="3"/>
  <c r="N11" i="3"/>
  <c r="N12" i="3"/>
  <c r="K11" i="3"/>
  <c r="I11" i="3"/>
  <c r="I12" i="3"/>
  <c r="Y6" i="3"/>
  <c r="Y13" i="3"/>
  <c r="P6" i="3"/>
  <c r="O6" i="3"/>
  <c r="H6" i="3"/>
  <c r="E6" i="3"/>
  <c r="U5" i="3"/>
  <c r="U6" i="3"/>
  <c r="Q5" i="3"/>
  <c r="Q6" i="3"/>
  <c r="N5" i="3"/>
  <c r="N6" i="3"/>
  <c r="K5" i="3"/>
  <c r="I5" i="3"/>
  <c r="I6" i="3"/>
  <c r="X91" i="4"/>
  <c r="X106" i="4"/>
  <c r="X111" i="4"/>
  <c r="X112" i="4"/>
  <c r="W106" i="4"/>
  <c r="W111" i="4"/>
  <c r="W112" i="4"/>
  <c r="V106" i="4"/>
  <c r="V111" i="4"/>
  <c r="V112" i="4"/>
  <c r="T64" i="3"/>
  <c r="V64" i="3"/>
  <c r="S64" i="3"/>
  <c r="T80" i="3"/>
  <c r="Q81" i="3"/>
  <c r="Q84" i="3"/>
  <c r="S80" i="3"/>
  <c r="S81" i="3"/>
  <c r="R70" i="3"/>
  <c r="T82" i="3"/>
  <c r="W95" i="3"/>
  <c r="X95" i="3"/>
  <c r="R5" i="3"/>
  <c r="R6" i="3"/>
  <c r="R11" i="3"/>
  <c r="R12" i="3"/>
  <c r="N20" i="3"/>
  <c r="I23" i="3"/>
  <c r="E23" i="3"/>
  <c r="P23" i="3"/>
  <c r="P24" i="3"/>
  <c r="M44" i="3"/>
  <c r="M75" i="3"/>
  <c r="Q49" i="3"/>
  <c r="E74" i="3"/>
  <c r="U53" i="3"/>
  <c r="Q52" i="3"/>
  <c r="T52" i="3"/>
  <c r="Q54" i="3"/>
  <c r="T54" i="3"/>
  <c r="Q56" i="3"/>
  <c r="T56" i="3"/>
  <c r="Q58" i="3"/>
  <c r="Q61" i="3"/>
  <c r="T61" i="3"/>
  <c r="Q63" i="3"/>
  <c r="T63" i="3"/>
  <c r="Q68" i="3"/>
  <c r="N70" i="3"/>
  <c r="N74" i="3"/>
  <c r="I73" i="3"/>
  <c r="R71" i="3"/>
  <c r="N81" i="3"/>
  <c r="Q83" i="3"/>
  <c r="T5" i="3"/>
  <c r="T66" i="3"/>
  <c r="W99" i="3"/>
  <c r="X99" i="3"/>
  <c r="O43" i="3"/>
  <c r="O44" i="3"/>
  <c r="U13" i="3"/>
  <c r="E43" i="3"/>
  <c r="R49" i="3"/>
  <c r="R50" i="3"/>
  <c r="R52" i="3"/>
  <c r="R53" i="3"/>
  <c r="R54" i="3"/>
  <c r="T106" i="3"/>
  <c r="T112" i="3"/>
  <c r="W103" i="3"/>
  <c r="X103" i="3"/>
  <c r="H13" i="3"/>
  <c r="U24" i="3"/>
  <c r="E13" i="3"/>
  <c r="N22" i="3"/>
  <c r="N23" i="3"/>
  <c r="N24" i="3"/>
  <c r="P84" i="3"/>
  <c r="W105" i="3"/>
  <c r="X105" i="3"/>
  <c r="W101" i="3"/>
  <c r="X101" i="3"/>
  <c r="W97" i="3"/>
  <c r="X97" i="3"/>
  <c r="V93" i="3"/>
  <c r="W93" i="3"/>
  <c r="X93" i="3"/>
  <c r="W91" i="3"/>
  <c r="X91" i="3"/>
  <c r="V104" i="3"/>
  <c r="W104" i="3"/>
  <c r="X104" i="3"/>
  <c r="V100" i="3"/>
  <c r="W100" i="3"/>
  <c r="X100" i="3"/>
  <c r="V96" i="3"/>
  <c r="W96" i="3"/>
  <c r="X96" i="3"/>
  <c r="V92" i="3"/>
  <c r="W92" i="3"/>
  <c r="X92" i="3"/>
  <c r="U13" i="4"/>
  <c r="Q5" i="4"/>
  <c r="Q11" i="4"/>
  <c r="O24" i="4"/>
  <c r="O44" i="4"/>
  <c r="U23" i="4"/>
  <c r="U24" i="4"/>
  <c r="Y24" i="4"/>
  <c r="K24" i="4"/>
  <c r="K44" i="4"/>
  <c r="N31" i="4"/>
  <c r="Q29" i="4"/>
  <c r="U43" i="4"/>
  <c r="U44" i="4"/>
  <c r="J44" i="4"/>
  <c r="Z31" i="4"/>
  <c r="R33" i="4"/>
  <c r="Z32" i="4"/>
  <c r="Z33" i="4"/>
  <c r="R37" i="4"/>
  <c r="Z36" i="4"/>
  <c r="Z37" i="4"/>
  <c r="Y43" i="4"/>
  <c r="S49" i="4"/>
  <c r="S50" i="4"/>
  <c r="Q50" i="4"/>
  <c r="Q20" i="4"/>
  <c r="Q23" i="4"/>
  <c r="S19" i="4"/>
  <c r="S20" i="4"/>
  <c r="S23" i="4"/>
  <c r="E24" i="4"/>
  <c r="R35" i="4"/>
  <c r="R43" i="4"/>
  <c r="R44" i="4"/>
  <c r="V36" i="4"/>
  <c r="V37" i="4"/>
  <c r="P44" i="4"/>
  <c r="R40" i="4"/>
  <c r="Z38" i="4"/>
  <c r="N43" i="4"/>
  <c r="Q55" i="4"/>
  <c r="S54" i="4"/>
  <c r="S55" i="4"/>
  <c r="Q70" i="4"/>
  <c r="S56" i="4"/>
  <c r="S70" i="4"/>
  <c r="P75" i="4"/>
  <c r="P85" i="4"/>
  <c r="V11" i="4"/>
  <c r="V12" i="4"/>
  <c r="R12" i="4"/>
  <c r="V5" i="4"/>
  <c r="V6" i="4"/>
  <c r="N6" i="4"/>
  <c r="R6" i="4"/>
  <c r="R13" i="4"/>
  <c r="R24" i="4"/>
  <c r="Z11" i="4"/>
  <c r="Z12" i="4"/>
  <c r="N12" i="4"/>
  <c r="U31" i="4"/>
  <c r="V29" i="4"/>
  <c r="V31" i="4"/>
  <c r="I43" i="4"/>
  <c r="I44" i="4"/>
  <c r="S39" i="4"/>
  <c r="E43" i="4"/>
  <c r="Q42" i="4"/>
  <c r="S41" i="4"/>
  <c r="S42" i="4"/>
  <c r="R50" i="4"/>
  <c r="Z49" i="4"/>
  <c r="Z50" i="4"/>
  <c r="O75" i="4"/>
  <c r="O85" i="4"/>
  <c r="T31" i="4"/>
  <c r="H43" i="4"/>
  <c r="H44" i="4"/>
  <c r="W41" i="4"/>
  <c r="I74" i="4"/>
  <c r="E74" i="4"/>
  <c r="E75" i="4"/>
  <c r="E85" i="4"/>
  <c r="Q73" i="4"/>
  <c r="S71" i="4"/>
  <c r="S73" i="4"/>
  <c r="F85" i="4"/>
  <c r="Z30" i="4"/>
  <c r="N53" i="4"/>
  <c r="N74" i="4"/>
  <c r="N75" i="4"/>
  <c r="Q51" i="4"/>
  <c r="R74" i="4"/>
  <c r="V19" i="4"/>
  <c r="V20" i="4"/>
  <c r="V23" i="4"/>
  <c r="Q32" i="4"/>
  <c r="Q34" i="4"/>
  <c r="Q36" i="4"/>
  <c r="Q38" i="4"/>
  <c r="R51" i="4"/>
  <c r="R52" i="4"/>
  <c r="S52" i="4"/>
  <c r="Y74" i="4"/>
  <c r="Y75" i="4"/>
  <c r="U70" i="4"/>
  <c r="U74" i="4"/>
  <c r="U82" i="4"/>
  <c r="U83" i="4"/>
  <c r="U84" i="4"/>
  <c r="R83" i="4"/>
  <c r="R84" i="4"/>
  <c r="V54" i="4"/>
  <c r="V55" i="4"/>
  <c r="V58" i="4"/>
  <c r="V59" i="4"/>
  <c r="V62" i="4"/>
  <c r="V63" i="4"/>
  <c r="V66" i="4"/>
  <c r="V67" i="4"/>
  <c r="V71" i="4"/>
  <c r="V72" i="4"/>
  <c r="N83" i="4"/>
  <c r="N84" i="4"/>
  <c r="Q82" i="4"/>
  <c r="V57" i="4"/>
  <c r="V60" i="4"/>
  <c r="V61" i="4"/>
  <c r="V65" i="4"/>
  <c r="V69" i="4"/>
  <c r="V59" i="3"/>
  <c r="R23" i="3"/>
  <c r="T42" i="3"/>
  <c r="R55" i="3"/>
  <c r="S54" i="3"/>
  <c r="S55" i="3"/>
  <c r="S5" i="3"/>
  <c r="S6" i="3"/>
  <c r="Q12" i="3"/>
  <c r="Q13" i="3"/>
  <c r="V11" i="3"/>
  <c r="V12" i="3"/>
  <c r="Y23" i="3"/>
  <c r="Y24" i="3"/>
  <c r="N40" i="3"/>
  <c r="N43" i="3"/>
  <c r="Q38" i="3"/>
  <c r="T38" i="3"/>
  <c r="Q39" i="3"/>
  <c r="T39" i="3"/>
  <c r="R39" i="3"/>
  <c r="U43" i="3"/>
  <c r="U44" i="3"/>
  <c r="S62" i="3"/>
  <c r="Z62" i="3"/>
  <c r="S72" i="3"/>
  <c r="Z72" i="3"/>
  <c r="Z5" i="3"/>
  <c r="Z6" i="3"/>
  <c r="I13" i="3"/>
  <c r="I24" i="3"/>
  <c r="Q19" i="3"/>
  <c r="T19" i="3"/>
  <c r="Q21" i="3"/>
  <c r="T21" i="3"/>
  <c r="H24" i="3"/>
  <c r="H44" i="3"/>
  <c r="N33" i="3"/>
  <c r="Q32" i="3"/>
  <c r="T32" i="3"/>
  <c r="R32" i="3"/>
  <c r="R33" i="3"/>
  <c r="R38" i="3"/>
  <c r="P43" i="3"/>
  <c r="J44" i="3"/>
  <c r="J75" i="3"/>
  <c r="R73" i="3"/>
  <c r="S71" i="3"/>
  <c r="S73" i="3"/>
  <c r="N35" i="3"/>
  <c r="Q34" i="3"/>
  <c r="T34" i="3"/>
  <c r="I43" i="3"/>
  <c r="Z56" i="3"/>
  <c r="S56" i="3"/>
  <c r="Z57" i="3"/>
  <c r="Z11" i="3"/>
  <c r="Z12" i="3"/>
  <c r="V29" i="3"/>
  <c r="Z29" i="3"/>
  <c r="Z31" i="3"/>
  <c r="N37" i="3"/>
  <c r="Q36" i="3"/>
  <c r="T36" i="3"/>
  <c r="R36" i="3"/>
  <c r="R37" i="3"/>
  <c r="Q42" i="3"/>
  <c r="S41" i="3"/>
  <c r="S42" i="3"/>
  <c r="V41" i="3"/>
  <c r="V42" i="3"/>
  <c r="Z41" i="3"/>
  <c r="Z42" i="3"/>
  <c r="K44" i="3"/>
  <c r="K75" i="3"/>
  <c r="U70" i="3"/>
  <c r="S57" i="3"/>
  <c r="Z59" i="3"/>
  <c r="S59" i="3"/>
  <c r="V61" i="3"/>
  <c r="H74" i="3"/>
  <c r="N84" i="3"/>
  <c r="V30" i="3"/>
  <c r="W30" i="3"/>
  <c r="X30" i="3"/>
  <c r="Q53" i="3"/>
  <c r="V60" i="3"/>
  <c r="Z63" i="3"/>
  <c r="S63" i="3"/>
  <c r="Z65" i="3"/>
  <c r="S65" i="3"/>
  <c r="Z67" i="3"/>
  <c r="S67" i="3"/>
  <c r="Z69" i="3"/>
  <c r="S69" i="3"/>
  <c r="L75" i="3"/>
  <c r="P74" i="3"/>
  <c r="R84" i="3"/>
  <c r="V66" i="3"/>
  <c r="O74" i="3"/>
  <c r="O75" i="3"/>
  <c r="U73" i="3"/>
  <c r="U81" i="3"/>
  <c r="U84" i="3"/>
  <c r="O85" i="3"/>
  <c r="O112" i="3"/>
  <c r="S82" i="3"/>
  <c r="S83" i="3"/>
  <c r="E85" i="3"/>
  <c r="E112" i="3"/>
  <c r="Y43" i="3"/>
  <c r="Y44" i="3"/>
  <c r="Y75" i="3"/>
  <c r="Q50" i="3"/>
  <c r="I53" i="3"/>
  <c r="Q55" i="3"/>
  <c r="V54" i="3"/>
  <c r="V55" i="3"/>
  <c r="I70" i="3"/>
  <c r="Q73" i="3"/>
  <c r="S84" i="3"/>
  <c r="P75" i="3"/>
  <c r="R74" i="3"/>
  <c r="N44" i="3"/>
  <c r="S58" i="3"/>
  <c r="T58" i="3"/>
  <c r="V58" i="3"/>
  <c r="S61" i="3"/>
  <c r="N85" i="3"/>
  <c r="N112" i="3"/>
  <c r="S11" i="3"/>
  <c r="S12" i="3"/>
  <c r="S13" i="3"/>
  <c r="Q70" i="3"/>
  <c r="Q74" i="3"/>
  <c r="T68" i="3"/>
  <c r="V68" i="3"/>
  <c r="S68" i="3"/>
  <c r="E24" i="3"/>
  <c r="E44" i="3"/>
  <c r="E75" i="3"/>
  <c r="R13" i="3"/>
  <c r="R24" i="3"/>
  <c r="V52" i="3"/>
  <c r="P85" i="3"/>
  <c r="P112" i="3"/>
  <c r="H75" i="3"/>
  <c r="S52" i="3"/>
  <c r="S53" i="3"/>
  <c r="P44" i="3"/>
  <c r="T49" i="3"/>
  <c r="V49" i="3"/>
  <c r="V50" i="3"/>
  <c r="S49" i="3"/>
  <c r="S50" i="3"/>
  <c r="U106" i="3"/>
  <c r="U111" i="3"/>
  <c r="V13" i="4"/>
  <c r="V24" i="4"/>
  <c r="V90" i="3"/>
  <c r="V106" i="3"/>
  <c r="V111" i="3"/>
  <c r="V31" i="3"/>
  <c r="Z68" i="4"/>
  <c r="T70" i="4"/>
  <c r="Z56" i="4"/>
  <c r="S74" i="4"/>
  <c r="W72" i="4"/>
  <c r="X72" i="4"/>
  <c r="Z72" i="4"/>
  <c r="W59" i="4"/>
  <c r="X59" i="4"/>
  <c r="Z59" i="4"/>
  <c r="V73" i="4"/>
  <c r="T83" i="4"/>
  <c r="T84" i="4"/>
  <c r="R75" i="4"/>
  <c r="R85" i="4"/>
  <c r="I75" i="4"/>
  <c r="I85" i="4"/>
  <c r="N13" i="4"/>
  <c r="N24" i="4"/>
  <c r="N44" i="4"/>
  <c r="T35" i="4"/>
  <c r="V34" i="4"/>
  <c r="V35" i="4"/>
  <c r="V32" i="4"/>
  <c r="V33" i="4"/>
  <c r="Q6" i="4"/>
  <c r="S5" i="4"/>
  <c r="S6" i="4"/>
  <c r="T73" i="4"/>
  <c r="W71" i="4"/>
  <c r="Z71" i="4"/>
  <c r="Z73" i="4"/>
  <c r="Z66" i="4"/>
  <c r="W66" i="4"/>
  <c r="X66" i="4"/>
  <c r="Z62" i="4"/>
  <c r="W62" i="4"/>
  <c r="X62" i="4"/>
  <c r="Z58" i="4"/>
  <c r="W58" i="4"/>
  <c r="X58" i="4"/>
  <c r="Q83" i="4"/>
  <c r="Q84" i="4"/>
  <c r="S82" i="4"/>
  <c r="S83" i="4"/>
  <c r="S84" i="4"/>
  <c r="U75" i="4"/>
  <c r="Q33" i="4"/>
  <c r="S32" i="4"/>
  <c r="S33" i="4"/>
  <c r="H75" i="4"/>
  <c r="H85" i="4"/>
  <c r="E44" i="4"/>
  <c r="W29" i="4"/>
  <c r="Z5" i="4"/>
  <c r="Z6" i="4"/>
  <c r="Z13" i="4"/>
  <c r="V39" i="4"/>
  <c r="W39" i="4"/>
  <c r="X39" i="4"/>
  <c r="Q31" i="4"/>
  <c r="S29" i="4"/>
  <c r="S31" i="4"/>
  <c r="Z64" i="4"/>
  <c r="U85" i="4"/>
  <c r="Q37" i="4"/>
  <c r="S36" i="4"/>
  <c r="S37" i="4"/>
  <c r="T37" i="4"/>
  <c r="W36" i="4"/>
  <c r="W67" i="4"/>
  <c r="X67" i="4"/>
  <c r="Z67" i="4"/>
  <c r="W63" i="4"/>
  <c r="X63" i="4"/>
  <c r="Z63" i="4"/>
  <c r="Z54" i="4"/>
  <c r="Z55" i="4"/>
  <c r="W54" i="4"/>
  <c r="T55" i="4"/>
  <c r="V82" i="4"/>
  <c r="V83" i="4"/>
  <c r="V84" i="4"/>
  <c r="Q35" i="4"/>
  <c r="S34" i="4"/>
  <c r="S35" i="4"/>
  <c r="W69" i="4"/>
  <c r="X69" i="4"/>
  <c r="Z69" i="4"/>
  <c r="Z65" i="4"/>
  <c r="W65" i="4"/>
  <c r="X65" i="4"/>
  <c r="Z61" i="4"/>
  <c r="W61" i="4"/>
  <c r="X61" i="4"/>
  <c r="Z57" i="4"/>
  <c r="W57" i="4"/>
  <c r="X57" i="4"/>
  <c r="N85" i="4"/>
  <c r="V68" i="4"/>
  <c r="W68" i="4"/>
  <c r="X68" i="4"/>
  <c r="V64" i="4"/>
  <c r="W64" i="4"/>
  <c r="X64" i="4"/>
  <c r="V56" i="4"/>
  <c r="V70" i="4"/>
  <c r="Q40" i="4"/>
  <c r="Q43" i="4"/>
  <c r="S38" i="4"/>
  <c r="S40" i="4"/>
  <c r="S43" i="4"/>
  <c r="T20" i="4"/>
  <c r="T23" i="4"/>
  <c r="W19" i="4"/>
  <c r="Z19" i="4"/>
  <c r="Z20" i="4"/>
  <c r="Z23" i="4"/>
  <c r="S51" i="4"/>
  <c r="S53" i="4"/>
  <c r="Q53" i="4"/>
  <c r="Q74" i="4"/>
  <c r="Q75" i="4"/>
  <c r="X41" i="4"/>
  <c r="X42" i="4"/>
  <c r="W42" i="4"/>
  <c r="T12" i="4"/>
  <c r="W11" i="4"/>
  <c r="T6" i="4"/>
  <c r="W5" i="4"/>
  <c r="W38" i="4"/>
  <c r="T40" i="4"/>
  <c r="V38" i="4"/>
  <c r="Z34" i="4"/>
  <c r="Z35" i="4"/>
  <c r="Y44" i="4"/>
  <c r="Z39" i="4"/>
  <c r="Z40" i="4"/>
  <c r="Z60" i="4"/>
  <c r="W60" i="4"/>
  <c r="X60" i="4"/>
  <c r="T50" i="4"/>
  <c r="W49" i="4"/>
  <c r="T33" i="4"/>
  <c r="W32" i="4"/>
  <c r="Q12" i="4"/>
  <c r="S11" i="4"/>
  <c r="S12" i="4"/>
  <c r="V49" i="4"/>
  <c r="V50" i="4"/>
  <c r="T73" i="3"/>
  <c r="Z71" i="3"/>
  <c r="Z73" i="3"/>
  <c r="Z51" i="3"/>
  <c r="T53" i="3"/>
  <c r="Z54" i="3"/>
  <c r="Z55" i="3"/>
  <c r="T55" i="3"/>
  <c r="W54" i="3"/>
  <c r="W49" i="3"/>
  <c r="Z49" i="3"/>
  <c r="Z50" i="3"/>
  <c r="T81" i="3"/>
  <c r="V80" i="3"/>
  <c r="V81" i="3"/>
  <c r="W66" i="3"/>
  <c r="X66" i="3"/>
  <c r="Z66" i="3"/>
  <c r="V69" i="3"/>
  <c r="W69" i="3"/>
  <c r="X69" i="3"/>
  <c r="V67" i="3"/>
  <c r="W67" i="3"/>
  <c r="X67" i="3"/>
  <c r="V65" i="3"/>
  <c r="W65" i="3"/>
  <c r="X65" i="3"/>
  <c r="V63" i="3"/>
  <c r="W63" i="3"/>
  <c r="X63" i="3"/>
  <c r="U74" i="3"/>
  <c r="U75" i="3"/>
  <c r="T31" i="3"/>
  <c r="W29" i="3"/>
  <c r="Z34" i="3"/>
  <c r="Z35" i="3"/>
  <c r="Q35" i="3"/>
  <c r="S34" i="3"/>
  <c r="S35" i="3"/>
  <c r="H85" i="3"/>
  <c r="H112" i="3"/>
  <c r="V71" i="3"/>
  <c r="I74" i="3"/>
  <c r="W68" i="3"/>
  <c r="X68" i="3"/>
  <c r="Z68" i="3"/>
  <c r="R85" i="3"/>
  <c r="V51" i="3"/>
  <c r="V53" i="3"/>
  <c r="W61" i="3"/>
  <c r="X61" i="3"/>
  <c r="Z61" i="3"/>
  <c r="W59" i="3"/>
  <c r="X59" i="3"/>
  <c r="V57" i="3"/>
  <c r="W57" i="3"/>
  <c r="X57" i="3"/>
  <c r="S70" i="3"/>
  <c r="S74" i="3"/>
  <c r="R40" i="3"/>
  <c r="R43" i="3"/>
  <c r="V72" i="3"/>
  <c r="W72" i="3"/>
  <c r="X72" i="3"/>
  <c r="V62" i="3"/>
  <c r="W62" i="3"/>
  <c r="X62" i="3"/>
  <c r="Z39" i="3"/>
  <c r="S39" i="3"/>
  <c r="Z52" i="3"/>
  <c r="W52" i="3"/>
  <c r="X52" i="3"/>
  <c r="Z13" i="3"/>
  <c r="V56" i="3"/>
  <c r="I44" i="3"/>
  <c r="S21" i="3"/>
  <c r="S22" i="3"/>
  <c r="Q22" i="3"/>
  <c r="V21" i="3"/>
  <c r="V22" i="3"/>
  <c r="Z21" i="3"/>
  <c r="Z22" i="3"/>
  <c r="T6" i="3"/>
  <c r="V5" i="3"/>
  <c r="V6" i="3"/>
  <c r="V13" i="3"/>
  <c r="Z38" i="3"/>
  <c r="Q40" i="3"/>
  <c r="S38" i="3"/>
  <c r="V38" i="3"/>
  <c r="T12" i="3"/>
  <c r="W11" i="3"/>
  <c r="N75" i="3"/>
  <c r="W41" i="3"/>
  <c r="T83" i="3"/>
  <c r="V82" i="3"/>
  <c r="V83" i="3"/>
  <c r="W64" i="3"/>
  <c r="X64" i="3"/>
  <c r="Z64" i="3"/>
  <c r="W60" i="3"/>
  <c r="X60" i="3"/>
  <c r="Z60" i="3"/>
  <c r="Z36" i="3"/>
  <c r="Z37" i="3"/>
  <c r="Q37" i="3"/>
  <c r="V36" i="3"/>
  <c r="V37" i="3"/>
  <c r="S36" i="3"/>
  <c r="S37" i="3"/>
  <c r="Q33" i="3"/>
  <c r="V32" i="3"/>
  <c r="V33" i="3"/>
  <c r="S32" i="3"/>
  <c r="S33" i="3"/>
  <c r="Z32" i="3"/>
  <c r="Z33" i="3"/>
  <c r="S19" i="3"/>
  <c r="S20" i="3"/>
  <c r="Q20" i="3"/>
  <c r="Z19" i="3"/>
  <c r="Z20" i="3"/>
  <c r="V19" i="3"/>
  <c r="V20" i="3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T82" i="1"/>
  <c r="T84" i="1"/>
  <c r="T85" i="1"/>
  <c r="T70" i="1"/>
  <c r="T55" i="1"/>
  <c r="T53" i="1"/>
  <c r="T50" i="1"/>
  <c r="T73" i="1"/>
  <c r="T41" i="1"/>
  <c r="T39" i="1"/>
  <c r="T36" i="1"/>
  <c r="T34" i="1"/>
  <c r="T32" i="1"/>
  <c r="T30" i="1"/>
  <c r="T42" i="1"/>
  <c r="T21" i="1"/>
  <c r="T19" i="1"/>
  <c r="T22" i="1"/>
  <c r="T23" i="1"/>
  <c r="T43" i="1"/>
  <c r="T12" i="1"/>
  <c r="T13" i="1"/>
  <c r="T6" i="1"/>
  <c r="W90" i="3"/>
  <c r="W106" i="3"/>
  <c r="Q23" i="3"/>
  <c r="Q24" i="3"/>
  <c r="T70" i="3"/>
  <c r="T74" i="3"/>
  <c r="T85" i="3"/>
  <c r="Z58" i="3"/>
  <c r="T50" i="3"/>
  <c r="Q43" i="3"/>
  <c r="Q44" i="3"/>
  <c r="W58" i="3"/>
  <c r="X58" i="3"/>
  <c r="T84" i="3"/>
  <c r="R44" i="3"/>
  <c r="R75" i="3"/>
  <c r="V74" i="4"/>
  <c r="V40" i="4"/>
  <c r="Z43" i="4"/>
  <c r="W34" i="4"/>
  <c r="V43" i="4"/>
  <c r="V44" i="4"/>
  <c r="T43" i="4"/>
  <c r="Z24" i="4"/>
  <c r="Z44" i="4"/>
  <c r="V73" i="3"/>
  <c r="V70" i="3"/>
  <c r="Z70" i="3"/>
  <c r="Z53" i="3"/>
  <c r="Z74" i="3"/>
  <c r="T13" i="3"/>
  <c r="W5" i="3"/>
  <c r="W6" i="3"/>
  <c r="S44" i="4"/>
  <c r="X29" i="4"/>
  <c r="X31" i="4"/>
  <c r="W31" i="4"/>
  <c r="S75" i="4"/>
  <c r="W40" i="4"/>
  <c r="X38" i="4"/>
  <c r="X40" i="4"/>
  <c r="W37" i="4"/>
  <c r="X36" i="4"/>
  <c r="X37" i="4"/>
  <c r="S13" i="4"/>
  <c r="S24" i="4"/>
  <c r="W82" i="4"/>
  <c r="T74" i="4"/>
  <c r="W33" i="4"/>
  <c r="X32" i="4"/>
  <c r="X33" i="4"/>
  <c r="W6" i="4"/>
  <c r="X5" i="4"/>
  <c r="X6" i="4"/>
  <c r="S85" i="4"/>
  <c r="Q13" i="4"/>
  <c r="Q24" i="4"/>
  <c r="Q44" i="4"/>
  <c r="W56" i="4"/>
  <c r="W50" i="4"/>
  <c r="X49" i="4"/>
  <c r="X50" i="4"/>
  <c r="W12" i="4"/>
  <c r="X11" i="4"/>
  <c r="X12" i="4"/>
  <c r="T13" i="4"/>
  <c r="T24" i="4"/>
  <c r="W20" i="4"/>
  <c r="W23" i="4"/>
  <c r="X19" i="4"/>
  <c r="X20" i="4"/>
  <c r="X23" i="4"/>
  <c r="W55" i="4"/>
  <c r="X54" i="4"/>
  <c r="X55" i="4"/>
  <c r="Q85" i="4"/>
  <c r="W73" i="4"/>
  <c r="X71" i="4"/>
  <c r="X73" i="4"/>
  <c r="W35" i="4"/>
  <c r="X34" i="4"/>
  <c r="X35" i="4"/>
  <c r="Z70" i="4"/>
  <c r="Z74" i="4"/>
  <c r="Z75" i="4"/>
  <c r="W42" i="3"/>
  <c r="X41" i="3"/>
  <c r="X42" i="3"/>
  <c r="X5" i="3"/>
  <c r="X6" i="3"/>
  <c r="S40" i="3"/>
  <c r="S43" i="3"/>
  <c r="S44" i="3"/>
  <c r="S75" i="3"/>
  <c r="Z23" i="3"/>
  <c r="Z24" i="3"/>
  <c r="W12" i="3"/>
  <c r="X11" i="3"/>
  <c r="X12" i="3"/>
  <c r="X13" i="3"/>
  <c r="W38" i="3"/>
  <c r="T40" i="3"/>
  <c r="V23" i="3"/>
  <c r="V24" i="3"/>
  <c r="S23" i="3"/>
  <c r="S24" i="3"/>
  <c r="W56" i="3"/>
  <c r="U85" i="3"/>
  <c r="U112" i="3"/>
  <c r="T20" i="3"/>
  <c r="W19" i="3"/>
  <c r="T37" i="3"/>
  <c r="W36" i="3"/>
  <c r="T22" i="3"/>
  <c r="T23" i="3"/>
  <c r="T24" i="3"/>
  <c r="W21" i="3"/>
  <c r="V39" i="3"/>
  <c r="W39" i="3"/>
  <c r="X39" i="3"/>
  <c r="I75" i="3"/>
  <c r="I85" i="3"/>
  <c r="I112" i="3"/>
  <c r="V34" i="3"/>
  <c r="V35" i="3"/>
  <c r="W50" i="3"/>
  <c r="X49" i="3"/>
  <c r="X50" i="3"/>
  <c r="W51" i="3"/>
  <c r="Q75" i="3"/>
  <c r="V84" i="3"/>
  <c r="S85" i="3"/>
  <c r="W71" i="3"/>
  <c r="T33" i="3"/>
  <c r="W32" i="3"/>
  <c r="Z40" i="3"/>
  <c r="Z43" i="3"/>
  <c r="T35" i="3"/>
  <c r="W34" i="3"/>
  <c r="W31" i="3"/>
  <c r="X29" i="3"/>
  <c r="X31" i="3"/>
  <c r="Q85" i="3"/>
  <c r="Q112" i="3"/>
  <c r="W55" i="3"/>
  <c r="X54" i="3"/>
  <c r="X55" i="3"/>
  <c r="F85" i="27"/>
  <c r="G85" i="27"/>
  <c r="H85" i="27"/>
  <c r="I85" i="27"/>
  <c r="J85" i="27"/>
  <c r="K85" i="27"/>
  <c r="N85" i="27"/>
  <c r="O85" i="27"/>
  <c r="P85" i="27"/>
  <c r="Q85" i="27"/>
  <c r="R85" i="27"/>
  <c r="S85" i="27"/>
  <c r="T85" i="27"/>
  <c r="U85" i="27"/>
  <c r="V85" i="27"/>
  <c r="W85" i="27"/>
  <c r="X85" i="27"/>
  <c r="E85" i="27"/>
  <c r="F84" i="27"/>
  <c r="G84" i="27"/>
  <c r="H84" i="27"/>
  <c r="I84" i="27"/>
  <c r="J84" i="27"/>
  <c r="K84" i="27"/>
  <c r="N84" i="27"/>
  <c r="O84" i="27"/>
  <c r="P84" i="27"/>
  <c r="Q84" i="27"/>
  <c r="R84" i="27"/>
  <c r="S84" i="27"/>
  <c r="T84" i="27"/>
  <c r="U84" i="27"/>
  <c r="V84" i="27"/>
  <c r="W84" i="27"/>
  <c r="X84" i="27"/>
  <c r="E84" i="27"/>
  <c r="F83" i="27"/>
  <c r="G83" i="27"/>
  <c r="H83" i="27"/>
  <c r="I83" i="27"/>
  <c r="J83" i="27"/>
  <c r="K83" i="27"/>
  <c r="N83" i="27"/>
  <c r="O83" i="27"/>
  <c r="P83" i="27"/>
  <c r="Q83" i="27"/>
  <c r="R83" i="27"/>
  <c r="S83" i="27"/>
  <c r="T83" i="27"/>
  <c r="U83" i="27"/>
  <c r="V83" i="27"/>
  <c r="W83" i="27"/>
  <c r="X83" i="27"/>
  <c r="E83" i="27"/>
  <c r="W111" i="3"/>
  <c r="W112" i="3"/>
  <c r="X90" i="3"/>
  <c r="X106" i="3"/>
  <c r="X111" i="3"/>
  <c r="X112" i="3"/>
  <c r="V40" i="3"/>
  <c r="V43" i="3"/>
  <c r="V44" i="3"/>
  <c r="V74" i="3"/>
  <c r="V85" i="3"/>
  <c r="V112" i="3"/>
  <c r="T44" i="4"/>
  <c r="T75" i="4"/>
  <c r="T85" i="4"/>
  <c r="W43" i="4"/>
  <c r="V75" i="4"/>
  <c r="V85" i="4"/>
  <c r="X43" i="4"/>
  <c r="V75" i="3"/>
  <c r="Z44" i="3"/>
  <c r="Z75" i="3"/>
  <c r="W13" i="3"/>
  <c r="W83" i="4"/>
  <c r="W84" i="4"/>
  <c r="X82" i="4"/>
  <c r="X83" i="4"/>
  <c r="X84" i="4"/>
  <c r="X13" i="4"/>
  <c r="X24" i="4"/>
  <c r="W70" i="4"/>
  <c r="W74" i="4"/>
  <c r="X56" i="4"/>
  <c r="X70" i="4"/>
  <c r="X74" i="4"/>
  <c r="X75" i="4"/>
  <c r="W13" i="4"/>
  <c r="W24" i="4"/>
  <c r="W44" i="4"/>
  <c r="W35" i="3"/>
  <c r="X34" i="3"/>
  <c r="X35" i="3"/>
  <c r="W33" i="3"/>
  <c r="X32" i="3"/>
  <c r="X33" i="3"/>
  <c r="W20" i="3"/>
  <c r="X19" i="3"/>
  <c r="X20" i="3"/>
  <c r="W70" i="3"/>
  <c r="X56" i="3"/>
  <c r="X70" i="3"/>
  <c r="W40" i="3"/>
  <c r="X38" i="3"/>
  <c r="X40" i="3"/>
  <c r="W53" i="3"/>
  <c r="X51" i="3"/>
  <c r="X53" i="3"/>
  <c r="W73" i="3"/>
  <c r="X71" i="3"/>
  <c r="X73" i="3"/>
  <c r="W37" i="3"/>
  <c r="X36" i="3"/>
  <c r="X37" i="3"/>
  <c r="T43" i="3"/>
  <c r="T44" i="3"/>
  <c r="T75" i="3"/>
  <c r="W22" i="3"/>
  <c r="W23" i="3"/>
  <c r="W24" i="3"/>
  <c r="X21" i="3"/>
  <c r="X22" i="3"/>
  <c r="U81" i="1"/>
  <c r="U82" i="1"/>
  <c r="U85" i="1"/>
  <c r="U83" i="1"/>
  <c r="U84" i="1"/>
  <c r="U57" i="1"/>
  <c r="U58" i="1"/>
  <c r="U59" i="1"/>
  <c r="U61" i="1"/>
  <c r="U62" i="1"/>
  <c r="U63" i="1"/>
  <c r="U65" i="1"/>
  <c r="U66" i="1"/>
  <c r="U67" i="1"/>
  <c r="U69" i="1"/>
  <c r="U54" i="1"/>
  <c r="U55" i="1"/>
  <c r="U51" i="1"/>
  <c r="U52" i="1"/>
  <c r="U53" i="1"/>
  <c r="U71" i="1"/>
  <c r="U72" i="1"/>
  <c r="U73" i="1"/>
  <c r="U41" i="1"/>
  <c r="U42" i="1"/>
  <c r="U43" i="1"/>
  <c r="U39" i="1"/>
  <c r="U36" i="1"/>
  <c r="U33" i="1"/>
  <c r="U34" i="1"/>
  <c r="U32" i="1"/>
  <c r="U30" i="1"/>
  <c r="U21" i="1"/>
  <c r="U19" i="1"/>
  <c r="U22" i="1"/>
  <c r="U12" i="1"/>
  <c r="U6" i="1"/>
  <c r="U13" i="1"/>
  <c r="U23" i="1"/>
  <c r="T82" i="26"/>
  <c r="W75" i="4"/>
  <c r="W85" i="4"/>
  <c r="X44" i="4"/>
  <c r="X74" i="3"/>
  <c r="X43" i="3"/>
  <c r="W43" i="3"/>
  <c r="W44" i="3"/>
  <c r="X85" i="4"/>
  <c r="W74" i="3"/>
  <c r="X23" i="3"/>
  <c r="X24" i="3"/>
  <c r="T43" i="2"/>
  <c r="I43" i="2"/>
  <c r="U43" i="2"/>
  <c r="V43" i="2"/>
  <c r="T42" i="2"/>
  <c r="I42" i="2"/>
  <c r="U42" i="2"/>
  <c r="V42" i="2"/>
  <c r="X44" i="3"/>
  <c r="X75" i="3"/>
  <c r="W75" i="3"/>
  <c r="T81" i="27"/>
  <c r="U81" i="27"/>
  <c r="V81" i="27"/>
  <c r="W81" i="27"/>
  <c r="X81" i="27"/>
  <c r="N82" i="27"/>
  <c r="R82" i="27"/>
  <c r="I82" i="27"/>
  <c r="R81" i="27"/>
  <c r="P81" i="27"/>
  <c r="O81" i="27"/>
  <c r="N81" i="27"/>
  <c r="Q80" i="27"/>
  <c r="Q81" i="27"/>
  <c r="N80" i="27"/>
  <c r="I80" i="27"/>
  <c r="T66" i="27"/>
  <c r="T63" i="27"/>
  <c r="T59" i="27"/>
  <c r="T54" i="27"/>
  <c r="T49" i="27"/>
  <c r="T34" i="27"/>
  <c r="U80" i="26"/>
  <c r="R83" i="26"/>
  <c r="S83" i="26"/>
  <c r="S84" i="26"/>
  <c r="S85" i="26"/>
  <c r="T83" i="26"/>
  <c r="U83" i="26"/>
  <c r="V83" i="26"/>
  <c r="R84" i="26"/>
  <c r="R85" i="26"/>
  <c r="T84" i="26"/>
  <c r="T85" i="26"/>
  <c r="R81" i="26"/>
  <c r="S81" i="26"/>
  <c r="T81" i="26"/>
  <c r="U81" i="26"/>
  <c r="V82" i="26"/>
  <c r="V80" i="26"/>
  <c r="V81" i="26"/>
  <c r="V84" i="26"/>
  <c r="V85" i="26"/>
  <c r="U82" i="26"/>
  <c r="T80" i="26"/>
  <c r="H85" i="26"/>
  <c r="H84" i="26"/>
  <c r="P83" i="26"/>
  <c r="O83" i="26"/>
  <c r="N83" i="26"/>
  <c r="H83" i="26"/>
  <c r="E83" i="26"/>
  <c r="E84" i="26"/>
  <c r="E85" i="26"/>
  <c r="R82" i="26"/>
  <c r="N82" i="26"/>
  <c r="Q82" i="26"/>
  <c r="I82" i="26"/>
  <c r="I83" i="26"/>
  <c r="I84" i="26"/>
  <c r="I85" i="26"/>
  <c r="P81" i="26"/>
  <c r="P84" i="26"/>
  <c r="P85" i="26"/>
  <c r="O81" i="26"/>
  <c r="O84" i="26"/>
  <c r="O85" i="26"/>
  <c r="Q80" i="26"/>
  <c r="Q81" i="26"/>
  <c r="N80" i="26"/>
  <c r="N81" i="26"/>
  <c r="N84" i="26"/>
  <c r="N85" i="26"/>
  <c r="I80" i="26"/>
  <c r="T72" i="26"/>
  <c r="T71" i="26"/>
  <c r="T69" i="26"/>
  <c r="T68" i="26"/>
  <c r="T67" i="26"/>
  <c r="T66" i="26"/>
  <c r="T65" i="26"/>
  <c r="T64" i="26"/>
  <c r="T63" i="26"/>
  <c r="T62" i="26"/>
  <c r="T61" i="26"/>
  <c r="T60" i="26"/>
  <c r="T59" i="26"/>
  <c r="T58" i="26"/>
  <c r="T57" i="26"/>
  <c r="T56" i="26"/>
  <c r="T54" i="26"/>
  <c r="T52" i="26"/>
  <c r="T51" i="26"/>
  <c r="T49" i="26"/>
  <c r="U30" i="26"/>
  <c r="U29" i="26"/>
  <c r="T41" i="26"/>
  <c r="T39" i="26"/>
  <c r="T38" i="26"/>
  <c r="T36" i="26"/>
  <c r="T34" i="26"/>
  <c r="T32" i="26"/>
  <c r="T30" i="26"/>
  <c r="T29" i="26"/>
  <c r="T21" i="26"/>
  <c r="T19" i="26"/>
  <c r="T11" i="26"/>
  <c r="T5" i="26"/>
  <c r="F75" i="27"/>
  <c r="M74" i="27"/>
  <c r="L74" i="27"/>
  <c r="K74" i="27"/>
  <c r="J74" i="27"/>
  <c r="G74" i="27"/>
  <c r="G75" i="27"/>
  <c r="F74" i="27"/>
  <c r="Y73" i="27"/>
  <c r="U73" i="27"/>
  <c r="P73" i="27"/>
  <c r="O73" i="27"/>
  <c r="H73" i="27"/>
  <c r="E73" i="27"/>
  <c r="U72" i="27"/>
  <c r="N72" i="27"/>
  <c r="Q72" i="27"/>
  <c r="K72" i="27"/>
  <c r="I72" i="27"/>
  <c r="U71" i="27"/>
  <c r="N71" i="27"/>
  <c r="N73" i="27"/>
  <c r="K71" i="27"/>
  <c r="I71" i="27"/>
  <c r="I73" i="27"/>
  <c r="Y70" i="27"/>
  <c r="P70" i="27"/>
  <c r="O70" i="27"/>
  <c r="H70" i="27"/>
  <c r="E70" i="27"/>
  <c r="E74" i="27"/>
  <c r="U69" i="27"/>
  <c r="N69" i="27"/>
  <c r="Q69" i="27"/>
  <c r="K69" i="27"/>
  <c r="I69" i="27"/>
  <c r="U68" i="27"/>
  <c r="N68" i="27"/>
  <c r="Q68" i="27"/>
  <c r="K68" i="27"/>
  <c r="I68" i="27"/>
  <c r="U67" i="27"/>
  <c r="R67" i="27"/>
  <c r="T67" i="27"/>
  <c r="N67" i="27"/>
  <c r="Q67" i="27"/>
  <c r="K67" i="27"/>
  <c r="I67" i="27"/>
  <c r="U66" i="27"/>
  <c r="U70" i="27"/>
  <c r="R66" i="27"/>
  <c r="N66" i="27"/>
  <c r="Q66" i="27"/>
  <c r="K66" i="27"/>
  <c r="I66" i="27"/>
  <c r="U65" i="27"/>
  <c r="N65" i="27"/>
  <c r="Q65" i="27"/>
  <c r="K65" i="27"/>
  <c r="I65" i="27"/>
  <c r="U64" i="27"/>
  <c r="N64" i="27"/>
  <c r="Q64" i="27"/>
  <c r="K64" i="27"/>
  <c r="I64" i="27"/>
  <c r="U63" i="27"/>
  <c r="S63" i="27"/>
  <c r="R63" i="27"/>
  <c r="N63" i="27"/>
  <c r="Q63" i="27"/>
  <c r="K63" i="27"/>
  <c r="I63" i="27"/>
  <c r="U62" i="27"/>
  <c r="N62" i="27"/>
  <c r="Q62" i="27"/>
  <c r="K62" i="27"/>
  <c r="I62" i="27"/>
  <c r="U61" i="27"/>
  <c r="S61" i="27"/>
  <c r="R61" i="27"/>
  <c r="T61" i="27"/>
  <c r="N61" i="27"/>
  <c r="Q61" i="27"/>
  <c r="K61" i="27"/>
  <c r="I61" i="27"/>
  <c r="U60" i="27"/>
  <c r="N60" i="27"/>
  <c r="Q60" i="27"/>
  <c r="K60" i="27"/>
  <c r="I60" i="27"/>
  <c r="U59" i="27"/>
  <c r="S59" i="27"/>
  <c r="R59" i="27"/>
  <c r="N59" i="27"/>
  <c r="Q59" i="27"/>
  <c r="K59" i="27"/>
  <c r="I59" i="27"/>
  <c r="U58" i="27"/>
  <c r="N58" i="27"/>
  <c r="Q58" i="27"/>
  <c r="K58" i="27"/>
  <c r="I58" i="27"/>
  <c r="U57" i="27"/>
  <c r="S57" i="27"/>
  <c r="R57" i="27"/>
  <c r="T57" i="27"/>
  <c r="N57" i="27"/>
  <c r="Q57" i="27"/>
  <c r="K57" i="27"/>
  <c r="I57" i="27"/>
  <c r="U56" i="27"/>
  <c r="N56" i="27"/>
  <c r="K56" i="27"/>
  <c r="I56" i="27"/>
  <c r="Y55" i="27"/>
  <c r="P55" i="27"/>
  <c r="O55" i="27"/>
  <c r="H55" i="27"/>
  <c r="E55" i="27"/>
  <c r="U54" i="27"/>
  <c r="U55" i="27"/>
  <c r="R54" i="27"/>
  <c r="N54" i="27"/>
  <c r="N55" i="27"/>
  <c r="K54" i="27"/>
  <c r="I54" i="27"/>
  <c r="I55" i="27"/>
  <c r="Z53" i="27"/>
  <c r="Y53" i="27"/>
  <c r="X53" i="27"/>
  <c r="W53" i="27"/>
  <c r="V53" i="27"/>
  <c r="U53" i="27"/>
  <c r="T53" i="27"/>
  <c r="P53" i="27"/>
  <c r="O53" i="27"/>
  <c r="H53" i="27"/>
  <c r="E53" i="27"/>
  <c r="N52" i="27"/>
  <c r="K52" i="27"/>
  <c r="I52" i="27"/>
  <c r="R51" i="27"/>
  <c r="Q51" i="27"/>
  <c r="N51" i="27"/>
  <c r="K51" i="27"/>
  <c r="I51" i="27"/>
  <c r="I53" i="27"/>
  <c r="Y50" i="27"/>
  <c r="Y74" i="27"/>
  <c r="P50" i="27"/>
  <c r="O50" i="27"/>
  <c r="N50" i="27"/>
  <c r="H50" i="27"/>
  <c r="E50" i="27"/>
  <c r="U49" i="27"/>
  <c r="U50" i="27"/>
  <c r="R49" i="27"/>
  <c r="Q49" i="27"/>
  <c r="N49" i="27"/>
  <c r="K49" i="27"/>
  <c r="I49" i="27"/>
  <c r="I50" i="27"/>
  <c r="K43" i="27"/>
  <c r="J43" i="27"/>
  <c r="Y42" i="27"/>
  <c r="R42" i="27"/>
  <c r="P42" i="27"/>
  <c r="O42" i="27"/>
  <c r="U41" i="27"/>
  <c r="U42" i="27"/>
  <c r="T41" i="27"/>
  <c r="Z41" i="27"/>
  <c r="Z42" i="27"/>
  <c r="N41" i="27"/>
  <c r="N42" i="27"/>
  <c r="I41" i="27"/>
  <c r="Y40" i="27"/>
  <c r="P40" i="27"/>
  <c r="O40" i="27"/>
  <c r="H40" i="27"/>
  <c r="E40" i="27"/>
  <c r="U39" i="27"/>
  <c r="N39" i="27"/>
  <c r="R39" i="27"/>
  <c r="T39" i="27"/>
  <c r="K39" i="27"/>
  <c r="I39" i="27"/>
  <c r="U38" i="27"/>
  <c r="U40" i="27"/>
  <c r="N38" i="27"/>
  <c r="R38" i="27"/>
  <c r="T38" i="27"/>
  <c r="K38" i="27"/>
  <c r="I38" i="27"/>
  <c r="I40" i="27"/>
  <c r="Y37" i="27"/>
  <c r="P37" i="27"/>
  <c r="O37" i="27"/>
  <c r="H37" i="27"/>
  <c r="E37" i="27"/>
  <c r="E43" i="27"/>
  <c r="U36" i="27"/>
  <c r="U37" i="27"/>
  <c r="N36" i="27"/>
  <c r="N37" i="27"/>
  <c r="K36" i="27"/>
  <c r="I36" i="27"/>
  <c r="I37" i="27"/>
  <c r="Y35" i="27"/>
  <c r="P35" i="27"/>
  <c r="O35" i="27"/>
  <c r="H35" i="27"/>
  <c r="E35" i="27"/>
  <c r="U34" i="27"/>
  <c r="U35" i="27"/>
  <c r="N34" i="27"/>
  <c r="R34" i="27"/>
  <c r="K34" i="27"/>
  <c r="I34" i="27"/>
  <c r="I35" i="27"/>
  <c r="Y33" i="27"/>
  <c r="P33" i="27"/>
  <c r="O33" i="27"/>
  <c r="I33" i="27"/>
  <c r="H33" i="27"/>
  <c r="E33" i="27"/>
  <c r="U32" i="27"/>
  <c r="U33" i="27"/>
  <c r="N32" i="27"/>
  <c r="R32" i="27"/>
  <c r="T32" i="27"/>
  <c r="K32" i="27"/>
  <c r="I32" i="27"/>
  <c r="Y31" i="27"/>
  <c r="T31" i="27"/>
  <c r="R31" i="27"/>
  <c r="P31" i="27"/>
  <c r="O31" i="27"/>
  <c r="U30" i="27"/>
  <c r="U31" i="27"/>
  <c r="T30" i="27"/>
  <c r="N30" i="27"/>
  <c r="Q30" i="27"/>
  <c r="S30" i="27"/>
  <c r="I30" i="27"/>
  <c r="V29" i="27"/>
  <c r="U29" i="27"/>
  <c r="T29" i="27"/>
  <c r="Z29" i="27"/>
  <c r="N29" i="27"/>
  <c r="N31" i="27"/>
  <c r="I29" i="27"/>
  <c r="K23" i="27"/>
  <c r="J23" i="27"/>
  <c r="Z22" i="27"/>
  <c r="Y22" i="27"/>
  <c r="Y23" i="27"/>
  <c r="X22" i="27"/>
  <c r="W22" i="27"/>
  <c r="V22" i="27"/>
  <c r="U22" i="27"/>
  <c r="U23" i="27"/>
  <c r="T22" i="27"/>
  <c r="R21" i="27"/>
  <c r="N21" i="27"/>
  <c r="Q21" i="27"/>
  <c r="K21" i="27"/>
  <c r="I21" i="27"/>
  <c r="Y20" i="27"/>
  <c r="P20" i="27"/>
  <c r="P23" i="27"/>
  <c r="O20" i="27"/>
  <c r="O23" i="27"/>
  <c r="O24" i="27"/>
  <c r="H20" i="27"/>
  <c r="H23" i="27"/>
  <c r="E20" i="27"/>
  <c r="E23" i="27"/>
  <c r="U19" i="27"/>
  <c r="U20" i="27"/>
  <c r="N19" i="27"/>
  <c r="N20" i="27"/>
  <c r="N23" i="27"/>
  <c r="K19" i="27"/>
  <c r="I19" i="27"/>
  <c r="I20" i="27"/>
  <c r="I23" i="27"/>
  <c r="O13" i="27"/>
  <c r="M13" i="27"/>
  <c r="M24" i="27"/>
  <c r="L13" i="27"/>
  <c r="L24" i="27"/>
  <c r="K13" i="27"/>
  <c r="J13" i="27"/>
  <c r="G13" i="27"/>
  <c r="G24" i="27"/>
  <c r="F13" i="27"/>
  <c r="F24" i="27"/>
  <c r="Y12" i="27"/>
  <c r="U12" i="27"/>
  <c r="P12" i="27"/>
  <c r="O12" i="27"/>
  <c r="I12" i="27"/>
  <c r="H12" i="27"/>
  <c r="H13" i="27"/>
  <c r="E12" i="27"/>
  <c r="U11" i="27"/>
  <c r="N11" i="27"/>
  <c r="K11" i="27"/>
  <c r="I11" i="27"/>
  <c r="Y6" i="27"/>
  <c r="U6" i="27"/>
  <c r="P6" i="27"/>
  <c r="P13" i="27"/>
  <c r="O6" i="27"/>
  <c r="H6" i="27"/>
  <c r="E6" i="27"/>
  <c r="E13" i="27"/>
  <c r="U5" i="27"/>
  <c r="N5" i="27"/>
  <c r="K5" i="27"/>
  <c r="I5" i="27"/>
  <c r="I6" i="27"/>
  <c r="I13" i="27"/>
  <c r="AA75" i="26"/>
  <c r="G75" i="26"/>
  <c r="N74" i="26"/>
  <c r="M74" i="26"/>
  <c r="L74" i="26"/>
  <c r="K74" i="26"/>
  <c r="J74" i="26"/>
  <c r="G74" i="26"/>
  <c r="F74" i="26"/>
  <c r="F75" i="26"/>
  <c r="Y73" i="26"/>
  <c r="R73" i="26"/>
  <c r="P73" i="26"/>
  <c r="O73" i="26"/>
  <c r="N73" i="26"/>
  <c r="H73" i="26"/>
  <c r="E73" i="26"/>
  <c r="U72" i="26"/>
  <c r="S72" i="26"/>
  <c r="R72" i="26"/>
  <c r="Q72" i="26"/>
  <c r="N72" i="26"/>
  <c r="K72" i="26"/>
  <c r="I72" i="26"/>
  <c r="U71" i="26"/>
  <c r="U73" i="26"/>
  <c r="S71" i="26"/>
  <c r="S73" i="26"/>
  <c r="R71" i="26"/>
  <c r="Q71" i="26"/>
  <c r="N71" i="26"/>
  <c r="K71" i="26"/>
  <c r="I71" i="26"/>
  <c r="I73" i="26"/>
  <c r="Y70" i="26"/>
  <c r="P70" i="26"/>
  <c r="O70" i="26"/>
  <c r="O74" i="26"/>
  <c r="N70" i="26"/>
  <c r="H70" i="26"/>
  <c r="E70" i="26"/>
  <c r="E74" i="26"/>
  <c r="U69" i="26"/>
  <c r="S69" i="26"/>
  <c r="R69" i="26"/>
  <c r="Q69" i="26"/>
  <c r="N69" i="26"/>
  <c r="K69" i="26"/>
  <c r="I69" i="26"/>
  <c r="U68" i="26"/>
  <c r="S68" i="26"/>
  <c r="R68" i="26"/>
  <c r="Q68" i="26"/>
  <c r="N68" i="26"/>
  <c r="K68" i="26"/>
  <c r="I68" i="26"/>
  <c r="U67" i="26"/>
  <c r="S67" i="26"/>
  <c r="R67" i="26"/>
  <c r="Q67" i="26"/>
  <c r="N67" i="26"/>
  <c r="K67" i="26"/>
  <c r="I67" i="26"/>
  <c r="U66" i="26"/>
  <c r="S66" i="26"/>
  <c r="R66" i="26"/>
  <c r="Q66" i="26"/>
  <c r="N66" i="26"/>
  <c r="K66" i="26"/>
  <c r="I66" i="26"/>
  <c r="U65" i="26"/>
  <c r="S65" i="26"/>
  <c r="R65" i="26"/>
  <c r="Q65" i="26"/>
  <c r="N65" i="26"/>
  <c r="K65" i="26"/>
  <c r="I65" i="26"/>
  <c r="U64" i="26"/>
  <c r="S64" i="26"/>
  <c r="R64" i="26"/>
  <c r="Q64" i="26"/>
  <c r="N64" i="26"/>
  <c r="K64" i="26"/>
  <c r="I64" i="26"/>
  <c r="U63" i="26"/>
  <c r="S63" i="26"/>
  <c r="R63" i="26"/>
  <c r="Q63" i="26"/>
  <c r="N63" i="26"/>
  <c r="K63" i="26"/>
  <c r="I63" i="26"/>
  <c r="U62" i="26"/>
  <c r="S62" i="26"/>
  <c r="R62" i="26"/>
  <c r="Q62" i="26"/>
  <c r="N62" i="26"/>
  <c r="K62" i="26"/>
  <c r="I62" i="26"/>
  <c r="U61" i="26"/>
  <c r="S61" i="26"/>
  <c r="R61" i="26"/>
  <c r="Q61" i="26"/>
  <c r="N61" i="26"/>
  <c r="K61" i="26"/>
  <c r="I61" i="26"/>
  <c r="U60" i="26"/>
  <c r="S60" i="26"/>
  <c r="R60" i="26"/>
  <c r="Q60" i="26"/>
  <c r="N60" i="26"/>
  <c r="K60" i="26"/>
  <c r="I60" i="26"/>
  <c r="U59" i="26"/>
  <c r="S59" i="26"/>
  <c r="R59" i="26"/>
  <c r="Q59" i="26"/>
  <c r="N59" i="26"/>
  <c r="K59" i="26"/>
  <c r="I59" i="26"/>
  <c r="U58" i="26"/>
  <c r="S58" i="26"/>
  <c r="R58" i="26"/>
  <c r="Q58" i="26"/>
  <c r="N58" i="26"/>
  <c r="K58" i="26"/>
  <c r="I58" i="26"/>
  <c r="U57" i="26"/>
  <c r="S57" i="26"/>
  <c r="R57" i="26"/>
  <c r="Q57" i="26"/>
  <c r="N57" i="26"/>
  <c r="K57" i="26"/>
  <c r="I57" i="26"/>
  <c r="U56" i="26"/>
  <c r="U70" i="26"/>
  <c r="S56" i="26"/>
  <c r="R56" i="26"/>
  <c r="R70" i="26"/>
  <c r="R74" i="26"/>
  <c r="Q56" i="26"/>
  <c r="N56" i="26"/>
  <c r="K56" i="26"/>
  <c r="I56" i="26"/>
  <c r="I70" i="26"/>
  <c r="Y55" i="26"/>
  <c r="R55" i="26"/>
  <c r="P55" i="26"/>
  <c r="O55" i="26"/>
  <c r="N55" i="26"/>
  <c r="H55" i="26"/>
  <c r="E55" i="26"/>
  <c r="U54" i="26"/>
  <c r="U55" i="26"/>
  <c r="S54" i="26"/>
  <c r="S55" i="26"/>
  <c r="R54" i="26"/>
  <c r="Q54" i="26"/>
  <c r="N54" i="26"/>
  <c r="K54" i="26"/>
  <c r="I54" i="26"/>
  <c r="I55" i="26"/>
  <c r="Y53" i="26"/>
  <c r="Y74" i="26"/>
  <c r="R53" i="26"/>
  <c r="P53" i="26"/>
  <c r="O53" i="26"/>
  <c r="N53" i="26"/>
  <c r="H53" i="26"/>
  <c r="E53" i="26"/>
  <c r="U52" i="26"/>
  <c r="S52" i="26"/>
  <c r="R52" i="26"/>
  <c r="Q52" i="26"/>
  <c r="N52" i="26"/>
  <c r="K52" i="26"/>
  <c r="I52" i="26"/>
  <c r="U51" i="26"/>
  <c r="U53" i="26"/>
  <c r="S51" i="26"/>
  <c r="S53" i="26"/>
  <c r="R51" i="26"/>
  <c r="Q51" i="26"/>
  <c r="N51" i="26"/>
  <c r="K51" i="26"/>
  <c r="I51" i="26"/>
  <c r="I53" i="26"/>
  <c r="Y50" i="26"/>
  <c r="R50" i="26"/>
  <c r="P50" i="26"/>
  <c r="O50" i="26"/>
  <c r="N50" i="26"/>
  <c r="H50" i="26"/>
  <c r="E50" i="26"/>
  <c r="U49" i="26"/>
  <c r="U50" i="26"/>
  <c r="S49" i="26"/>
  <c r="S50" i="26"/>
  <c r="R49" i="26"/>
  <c r="Q49" i="26"/>
  <c r="N49" i="26"/>
  <c r="K49" i="26"/>
  <c r="I49" i="26"/>
  <c r="I50" i="26"/>
  <c r="L44" i="26"/>
  <c r="L75" i="26"/>
  <c r="M43" i="26"/>
  <c r="M44" i="26"/>
  <c r="L43" i="26"/>
  <c r="K43" i="26"/>
  <c r="K44" i="26"/>
  <c r="K75" i="26"/>
  <c r="J43" i="26"/>
  <c r="Y42" i="26"/>
  <c r="R42" i="26"/>
  <c r="P42" i="26"/>
  <c r="O42" i="26"/>
  <c r="N42" i="26"/>
  <c r="U41" i="26"/>
  <c r="U42" i="26"/>
  <c r="T42" i="26"/>
  <c r="Q41" i="26"/>
  <c r="S41" i="26"/>
  <c r="S42" i="26"/>
  <c r="N41" i="26"/>
  <c r="I41" i="26"/>
  <c r="Y40" i="26"/>
  <c r="U40" i="26"/>
  <c r="P40" i="26"/>
  <c r="O40" i="26"/>
  <c r="H40" i="26"/>
  <c r="E40" i="26"/>
  <c r="U39" i="26"/>
  <c r="R39" i="26"/>
  <c r="N39" i="26"/>
  <c r="Q39" i="26"/>
  <c r="K39" i="26"/>
  <c r="I39" i="26"/>
  <c r="U38" i="26"/>
  <c r="N38" i="26"/>
  <c r="R38" i="26"/>
  <c r="R40" i="26"/>
  <c r="K38" i="26"/>
  <c r="I38" i="26"/>
  <c r="Y37" i="26"/>
  <c r="U37" i="26"/>
  <c r="P37" i="26"/>
  <c r="O37" i="26"/>
  <c r="H37" i="26"/>
  <c r="E37" i="26"/>
  <c r="U36" i="26"/>
  <c r="R36" i="26"/>
  <c r="R37" i="26"/>
  <c r="N36" i="26"/>
  <c r="K36" i="26"/>
  <c r="I36" i="26"/>
  <c r="I37" i="26"/>
  <c r="Y35" i="26"/>
  <c r="U35" i="26"/>
  <c r="P35" i="26"/>
  <c r="P43" i="26"/>
  <c r="O35" i="26"/>
  <c r="H35" i="26"/>
  <c r="H43" i="26"/>
  <c r="E35" i="26"/>
  <c r="U34" i="26"/>
  <c r="R34" i="26"/>
  <c r="R35" i="26"/>
  <c r="N34" i="26"/>
  <c r="K34" i="26"/>
  <c r="I34" i="26"/>
  <c r="I35" i="26"/>
  <c r="Y33" i="26"/>
  <c r="U33" i="26"/>
  <c r="P33" i="26"/>
  <c r="O33" i="26"/>
  <c r="H33" i="26"/>
  <c r="E33" i="26"/>
  <c r="U32" i="26"/>
  <c r="R32" i="26"/>
  <c r="R33" i="26"/>
  <c r="N32" i="26"/>
  <c r="K32" i="26"/>
  <c r="I32" i="26"/>
  <c r="I33" i="26"/>
  <c r="Y31" i="26"/>
  <c r="U31" i="26"/>
  <c r="R31" i="26"/>
  <c r="P31" i="26"/>
  <c r="O31" i="26"/>
  <c r="N30" i="26"/>
  <c r="Q30" i="26"/>
  <c r="I30" i="26"/>
  <c r="N29" i="26"/>
  <c r="N31" i="26"/>
  <c r="I29" i="26"/>
  <c r="M24" i="26"/>
  <c r="L24" i="26"/>
  <c r="P23" i="26"/>
  <c r="P24" i="26"/>
  <c r="K23" i="26"/>
  <c r="K24" i="26"/>
  <c r="J23" i="26"/>
  <c r="J24" i="26"/>
  <c r="G23" i="26"/>
  <c r="G24" i="26"/>
  <c r="F23" i="26"/>
  <c r="F24" i="26"/>
  <c r="Y22" i="26"/>
  <c r="Y23" i="26"/>
  <c r="P22" i="26"/>
  <c r="O22" i="26"/>
  <c r="N22" i="26"/>
  <c r="N23" i="26"/>
  <c r="N24" i="26"/>
  <c r="H22" i="26"/>
  <c r="E22" i="26"/>
  <c r="E23" i="26"/>
  <c r="U21" i="26"/>
  <c r="U22" i="26"/>
  <c r="U23" i="26"/>
  <c r="R21" i="26"/>
  <c r="R22" i="26"/>
  <c r="R23" i="26"/>
  <c r="Q21" i="26"/>
  <c r="N21" i="26"/>
  <c r="K21" i="26"/>
  <c r="I21" i="26"/>
  <c r="I22" i="26"/>
  <c r="I23" i="26"/>
  <c r="Y20" i="26"/>
  <c r="R20" i="26"/>
  <c r="P20" i="26"/>
  <c r="O20" i="26"/>
  <c r="O23" i="26"/>
  <c r="O24" i="26"/>
  <c r="N20" i="26"/>
  <c r="H20" i="26"/>
  <c r="H23" i="26"/>
  <c r="E20" i="26"/>
  <c r="U19" i="26"/>
  <c r="U20" i="26"/>
  <c r="R19" i="26"/>
  <c r="Q19" i="26"/>
  <c r="N19" i="26"/>
  <c r="K19" i="26"/>
  <c r="I19" i="26"/>
  <c r="I20" i="26"/>
  <c r="Y12" i="26"/>
  <c r="U12" i="26"/>
  <c r="P12" i="26"/>
  <c r="O12" i="26"/>
  <c r="H12" i="26"/>
  <c r="H13" i="26"/>
  <c r="E12" i="26"/>
  <c r="E13" i="26"/>
  <c r="U11" i="26"/>
  <c r="R11" i="26"/>
  <c r="R12" i="26"/>
  <c r="R13" i="26"/>
  <c r="N11" i="26"/>
  <c r="K11" i="26"/>
  <c r="I11" i="26"/>
  <c r="I12" i="26"/>
  <c r="I13" i="26"/>
  <c r="Y6" i="26"/>
  <c r="P6" i="26"/>
  <c r="O6" i="26"/>
  <c r="H6" i="26"/>
  <c r="E6" i="26"/>
  <c r="U5" i="26"/>
  <c r="U6" i="26"/>
  <c r="R5" i="26"/>
  <c r="R6" i="26"/>
  <c r="N5" i="26"/>
  <c r="N6" i="26"/>
  <c r="K5" i="26"/>
  <c r="I5" i="26"/>
  <c r="I6" i="26"/>
  <c r="U13" i="27"/>
  <c r="U24" i="27"/>
  <c r="H24" i="27"/>
  <c r="Y13" i="27"/>
  <c r="Y24" i="27"/>
  <c r="Y44" i="27"/>
  <c r="R19" i="27"/>
  <c r="T19" i="27"/>
  <c r="Q29" i="27"/>
  <c r="Q31" i="27"/>
  <c r="P43" i="27"/>
  <c r="V41" i="27"/>
  <c r="V42" i="27"/>
  <c r="N70" i="27"/>
  <c r="R58" i="27"/>
  <c r="T58" i="27"/>
  <c r="R60" i="27"/>
  <c r="T60" i="27"/>
  <c r="R62" i="27"/>
  <c r="T62" i="27"/>
  <c r="R64" i="27"/>
  <c r="T64" i="27"/>
  <c r="S65" i="27"/>
  <c r="R68" i="27"/>
  <c r="T68" i="27"/>
  <c r="R71" i="27"/>
  <c r="T71" i="27"/>
  <c r="S72" i="27"/>
  <c r="I24" i="27"/>
  <c r="P24" i="27"/>
  <c r="S21" i="27"/>
  <c r="S22" i="27"/>
  <c r="H43" i="27"/>
  <c r="Q41" i="27"/>
  <c r="Q42" i="27"/>
  <c r="U74" i="27"/>
  <c r="R56" i="27"/>
  <c r="T56" i="27"/>
  <c r="R65" i="27"/>
  <c r="T65" i="27"/>
  <c r="S66" i="27"/>
  <c r="R69" i="27"/>
  <c r="T69" i="27"/>
  <c r="R72" i="27"/>
  <c r="T72" i="27"/>
  <c r="T82" i="27"/>
  <c r="V82" i="27"/>
  <c r="W82" i="27"/>
  <c r="X82" i="27"/>
  <c r="U82" i="27"/>
  <c r="E24" i="27"/>
  <c r="J24" i="27"/>
  <c r="J44" i="27"/>
  <c r="Y43" i="27"/>
  <c r="I70" i="27"/>
  <c r="I74" i="27"/>
  <c r="S67" i="27"/>
  <c r="Q82" i="27"/>
  <c r="S82" i="27"/>
  <c r="S80" i="27"/>
  <c r="S81" i="27"/>
  <c r="U84" i="26"/>
  <c r="U85" i="26"/>
  <c r="Q83" i="26"/>
  <c r="Q84" i="26"/>
  <c r="Q85" i="26"/>
  <c r="S82" i="26"/>
  <c r="S80" i="26"/>
  <c r="R5" i="27"/>
  <c r="T5" i="27"/>
  <c r="N6" i="27"/>
  <c r="Q5" i="27"/>
  <c r="R20" i="27"/>
  <c r="R23" i="27"/>
  <c r="Z19" i="27"/>
  <c r="Z20" i="27"/>
  <c r="Z23" i="27"/>
  <c r="R33" i="27"/>
  <c r="Z32" i="27"/>
  <c r="Z33" i="27"/>
  <c r="U43" i="27"/>
  <c r="U75" i="27"/>
  <c r="T40" i="27"/>
  <c r="V30" i="27"/>
  <c r="W30" i="27"/>
  <c r="X30" i="27"/>
  <c r="Z30" i="27"/>
  <c r="Z31" i="27"/>
  <c r="E44" i="27"/>
  <c r="E75" i="27"/>
  <c r="R11" i="27"/>
  <c r="T11" i="27"/>
  <c r="N12" i="27"/>
  <c r="Q11" i="27"/>
  <c r="W29" i="27"/>
  <c r="P44" i="27"/>
  <c r="V64" i="27"/>
  <c r="K24" i="27"/>
  <c r="K44" i="27"/>
  <c r="R35" i="27"/>
  <c r="Z34" i="27"/>
  <c r="Z35" i="27"/>
  <c r="H44" i="27"/>
  <c r="Q36" i="27"/>
  <c r="Q38" i="27"/>
  <c r="Z38" i="27"/>
  <c r="Q39" i="27"/>
  <c r="S39" i="27"/>
  <c r="Z39" i="27"/>
  <c r="N40" i="27"/>
  <c r="R40" i="27"/>
  <c r="W41" i="27"/>
  <c r="R55" i="27"/>
  <c r="Z65" i="27"/>
  <c r="Z67" i="27"/>
  <c r="H74" i="27"/>
  <c r="H75" i="27"/>
  <c r="Q50" i="27"/>
  <c r="S49" i="27"/>
  <c r="S50" i="27"/>
  <c r="Q32" i="27"/>
  <c r="N33" i="27"/>
  <c r="Q34" i="27"/>
  <c r="N35" i="27"/>
  <c r="R36" i="27"/>
  <c r="T36" i="27"/>
  <c r="R50" i="27"/>
  <c r="O74" i="27"/>
  <c r="Y75" i="27"/>
  <c r="V38" i="27"/>
  <c r="I43" i="27"/>
  <c r="Q19" i="27"/>
  <c r="O43" i="27"/>
  <c r="O44" i="27"/>
  <c r="V49" i="27"/>
  <c r="V50" i="27"/>
  <c r="S51" i="27"/>
  <c r="R52" i="27"/>
  <c r="Q52" i="27"/>
  <c r="S52" i="27"/>
  <c r="N53" i="27"/>
  <c r="N74" i="27"/>
  <c r="Z56" i="27"/>
  <c r="Z57" i="27"/>
  <c r="Z59" i="27"/>
  <c r="Z60" i="27"/>
  <c r="Z61" i="27"/>
  <c r="Z63" i="27"/>
  <c r="Z64" i="27"/>
  <c r="V66" i="27"/>
  <c r="P74" i="27"/>
  <c r="P75" i="27"/>
  <c r="R73" i="27"/>
  <c r="Z71" i="27"/>
  <c r="T42" i="27"/>
  <c r="Q54" i="27"/>
  <c r="Q56" i="27"/>
  <c r="Q71" i="27"/>
  <c r="V19" i="26"/>
  <c r="V20" i="26"/>
  <c r="H24" i="26"/>
  <c r="E24" i="26"/>
  <c r="P44" i="26"/>
  <c r="Z21" i="26"/>
  <c r="Z22" i="26"/>
  <c r="I24" i="26"/>
  <c r="R24" i="26"/>
  <c r="H44" i="26"/>
  <c r="S21" i="26"/>
  <c r="S22" i="26"/>
  <c r="N35" i="26"/>
  <c r="Q34" i="26"/>
  <c r="J44" i="26"/>
  <c r="Q20" i="26"/>
  <c r="Z30" i="26"/>
  <c r="Y13" i="26"/>
  <c r="Y24" i="26"/>
  <c r="S19" i="26"/>
  <c r="S20" i="26"/>
  <c r="Z19" i="26"/>
  <c r="Z20" i="26"/>
  <c r="V30" i="26"/>
  <c r="W30" i="26"/>
  <c r="X30" i="26"/>
  <c r="O43" i="26"/>
  <c r="O44" i="26"/>
  <c r="V49" i="26"/>
  <c r="V50" i="26"/>
  <c r="V52" i="26"/>
  <c r="S70" i="26"/>
  <c r="S74" i="26"/>
  <c r="M75" i="26"/>
  <c r="N40" i="26"/>
  <c r="N43" i="26"/>
  <c r="N44" i="26"/>
  <c r="N75" i="26"/>
  <c r="Q38" i="26"/>
  <c r="R43" i="26"/>
  <c r="H74" i="26"/>
  <c r="Q5" i="26"/>
  <c r="N12" i="26"/>
  <c r="Q11" i="26"/>
  <c r="U13" i="26"/>
  <c r="U24" i="26"/>
  <c r="Q22" i="26"/>
  <c r="V21" i="26"/>
  <c r="V22" i="26"/>
  <c r="Q29" i="26"/>
  <c r="S30" i="26"/>
  <c r="V54" i="26"/>
  <c r="V55" i="26"/>
  <c r="U74" i="26"/>
  <c r="N33" i="26"/>
  <c r="Q32" i="26"/>
  <c r="N37" i="26"/>
  <c r="Q36" i="26"/>
  <c r="I40" i="26"/>
  <c r="I43" i="26"/>
  <c r="I44" i="26"/>
  <c r="S39" i="26"/>
  <c r="E43" i="26"/>
  <c r="E44" i="26"/>
  <c r="E75" i="26"/>
  <c r="U43" i="26"/>
  <c r="U44" i="26"/>
  <c r="Y43" i="26"/>
  <c r="Y44" i="26"/>
  <c r="Y75" i="26"/>
  <c r="V59" i="26"/>
  <c r="V63" i="26"/>
  <c r="V67" i="26"/>
  <c r="O75" i="26"/>
  <c r="V71" i="26"/>
  <c r="J75" i="26"/>
  <c r="I74" i="26"/>
  <c r="I75" i="26"/>
  <c r="P74" i="26"/>
  <c r="P75" i="26"/>
  <c r="Z41" i="26"/>
  <c r="Z42" i="26"/>
  <c r="Q42" i="26"/>
  <c r="Q50" i="26"/>
  <c r="Q53" i="26"/>
  <c r="Q55" i="26"/>
  <c r="Z58" i="26"/>
  <c r="Z62" i="26"/>
  <c r="V68" i="26"/>
  <c r="Q70" i="26"/>
  <c r="Q74" i="26"/>
  <c r="Q73" i="26"/>
  <c r="V41" i="26"/>
  <c r="V42" i="26"/>
  <c r="Z49" i="26"/>
  <c r="Z50" i="26"/>
  <c r="Z51" i="26"/>
  <c r="Z54" i="26"/>
  <c r="Z55" i="26"/>
  <c r="Z57" i="26"/>
  <c r="Z59" i="26"/>
  <c r="Z61" i="26"/>
  <c r="Z63" i="26"/>
  <c r="Z65" i="26"/>
  <c r="Z67" i="26"/>
  <c r="Z69" i="26"/>
  <c r="Z71" i="26"/>
  <c r="S41" i="27"/>
  <c r="S42" i="27"/>
  <c r="S29" i="27"/>
  <c r="S31" i="27"/>
  <c r="S68" i="27"/>
  <c r="S62" i="27"/>
  <c r="R70" i="27"/>
  <c r="S69" i="27"/>
  <c r="S64" i="27"/>
  <c r="S60" i="27"/>
  <c r="S58" i="27"/>
  <c r="U44" i="27"/>
  <c r="I44" i="27"/>
  <c r="N43" i="27"/>
  <c r="N75" i="27"/>
  <c r="U75" i="26"/>
  <c r="W41" i="26"/>
  <c r="X41" i="26"/>
  <c r="X42" i="26"/>
  <c r="Z23" i="26"/>
  <c r="R37" i="27"/>
  <c r="R43" i="27"/>
  <c r="Q33" i="27"/>
  <c r="S32" i="27"/>
  <c r="S33" i="27"/>
  <c r="V72" i="27"/>
  <c r="W72" i="27"/>
  <c r="X72" i="27"/>
  <c r="V69" i="27"/>
  <c r="W69" i="27"/>
  <c r="X69" i="27"/>
  <c r="S38" i="27"/>
  <c r="S40" i="27"/>
  <c r="S43" i="27"/>
  <c r="Q40" i="27"/>
  <c r="V71" i="27"/>
  <c r="V73" i="27"/>
  <c r="I75" i="27"/>
  <c r="R6" i="27"/>
  <c r="Z5" i="27"/>
  <c r="Z6" i="27"/>
  <c r="Q70" i="27"/>
  <c r="S56" i="27"/>
  <c r="V62" i="27"/>
  <c r="W62" i="27"/>
  <c r="X62" i="27"/>
  <c r="V58" i="27"/>
  <c r="W58" i="27"/>
  <c r="X58" i="27"/>
  <c r="T55" i="27"/>
  <c r="V54" i="27"/>
  <c r="V55" i="27"/>
  <c r="W54" i="27"/>
  <c r="T50" i="27"/>
  <c r="W49" i="27"/>
  <c r="Z49" i="27"/>
  <c r="Z50" i="27"/>
  <c r="X41" i="27"/>
  <c r="X42" i="27"/>
  <c r="W42" i="27"/>
  <c r="S36" i="27"/>
  <c r="S37" i="27"/>
  <c r="Q37" i="27"/>
  <c r="V68" i="27"/>
  <c r="W68" i="27"/>
  <c r="X68" i="27"/>
  <c r="W31" i="27"/>
  <c r="X29" i="27"/>
  <c r="X31" i="27"/>
  <c r="R12" i="27"/>
  <c r="Q55" i="27"/>
  <c r="S54" i="27"/>
  <c r="S55" i="27"/>
  <c r="Z66" i="27"/>
  <c r="V63" i="27"/>
  <c r="W63" i="27"/>
  <c r="X63" i="27"/>
  <c r="V59" i="27"/>
  <c r="W59" i="27"/>
  <c r="X59" i="27"/>
  <c r="R74" i="27"/>
  <c r="R75" i="27"/>
  <c r="S53" i="27"/>
  <c r="Q20" i="27"/>
  <c r="Q23" i="27"/>
  <c r="S19" i="27"/>
  <c r="S20" i="27"/>
  <c r="S23" i="27"/>
  <c r="Q35" i="27"/>
  <c r="S34" i="27"/>
  <c r="S35" i="27"/>
  <c r="Z72" i="27"/>
  <c r="Z73" i="27"/>
  <c r="Z69" i="27"/>
  <c r="V65" i="27"/>
  <c r="W65" i="27"/>
  <c r="X65" i="27"/>
  <c r="V31" i="27"/>
  <c r="T33" i="27"/>
  <c r="V32" i="27"/>
  <c r="V33" i="27"/>
  <c r="T20" i="27"/>
  <c r="T23" i="27"/>
  <c r="V19" i="27"/>
  <c r="V20" i="27"/>
  <c r="V23" i="27"/>
  <c r="S5" i="27"/>
  <c r="S6" i="27"/>
  <c r="S13" i="27"/>
  <c r="Q6" i="27"/>
  <c r="Z68" i="27"/>
  <c r="W64" i="27"/>
  <c r="X64" i="27"/>
  <c r="Z62" i="27"/>
  <c r="V60" i="27"/>
  <c r="W60" i="27"/>
  <c r="X60" i="27"/>
  <c r="Z58" i="27"/>
  <c r="T70" i="27"/>
  <c r="V56" i="27"/>
  <c r="Q53" i="27"/>
  <c r="O75" i="27"/>
  <c r="V67" i="27"/>
  <c r="W67" i="27"/>
  <c r="X67" i="27"/>
  <c r="Z54" i="27"/>
  <c r="Z55" i="27"/>
  <c r="Z40" i="27"/>
  <c r="V39" i="27"/>
  <c r="W39" i="27"/>
  <c r="X39" i="27"/>
  <c r="T35" i="27"/>
  <c r="V34" i="27"/>
  <c r="V35" i="27"/>
  <c r="S11" i="27"/>
  <c r="S12" i="27"/>
  <c r="Q12" i="27"/>
  <c r="W38" i="27"/>
  <c r="N13" i="27"/>
  <c r="N24" i="27"/>
  <c r="N44" i="27"/>
  <c r="Q73" i="27"/>
  <c r="S71" i="27"/>
  <c r="S73" i="27"/>
  <c r="T73" i="27"/>
  <c r="W66" i="27"/>
  <c r="X66" i="27"/>
  <c r="V61" i="27"/>
  <c r="W61" i="27"/>
  <c r="X61" i="27"/>
  <c r="V57" i="27"/>
  <c r="W57" i="27"/>
  <c r="X57" i="27"/>
  <c r="Z53" i="26"/>
  <c r="T70" i="26"/>
  <c r="T53" i="26"/>
  <c r="V39" i="26"/>
  <c r="W39" i="26"/>
  <c r="X39" i="26"/>
  <c r="Z68" i="26"/>
  <c r="Z64" i="26"/>
  <c r="Z60" i="26"/>
  <c r="Z56" i="26"/>
  <c r="W72" i="26"/>
  <c r="X72" i="26"/>
  <c r="V66" i="26"/>
  <c r="W66" i="26"/>
  <c r="X66" i="26"/>
  <c r="Q31" i="26"/>
  <c r="V29" i="26"/>
  <c r="V31" i="26"/>
  <c r="S29" i="26"/>
  <c r="S31" i="26"/>
  <c r="Z72" i="26"/>
  <c r="Z73" i="26"/>
  <c r="W67" i="26"/>
  <c r="X67" i="26"/>
  <c r="W63" i="26"/>
  <c r="X63" i="26"/>
  <c r="W59" i="26"/>
  <c r="X59" i="26"/>
  <c r="W52" i="26"/>
  <c r="X52" i="26"/>
  <c r="V69" i="26"/>
  <c r="W69" i="26"/>
  <c r="X69" i="26"/>
  <c r="V65" i="26"/>
  <c r="W65" i="26"/>
  <c r="X65" i="26"/>
  <c r="V61" i="26"/>
  <c r="W61" i="26"/>
  <c r="X61" i="26"/>
  <c r="V57" i="26"/>
  <c r="W57" i="26"/>
  <c r="X57" i="26"/>
  <c r="Z39" i="26"/>
  <c r="Z32" i="26"/>
  <c r="Z33" i="26"/>
  <c r="Q33" i="26"/>
  <c r="S32" i="26"/>
  <c r="S33" i="26"/>
  <c r="V23" i="26"/>
  <c r="H75" i="26"/>
  <c r="T20" i="26"/>
  <c r="W19" i="26"/>
  <c r="Z66" i="26"/>
  <c r="Z52" i="26"/>
  <c r="W71" i="26"/>
  <c r="T73" i="26"/>
  <c r="W54" i="26"/>
  <c r="T55" i="26"/>
  <c r="T50" i="26"/>
  <c r="W49" i="26"/>
  <c r="V72" i="26"/>
  <c r="V64" i="26"/>
  <c r="W64" i="26"/>
  <c r="X64" i="26"/>
  <c r="V60" i="26"/>
  <c r="W60" i="26"/>
  <c r="X60" i="26"/>
  <c r="V56" i="26"/>
  <c r="W56" i="26"/>
  <c r="W21" i="26"/>
  <c r="T22" i="26"/>
  <c r="T23" i="26"/>
  <c r="Z11" i="26"/>
  <c r="Z12" i="26"/>
  <c r="V11" i="26"/>
  <c r="V12" i="26"/>
  <c r="S11" i="26"/>
  <c r="S12" i="26"/>
  <c r="Q12" i="26"/>
  <c r="R44" i="26"/>
  <c r="R75" i="26"/>
  <c r="S23" i="26"/>
  <c r="V73" i="26"/>
  <c r="Q37" i="26"/>
  <c r="Q43" i="26"/>
  <c r="S36" i="26"/>
  <c r="S37" i="26"/>
  <c r="Q40" i="26"/>
  <c r="S38" i="26"/>
  <c r="S40" i="26"/>
  <c r="V38" i="26"/>
  <c r="W42" i="26"/>
  <c r="W68" i="26"/>
  <c r="X68" i="26"/>
  <c r="V62" i="26"/>
  <c r="W62" i="26"/>
  <c r="X62" i="26"/>
  <c r="V58" i="26"/>
  <c r="W58" i="26"/>
  <c r="X58" i="26"/>
  <c r="Q23" i="26"/>
  <c r="Z5" i="26"/>
  <c r="Z6" i="26"/>
  <c r="Q6" i="26"/>
  <c r="S5" i="26"/>
  <c r="S6" i="26"/>
  <c r="V5" i="26"/>
  <c r="V6" i="26"/>
  <c r="V51" i="26"/>
  <c r="V53" i="26"/>
  <c r="Z34" i="26"/>
  <c r="Z35" i="26"/>
  <c r="S34" i="26"/>
  <c r="S35" i="26"/>
  <c r="Q35" i="26"/>
  <c r="V34" i="26"/>
  <c r="V35" i="26"/>
  <c r="I81" i="1"/>
  <c r="R13" i="27"/>
  <c r="R24" i="27"/>
  <c r="S70" i="27"/>
  <c r="W34" i="27"/>
  <c r="X34" i="27"/>
  <c r="X35" i="27"/>
  <c r="Z70" i="27"/>
  <c r="Z74" i="27"/>
  <c r="V40" i="26"/>
  <c r="T12" i="27"/>
  <c r="W50" i="27"/>
  <c r="X49" i="27"/>
  <c r="X50" i="27"/>
  <c r="S74" i="27"/>
  <c r="T37" i="27"/>
  <c r="T43" i="27"/>
  <c r="V70" i="27"/>
  <c r="V74" i="27"/>
  <c r="Z11" i="27"/>
  <c r="Z12" i="27"/>
  <c r="Z13" i="27"/>
  <c r="Z24" i="27"/>
  <c r="V40" i="27"/>
  <c r="Q74" i="27"/>
  <c r="Z36" i="27"/>
  <c r="Z37" i="27"/>
  <c r="Z43" i="27"/>
  <c r="W71" i="27"/>
  <c r="W56" i="27"/>
  <c r="W19" i="27"/>
  <c r="W32" i="27"/>
  <c r="W55" i="27"/>
  <c r="X54" i="27"/>
  <c r="X55" i="27"/>
  <c r="T6" i="27"/>
  <c r="V5" i="27"/>
  <c r="V6" i="27"/>
  <c r="Q43" i="27"/>
  <c r="V36" i="27"/>
  <c r="V37" i="27"/>
  <c r="R44" i="27"/>
  <c r="W40" i="27"/>
  <c r="X38" i="27"/>
  <c r="X40" i="27"/>
  <c r="T74" i="27"/>
  <c r="Q13" i="27"/>
  <c r="Q24" i="27"/>
  <c r="S24" i="27"/>
  <c r="S44" i="27"/>
  <c r="V11" i="27"/>
  <c r="V12" i="27"/>
  <c r="W70" i="26"/>
  <c r="X56" i="26"/>
  <c r="X70" i="26"/>
  <c r="Q44" i="26"/>
  <c r="Q75" i="26"/>
  <c r="T37" i="26"/>
  <c r="Q13" i="26"/>
  <c r="W50" i="26"/>
  <c r="X49" i="26"/>
  <c r="X50" i="26"/>
  <c r="S43" i="26"/>
  <c r="Z36" i="26"/>
  <c r="Z37" i="26"/>
  <c r="S13" i="26"/>
  <c r="Z13" i="26"/>
  <c r="Z24" i="26"/>
  <c r="W20" i="26"/>
  <c r="X19" i="26"/>
  <c r="X20" i="26"/>
  <c r="T6" i="26"/>
  <c r="W5" i="26"/>
  <c r="Q24" i="26"/>
  <c r="V13" i="26"/>
  <c r="V24" i="26"/>
  <c r="V32" i="26"/>
  <c r="V33" i="26"/>
  <c r="W29" i="26"/>
  <c r="T31" i="26"/>
  <c r="W34" i="26"/>
  <c r="T35" i="26"/>
  <c r="T40" i="26"/>
  <c r="W38" i="26"/>
  <c r="Z38" i="26"/>
  <c r="Z40" i="26"/>
  <c r="V36" i="26"/>
  <c r="V37" i="26"/>
  <c r="V43" i="26"/>
  <c r="T12" i="26"/>
  <c r="W11" i="26"/>
  <c r="W22" i="26"/>
  <c r="X21" i="26"/>
  <c r="X22" i="26"/>
  <c r="W55" i="26"/>
  <c r="X54" i="26"/>
  <c r="X55" i="26"/>
  <c r="Z29" i="26"/>
  <c r="Z31" i="26"/>
  <c r="Z70" i="26"/>
  <c r="Z74" i="26"/>
  <c r="W51" i="26"/>
  <c r="T74" i="26"/>
  <c r="V70" i="26"/>
  <c r="V74" i="26"/>
  <c r="T33" i="26"/>
  <c r="S24" i="26"/>
  <c r="W73" i="26"/>
  <c r="X71" i="26"/>
  <c r="X73" i="26"/>
  <c r="V53" i="25"/>
  <c r="U53" i="25"/>
  <c r="Y73" i="25"/>
  <c r="Y70" i="25"/>
  <c r="Y55" i="25"/>
  <c r="Y53" i="25"/>
  <c r="Z53" i="25"/>
  <c r="Y50" i="25"/>
  <c r="U54" i="25"/>
  <c r="U55" i="25"/>
  <c r="U56" i="25"/>
  <c r="U57" i="25"/>
  <c r="U58" i="25"/>
  <c r="U59" i="25"/>
  <c r="U60" i="25"/>
  <c r="U61" i="25"/>
  <c r="U62" i="25"/>
  <c r="U63" i="25"/>
  <c r="U64" i="25"/>
  <c r="U65" i="25"/>
  <c r="U66" i="25"/>
  <c r="U67" i="25"/>
  <c r="U68" i="25"/>
  <c r="U69" i="25"/>
  <c r="U71" i="25"/>
  <c r="U72" i="25"/>
  <c r="U49" i="25"/>
  <c r="U50" i="25"/>
  <c r="F75" i="25"/>
  <c r="M74" i="25"/>
  <c r="L74" i="25"/>
  <c r="K74" i="25"/>
  <c r="J74" i="25"/>
  <c r="G74" i="25"/>
  <c r="G75" i="25"/>
  <c r="F74" i="25"/>
  <c r="P73" i="25"/>
  <c r="O73" i="25"/>
  <c r="H73" i="25"/>
  <c r="E73" i="25"/>
  <c r="N72" i="25"/>
  <c r="Q72" i="25"/>
  <c r="K72" i="25"/>
  <c r="I72" i="25"/>
  <c r="N71" i="25"/>
  <c r="R71" i="25"/>
  <c r="K71" i="25"/>
  <c r="I71" i="25"/>
  <c r="P70" i="25"/>
  <c r="O70" i="25"/>
  <c r="H70" i="25"/>
  <c r="E70" i="25"/>
  <c r="N69" i="25"/>
  <c r="R69" i="25"/>
  <c r="K69" i="25"/>
  <c r="I69" i="25"/>
  <c r="N68" i="25"/>
  <c r="Q68" i="25"/>
  <c r="K68" i="25"/>
  <c r="I68" i="25"/>
  <c r="N67" i="25"/>
  <c r="R67" i="25"/>
  <c r="K67" i="25"/>
  <c r="I67" i="25"/>
  <c r="R66" i="25"/>
  <c r="T66" i="25"/>
  <c r="Z66" i="25"/>
  <c r="N66" i="25"/>
  <c r="Q66" i="25"/>
  <c r="K66" i="25"/>
  <c r="I66" i="25"/>
  <c r="N65" i="25"/>
  <c r="R65" i="25"/>
  <c r="T65" i="25"/>
  <c r="K65" i="25"/>
  <c r="I65" i="25"/>
  <c r="N64" i="25"/>
  <c r="Q64" i="25"/>
  <c r="K64" i="25"/>
  <c r="I64" i="25"/>
  <c r="N63" i="25"/>
  <c r="R63" i="25"/>
  <c r="T63" i="25"/>
  <c r="Z63" i="25"/>
  <c r="K63" i="25"/>
  <c r="I63" i="25"/>
  <c r="N62" i="25"/>
  <c r="Q62" i="25"/>
  <c r="K62" i="25"/>
  <c r="I62" i="25"/>
  <c r="N61" i="25"/>
  <c r="R61" i="25"/>
  <c r="T61" i="25"/>
  <c r="K61" i="25"/>
  <c r="I61" i="25"/>
  <c r="N60" i="25"/>
  <c r="Q60" i="25"/>
  <c r="K60" i="25"/>
  <c r="I60" i="25"/>
  <c r="N59" i="25"/>
  <c r="R59" i="25"/>
  <c r="K59" i="25"/>
  <c r="I59" i="25"/>
  <c r="R58" i="25"/>
  <c r="N58" i="25"/>
  <c r="Q58" i="25"/>
  <c r="K58" i="25"/>
  <c r="I58" i="25"/>
  <c r="N57" i="25"/>
  <c r="R57" i="25"/>
  <c r="T57" i="25"/>
  <c r="K57" i="25"/>
  <c r="I57" i="25"/>
  <c r="N56" i="25"/>
  <c r="K56" i="25"/>
  <c r="I56" i="25"/>
  <c r="P55" i="25"/>
  <c r="O55" i="25"/>
  <c r="N55" i="25"/>
  <c r="H55" i="25"/>
  <c r="E55" i="25"/>
  <c r="Q54" i="25"/>
  <c r="N54" i="25"/>
  <c r="R54" i="25"/>
  <c r="R55" i="25"/>
  <c r="K54" i="25"/>
  <c r="I54" i="25"/>
  <c r="I55" i="25"/>
  <c r="P53" i="25"/>
  <c r="O53" i="25"/>
  <c r="H53" i="25"/>
  <c r="E53" i="25"/>
  <c r="N52" i="25"/>
  <c r="R52" i="25"/>
  <c r="K52" i="25"/>
  <c r="I52" i="25"/>
  <c r="N51" i="25"/>
  <c r="N53" i="25"/>
  <c r="K51" i="25"/>
  <c r="I51" i="25"/>
  <c r="I53" i="25"/>
  <c r="P50" i="25"/>
  <c r="O50" i="25"/>
  <c r="H50" i="25"/>
  <c r="E50" i="25"/>
  <c r="N49" i="25"/>
  <c r="R49" i="25"/>
  <c r="K49" i="25"/>
  <c r="I49" i="25"/>
  <c r="I50" i="25"/>
  <c r="F75" i="24"/>
  <c r="G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Z75" i="24"/>
  <c r="AA75" i="24"/>
  <c r="H74" i="24"/>
  <c r="R73" i="24"/>
  <c r="S73" i="24"/>
  <c r="S74" i="24"/>
  <c r="T73" i="24"/>
  <c r="U73" i="24"/>
  <c r="U74" i="24"/>
  <c r="V73" i="24"/>
  <c r="W73" i="24"/>
  <c r="W74" i="24"/>
  <c r="X73" i="24"/>
  <c r="Y73" i="24"/>
  <c r="Y74" i="24"/>
  <c r="Z73" i="24"/>
  <c r="R74" i="24"/>
  <c r="T74" i="24"/>
  <c r="V74" i="24"/>
  <c r="X74" i="24"/>
  <c r="Z74" i="24"/>
  <c r="T72" i="24"/>
  <c r="U72" i="24"/>
  <c r="Z72" i="24"/>
  <c r="Z71" i="24"/>
  <c r="U71" i="24"/>
  <c r="T71" i="24"/>
  <c r="M74" i="24"/>
  <c r="L74" i="24"/>
  <c r="K74" i="24"/>
  <c r="J74" i="24"/>
  <c r="G74" i="24"/>
  <c r="F74" i="24"/>
  <c r="P73" i="24"/>
  <c r="P74" i="24"/>
  <c r="O73" i="24"/>
  <c r="O74" i="24"/>
  <c r="H73" i="24"/>
  <c r="E73" i="24"/>
  <c r="E74" i="24"/>
  <c r="R72" i="24"/>
  <c r="Q72" i="24"/>
  <c r="N72" i="24"/>
  <c r="K72" i="24"/>
  <c r="I72" i="24"/>
  <c r="N71" i="24"/>
  <c r="N73" i="24"/>
  <c r="N74" i="24"/>
  <c r="K71" i="24"/>
  <c r="I71" i="24"/>
  <c r="I73" i="24"/>
  <c r="I74" i="24"/>
  <c r="T37" i="2"/>
  <c r="I37" i="2"/>
  <c r="U37" i="2"/>
  <c r="V37" i="2"/>
  <c r="T38" i="2"/>
  <c r="I38" i="2"/>
  <c r="S75" i="27"/>
  <c r="W35" i="27"/>
  <c r="V43" i="27"/>
  <c r="V75" i="27"/>
  <c r="T75" i="27"/>
  <c r="W5" i="27"/>
  <c r="X5" i="27"/>
  <c r="X6" i="27"/>
  <c r="X23" i="26"/>
  <c r="W23" i="26"/>
  <c r="V44" i="26"/>
  <c r="W6" i="27"/>
  <c r="Z44" i="27"/>
  <c r="T13" i="27"/>
  <c r="T24" i="27"/>
  <c r="T44" i="27"/>
  <c r="W33" i="27"/>
  <c r="X32" i="27"/>
  <c r="X33" i="27"/>
  <c r="W73" i="27"/>
  <c r="X71" i="27"/>
  <c r="X73" i="27"/>
  <c r="W36" i="27"/>
  <c r="Z75" i="27"/>
  <c r="Q44" i="27"/>
  <c r="W20" i="27"/>
  <c r="W23" i="27"/>
  <c r="X19" i="27"/>
  <c r="X20" i="27"/>
  <c r="X23" i="27"/>
  <c r="V13" i="27"/>
  <c r="V24" i="27"/>
  <c r="W70" i="27"/>
  <c r="W74" i="27"/>
  <c r="X56" i="27"/>
  <c r="X70" i="27"/>
  <c r="Q75" i="27"/>
  <c r="W11" i="27"/>
  <c r="V75" i="26"/>
  <c r="W6" i="26"/>
  <c r="X5" i="26"/>
  <c r="X6" i="26"/>
  <c r="Z43" i="26"/>
  <c r="Z44" i="26"/>
  <c r="Z75" i="26"/>
  <c r="W35" i="26"/>
  <c r="X34" i="26"/>
  <c r="X35" i="26"/>
  <c r="W36" i="26"/>
  <c r="W32" i="26"/>
  <c r="W12" i="26"/>
  <c r="X11" i="26"/>
  <c r="X12" i="26"/>
  <c r="W40" i="26"/>
  <c r="X38" i="26"/>
  <c r="X40" i="26"/>
  <c r="W53" i="26"/>
  <c r="W74" i="26"/>
  <c r="X51" i="26"/>
  <c r="X53" i="26"/>
  <c r="X74" i="26"/>
  <c r="T13" i="26"/>
  <c r="T24" i="26"/>
  <c r="T43" i="26"/>
  <c r="W31" i="26"/>
  <c r="X29" i="26"/>
  <c r="X31" i="26"/>
  <c r="S44" i="26"/>
  <c r="S75" i="26"/>
  <c r="R51" i="25"/>
  <c r="N70" i="25"/>
  <c r="R68" i="25"/>
  <c r="T68" i="25"/>
  <c r="U70" i="25"/>
  <c r="S60" i="25"/>
  <c r="N73" i="25"/>
  <c r="R60" i="25"/>
  <c r="T60" i="25"/>
  <c r="R72" i="25"/>
  <c r="T72" i="25"/>
  <c r="T69" i="25"/>
  <c r="V69" i="25"/>
  <c r="W69" i="25"/>
  <c r="X69" i="25"/>
  <c r="R50" i="25"/>
  <c r="T49" i="25"/>
  <c r="T50" i="25"/>
  <c r="V49" i="25"/>
  <c r="V50" i="25"/>
  <c r="Z67" i="25"/>
  <c r="R56" i="25"/>
  <c r="R64" i="25"/>
  <c r="S64" i="25"/>
  <c r="O74" i="25"/>
  <c r="R73" i="25"/>
  <c r="V65" i="25"/>
  <c r="W65" i="25"/>
  <c r="X65" i="25"/>
  <c r="Z61" i="25"/>
  <c r="Z60" i="25"/>
  <c r="T67" i="25"/>
  <c r="T59" i="25"/>
  <c r="V59" i="25"/>
  <c r="T54" i="25"/>
  <c r="T55" i="25"/>
  <c r="Q49" i="25"/>
  <c r="S49" i="25"/>
  <c r="S50" i="25"/>
  <c r="N50" i="25"/>
  <c r="I70" i="25"/>
  <c r="R62" i="25"/>
  <c r="S62" i="25"/>
  <c r="S68" i="25"/>
  <c r="P74" i="25"/>
  <c r="Q71" i="25"/>
  <c r="Q73" i="25"/>
  <c r="Z68" i="25"/>
  <c r="V66" i="25"/>
  <c r="W66" i="25"/>
  <c r="X66" i="25"/>
  <c r="V63" i="25"/>
  <c r="W63" i="25"/>
  <c r="X63" i="25"/>
  <c r="V61" i="25"/>
  <c r="Z57" i="25"/>
  <c r="T71" i="25"/>
  <c r="T58" i="25"/>
  <c r="V58" i="25"/>
  <c r="S54" i="25"/>
  <c r="S55" i="25"/>
  <c r="S58" i="25"/>
  <c r="S66" i="25"/>
  <c r="E74" i="25"/>
  <c r="I73" i="25"/>
  <c r="V68" i="25"/>
  <c r="W68" i="25"/>
  <c r="X68" i="25"/>
  <c r="Z65" i="25"/>
  <c r="V57" i="25"/>
  <c r="W57" i="25"/>
  <c r="X57" i="25"/>
  <c r="Z54" i="25"/>
  <c r="Z55" i="25"/>
  <c r="Y74" i="25"/>
  <c r="H74" i="25"/>
  <c r="V72" i="25"/>
  <c r="W72" i="25"/>
  <c r="X72" i="25"/>
  <c r="U73" i="25"/>
  <c r="U74" i="25"/>
  <c r="T53" i="25"/>
  <c r="V67" i="25"/>
  <c r="W67" i="25"/>
  <c r="X67" i="25"/>
  <c r="V54" i="25"/>
  <c r="W61" i="25"/>
  <c r="X61" i="25"/>
  <c r="N74" i="25"/>
  <c r="Q57" i="25"/>
  <c r="S57" i="25"/>
  <c r="Q59" i="25"/>
  <c r="S59" i="25"/>
  <c r="Q61" i="25"/>
  <c r="S61" i="25"/>
  <c r="Q63" i="25"/>
  <c r="S63" i="25"/>
  <c r="Q65" i="25"/>
  <c r="S65" i="25"/>
  <c r="Q67" i="25"/>
  <c r="S67" i="25"/>
  <c r="Q69" i="25"/>
  <c r="S69" i="25"/>
  <c r="Q50" i="25"/>
  <c r="Q52" i="25"/>
  <c r="S52" i="25"/>
  <c r="Q55" i="25"/>
  <c r="Q51" i="25"/>
  <c r="Q56" i="25"/>
  <c r="V72" i="24"/>
  <c r="W72" i="24"/>
  <c r="X72" i="24"/>
  <c r="V71" i="24"/>
  <c r="R71" i="24"/>
  <c r="S72" i="24"/>
  <c r="Q71" i="24"/>
  <c r="U38" i="2"/>
  <c r="V38" i="2"/>
  <c r="V44" i="27"/>
  <c r="W13" i="26"/>
  <c r="W24" i="26"/>
  <c r="W12" i="27"/>
  <c r="W13" i="27"/>
  <c r="W24" i="27"/>
  <c r="X11" i="27"/>
  <c r="X12" i="27"/>
  <c r="X13" i="27"/>
  <c r="X24" i="27"/>
  <c r="X74" i="27"/>
  <c r="W37" i="27"/>
  <c r="W43" i="27"/>
  <c r="X36" i="27"/>
  <c r="X37" i="27"/>
  <c r="X43" i="27"/>
  <c r="T44" i="26"/>
  <c r="T75" i="26"/>
  <c r="W33" i="26"/>
  <c r="X32" i="26"/>
  <c r="X33" i="26"/>
  <c r="W37" i="26"/>
  <c r="X36" i="26"/>
  <c r="X37" i="26"/>
  <c r="X13" i="26"/>
  <c r="X24" i="26"/>
  <c r="I74" i="25"/>
  <c r="V60" i="25"/>
  <c r="W60" i="25"/>
  <c r="X60" i="25"/>
  <c r="Z72" i="25"/>
  <c r="Z49" i="25"/>
  <c r="Z50" i="25"/>
  <c r="Z69" i="25"/>
  <c r="S72" i="25"/>
  <c r="W58" i="25"/>
  <c r="X58" i="25"/>
  <c r="R70" i="25"/>
  <c r="R74" i="25"/>
  <c r="T56" i="25"/>
  <c r="Z56" i="25"/>
  <c r="W59" i="25"/>
  <c r="X59" i="25"/>
  <c r="Z71" i="25"/>
  <c r="Z73" i="25"/>
  <c r="T73" i="25"/>
  <c r="Z59" i="25"/>
  <c r="S71" i="25"/>
  <c r="S73" i="25"/>
  <c r="W49" i="25"/>
  <c r="Z58" i="25"/>
  <c r="V71" i="25"/>
  <c r="V73" i="25"/>
  <c r="T62" i="25"/>
  <c r="V62" i="25"/>
  <c r="W62" i="25"/>
  <c r="X62" i="25"/>
  <c r="T64" i="25"/>
  <c r="V64" i="25"/>
  <c r="W54" i="25"/>
  <c r="V55" i="25"/>
  <c r="X53" i="25"/>
  <c r="W53" i="25"/>
  <c r="Q70" i="25"/>
  <c r="S56" i="25"/>
  <c r="S70" i="25"/>
  <c r="Q53" i="25"/>
  <c r="S51" i="25"/>
  <c r="S53" i="25"/>
  <c r="W71" i="24"/>
  <c r="X71" i="24"/>
  <c r="S71" i="24"/>
  <c r="Q73" i="24"/>
  <c r="Q74" i="24"/>
  <c r="X43" i="26"/>
  <c r="X44" i="26"/>
  <c r="X75" i="26"/>
  <c r="W43" i="26"/>
  <c r="W44" i="26"/>
  <c r="W75" i="26"/>
  <c r="X44" i="27"/>
  <c r="W44" i="27"/>
  <c r="W75" i="27"/>
  <c r="X75" i="27"/>
  <c r="Q74" i="25"/>
  <c r="S74" i="25"/>
  <c r="W64" i="25"/>
  <c r="X64" i="25"/>
  <c r="Z62" i="25"/>
  <c r="X54" i="25"/>
  <c r="X55" i="25"/>
  <c r="W55" i="25"/>
  <c r="X49" i="25"/>
  <c r="X50" i="25"/>
  <c r="W50" i="25"/>
  <c r="Z64" i="25"/>
  <c r="W71" i="25"/>
  <c r="T70" i="25"/>
  <c r="T74" i="25"/>
  <c r="V56" i="25"/>
  <c r="V70" i="25"/>
  <c r="V74" i="25"/>
  <c r="W56" i="25"/>
  <c r="F74" i="1"/>
  <c r="F75" i="1"/>
  <c r="G74" i="1"/>
  <c r="G75" i="1"/>
  <c r="J74" i="1"/>
  <c r="K74" i="1"/>
  <c r="L74" i="1"/>
  <c r="M74" i="1"/>
  <c r="Z70" i="25"/>
  <c r="Z74" i="25"/>
  <c r="X71" i="25"/>
  <c r="X73" i="25"/>
  <c r="W73" i="25"/>
  <c r="X56" i="25"/>
  <c r="X70" i="25"/>
  <c r="W70" i="25"/>
  <c r="K72" i="1"/>
  <c r="K71" i="1"/>
  <c r="X74" i="25"/>
  <c r="W74" i="25"/>
  <c r="R70" i="24"/>
  <c r="S70" i="24"/>
  <c r="T70" i="24"/>
  <c r="U70" i="24"/>
  <c r="V70" i="24"/>
  <c r="W70" i="24"/>
  <c r="X70" i="24"/>
  <c r="Y70" i="24"/>
  <c r="Z70" i="24"/>
  <c r="R55" i="24"/>
  <c r="S55" i="24"/>
  <c r="T55" i="24"/>
  <c r="U55" i="24"/>
  <c r="V55" i="24"/>
  <c r="W55" i="24"/>
  <c r="X55" i="24"/>
  <c r="Y55" i="24"/>
  <c r="Z55" i="24"/>
  <c r="R53" i="24"/>
  <c r="S53" i="24"/>
  <c r="T53" i="24"/>
  <c r="U53" i="24"/>
  <c r="V53" i="24"/>
  <c r="W53" i="24"/>
  <c r="X53" i="24"/>
  <c r="Y53" i="24"/>
  <c r="Z53" i="24"/>
  <c r="R50" i="24"/>
  <c r="S50" i="24"/>
  <c r="T50" i="24"/>
  <c r="U50" i="24"/>
  <c r="V50" i="24"/>
  <c r="W50" i="24"/>
  <c r="X50" i="24"/>
  <c r="Y50" i="24"/>
  <c r="Z50" i="24"/>
  <c r="T51" i="24"/>
  <c r="U51" i="24"/>
  <c r="Z51" i="24"/>
  <c r="T52" i="24"/>
  <c r="Z52" i="24"/>
  <c r="U52" i="24"/>
  <c r="W52" i="24"/>
  <c r="X52" i="24"/>
  <c r="V52" i="24"/>
  <c r="T54" i="24"/>
  <c r="Z54" i="24"/>
  <c r="U54" i="24"/>
  <c r="V54" i="24"/>
  <c r="T56" i="24"/>
  <c r="Z56" i="24"/>
  <c r="U56" i="24"/>
  <c r="V56" i="24"/>
  <c r="W56" i="24"/>
  <c r="X56" i="24"/>
  <c r="T57" i="24"/>
  <c r="V57" i="24"/>
  <c r="U57" i="24"/>
  <c r="Z57" i="24"/>
  <c r="T58" i="24"/>
  <c r="Z58" i="24"/>
  <c r="U58" i="24"/>
  <c r="V58" i="24"/>
  <c r="W58" i="24"/>
  <c r="X58" i="24"/>
  <c r="T59" i="24"/>
  <c r="U59" i="24"/>
  <c r="Z59" i="24"/>
  <c r="T60" i="24"/>
  <c r="Z60" i="24"/>
  <c r="U60" i="24"/>
  <c r="W60" i="24"/>
  <c r="X60" i="24"/>
  <c r="V60" i="24"/>
  <c r="T61" i="24"/>
  <c r="V61" i="24"/>
  <c r="U61" i="24"/>
  <c r="Z61" i="24"/>
  <c r="T62" i="24"/>
  <c r="Z62" i="24"/>
  <c r="U62" i="24"/>
  <c r="V62" i="24"/>
  <c r="T63" i="24"/>
  <c r="U63" i="24"/>
  <c r="Z63" i="24"/>
  <c r="T64" i="24"/>
  <c r="Z64" i="24"/>
  <c r="U64" i="24"/>
  <c r="V64" i="24"/>
  <c r="W64" i="24"/>
  <c r="X64" i="24"/>
  <c r="T65" i="24"/>
  <c r="V65" i="24"/>
  <c r="U65" i="24"/>
  <c r="Z65" i="24"/>
  <c r="T66" i="24"/>
  <c r="Z66" i="24"/>
  <c r="U66" i="24"/>
  <c r="V66" i="24"/>
  <c r="W66" i="24"/>
  <c r="X66" i="24"/>
  <c r="T67" i="24"/>
  <c r="U67" i="24"/>
  <c r="Z67" i="24"/>
  <c r="T68" i="24"/>
  <c r="Z68" i="24"/>
  <c r="U68" i="24"/>
  <c r="W68" i="24"/>
  <c r="X68" i="24"/>
  <c r="V68" i="24"/>
  <c r="T69" i="24"/>
  <c r="V69" i="24"/>
  <c r="U69" i="24"/>
  <c r="Z69" i="24"/>
  <c r="T49" i="24"/>
  <c r="Z49" i="24"/>
  <c r="V49" i="24"/>
  <c r="W49" i="24"/>
  <c r="X49" i="24"/>
  <c r="U49" i="24"/>
  <c r="P70" i="24"/>
  <c r="O70" i="24"/>
  <c r="H70" i="24"/>
  <c r="E70" i="24"/>
  <c r="R69" i="24"/>
  <c r="Q69" i="24"/>
  <c r="S69" i="24"/>
  <c r="N69" i="24"/>
  <c r="K69" i="24"/>
  <c r="I69" i="24"/>
  <c r="Q68" i="24"/>
  <c r="N68" i="24"/>
  <c r="R68" i="24"/>
  <c r="S68" i="24"/>
  <c r="K68" i="24"/>
  <c r="I68" i="24"/>
  <c r="R67" i="24"/>
  <c r="Q67" i="24"/>
  <c r="S67" i="24"/>
  <c r="N67" i="24"/>
  <c r="K67" i="24"/>
  <c r="I67" i="24"/>
  <c r="Q66" i="24"/>
  <c r="N66" i="24"/>
  <c r="R66" i="24"/>
  <c r="S66" i="24"/>
  <c r="K66" i="24"/>
  <c r="I66" i="24"/>
  <c r="R65" i="24"/>
  <c r="Q65" i="24"/>
  <c r="S65" i="24"/>
  <c r="N65" i="24"/>
  <c r="K65" i="24"/>
  <c r="I65" i="24"/>
  <c r="Q64" i="24"/>
  <c r="N64" i="24"/>
  <c r="R64" i="24"/>
  <c r="S64" i="24"/>
  <c r="K64" i="24"/>
  <c r="I64" i="24"/>
  <c r="R63" i="24"/>
  <c r="Q63" i="24"/>
  <c r="S63" i="24"/>
  <c r="N63" i="24"/>
  <c r="K63" i="24"/>
  <c r="I63" i="24"/>
  <c r="Q62" i="24"/>
  <c r="N62" i="24"/>
  <c r="R62" i="24"/>
  <c r="S62" i="24"/>
  <c r="K62" i="24"/>
  <c r="I62" i="24"/>
  <c r="R61" i="24"/>
  <c r="Q61" i="24"/>
  <c r="S61" i="24"/>
  <c r="N61" i="24"/>
  <c r="K61" i="24"/>
  <c r="I61" i="24"/>
  <c r="Q60" i="24"/>
  <c r="N60" i="24"/>
  <c r="R60" i="24"/>
  <c r="S60" i="24"/>
  <c r="K60" i="24"/>
  <c r="I60" i="24"/>
  <c r="R59" i="24"/>
  <c r="Q59" i="24"/>
  <c r="S59" i="24"/>
  <c r="N59" i="24"/>
  <c r="K59" i="24"/>
  <c r="I59" i="24"/>
  <c r="Q58" i="24"/>
  <c r="N58" i="24"/>
  <c r="R58" i="24"/>
  <c r="S58" i="24"/>
  <c r="K58" i="24"/>
  <c r="I58" i="24"/>
  <c r="R57" i="24"/>
  <c r="Q57" i="24"/>
  <c r="S57" i="24"/>
  <c r="N57" i="24"/>
  <c r="K57" i="24"/>
  <c r="I57" i="24"/>
  <c r="I70" i="24"/>
  <c r="Q56" i="24"/>
  <c r="Q70" i="24"/>
  <c r="N56" i="24"/>
  <c r="R56" i="24"/>
  <c r="K56" i="24"/>
  <c r="I56" i="24"/>
  <c r="P55" i="24"/>
  <c r="O55" i="24"/>
  <c r="H55" i="24"/>
  <c r="E55" i="24"/>
  <c r="R54" i="24"/>
  <c r="N54" i="24"/>
  <c r="N55" i="24"/>
  <c r="K54" i="24"/>
  <c r="I54" i="24"/>
  <c r="I55" i="24"/>
  <c r="P53" i="24"/>
  <c r="O53" i="24"/>
  <c r="N53" i="24"/>
  <c r="H53" i="24"/>
  <c r="E53" i="24"/>
  <c r="R52" i="24"/>
  <c r="Q52" i="24"/>
  <c r="S52" i="24"/>
  <c r="N52" i="24"/>
  <c r="K52" i="24"/>
  <c r="I52" i="24"/>
  <c r="I53" i="24"/>
  <c r="Q51" i="24"/>
  <c r="Q53" i="24"/>
  <c r="N51" i="24"/>
  <c r="R51" i="24"/>
  <c r="K51" i="24"/>
  <c r="I51" i="24"/>
  <c r="P50" i="24"/>
  <c r="O50" i="24"/>
  <c r="H50" i="24"/>
  <c r="E50" i="24"/>
  <c r="R49" i="24"/>
  <c r="N49" i="24"/>
  <c r="N50" i="24"/>
  <c r="K49" i="24"/>
  <c r="I49" i="24"/>
  <c r="I50" i="24"/>
  <c r="T41" i="24"/>
  <c r="T39" i="24"/>
  <c r="T38" i="24"/>
  <c r="T36" i="24"/>
  <c r="T34" i="24"/>
  <c r="T32" i="24"/>
  <c r="U30" i="24"/>
  <c r="U29" i="24"/>
  <c r="T30" i="24"/>
  <c r="T29" i="24"/>
  <c r="T21" i="24"/>
  <c r="T19" i="24"/>
  <c r="T11" i="24"/>
  <c r="T5" i="24"/>
  <c r="K43" i="25"/>
  <c r="J43" i="25"/>
  <c r="Y42" i="25"/>
  <c r="R42" i="25"/>
  <c r="P42" i="25"/>
  <c r="O42" i="25"/>
  <c r="U41" i="25"/>
  <c r="U42" i="25"/>
  <c r="T41" i="25"/>
  <c r="Z41" i="25"/>
  <c r="Z42" i="25"/>
  <c r="N41" i="25"/>
  <c r="Q41" i="25"/>
  <c r="I41" i="25"/>
  <c r="Y40" i="25"/>
  <c r="P40" i="25"/>
  <c r="O40" i="25"/>
  <c r="H40" i="25"/>
  <c r="E40" i="25"/>
  <c r="U39" i="25"/>
  <c r="N39" i="25"/>
  <c r="R39" i="25"/>
  <c r="T39" i="25"/>
  <c r="K39" i="25"/>
  <c r="I39" i="25"/>
  <c r="U38" i="25"/>
  <c r="U40" i="25"/>
  <c r="N38" i="25"/>
  <c r="R38" i="25"/>
  <c r="T38" i="25"/>
  <c r="K38" i="25"/>
  <c r="I38" i="25"/>
  <c r="I40" i="25"/>
  <c r="Y37" i="25"/>
  <c r="P37" i="25"/>
  <c r="O37" i="25"/>
  <c r="H37" i="25"/>
  <c r="E37" i="25"/>
  <c r="U36" i="25"/>
  <c r="U37" i="25"/>
  <c r="N36" i="25"/>
  <c r="R36" i="25"/>
  <c r="T36" i="25"/>
  <c r="K36" i="25"/>
  <c r="I36" i="25"/>
  <c r="I37" i="25"/>
  <c r="Y35" i="25"/>
  <c r="P35" i="25"/>
  <c r="O35" i="25"/>
  <c r="I35" i="25"/>
  <c r="H35" i="25"/>
  <c r="E35" i="25"/>
  <c r="U34" i="25"/>
  <c r="U35" i="25"/>
  <c r="N34" i="25"/>
  <c r="R34" i="25"/>
  <c r="T34" i="25"/>
  <c r="K34" i="25"/>
  <c r="I34" i="25"/>
  <c r="Y33" i="25"/>
  <c r="P33" i="25"/>
  <c r="O33" i="25"/>
  <c r="H33" i="25"/>
  <c r="E33" i="25"/>
  <c r="U32" i="25"/>
  <c r="U33" i="25"/>
  <c r="N32" i="25"/>
  <c r="R32" i="25"/>
  <c r="T32" i="25"/>
  <c r="K32" i="25"/>
  <c r="I32" i="25"/>
  <c r="I33" i="25"/>
  <c r="Y31" i="25"/>
  <c r="R31" i="25"/>
  <c r="P31" i="25"/>
  <c r="O31" i="25"/>
  <c r="U30" i="25"/>
  <c r="T30" i="25"/>
  <c r="Z30" i="25"/>
  <c r="N30" i="25"/>
  <c r="Q30" i="25"/>
  <c r="S30" i="25"/>
  <c r="I30" i="25"/>
  <c r="U29" i="25"/>
  <c r="T29" i="25"/>
  <c r="N29" i="25"/>
  <c r="N31" i="25"/>
  <c r="I29" i="25"/>
  <c r="G24" i="25"/>
  <c r="K23" i="25"/>
  <c r="J23" i="25"/>
  <c r="Z22" i="25"/>
  <c r="Y22" i="25"/>
  <c r="X22" i="25"/>
  <c r="W22" i="25"/>
  <c r="V22" i="25"/>
  <c r="U22" i="25"/>
  <c r="T22" i="25"/>
  <c r="N21" i="25"/>
  <c r="K21" i="25"/>
  <c r="I21" i="25"/>
  <c r="Y20" i="25"/>
  <c r="Y23" i="25"/>
  <c r="P20" i="25"/>
  <c r="P23" i="25"/>
  <c r="O20" i="25"/>
  <c r="O23" i="25"/>
  <c r="H20" i="25"/>
  <c r="H23" i="25"/>
  <c r="E20" i="25"/>
  <c r="E23" i="25"/>
  <c r="U19" i="25"/>
  <c r="U20" i="25"/>
  <c r="N19" i="25"/>
  <c r="K19" i="25"/>
  <c r="I19" i="25"/>
  <c r="I20" i="25"/>
  <c r="I23" i="25"/>
  <c r="M13" i="25"/>
  <c r="M24" i="25"/>
  <c r="L13" i="25"/>
  <c r="L24" i="25"/>
  <c r="K13" i="25"/>
  <c r="J13" i="25"/>
  <c r="G13" i="25"/>
  <c r="F13" i="25"/>
  <c r="F24" i="25"/>
  <c r="Y12" i="25"/>
  <c r="U12" i="25"/>
  <c r="P12" i="25"/>
  <c r="O12" i="25"/>
  <c r="H12" i="25"/>
  <c r="E12" i="25"/>
  <c r="E13" i="25"/>
  <c r="U11" i="25"/>
  <c r="N11" i="25"/>
  <c r="N12" i="25"/>
  <c r="K11" i="25"/>
  <c r="I11" i="25"/>
  <c r="I12" i="25"/>
  <c r="Y6" i="25"/>
  <c r="P6" i="25"/>
  <c r="P13" i="25"/>
  <c r="O6" i="25"/>
  <c r="H6" i="25"/>
  <c r="H13" i="25"/>
  <c r="E6" i="25"/>
  <c r="U5" i="25"/>
  <c r="U6" i="25"/>
  <c r="U13" i="25"/>
  <c r="N5" i="25"/>
  <c r="N6" i="25"/>
  <c r="K5" i="25"/>
  <c r="I5" i="25"/>
  <c r="I6" i="25"/>
  <c r="M43" i="24"/>
  <c r="M44" i="24"/>
  <c r="L43" i="24"/>
  <c r="L44" i="24"/>
  <c r="K43" i="24"/>
  <c r="J43" i="24"/>
  <c r="Y42" i="24"/>
  <c r="Y43" i="24"/>
  <c r="U42" i="24"/>
  <c r="R42" i="24"/>
  <c r="P42" i="24"/>
  <c r="P43" i="24"/>
  <c r="O42" i="24"/>
  <c r="O43" i="24"/>
  <c r="H43" i="24"/>
  <c r="E43" i="24"/>
  <c r="U41" i="24"/>
  <c r="Q41" i="24"/>
  <c r="N41" i="24"/>
  <c r="N42" i="24"/>
  <c r="I41" i="24"/>
  <c r="Y40" i="24"/>
  <c r="U40" i="24"/>
  <c r="P40" i="24"/>
  <c r="O40" i="24"/>
  <c r="I40" i="24"/>
  <c r="H40" i="24"/>
  <c r="E40" i="24"/>
  <c r="U39" i="24"/>
  <c r="N39" i="24"/>
  <c r="R39" i="24"/>
  <c r="K39" i="24"/>
  <c r="I39" i="24"/>
  <c r="U38" i="24"/>
  <c r="N38" i="24"/>
  <c r="R38" i="24"/>
  <c r="R40" i="24"/>
  <c r="K38" i="24"/>
  <c r="I38" i="24"/>
  <c r="Y37" i="24"/>
  <c r="U37" i="24"/>
  <c r="P37" i="24"/>
  <c r="O37" i="24"/>
  <c r="I37" i="24"/>
  <c r="H37" i="24"/>
  <c r="E37" i="24"/>
  <c r="U36" i="24"/>
  <c r="N36" i="24"/>
  <c r="R36" i="24"/>
  <c r="R37" i="24"/>
  <c r="K36" i="24"/>
  <c r="I36" i="24"/>
  <c r="Y35" i="24"/>
  <c r="U35" i="24"/>
  <c r="P35" i="24"/>
  <c r="O35" i="24"/>
  <c r="I35" i="24"/>
  <c r="H35" i="24"/>
  <c r="E35" i="24"/>
  <c r="U34" i="24"/>
  <c r="N34" i="24"/>
  <c r="R34" i="24"/>
  <c r="R35" i="24"/>
  <c r="K34" i="24"/>
  <c r="I34" i="24"/>
  <c r="Y33" i="24"/>
  <c r="U33" i="24"/>
  <c r="P33" i="24"/>
  <c r="O33" i="24"/>
  <c r="I33" i="24"/>
  <c r="H33" i="24"/>
  <c r="E33" i="24"/>
  <c r="U32" i="24"/>
  <c r="N32" i="24"/>
  <c r="R32" i="24"/>
  <c r="R33" i="24"/>
  <c r="K32" i="24"/>
  <c r="I32" i="24"/>
  <c r="Y31" i="24"/>
  <c r="U31" i="24"/>
  <c r="R31" i="24"/>
  <c r="P31" i="24"/>
  <c r="O31" i="24"/>
  <c r="S30" i="24"/>
  <c r="Q30" i="24"/>
  <c r="V30" i="24"/>
  <c r="N30" i="24"/>
  <c r="I30" i="24"/>
  <c r="Q29" i="24"/>
  <c r="N29" i="24"/>
  <c r="N31" i="24"/>
  <c r="I29" i="24"/>
  <c r="M24" i="24"/>
  <c r="L24" i="24"/>
  <c r="K23" i="24"/>
  <c r="K24" i="24"/>
  <c r="J23" i="24"/>
  <c r="J24" i="24"/>
  <c r="I23" i="24"/>
  <c r="I24" i="24"/>
  <c r="H23" i="24"/>
  <c r="G23" i="24"/>
  <c r="G24" i="24"/>
  <c r="F23" i="24"/>
  <c r="F24" i="24"/>
  <c r="Y22" i="24"/>
  <c r="Y23" i="24"/>
  <c r="P22" i="24"/>
  <c r="P23" i="24"/>
  <c r="P24" i="24"/>
  <c r="O22" i="24"/>
  <c r="O23" i="24"/>
  <c r="O24" i="24"/>
  <c r="N22" i="24"/>
  <c r="N23" i="24"/>
  <c r="N24" i="24"/>
  <c r="H22" i="24"/>
  <c r="E22" i="24"/>
  <c r="E23" i="24"/>
  <c r="E24" i="24"/>
  <c r="U21" i="24"/>
  <c r="U22" i="24"/>
  <c r="U23" i="24"/>
  <c r="R21" i="24"/>
  <c r="R22" i="24"/>
  <c r="R23" i="24"/>
  <c r="Q21" i="24"/>
  <c r="N21" i="24"/>
  <c r="K21" i="24"/>
  <c r="I21" i="24"/>
  <c r="I22" i="24"/>
  <c r="Y20" i="24"/>
  <c r="P20" i="24"/>
  <c r="O20" i="24"/>
  <c r="N20" i="24"/>
  <c r="H20" i="24"/>
  <c r="E20" i="24"/>
  <c r="U19" i="24"/>
  <c r="U20" i="24"/>
  <c r="R19" i="24"/>
  <c r="R20" i="24"/>
  <c r="Q19" i="24"/>
  <c r="N19" i="24"/>
  <c r="K19" i="24"/>
  <c r="I19" i="24"/>
  <c r="I20" i="24"/>
  <c r="Y12" i="24"/>
  <c r="Y13" i="24"/>
  <c r="P12" i="24"/>
  <c r="O12" i="24"/>
  <c r="H12" i="24"/>
  <c r="H13" i="24"/>
  <c r="E12" i="24"/>
  <c r="E13" i="24"/>
  <c r="U11" i="24"/>
  <c r="U12" i="24"/>
  <c r="R11" i="24"/>
  <c r="R12" i="24"/>
  <c r="R13" i="24"/>
  <c r="N11" i="24"/>
  <c r="N12" i="24"/>
  <c r="K11" i="24"/>
  <c r="I11" i="24"/>
  <c r="I12" i="24"/>
  <c r="I13" i="24"/>
  <c r="Y6" i="24"/>
  <c r="P6" i="24"/>
  <c r="O6" i="24"/>
  <c r="H6" i="24"/>
  <c r="E6" i="24"/>
  <c r="U5" i="24"/>
  <c r="U6" i="24"/>
  <c r="R5" i="24"/>
  <c r="R6" i="24"/>
  <c r="N5" i="24"/>
  <c r="N6" i="24"/>
  <c r="K5" i="24"/>
  <c r="I5" i="24"/>
  <c r="I6" i="24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19" i="2"/>
  <c r="K64" i="1"/>
  <c r="K65" i="1"/>
  <c r="K66" i="1"/>
  <c r="K67" i="1"/>
  <c r="K68" i="1"/>
  <c r="K69" i="1"/>
  <c r="K57" i="1"/>
  <c r="K58" i="1"/>
  <c r="K59" i="1"/>
  <c r="K60" i="1"/>
  <c r="K61" i="1"/>
  <c r="K62" i="1"/>
  <c r="K63" i="1"/>
  <c r="K56" i="1"/>
  <c r="K54" i="1"/>
  <c r="U19" i="2"/>
  <c r="V19" i="2"/>
  <c r="U23" i="25"/>
  <c r="U24" i="25"/>
  <c r="U44" i="25"/>
  <c r="I13" i="25"/>
  <c r="I24" i="25"/>
  <c r="I44" i="25"/>
  <c r="Y13" i="25"/>
  <c r="I43" i="25"/>
  <c r="I75" i="25"/>
  <c r="E43" i="25"/>
  <c r="E75" i="25"/>
  <c r="Y43" i="25"/>
  <c r="Y75" i="25"/>
  <c r="U31" i="25"/>
  <c r="Q42" i="25"/>
  <c r="S41" i="25"/>
  <c r="S42" i="25"/>
  <c r="H24" i="25"/>
  <c r="Q29" i="25"/>
  <c r="Q31" i="25"/>
  <c r="V30" i="25"/>
  <c r="W30" i="25"/>
  <c r="X30" i="25"/>
  <c r="R11" i="25"/>
  <c r="T11" i="25"/>
  <c r="Z11" i="25"/>
  <c r="Z12" i="25"/>
  <c r="Y24" i="25"/>
  <c r="Q32" i="25"/>
  <c r="Q33" i="25"/>
  <c r="R5" i="25"/>
  <c r="T5" i="25"/>
  <c r="O13" i="25"/>
  <c r="O24" i="25"/>
  <c r="O44" i="25"/>
  <c r="K24" i="25"/>
  <c r="N33" i="25"/>
  <c r="N35" i="25"/>
  <c r="N37" i="25"/>
  <c r="Q39" i="25"/>
  <c r="S39" i="25"/>
  <c r="N40" i="25"/>
  <c r="N42" i="25"/>
  <c r="P24" i="25"/>
  <c r="U43" i="25"/>
  <c r="U75" i="25"/>
  <c r="O43" i="25"/>
  <c r="O75" i="25"/>
  <c r="P43" i="25"/>
  <c r="J24" i="25"/>
  <c r="Q34" i="25"/>
  <c r="Q35" i="25"/>
  <c r="Q36" i="25"/>
  <c r="Q37" i="25"/>
  <c r="Q38" i="25"/>
  <c r="H43" i="25"/>
  <c r="H75" i="25"/>
  <c r="V41" i="25"/>
  <c r="V42" i="25"/>
  <c r="U34" i="2"/>
  <c r="V34" i="2"/>
  <c r="U30" i="2"/>
  <c r="V30" i="2"/>
  <c r="U22" i="2"/>
  <c r="V22" i="2"/>
  <c r="U26" i="2"/>
  <c r="V26" i="2"/>
  <c r="U31" i="2"/>
  <c r="V31" i="2"/>
  <c r="U28" i="2"/>
  <c r="V28" i="2"/>
  <c r="U25" i="2"/>
  <c r="V25" i="2"/>
  <c r="U27" i="2"/>
  <c r="V27" i="2"/>
  <c r="U24" i="2"/>
  <c r="V24" i="2"/>
  <c r="U21" i="2"/>
  <c r="V21" i="2"/>
  <c r="U36" i="2"/>
  <c r="V36" i="2"/>
  <c r="U33" i="2"/>
  <c r="V33" i="2"/>
  <c r="U23" i="2"/>
  <c r="V23" i="2"/>
  <c r="U20" i="2"/>
  <c r="V20" i="2"/>
  <c r="U35" i="2"/>
  <c r="V35" i="2"/>
  <c r="U32" i="2"/>
  <c r="V32" i="2"/>
  <c r="U29" i="2"/>
  <c r="V29" i="2"/>
  <c r="V63" i="24"/>
  <c r="W62" i="24"/>
  <c r="X62" i="24"/>
  <c r="W54" i="24"/>
  <c r="X54" i="24"/>
  <c r="V67" i="24"/>
  <c r="V59" i="24"/>
  <c r="V51" i="24"/>
  <c r="W69" i="24"/>
  <c r="X69" i="24"/>
  <c r="W67" i="24"/>
  <c r="X67" i="24"/>
  <c r="W65" i="24"/>
  <c r="X65" i="24"/>
  <c r="W63" i="24"/>
  <c r="X63" i="24"/>
  <c r="W61" i="24"/>
  <c r="X61" i="24"/>
  <c r="W59" i="24"/>
  <c r="X59" i="24"/>
  <c r="W57" i="24"/>
  <c r="X57" i="24"/>
  <c r="W51" i="24"/>
  <c r="X51" i="24"/>
  <c r="S51" i="24"/>
  <c r="S56" i="24"/>
  <c r="N70" i="24"/>
  <c r="Q49" i="24"/>
  <c r="Q54" i="24"/>
  <c r="U43" i="24"/>
  <c r="Z32" i="25"/>
  <c r="Z33" i="25"/>
  <c r="R33" i="25"/>
  <c r="V32" i="25"/>
  <c r="V33" i="25"/>
  <c r="V34" i="25"/>
  <c r="V35" i="25"/>
  <c r="R35" i="25"/>
  <c r="Z36" i="25"/>
  <c r="Z37" i="25"/>
  <c r="V36" i="25"/>
  <c r="V37" i="25"/>
  <c r="R37" i="25"/>
  <c r="V38" i="25"/>
  <c r="R40" i="25"/>
  <c r="R12" i="25"/>
  <c r="R21" i="25"/>
  <c r="Q21" i="25"/>
  <c r="V39" i="25"/>
  <c r="Z39" i="25"/>
  <c r="J44" i="25"/>
  <c r="N13" i="25"/>
  <c r="E24" i="25"/>
  <c r="K44" i="25"/>
  <c r="R19" i="25"/>
  <c r="T19" i="25"/>
  <c r="N20" i="25"/>
  <c r="N23" i="25"/>
  <c r="Q19" i="25"/>
  <c r="Z29" i="25"/>
  <c r="Z31" i="25"/>
  <c r="T42" i="25"/>
  <c r="V29" i="25"/>
  <c r="V31" i="25"/>
  <c r="T31" i="25"/>
  <c r="S32" i="25"/>
  <c r="S33" i="25"/>
  <c r="S36" i="25"/>
  <c r="S37" i="25"/>
  <c r="Q5" i="25"/>
  <c r="Q11" i="25"/>
  <c r="S29" i="25"/>
  <c r="S31" i="25"/>
  <c r="U13" i="24"/>
  <c r="U24" i="24"/>
  <c r="W30" i="24"/>
  <c r="X30" i="24"/>
  <c r="P44" i="24"/>
  <c r="J44" i="24"/>
  <c r="Y24" i="24"/>
  <c r="Y44" i="24"/>
  <c r="H24" i="24"/>
  <c r="I43" i="24"/>
  <c r="I44" i="24"/>
  <c r="I75" i="24"/>
  <c r="E44" i="24"/>
  <c r="E75" i="24"/>
  <c r="R43" i="24"/>
  <c r="K44" i="24"/>
  <c r="Z21" i="24"/>
  <c r="Z22" i="24"/>
  <c r="H44" i="24"/>
  <c r="H75" i="24"/>
  <c r="Z19" i="24"/>
  <c r="Z20" i="24"/>
  <c r="R24" i="24"/>
  <c r="O44" i="24"/>
  <c r="Q31" i="24"/>
  <c r="S19" i="24"/>
  <c r="S20" i="24"/>
  <c r="S21" i="24"/>
  <c r="S22" i="24"/>
  <c r="S23" i="24"/>
  <c r="S29" i="24"/>
  <c r="S31" i="24"/>
  <c r="Z30" i="24"/>
  <c r="Q32" i="24"/>
  <c r="N33" i="24"/>
  <c r="Q34" i="24"/>
  <c r="N35" i="24"/>
  <c r="N43" i="24"/>
  <c r="N44" i="24"/>
  <c r="Q36" i="24"/>
  <c r="N37" i="24"/>
  <c r="Q38" i="24"/>
  <c r="Q39" i="24"/>
  <c r="N40" i="24"/>
  <c r="S41" i="24"/>
  <c r="S42" i="24"/>
  <c r="V41" i="24"/>
  <c r="V42" i="24"/>
  <c r="Q5" i="24"/>
  <c r="Q11" i="24"/>
  <c r="Q20" i="24"/>
  <c r="Q22" i="24"/>
  <c r="Q42" i="24"/>
  <c r="K52" i="1"/>
  <c r="K51" i="1"/>
  <c r="S34" i="25"/>
  <c r="S35" i="25"/>
  <c r="S43" i="25"/>
  <c r="S75" i="25"/>
  <c r="H44" i="25"/>
  <c r="Q40" i="25"/>
  <c r="Q43" i="25"/>
  <c r="Q75" i="25"/>
  <c r="S38" i="25"/>
  <c r="S40" i="25"/>
  <c r="Y44" i="25"/>
  <c r="Z5" i="25"/>
  <c r="Z6" i="25"/>
  <c r="E44" i="25"/>
  <c r="R43" i="25"/>
  <c r="R75" i="25"/>
  <c r="W41" i="25"/>
  <c r="R6" i="25"/>
  <c r="R13" i="25"/>
  <c r="N24" i="25"/>
  <c r="W29" i="25"/>
  <c r="W31" i="25"/>
  <c r="V40" i="25"/>
  <c r="V43" i="25"/>
  <c r="V75" i="25"/>
  <c r="P44" i="25"/>
  <c r="P75" i="25"/>
  <c r="S21" i="25"/>
  <c r="S22" i="25"/>
  <c r="S23" i="25"/>
  <c r="N43" i="25"/>
  <c r="N75" i="25"/>
  <c r="Z13" i="25"/>
  <c r="S54" i="24"/>
  <c r="Q55" i="24"/>
  <c r="S49" i="24"/>
  <c r="Q50" i="24"/>
  <c r="U44" i="24"/>
  <c r="Q6" i="25"/>
  <c r="S5" i="25"/>
  <c r="S6" i="25"/>
  <c r="R20" i="25"/>
  <c r="R23" i="25"/>
  <c r="R24" i="25"/>
  <c r="Z19" i="25"/>
  <c r="Z20" i="25"/>
  <c r="Z23" i="25"/>
  <c r="T6" i="25"/>
  <c r="T35" i="25"/>
  <c r="W34" i="25"/>
  <c r="S19" i="25"/>
  <c r="S20" i="25"/>
  <c r="Q20" i="25"/>
  <c r="Q23" i="25"/>
  <c r="W39" i="25"/>
  <c r="X39" i="25"/>
  <c r="T12" i="25"/>
  <c r="V11" i="25"/>
  <c r="V12" i="25"/>
  <c r="T33" i="25"/>
  <c r="W32" i="25"/>
  <c r="T40" i="25"/>
  <c r="W38" i="25"/>
  <c r="Q12" i="25"/>
  <c r="S11" i="25"/>
  <c r="S12" i="25"/>
  <c r="X29" i="25"/>
  <c r="X31" i="25"/>
  <c r="Z38" i="25"/>
  <c r="Z40" i="25"/>
  <c r="T37" i="25"/>
  <c r="W36" i="25"/>
  <c r="Z34" i="25"/>
  <c r="Z35" i="25"/>
  <c r="V5" i="25"/>
  <c r="V6" i="25"/>
  <c r="T31" i="24"/>
  <c r="Z5" i="24"/>
  <c r="Z6" i="24"/>
  <c r="Q6" i="24"/>
  <c r="S5" i="24"/>
  <c r="S6" i="24"/>
  <c r="S39" i="24"/>
  <c r="R44" i="24"/>
  <c r="Q23" i="24"/>
  <c r="S38" i="24"/>
  <c r="S40" i="24"/>
  <c r="S43" i="24"/>
  <c r="Q40" i="24"/>
  <c r="V38" i="24"/>
  <c r="Z38" i="24"/>
  <c r="S34" i="24"/>
  <c r="S35" i="24"/>
  <c r="Q35" i="24"/>
  <c r="Q43" i="24"/>
  <c r="Z29" i="24"/>
  <c r="Z31" i="24"/>
  <c r="T42" i="24"/>
  <c r="W41" i="24"/>
  <c r="T20" i="24"/>
  <c r="V19" i="24"/>
  <c r="V20" i="24"/>
  <c r="Z23" i="24"/>
  <c r="V29" i="24"/>
  <c r="V31" i="24"/>
  <c r="T22" i="24"/>
  <c r="V21" i="24"/>
  <c r="V22" i="24"/>
  <c r="V23" i="24"/>
  <c r="Z11" i="24"/>
  <c r="Z12" i="24"/>
  <c r="Q12" i="24"/>
  <c r="S11" i="24"/>
  <c r="S12" i="24"/>
  <c r="S36" i="24"/>
  <c r="S37" i="24"/>
  <c r="Q37" i="24"/>
  <c r="Z36" i="24"/>
  <c r="Z37" i="24"/>
  <c r="S32" i="24"/>
  <c r="S33" i="24"/>
  <c r="Q33" i="24"/>
  <c r="V32" i="24"/>
  <c r="V33" i="24"/>
  <c r="Z41" i="24"/>
  <c r="Z42" i="24"/>
  <c r="K49" i="1"/>
  <c r="T13" i="25"/>
  <c r="Z24" i="25"/>
  <c r="X41" i="25"/>
  <c r="X42" i="25"/>
  <c r="W42" i="25"/>
  <c r="R44" i="25"/>
  <c r="N44" i="25"/>
  <c r="T43" i="25"/>
  <c r="W11" i="25"/>
  <c r="W12" i="25"/>
  <c r="V13" i="25"/>
  <c r="W19" i="24"/>
  <c r="W40" i="25"/>
  <c r="X38" i="25"/>
  <c r="X40" i="25"/>
  <c r="W37" i="25"/>
  <c r="X36" i="25"/>
  <c r="X37" i="25"/>
  <c r="W35" i="25"/>
  <c r="X34" i="25"/>
  <c r="X35" i="25"/>
  <c r="T20" i="25"/>
  <c r="T23" i="25"/>
  <c r="V19" i="25"/>
  <c r="V20" i="25"/>
  <c r="V23" i="25"/>
  <c r="V24" i="25"/>
  <c r="V44" i="25"/>
  <c r="S13" i="25"/>
  <c r="S24" i="25"/>
  <c r="S44" i="25"/>
  <c r="Z43" i="25"/>
  <c r="W33" i="25"/>
  <c r="X32" i="25"/>
  <c r="X33" i="25"/>
  <c r="W5" i="25"/>
  <c r="Q13" i="25"/>
  <c r="Q24" i="25"/>
  <c r="Q44" i="25"/>
  <c r="S44" i="24"/>
  <c r="W20" i="24"/>
  <c r="X19" i="24"/>
  <c r="X20" i="24"/>
  <c r="T37" i="24"/>
  <c r="Q13" i="24"/>
  <c r="W21" i="24"/>
  <c r="T35" i="24"/>
  <c r="V40" i="24"/>
  <c r="Z39" i="24"/>
  <c r="Z40" i="24"/>
  <c r="T33" i="24"/>
  <c r="W32" i="24"/>
  <c r="S13" i="24"/>
  <c r="S24" i="24"/>
  <c r="Z13" i="24"/>
  <c r="Z24" i="24"/>
  <c r="T23" i="24"/>
  <c r="W42" i="24"/>
  <c r="X41" i="24"/>
  <c r="X42" i="24"/>
  <c r="Z34" i="24"/>
  <c r="Z35" i="24"/>
  <c r="Q24" i="24"/>
  <c r="Q44" i="24"/>
  <c r="V39" i="24"/>
  <c r="W39" i="24"/>
  <c r="X39" i="24"/>
  <c r="T6" i="24"/>
  <c r="V5" i="24"/>
  <c r="V6" i="24"/>
  <c r="Z32" i="24"/>
  <c r="Z33" i="24"/>
  <c r="V36" i="24"/>
  <c r="V37" i="24"/>
  <c r="T12" i="24"/>
  <c r="T13" i="24"/>
  <c r="W11" i="24"/>
  <c r="V11" i="24"/>
  <c r="V12" i="24"/>
  <c r="V34" i="24"/>
  <c r="V35" i="24"/>
  <c r="T40" i="24"/>
  <c r="W38" i="24"/>
  <c r="W29" i="24"/>
  <c r="R24" i="23"/>
  <c r="R44" i="23"/>
  <c r="T24" i="25"/>
  <c r="X11" i="25"/>
  <c r="X12" i="25"/>
  <c r="Z44" i="25"/>
  <c r="Z75" i="25"/>
  <c r="T44" i="25"/>
  <c r="T75" i="25"/>
  <c r="Z43" i="24"/>
  <c r="Z44" i="24"/>
  <c r="T43" i="24"/>
  <c r="T24" i="24"/>
  <c r="W43" i="25"/>
  <c r="W75" i="25"/>
  <c r="W19" i="25"/>
  <c r="W6" i="25"/>
  <c r="W13" i="25"/>
  <c r="X5" i="25"/>
  <c r="X6" i="25"/>
  <c r="X13" i="25"/>
  <c r="X43" i="25"/>
  <c r="X75" i="25"/>
  <c r="W12" i="24"/>
  <c r="X11" i="24"/>
  <c r="X12" i="24"/>
  <c r="W22" i="24"/>
  <c r="W23" i="24"/>
  <c r="X21" i="24"/>
  <c r="X22" i="24"/>
  <c r="X23" i="24"/>
  <c r="W31" i="24"/>
  <c r="X29" i="24"/>
  <c r="X31" i="24"/>
  <c r="W5" i="24"/>
  <c r="V43" i="24"/>
  <c r="V44" i="24"/>
  <c r="W40" i="24"/>
  <c r="X38" i="24"/>
  <c r="X40" i="24"/>
  <c r="V13" i="24"/>
  <c r="V24" i="24"/>
  <c r="W33" i="24"/>
  <c r="X32" i="24"/>
  <c r="X33" i="24"/>
  <c r="W34" i="24"/>
  <c r="W36" i="24"/>
  <c r="K43" i="23"/>
  <c r="K44" i="23"/>
  <c r="N42" i="23"/>
  <c r="N43" i="23"/>
  <c r="N44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S43" i="23"/>
  <c r="T43" i="23"/>
  <c r="U43" i="23"/>
  <c r="V43" i="23"/>
  <c r="W43" i="23"/>
  <c r="X43" i="23"/>
  <c r="Y43" i="23"/>
  <c r="Z43" i="23"/>
  <c r="Z44" i="23"/>
  <c r="S44" i="23"/>
  <c r="T44" i="23"/>
  <c r="U44" i="23"/>
  <c r="V44" i="23"/>
  <c r="W44" i="23"/>
  <c r="X44" i="23"/>
  <c r="Y44" i="23"/>
  <c r="S40" i="23"/>
  <c r="T40" i="23"/>
  <c r="U40" i="23"/>
  <c r="V40" i="23"/>
  <c r="W40" i="23"/>
  <c r="X40" i="23"/>
  <c r="Y40" i="23"/>
  <c r="Z40" i="23"/>
  <c r="S37" i="23"/>
  <c r="T37" i="23"/>
  <c r="U37" i="23"/>
  <c r="V37" i="23"/>
  <c r="W37" i="23"/>
  <c r="X37" i="23"/>
  <c r="Y37" i="23"/>
  <c r="Z37" i="23"/>
  <c r="S35" i="23"/>
  <c r="T35" i="23"/>
  <c r="U35" i="23"/>
  <c r="V35" i="23"/>
  <c r="W35" i="23"/>
  <c r="X35" i="23"/>
  <c r="Y35" i="23"/>
  <c r="Z35" i="23"/>
  <c r="S33" i="23"/>
  <c r="T33" i="23"/>
  <c r="U33" i="23"/>
  <c r="V33" i="23"/>
  <c r="W33" i="23"/>
  <c r="X33" i="23"/>
  <c r="Y33" i="23"/>
  <c r="Z33" i="23"/>
  <c r="S31" i="23"/>
  <c r="T31" i="23"/>
  <c r="U31" i="23"/>
  <c r="V31" i="23"/>
  <c r="W31" i="23"/>
  <c r="X31" i="23"/>
  <c r="Y31" i="23"/>
  <c r="Z31" i="23"/>
  <c r="T30" i="23"/>
  <c r="Z30" i="23"/>
  <c r="T32" i="23"/>
  <c r="T34" i="23"/>
  <c r="T36" i="23"/>
  <c r="T38" i="23"/>
  <c r="T39" i="23"/>
  <c r="T41" i="23"/>
  <c r="Z41" i="23"/>
  <c r="T29" i="23"/>
  <c r="V29" i="23"/>
  <c r="W29" i="23"/>
  <c r="X29" i="23"/>
  <c r="U30" i="23"/>
  <c r="V30" i="23"/>
  <c r="U32" i="23"/>
  <c r="Z32" i="23"/>
  <c r="U34" i="23"/>
  <c r="V34" i="23"/>
  <c r="Z34" i="23"/>
  <c r="U36" i="23"/>
  <c r="V36" i="23"/>
  <c r="Z36" i="23"/>
  <c r="U38" i="23"/>
  <c r="V38" i="23"/>
  <c r="Z38" i="23"/>
  <c r="U39" i="23"/>
  <c r="V39" i="23"/>
  <c r="W39" i="23"/>
  <c r="X39" i="23"/>
  <c r="Z39" i="23"/>
  <c r="U41" i="23"/>
  <c r="U29" i="23"/>
  <c r="Z29" i="23"/>
  <c r="J43" i="23"/>
  <c r="J44" i="23"/>
  <c r="P43" i="23"/>
  <c r="P44" i="23"/>
  <c r="H43" i="23"/>
  <c r="H44" i="23"/>
  <c r="N41" i="23"/>
  <c r="Q41" i="23"/>
  <c r="I41" i="23"/>
  <c r="P40" i="23"/>
  <c r="O40" i="23"/>
  <c r="O43" i="23"/>
  <c r="O44" i="23"/>
  <c r="H40" i="23"/>
  <c r="E40" i="23"/>
  <c r="E43" i="23"/>
  <c r="E44" i="23"/>
  <c r="N39" i="23"/>
  <c r="R39" i="23"/>
  <c r="K39" i="23"/>
  <c r="I39" i="23"/>
  <c r="R38" i="23"/>
  <c r="Q38" i="23"/>
  <c r="N38" i="23"/>
  <c r="N40" i="23"/>
  <c r="K38" i="23"/>
  <c r="I38" i="23"/>
  <c r="I40" i="23"/>
  <c r="P37" i="23"/>
  <c r="O37" i="23"/>
  <c r="H37" i="23"/>
  <c r="E37" i="23"/>
  <c r="Q36" i="23"/>
  <c r="N36" i="23"/>
  <c r="N37" i="23"/>
  <c r="K36" i="23"/>
  <c r="I36" i="23"/>
  <c r="I37" i="23"/>
  <c r="P35" i="23"/>
  <c r="O35" i="23"/>
  <c r="H35" i="23"/>
  <c r="E35" i="23"/>
  <c r="N34" i="23"/>
  <c r="N35" i="23"/>
  <c r="K34" i="23"/>
  <c r="I34" i="23"/>
  <c r="I35" i="23"/>
  <c r="R33" i="23"/>
  <c r="P33" i="23"/>
  <c r="O33" i="23"/>
  <c r="N33" i="23"/>
  <c r="H33" i="23"/>
  <c r="E33" i="23"/>
  <c r="R32" i="23"/>
  <c r="N32" i="23"/>
  <c r="Q32" i="23"/>
  <c r="K32" i="23"/>
  <c r="I32" i="23"/>
  <c r="I33" i="23"/>
  <c r="R31" i="23"/>
  <c r="P31" i="23"/>
  <c r="O31" i="23"/>
  <c r="Q30" i="23"/>
  <c r="S30" i="23"/>
  <c r="N30" i="23"/>
  <c r="I30" i="23"/>
  <c r="Q29" i="23"/>
  <c r="Q31" i="23"/>
  <c r="N29" i="23"/>
  <c r="N31" i="23"/>
  <c r="I29" i="23"/>
  <c r="T19" i="23"/>
  <c r="T11" i="23"/>
  <c r="T5" i="23"/>
  <c r="U30" i="22"/>
  <c r="U29" i="22"/>
  <c r="R42" i="22"/>
  <c r="S42" i="22"/>
  <c r="T42" i="22"/>
  <c r="U42" i="22"/>
  <c r="V42" i="22"/>
  <c r="W42" i="22"/>
  <c r="X42" i="22"/>
  <c r="Y42" i="22"/>
  <c r="Y43" i="22"/>
  <c r="Y22" i="22"/>
  <c r="Y23" i="22"/>
  <c r="Y24" i="22"/>
  <c r="Y44" i="22"/>
  <c r="Z42" i="22"/>
  <c r="R43" i="22"/>
  <c r="S43" i="22"/>
  <c r="T43" i="22"/>
  <c r="T22" i="22"/>
  <c r="T23" i="22"/>
  <c r="T24" i="22"/>
  <c r="T44" i="22"/>
  <c r="Z43" i="22"/>
  <c r="R44" i="22"/>
  <c r="S44" i="22"/>
  <c r="Z21" i="22"/>
  <c r="Z22" i="22"/>
  <c r="Z23" i="22"/>
  <c r="Z24" i="22"/>
  <c r="Z44" i="22"/>
  <c r="R40" i="22"/>
  <c r="S40" i="22"/>
  <c r="T40" i="22"/>
  <c r="U40" i="22"/>
  <c r="V40" i="22"/>
  <c r="W40" i="22"/>
  <c r="X40" i="22"/>
  <c r="Y40" i="22"/>
  <c r="Z40" i="22"/>
  <c r="R37" i="22"/>
  <c r="S37" i="22"/>
  <c r="T37" i="22"/>
  <c r="U37" i="22"/>
  <c r="V37" i="22"/>
  <c r="W37" i="22"/>
  <c r="X37" i="22"/>
  <c r="Y37" i="22"/>
  <c r="Z37" i="22"/>
  <c r="R35" i="22"/>
  <c r="S35" i="22"/>
  <c r="T35" i="22"/>
  <c r="U35" i="22"/>
  <c r="V35" i="22"/>
  <c r="W35" i="22"/>
  <c r="X35" i="22"/>
  <c r="Y35" i="22"/>
  <c r="Z35" i="22"/>
  <c r="R33" i="22"/>
  <c r="S33" i="22"/>
  <c r="T33" i="22"/>
  <c r="U33" i="22"/>
  <c r="V33" i="22"/>
  <c r="W33" i="22"/>
  <c r="X33" i="22"/>
  <c r="Y33" i="22"/>
  <c r="Z33" i="22"/>
  <c r="R31" i="22"/>
  <c r="S31" i="22"/>
  <c r="T31" i="22"/>
  <c r="U31" i="22"/>
  <c r="Y31" i="22"/>
  <c r="Z31" i="22"/>
  <c r="T30" i="22"/>
  <c r="T32" i="22"/>
  <c r="T34" i="22"/>
  <c r="T36" i="22"/>
  <c r="T38" i="22"/>
  <c r="T39" i="22"/>
  <c r="T41" i="22"/>
  <c r="T29" i="22"/>
  <c r="V29" i="22"/>
  <c r="Z30" i="22"/>
  <c r="Z32" i="22"/>
  <c r="U32" i="22"/>
  <c r="Z34" i="22"/>
  <c r="U34" i="22"/>
  <c r="Z36" i="22"/>
  <c r="U36" i="22"/>
  <c r="Z38" i="22"/>
  <c r="U38" i="22"/>
  <c r="U39" i="22"/>
  <c r="V39" i="22"/>
  <c r="W39" i="22"/>
  <c r="X39" i="22"/>
  <c r="Z39" i="22"/>
  <c r="U41" i="22"/>
  <c r="Z41" i="22"/>
  <c r="Z29" i="22"/>
  <c r="L44" i="22"/>
  <c r="M43" i="22"/>
  <c r="M44" i="22"/>
  <c r="L43" i="22"/>
  <c r="K43" i="22"/>
  <c r="K44" i="22"/>
  <c r="J43" i="22"/>
  <c r="J44" i="22"/>
  <c r="P42" i="22"/>
  <c r="P43" i="22"/>
  <c r="P44" i="22"/>
  <c r="O42" i="22"/>
  <c r="O43" i="22"/>
  <c r="O44" i="22"/>
  <c r="N42" i="22"/>
  <c r="H42" i="22"/>
  <c r="H43" i="22"/>
  <c r="H44" i="22"/>
  <c r="E42" i="22"/>
  <c r="E43" i="22"/>
  <c r="E44" i="22"/>
  <c r="N41" i="22"/>
  <c r="Q41" i="22"/>
  <c r="I41" i="22"/>
  <c r="I42" i="22"/>
  <c r="P40" i="22"/>
  <c r="O40" i="22"/>
  <c r="H40" i="22"/>
  <c r="E40" i="22"/>
  <c r="N39" i="22"/>
  <c r="R39" i="22"/>
  <c r="K39" i="22"/>
  <c r="I39" i="22"/>
  <c r="R38" i="22"/>
  <c r="Q38" i="22"/>
  <c r="N38" i="22"/>
  <c r="N40" i="22"/>
  <c r="K38" i="22"/>
  <c r="I38" i="22"/>
  <c r="I40" i="22"/>
  <c r="P37" i="22"/>
  <c r="O37" i="22"/>
  <c r="H37" i="22"/>
  <c r="E37" i="22"/>
  <c r="N36" i="22"/>
  <c r="N37" i="22"/>
  <c r="K36" i="22"/>
  <c r="I36" i="22"/>
  <c r="I37" i="22"/>
  <c r="P35" i="22"/>
  <c r="O35" i="22"/>
  <c r="N35" i="22"/>
  <c r="H35" i="22"/>
  <c r="E35" i="22"/>
  <c r="S34" i="22"/>
  <c r="R34" i="22"/>
  <c r="Q34" i="22"/>
  <c r="Q35" i="22"/>
  <c r="N34" i="22"/>
  <c r="K34" i="22"/>
  <c r="I34" i="22"/>
  <c r="I35" i="22"/>
  <c r="P33" i="22"/>
  <c r="O33" i="22"/>
  <c r="H33" i="22"/>
  <c r="E33" i="22"/>
  <c r="R32" i="22"/>
  <c r="N32" i="22"/>
  <c r="Q32" i="22"/>
  <c r="K32" i="22"/>
  <c r="I32" i="22"/>
  <c r="I33" i="22"/>
  <c r="P31" i="22"/>
  <c r="O31" i="22"/>
  <c r="I31" i="22"/>
  <c r="H31" i="22"/>
  <c r="E31" i="22"/>
  <c r="N30" i="22"/>
  <c r="Q30" i="22"/>
  <c r="S30" i="22"/>
  <c r="I30" i="22"/>
  <c r="N29" i="22"/>
  <c r="Q29" i="22"/>
  <c r="I29" i="22"/>
  <c r="M42" i="1"/>
  <c r="M43" i="1"/>
  <c r="L42" i="1"/>
  <c r="L43" i="1"/>
  <c r="K42" i="1"/>
  <c r="K43" i="1"/>
  <c r="J42" i="1"/>
  <c r="J43" i="1"/>
  <c r="I40" i="1"/>
  <c r="K38" i="1"/>
  <c r="K37" i="1"/>
  <c r="K35" i="1"/>
  <c r="K33" i="1"/>
  <c r="K31" i="1"/>
  <c r="I29" i="1"/>
  <c r="I28" i="1"/>
  <c r="T16" i="2"/>
  <c r="I16" i="2"/>
  <c r="T15" i="2"/>
  <c r="I15" i="2"/>
  <c r="T14" i="2"/>
  <c r="I14" i="2"/>
  <c r="T13" i="2"/>
  <c r="I13" i="2"/>
  <c r="T12" i="2"/>
  <c r="I12" i="2"/>
  <c r="T11" i="2"/>
  <c r="I11" i="2"/>
  <c r="T10" i="2"/>
  <c r="I10" i="2"/>
  <c r="T9" i="2"/>
  <c r="I9" i="2"/>
  <c r="T8" i="2"/>
  <c r="I8" i="2"/>
  <c r="T7" i="2"/>
  <c r="I7" i="2"/>
  <c r="T6" i="2"/>
  <c r="I6" i="2"/>
  <c r="T5" i="2"/>
  <c r="I5" i="2"/>
  <c r="T44" i="24"/>
  <c r="W20" i="25"/>
  <c r="W23" i="25"/>
  <c r="W24" i="25"/>
  <c r="W44" i="25"/>
  <c r="X19" i="25"/>
  <c r="X20" i="25"/>
  <c r="X23" i="25"/>
  <c r="X24" i="25"/>
  <c r="X44" i="25"/>
  <c r="W37" i="24"/>
  <c r="W43" i="24"/>
  <c r="X36" i="24"/>
  <c r="X37" i="24"/>
  <c r="X43" i="24"/>
  <c r="W35" i="24"/>
  <c r="X34" i="24"/>
  <c r="X35" i="24"/>
  <c r="W6" i="24"/>
  <c r="W13" i="24"/>
  <c r="W24" i="24"/>
  <c r="X5" i="24"/>
  <c r="X6" i="24"/>
  <c r="X13" i="24"/>
  <c r="X24" i="24"/>
  <c r="U5" i="2"/>
  <c r="V5" i="2"/>
  <c r="U7" i="2"/>
  <c r="V7" i="2"/>
  <c r="U9" i="2"/>
  <c r="V9" i="2"/>
  <c r="U11" i="2"/>
  <c r="V11" i="2"/>
  <c r="U13" i="2"/>
  <c r="V13" i="2"/>
  <c r="U15" i="2"/>
  <c r="V15" i="2"/>
  <c r="V32" i="23"/>
  <c r="W32" i="23"/>
  <c r="X32" i="23"/>
  <c r="V41" i="23"/>
  <c r="W41" i="23"/>
  <c r="X41" i="23"/>
  <c r="W36" i="23"/>
  <c r="X36" i="23"/>
  <c r="W38" i="23"/>
  <c r="X38" i="23"/>
  <c r="W34" i="23"/>
  <c r="X34" i="23"/>
  <c r="W30" i="23"/>
  <c r="X30" i="23"/>
  <c r="Q33" i="23"/>
  <c r="S32" i="23"/>
  <c r="S41" i="23"/>
  <c r="S36" i="23"/>
  <c r="Q40" i="23"/>
  <c r="I43" i="23"/>
  <c r="I44" i="23"/>
  <c r="R40" i="23"/>
  <c r="R43" i="23"/>
  <c r="S29" i="23"/>
  <c r="Q34" i="23"/>
  <c r="R36" i="23"/>
  <c r="R37" i="23"/>
  <c r="Q37" i="23"/>
  <c r="S38" i="23"/>
  <c r="Q39" i="23"/>
  <c r="S39" i="23"/>
  <c r="R34" i="23"/>
  <c r="R35" i="23"/>
  <c r="U43" i="22"/>
  <c r="U21" i="22"/>
  <c r="U22" i="22"/>
  <c r="U23" i="22"/>
  <c r="U24" i="22"/>
  <c r="U44" i="22"/>
  <c r="V41" i="22"/>
  <c r="W41" i="22"/>
  <c r="X41" i="22"/>
  <c r="V38" i="22"/>
  <c r="W38" i="22"/>
  <c r="X38" i="22"/>
  <c r="V36" i="22"/>
  <c r="W36" i="22"/>
  <c r="X36" i="22"/>
  <c r="V34" i="22"/>
  <c r="W34" i="22"/>
  <c r="X34" i="22"/>
  <c r="V32" i="22"/>
  <c r="W32" i="22"/>
  <c r="X32" i="22"/>
  <c r="V30" i="22"/>
  <c r="W30" i="22"/>
  <c r="X30" i="22"/>
  <c r="W29" i="22"/>
  <c r="Q42" i="22"/>
  <c r="S41" i="22"/>
  <c r="I43" i="22"/>
  <c r="I44" i="22"/>
  <c r="S29" i="22"/>
  <c r="Q31" i="22"/>
  <c r="Q33" i="22"/>
  <c r="S32" i="22"/>
  <c r="Q40" i="22"/>
  <c r="N33" i="22"/>
  <c r="Q36" i="22"/>
  <c r="N31" i="22"/>
  <c r="N43" i="22"/>
  <c r="N44" i="22"/>
  <c r="R36" i="22"/>
  <c r="S38" i="22"/>
  <c r="Q39" i="22"/>
  <c r="S39" i="22"/>
  <c r="U6" i="2"/>
  <c r="V6" i="2"/>
  <c r="U8" i="2"/>
  <c r="V8" i="2"/>
  <c r="U10" i="2"/>
  <c r="V10" i="2"/>
  <c r="U12" i="2"/>
  <c r="V12" i="2"/>
  <c r="U14" i="2"/>
  <c r="V14" i="2"/>
  <c r="U16" i="2"/>
  <c r="V16" i="2"/>
  <c r="X44" i="24"/>
  <c r="W44" i="24"/>
  <c r="S34" i="23"/>
  <c r="Q35" i="23"/>
  <c r="Q43" i="23"/>
  <c r="Q44" i="23"/>
  <c r="V31" i="22"/>
  <c r="V43" i="22"/>
  <c r="V21" i="22"/>
  <c r="V22" i="22"/>
  <c r="V23" i="22"/>
  <c r="V24" i="22"/>
  <c r="V44" i="22"/>
  <c r="X29" i="22"/>
  <c r="X31" i="22"/>
  <c r="X43" i="22"/>
  <c r="W21" i="22"/>
  <c r="X21" i="22"/>
  <c r="X22" i="22"/>
  <c r="X23" i="22"/>
  <c r="X24" i="22"/>
  <c r="X44" i="22"/>
  <c r="W31" i="22"/>
  <c r="W43" i="22"/>
  <c r="W22" i="22"/>
  <c r="W23" i="22"/>
  <c r="W24" i="22"/>
  <c r="W44" i="22"/>
  <c r="S36" i="22"/>
  <c r="Q37" i="22"/>
  <c r="Q43" i="22"/>
  <c r="Q44" i="22"/>
  <c r="T19" i="22"/>
  <c r="T11" i="22"/>
  <c r="T5" i="22"/>
  <c r="G24" i="23"/>
  <c r="F24" i="23"/>
  <c r="K23" i="23"/>
  <c r="K24" i="23"/>
  <c r="J23" i="23"/>
  <c r="J24" i="23"/>
  <c r="E23" i="23"/>
  <c r="Z22" i="23"/>
  <c r="Y22" i="23"/>
  <c r="X22" i="23"/>
  <c r="W22" i="23"/>
  <c r="V22" i="23"/>
  <c r="U22" i="23"/>
  <c r="T22" i="23"/>
  <c r="N21" i="23"/>
  <c r="R21" i="23"/>
  <c r="K21" i="23"/>
  <c r="I21" i="23"/>
  <c r="Y20" i="23"/>
  <c r="Y23" i="23"/>
  <c r="Y24" i="23"/>
  <c r="U20" i="23"/>
  <c r="U23" i="23"/>
  <c r="P20" i="23"/>
  <c r="P23" i="23"/>
  <c r="P24" i="23"/>
  <c r="O20" i="23"/>
  <c r="O23" i="23"/>
  <c r="I20" i="23"/>
  <c r="I23" i="23"/>
  <c r="H20" i="23"/>
  <c r="H23" i="23"/>
  <c r="H24" i="23"/>
  <c r="E20" i="23"/>
  <c r="U19" i="23"/>
  <c r="N19" i="23"/>
  <c r="R19" i="23"/>
  <c r="K19" i="23"/>
  <c r="I19" i="23"/>
  <c r="Y13" i="23"/>
  <c r="P13" i="23"/>
  <c r="M13" i="23"/>
  <c r="M24" i="23"/>
  <c r="L13" i="23"/>
  <c r="L24" i="23"/>
  <c r="K13" i="23"/>
  <c r="J13" i="23"/>
  <c r="H13" i="23"/>
  <c r="G13" i="23"/>
  <c r="F13" i="23"/>
  <c r="Y12" i="23"/>
  <c r="R12" i="23"/>
  <c r="P12" i="23"/>
  <c r="O12" i="23"/>
  <c r="N12" i="23"/>
  <c r="H12" i="23"/>
  <c r="E12" i="23"/>
  <c r="U11" i="23"/>
  <c r="U12" i="23"/>
  <c r="R11" i="23"/>
  <c r="Q11" i="23"/>
  <c r="Q12" i="23"/>
  <c r="N11" i="23"/>
  <c r="K11" i="23"/>
  <c r="I11" i="23"/>
  <c r="I12" i="23"/>
  <c r="Y6" i="23"/>
  <c r="R6" i="23"/>
  <c r="R13" i="23"/>
  <c r="P6" i="23"/>
  <c r="O6" i="23"/>
  <c r="O13" i="23"/>
  <c r="N6" i="23"/>
  <c r="N13" i="23"/>
  <c r="H6" i="23"/>
  <c r="E6" i="23"/>
  <c r="E13" i="23"/>
  <c r="U5" i="23"/>
  <c r="U6" i="23"/>
  <c r="U13" i="23"/>
  <c r="R5" i="23"/>
  <c r="Q5" i="23"/>
  <c r="Q6" i="23"/>
  <c r="Q13" i="23"/>
  <c r="N5" i="23"/>
  <c r="K5" i="23"/>
  <c r="I5" i="23"/>
  <c r="I6" i="23"/>
  <c r="M24" i="22"/>
  <c r="L24" i="22"/>
  <c r="K23" i="22"/>
  <c r="K24" i="22"/>
  <c r="J23" i="22"/>
  <c r="J24" i="22"/>
  <c r="G23" i="22"/>
  <c r="G24" i="22"/>
  <c r="F23" i="22"/>
  <c r="F24" i="22"/>
  <c r="P22" i="22"/>
  <c r="P23" i="22"/>
  <c r="P24" i="22"/>
  <c r="O22" i="22"/>
  <c r="O23" i="22"/>
  <c r="O24" i="22"/>
  <c r="H22" i="22"/>
  <c r="H23" i="22"/>
  <c r="E22" i="22"/>
  <c r="E23" i="22"/>
  <c r="E24" i="22"/>
  <c r="R21" i="22"/>
  <c r="R22" i="22"/>
  <c r="N21" i="22"/>
  <c r="N22" i="22"/>
  <c r="K21" i="22"/>
  <c r="I21" i="22"/>
  <c r="I22" i="22"/>
  <c r="I23" i="22"/>
  <c r="I24" i="22"/>
  <c r="Y20" i="22"/>
  <c r="P20" i="22"/>
  <c r="O20" i="22"/>
  <c r="H20" i="22"/>
  <c r="E20" i="22"/>
  <c r="U19" i="22"/>
  <c r="U20" i="22"/>
  <c r="R19" i="22"/>
  <c r="R20" i="22"/>
  <c r="N19" i="22"/>
  <c r="N20" i="22"/>
  <c r="K19" i="22"/>
  <c r="I19" i="22"/>
  <c r="I20" i="22"/>
  <c r="Y12" i="22"/>
  <c r="Y13" i="22"/>
  <c r="U12" i="22"/>
  <c r="U13" i="22"/>
  <c r="P12" i="22"/>
  <c r="O12" i="22"/>
  <c r="I12" i="22"/>
  <c r="I13" i="22"/>
  <c r="H12" i="22"/>
  <c r="H13" i="22"/>
  <c r="E12" i="22"/>
  <c r="E13" i="22"/>
  <c r="U11" i="22"/>
  <c r="N11" i="22"/>
  <c r="R11" i="22"/>
  <c r="R12" i="22"/>
  <c r="R13" i="22"/>
  <c r="K11" i="22"/>
  <c r="I11" i="22"/>
  <c r="Y6" i="22"/>
  <c r="U6" i="22"/>
  <c r="P6" i="22"/>
  <c r="O6" i="22"/>
  <c r="I6" i="22"/>
  <c r="H6" i="22"/>
  <c r="E6" i="22"/>
  <c r="U5" i="22"/>
  <c r="N5" i="22"/>
  <c r="R5" i="22"/>
  <c r="R6" i="22"/>
  <c r="K5" i="22"/>
  <c r="I5" i="22"/>
  <c r="R20" i="23"/>
  <c r="R23" i="23"/>
  <c r="O24" i="23"/>
  <c r="I13" i="23"/>
  <c r="I24" i="23"/>
  <c r="U24" i="23"/>
  <c r="E24" i="23"/>
  <c r="V5" i="23"/>
  <c r="V6" i="23"/>
  <c r="S5" i="23"/>
  <c r="S6" i="23"/>
  <c r="S13" i="23"/>
  <c r="S11" i="23"/>
  <c r="S12" i="23"/>
  <c r="Q19" i="23"/>
  <c r="N20" i="23"/>
  <c r="N23" i="23"/>
  <c r="N24" i="23"/>
  <c r="Q21" i="23"/>
  <c r="S21" i="23"/>
  <c r="S22" i="23"/>
  <c r="V11" i="23"/>
  <c r="V12" i="23"/>
  <c r="N23" i="22"/>
  <c r="N24" i="22"/>
  <c r="H24" i="22"/>
  <c r="R23" i="22"/>
  <c r="R24" i="22"/>
  <c r="Q5" i="22"/>
  <c r="N6" i="22"/>
  <c r="Q11" i="22"/>
  <c r="N12" i="22"/>
  <c r="Q19" i="22"/>
  <c r="Q21" i="22"/>
  <c r="V13" i="23"/>
  <c r="S19" i="23"/>
  <c r="S20" i="23"/>
  <c r="Q20" i="23"/>
  <c r="Q23" i="23"/>
  <c r="Q24" i="23"/>
  <c r="T20" i="23"/>
  <c r="T23" i="23"/>
  <c r="Z5" i="23"/>
  <c r="Z6" i="23"/>
  <c r="T6" i="23"/>
  <c r="W5" i="23"/>
  <c r="Z19" i="23"/>
  <c r="Z20" i="23"/>
  <c r="Z23" i="23"/>
  <c r="V19" i="23"/>
  <c r="V20" i="23"/>
  <c r="V23" i="23"/>
  <c r="V24" i="23"/>
  <c r="Z11" i="23"/>
  <c r="Z12" i="23"/>
  <c r="T12" i="23"/>
  <c r="W11" i="23"/>
  <c r="S23" i="23"/>
  <c r="S24" i="23"/>
  <c r="S11" i="22"/>
  <c r="S12" i="22"/>
  <c r="S13" i="22"/>
  <c r="Q12" i="22"/>
  <c r="Z11" i="22"/>
  <c r="Z12" i="22"/>
  <c r="S21" i="22"/>
  <c r="S22" i="22"/>
  <c r="Q22" i="22"/>
  <c r="Q20" i="22"/>
  <c r="S19" i="22"/>
  <c r="S20" i="22"/>
  <c r="Z5" i="22"/>
  <c r="Z6" i="22"/>
  <c r="Q6" i="22"/>
  <c r="S5" i="22"/>
  <c r="S6" i="22"/>
  <c r="V19" i="21"/>
  <c r="W19" i="21"/>
  <c r="X19" i="21"/>
  <c r="U19" i="21"/>
  <c r="T19" i="21"/>
  <c r="Z19" i="21"/>
  <c r="Z13" i="23"/>
  <c r="Z13" i="22"/>
  <c r="W6" i="23"/>
  <c r="W13" i="23"/>
  <c r="X5" i="23"/>
  <c r="X6" i="23"/>
  <c r="T13" i="23"/>
  <c r="T24" i="23"/>
  <c r="W12" i="23"/>
  <c r="X11" i="23"/>
  <c r="X12" i="23"/>
  <c r="Z24" i="23"/>
  <c r="W19" i="23"/>
  <c r="Q13" i="22"/>
  <c r="T20" i="22"/>
  <c r="T6" i="22"/>
  <c r="V5" i="22"/>
  <c r="V6" i="22"/>
  <c r="S23" i="22"/>
  <c r="S24" i="22"/>
  <c r="V19" i="22"/>
  <c r="V20" i="22"/>
  <c r="Z19" i="22"/>
  <c r="Z20" i="22"/>
  <c r="Q23" i="22"/>
  <c r="T12" i="22"/>
  <c r="W11" i="22"/>
  <c r="V11" i="22"/>
  <c r="V12" i="22"/>
  <c r="V13" i="22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1" i="20"/>
  <c r="U22" i="20"/>
  <c r="U19" i="20"/>
  <c r="U20" i="20"/>
  <c r="U23" i="20"/>
  <c r="U24" i="20"/>
  <c r="V21" i="20"/>
  <c r="V22" i="20"/>
  <c r="V19" i="20"/>
  <c r="V20" i="20"/>
  <c r="V23" i="20"/>
  <c r="V24" i="20"/>
  <c r="W21" i="20"/>
  <c r="W22" i="20"/>
  <c r="W19" i="20"/>
  <c r="W20" i="20"/>
  <c r="W23" i="20"/>
  <c r="W24" i="20"/>
  <c r="X21" i="20"/>
  <c r="X22" i="20"/>
  <c r="X19" i="20"/>
  <c r="X20" i="20"/>
  <c r="X23" i="20"/>
  <c r="X24" i="20"/>
  <c r="Y22" i="20"/>
  <c r="Y23" i="20"/>
  <c r="Y24" i="20"/>
  <c r="Z24" i="20"/>
  <c r="E24" i="20"/>
  <c r="F22" i="1"/>
  <c r="G22" i="1"/>
  <c r="J22" i="1"/>
  <c r="K22" i="1"/>
  <c r="L22" i="1"/>
  <c r="M22" i="1"/>
  <c r="T13" i="22"/>
  <c r="W5" i="22"/>
  <c r="W20" i="23"/>
  <c r="W23" i="23"/>
  <c r="W24" i="23"/>
  <c r="X19" i="23"/>
  <c r="X20" i="23"/>
  <c r="X23" i="23"/>
  <c r="X13" i="23"/>
  <c r="W6" i="22"/>
  <c r="X5" i="22"/>
  <c r="X6" i="22"/>
  <c r="W12" i="22"/>
  <c r="X11" i="22"/>
  <c r="X12" i="22"/>
  <c r="Q24" i="22"/>
  <c r="W19" i="22"/>
  <c r="X24" i="23"/>
  <c r="X13" i="22"/>
  <c r="W13" i="22"/>
  <c r="W20" i="22"/>
  <c r="X19" i="22"/>
  <c r="X20" i="22"/>
  <c r="F24" i="21"/>
  <c r="G24" i="21"/>
  <c r="I24" i="21"/>
  <c r="L24" i="21"/>
  <c r="M24" i="21"/>
  <c r="S24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H13" i="21"/>
  <c r="E13" i="21"/>
  <c r="F13" i="21"/>
  <c r="G13" i="21"/>
  <c r="H23" i="21"/>
  <c r="H24" i="21"/>
  <c r="I23" i="21"/>
  <c r="J23" i="21"/>
  <c r="J24" i="21"/>
  <c r="K23" i="21"/>
  <c r="K24" i="21"/>
  <c r="E23" i="21"/>
  <c r="E24" i="21"/>
  <c r="Z22" i="21"/>
  <c r="S22" i="21"/>
  <c r="U22" i="21"/>
  <c r="Y22" i="21"/>
  <c r="S20" i="21"/>
  <c r="T20" i="21"/>
  <c r="U20" i="21"/>
  <c r="V20" i="21"/>
  <c r="X20" i="21"/>
  <c r="Y20" i="21"/>
  <c r="Z20" i="21"/>
  <c r="T22" i="21"/>
  <c r="R21" i="21"/>
  <c r="N21" i="21"/>
  <c r="Q21" i="21"/>
  <c r="K21" i="21"/>
  <c r="I21" i="21"/>
  <c r="P20" i="21"/>
  <c r="O20" i="21"/>
  <c r="N20" i="21"/>
  <c r="H20" i="21"/>
  <c r="E20" i="21"/>
  <c r="R19" i="21"/>
  <c r="R20" i="21"/>
  <c r="Q19" i="21"/>
  <c r="S19" i="21"/>
  <c r="N19" i="21"/>
  <c r="K19" i="21"/>
  <c r="I19" i="21"/>
  <c r="I20" i="21"/>
  <c r="Z21" i="20"/>
  <c r="Z19" i="20"/>
  <c r="T19" i="20"/>
  <c r="F23" i="20"/>
  <c r="G23" i="20"/>
  <c r="H23" i="20"/>
  <c r="I23" i="20"/>
  <c r="J23" i="20"/>
  <c r="K23" i="20"/>
  <c r="N23" i="20"/>
  <c r="O23" i="20"/>
  <c r="P23" i="20"/>
  <c r="Q23" i="20"/>
  <c r="R23" i="20"/>
  <c r="S23" i="20"/>
  <c r="T23" i="20"/>
  <c r="Z23" i="20"/>
  <c r="E23" i="20"/>
  <c r="R22" i="20"/>
  <c r="S22" i="20"/>
  <c r="T22" i="20"/>
  <c r="Z22" i="20"/>
  <c r="T21" i="20"/>
  <c r="R20" i="20"/>
  <c r="S20" i="20"/>
  <c r="T20" i="20"/>
  <c r="Z20" i="20"/>
  <c r="P22" i="20"/>
  <c r="O22" i="20"/>
  <c r="N22" i="20"/>
  <c r="H22" i="20"/>
  <c r="E22" i="20"/>
  <c r="R21" i="20"/>
  <c r="N21" i="20"/>
  <c r="Q21" i="20"/>
  <c r="K21" i="20"/>
  <c r="I21" i="20"/>
  <c r="I22" i="20"/>
  <c r="P20" i="20"/>
  <c r="O20" i="20"/>
  <c r="N20" i="20"/>
  <c r="H20" i="20"/>
  <c r="E20" i="20"/>
  <c r="R19" i="20"/>
  <c r="Q19" i="20"/>
  <c r="S19" i="20"/>
  <c r="N19" i="20"/>
  <c r="K19" i="20"/>
  <c r="I19" i="20"/>
  <c r="I20" i="20"/>
  <c r="K20" i="1"/>
  <c r="U23" i="21"/>
  <c r="U24" i="21"/>
  <c r="Z23" i="21"/>
  <c r="Z24" i="21"/>
  <c r="T23" i="21"/>
  <c r="T24" i="21"/>
  <c r="Y23" i="21"/>
  <c r="Y24" i="21"/>
  <c r="O23" i="21"/>
  <c r="O24" i="21"/>
  <c r="R23" i="21"/>
  <c r="R24" i="21"/>
  <c r="P23" i="21"/>
  <c r="P24" i="21"/>
  <c r="S23" i="21"/>
  <c r="V22" i="21"/>
  <c r="V23" i="21"/>
  <c r="V24" i="21"/>
  <c r="W20" i="21"/>
  <c r="S21" i="21"/>
  <c r="Q20" i="21"/>
  <c r="N23" i="21"/>
  <c r="N24" i="21"/>
  <c r="S21" i="20"/>
  <c r="Q22" i="20"/>
  <c r="Q20" i="20"/>
  <c r="T11" i="21"/>
  <c r="T5" i="21"/>
  <c r="Y12" i="21"/>
  <c r="U12" i="21"/>
  <c r="P12" i="21"/>
  <c r="O12" i="21"/>
  <c r="H12" i="21"/>
  <c r="E12" i="21"/>
  <c r="U11" i="21"/>
  <c r="R11" i="21"/>
  <c r="R12" i="21"/>
  <c r="N11" i="21"/>
  <c r="N12" i="21"/>
  <c r="K11" i="21"/>
  <c r="I11" i="21"/>
  <c r="I12" i="21"/>
  <c r="Y6" i="21"/>
  <c r="U6" i="21"/>
  <c r="P6" i="21"/>
  <c r="O6" i="21"/>
  <c r="H6" i="21"/>
  <c r="E6" i="21"/>
  <c r="U5" i="21"/>
  <c r="R5" i="21"/>
  <c r="R6" i="21"/>
  <c r="N5" i="21"/>
  <c r="N6" i="21"/>
  <c r="K5" i="21"/>
  <c r="I5" i="21"/>
  <c r="I6" i="21"/>
  <c r="T11" i="20"/>
  <c r="U5" i="20"/>
  <c r="T5" i="20"/>
  <c r="Y12" i="20"/>
  <c r="Y13" i="20"/>
  <c r="U12" i="20"/>
  <c r="U13" i="20"/>
  <c r="P12" i="20"/>
  <c r="O12" i="20"/>
  <c r="H12" i="20"/>
  <c r="H13" i="20"/>
  <c r="E12" i="20"/>
  <c r="E13" i="20"/>
  <c r="U11" i="20"/>
  <c r="R11" i="20"/>
  <c r="R12" i="20"/>
  <c r="R13" i="20"/>
  <c r="N11" i="20"/>
  <c r="N12" i="20"/>
  <c r="K11" i="20"/>
  <c r="I11" i="20"/>
  <c r="I12" i="20"/>
  <c r="Y6" i="20"/>
  <c r="U6" i="20"/>
  <c r="P6" i="20"/>
  <c r="O6" i="20"/>
  <c r="H6" i="20"/>
  <c r="E6" i="20"/>
  <c r="R5" i="20"/>
  <c r="R6" i="20"/>
  <c r="N5" i="20"/>
  <c r="N6" i="20"/>
  <c r="K5" i="20"/>
  <c r="I5" i="20"/>
  <c r="I6" i="20"/>
  <c r="W22" i="21"/>
  <c r="W23" i="21"/>
  <c r="W24" i="21"/>
  <c r="X22" i="21"/>
  <c r="X23" i="21"/>
  <c r="X24" i="21"/>
  <c r="Q23" i="21"/>
  <c r="Q24" i="21"/>
  <c r="V5" i="21"/>
  <c r="V6" i="21"/>
  <c r="V11" i="21"/>
  <c r="V12" i="21"/>
  <c r="Q5" i="21"/>
  <c r="Z5" i="21"/>
  <c r="Z6" i="21"/>
  <c r="Q11" i="21"/>
  <c r="Z11" i="21"/>
  <c r="Z12" i="21"/>
  <c r="I13" i="20"/>
  <c r="Q5" i="20"/>
  <c r="Q11" i="20"/>
  <c r="K18" i="1"/>
  <c r="Q12" i="21"/>
  <c r="S11" i="21"/>
  <c r="S12" i="21"/>
  <c r="T12" i="21"/>
  <c r="W11" i="21"/>
  <c r="Q6" i="21"/>
  <c r="S5" i="21"/>
  <c r="S6" i="21"/>
  <c r="T6" i="21"/>
  <c r="W5" i="21"/>
  <c r="Z5" i="20"/>
  <c r="Z6" i="20"/>
  <c r="Q6" i="20"/>
  <c r="S5" i="20"/>
  <c r="S6" i="20"/>
  <c r="Z11" i="20"/>
  <c r="Z12" i="20"/>
  <c r="Q12" i="20"/>
  <c r="Q13" i="20"/>
  <c r="S11" i="20"/>
  <c r="S12" i="20"/>
  <c r="U5" i="18"/>
  <c r="V5" i="18"/>
  <c r="T5" i="18"/>
  <c r="W6" i="21"/>
  <c r="X5" i="21"/>
  <c r="X6" i="21"/>
  <c r="W12" i="21"/>
  <c r="X11" i="21"/>
  <c r="X12" i="21"/>
  <c r="T6" i="20"/>
  <c r="V5" i="20"/>
  <c r="V6" i="20"/>
  <c r="S13" i="20"/>
  <c r="Z13" i="20"/>
  <c r="T12" i="20"/>
  <c r="V11" i="20"/>
  <c r="V12" i="20"/>
  <c r="T11" i="19"/>
  <c r="N11" i="19"/>
  <c r="R11" i="19"/>
  <c r="R12" i="19"/>
  <c r="K11" i="19"/>
  <c r="I11" i="19"/>
  <c r="Y12" i="19"/>
  <c r="P12" i="19"/>
  <c r="O12" i="19"/>
  <c r="H12" i="19"/>
  <c r="E12" i="19"/>
  <c r="U11" i="19"/>
  <c r="U12" i="19"/>
  <c r="I12" i="19"/>
  <c r="T5" i="19"/>
  <c r="W11" i="20"/>
  <c r="W12" i="20"/>
  <c r="V13" i="20"/>
  <c r="W5" i="20"/>
  <c r="W6" i="20"/>
  <c r="X5" i="20"/>
  <c r="X6" i="20"/>
  <c r="T13" i="20"/>
  <c r="N12" i="19"/>
  <c r="Q11" i="19"/>
  <c r="S11" i="19"/>
  <c r="Z11" i="19"/>
  <c r="Z12" i="19"/>
  <c r="V11" i="19"/>
  <c r="V12" i="19"/>
  <c r="X11" i="20"/>
  <c r="X12" i="20"/>
  <c r="X13" i="20"/>
  <c r="W13" i="20"/>
  <c r="Q12" i="19"/>
  <c r="S12" i="19"/>
  <c r="T12" i="19"/>
  <c r="W11" i="19"/>
  <c r="W12" i="19"/>
  <c r="X11" i="19"/>
  <c r="X12" i="19"/>
  <c r="J13" i="1"/>
  <c r="K13" i="1"/>
  <c r="L13" i="1"/>
  <c r="M13" i="1"/>
  <c r="Y13" i="18"/>
  <c r="S13" i="18"/>
  <c r="R13" i="18"/>
  <c r="Q13" i="18"/>
  <c r="I13" i="18"/>
  <c r="H13" i="18"/>
  <c r="E13" i="18"/>
  <c r="U11" i="18"/>
  <c r="N11" i="18"/>
  <c r="R11" i="18"/>
  <c r="R12" i="18"/>
  <c r="K11" i="18"/>
  <c r="I11" i="18"/>
  <c r="I12" i="18"/>
  <c r="Y12" i="18"/>
  <c r="U12" i="18"/>
  <c r="P12" i="18"/>
  <c r="O12" i="18"/>
  <c r="H12" i="18"/>
  <c r="E12" i="18"/>
  <c r="Y6" i="19"/>
  <c r="U6" i="19"/>
  <c r="P6" i="19"/>
  <c r="O6" i="19"/>
  <c r="H6" i="19"/>
  <c r="E6" i="19"/>
  <c r="U5" i="19"/>
  <c r="R5" i="19"/>
  <c r="R6" i="19"/>
  <c r="N5" i="19"/>
  <c r="N6" i="19"/>
  <c r="K5" i="19"/>
  <c r="I5" i="19"/>
  <c r="I6" i="19"/>
  <c r="Y6" i="18"/>
  <c r="P6" i="18"/>
  <c r="O6" i="18"/>
  <c r="H6" i="18"/>
  <c r="E6" i="18"/>
  <c r="U6" i="18"/>
  <c r="U13" i="18"/>
  <c r="N5" i="18"/>
  <c r="N6" i="18"/>
  <c r="K5" i="18"/>
  <c r="I5" i="18"/>
  <c r="I6" i="18"/>
  <c r="R5" i="18"/>
  <c r="R6" i="18"/>
  <c r="Q11" i="18"/>
  <c r="N12" i="18"/>
  <c r="Q5" i="19"/>
  <c r="Q5" i="18"/>
  <c r="K11" i="1"/>
  <c r="S11" i="18"/>
  <c r="T11" i="18"/>
  <c r="Z11" i="18"/>
  <c r="V11" i="18"/>
  <c r="W11" i="18"/>
  <c r="X11" i="18"/>
  <c r="Z12" i="18"/>
  <c r="Q12" i="18"/>
  <c r="S12" i="18"/>
  <c r="S5" i="19"/>
  <c r="S6" i="19"/>
  <c r="Q6" i="19"/>
  <c r="T6" i="19"/>
  <c r="V5" i="19"/>
  <c r="V6" i="19"/>
  <c r="Z5" i="19"/>
  <c r="Z6" i="19"/>
  <c r="Z5" i="18"/>
  <c r="Z6" i="18"/>
  <c r="Z13" i="18"/>
  <c r="Q6" i="18"/>
  <c r="V6" i="18"/>
  <c r="V13" i="18"/>
  <c r="S5" i="18"/>
  <c r="S6" i="18"/>
  <c r="T5" i="16"/>
  <c r="Z5" i="16"/>
  <c r="U5" i="16"/>
  <c r="Y6" i="16"/>
  <c r="T6" i="17"/>
  <c r="U6" i="17"/>
  <c r="V6" i="17"/>
  <c r="W6" i="17"/>
  <c r="X6" i="17"/>
  <c r="Y6" i="17"/>
  <c r="Z6" i="17"/>
  <c r="T5" i="17"/>
  <c r="Z5" i="17"/>
  <c r="U5" i="17"/>
  <c r="P6" i="16"/>
  <c r="O6" i="16"/>
  <c r="N6" i="16"/>
  <c r="H6" i="16"/>
  <c r="E6" i="16"/>
  <c r="N5" i="16"/>
  <c r="R5" i="16"/>
  <c r="R6" i="16"/>
  <c r="K5" i="16"/>
  <c r="I5" i="16"/>
  <c r="I6" i="16"/>
  <c r="P6" i="17"/>
  <c r="O6" i="17"/>
  <c r="N6" i="17"/>
  <c r="H6" i="17"/>
  <c r="E6" i="17"/>
  <c r="N5" i="17"/>
  <c r="R5" i="17"/>
  <c r="R6" i="17"/>
  <c r="K5" i="17"/>
  <c r="I5" i="17"/>
  <c r="I6" i="17"/>
  <c r="W5" i="19"/>
  <c r="W6" i="19"/>
  <c r="V12" i="18"/>
  <c r="T12" i="18"/>
  <c r="T6" i="18"/>
  <c r="T13" i="18"/>
  <c r="W5" i="18"/>
  <c r="V5" i="16"/>
  <c r="W5" i="16"/>
  <c r="X5" i="16"/>
  <c r="T6" i="16"/>
  <c r="U6" i="16"/>
  <c r="Z6" i="16"/>
  <c r="V5" i="17"/>
  <c r="W5" i="17"/>
  <c r="X5" i="17"/>
  <c r="Q5" i="16"/>
  <c r="Q5" i="17"/>
  <c r="X5" i="19"/>
  <c r="X6" i="19"/>
  <c r="W12" i="18"/>
  <c r="X12" i="18"/>
  <c r="W6" i="18"/>
  <c r="W13" i="18"/>
  <c r="X5" i="18"/>
  <c r="X6" i="18"/>
  <c r="X13" i="18"/>
  <c r="V6" i="16"/>
  <c r="Q6" i="16"/>
  <c r="S5" i="16"/>
  <c r="S6" i="16"/>
  <c r="Q6" i="17"/>
  <c r="S5" i="17"/>
  <c r="S6" i="17"/>
  <c r="W6" i="16"/>
  <c r="X6" i="16"/>
  <c r="K5" i="1"/>
  <c r="S124" i="1"/>
  <c r="V86" i="1"/>
  <c r="I70" i="1"/>
  <c r="I74" i="1"/>
  <c r="I75" i="1"/>
  <c r="Q108" i="1"/>
  <c r="N109" i="1"/>
  <c r="T74" i="1"/>
  <c r="T75" i="1"/>
  <c r="E43" i="1"/>
  <c r="V42" i="1"/>
  <c r="V43" i="1"/>
  <c r="R23" i="1"/>
  <c r="Q19" i="1"/>
  <c r="S18" i="1"/>
  <c r="S19" i="1"/>
  <c r="S22" i="1"/>
  <c r="S67" i="1"/>
  <c r="Q82" i="1"/>
  <c r="Q85" i="1"/>
  <c r="S81" i="1"/>
  <c r="S82" i="1"/>
  <c r="S85" i="1"/>
  <c r="O42" i="1"/>
  <c r="V112" i="1"/>
  <c r="U107" i="1"/>
  <c r="S110" i="1"/>
  <c r="S111" i="1"/>
  <c r="U110" i="1"/>
  <c r="U111" i="1"/>
  <c r="Q111" i="1"/>
  <c r="S127" i="1"/>
  <c r="U122" i="1"/>
  <c r="S122" i="1"/>
  <c r="U126" i="1"/>
  <c r="S126" i="1"/>
  <c r="N6" i="1"/>
  <c r="N13" i="1"/>
  <c r="N23" i="1"/>
  <c r="Q5" i="1"/>
  <c r="R5" i="1"/>
  <c r="R6" i="1"/>
  <c r="I86" i="1"/>
  <c r="U123" i="1"/>
  <c r="S123" i="1"/>
  <c r="T86" i="1"/>
  <c r="R12" i="1"/>
  <c r="R13" i="1"/>
  <c r="S11" i="1"/>
  <c r="S12" i="1"/>
  <c r="R73" i="1"/>
  <c r="Q22" i="1"/>
  <c r="Q36" i="1"/>
  <c r="S35" i="1"/>
  <c r="S36" i="1"/>
  <c r="S72" i="1"/>
  <c r="S73" i="1"/>
  <c r="Q37" i="1"/>
  <c r="N39" i="1"/>
  <c r="N42" i="1"/>
  <c r="H74" i="1"/>
  <c r="H112" i="1"/>
  <c r="R107" i="1"/>
  <c r="R112" i="1"/>
  <c r="Q128" i="1"/>
  <c r="V75" i="1"/>
  <c r="N50" i="1"/>
  <c r="Q49" i="1"/>
  <c r="R49" i="1"/>
  <c r="R50" i="1"/>
  <c r="E75" i="1"/>
  <c r="E86" i="1"/>
  <c r="E113" i="1"/>
  <c r="V22" i="1"/>
  <c r="V23" i="1"/>
  <c r="R37" i="1"/>
  <c r="R39" i="1"/>
  <c r="R42" i="1"/>
  <c r="Q32" i="1"/>
  <c r="S31" i="1"/>
  <c r="S32" i="1"/>
  <c r="Q73" i="1"/>
  <c r="Q55" i="1"/>
  <c r="S54" i="1"/>
  <c r="S55" i="1"/>
  <c r="S59" i="1"/>
  <c r="P74" i="1"/>
  <c r="P75" i="1"/>
  <c r="P86" i="1"/>
  <c r="P113" i="1"/>
  <c r="O22" i="1"/>
  <c r="O23" i="1"/>
  <c r="Q68" i="1"/>
  <c r="R68" i="1"/>
  <c r="Q64" i="1"/>
  <c r="R64" i="1"/>
  <c r="Q60" i="1"/>
  <c r="R60" i="1"/>
  <c r="Q56" i="1"/>
  <c r="R56" i="1"/>
  <c r="N70" i="1"/>
  <c r="N74" i="1"/>
  <c r="I112" i="1"/>
  <c r="I113" i="1"/>
  <c r="H43" i="1"/>
  <c r="T113" i="1"/>
  <c r="S107" i="1"/>
  <c r="Q131" i="1"/>
  <c r="Q135" i="1"/>
  <c r="Q136" i="1"/>
  <c r="U130" i="1"/>
  <c r="U129" i="1"/>
  <c r="S129" i="1"/>
  <c r="U134" i="1"/>
  <c r="Q134" i="1"/>
  <c r="S134" i="1"/>
  <c r="U56" i="1"/>
  <c r="U70" i="1"/>
  <c r="Q70" i="1"/>
  <c r="S56" i="1"/>
  <c r="U64" i="1"/>
  <c r="S64" i="1"/>
  <c r="N43" i="1"/>
  <c r="S112" i="1"/>
  <c r="R43" i="1"/>
  <c r="H113" i="1"/>
  <c r="Q39" i="1"/>
  <c r="Q42" i="1"/>
  <c r="Q43" i="1"/>
  <c r="S37" i="1"/>
  <c r="S39" i="1"/>
  <c r="S42" i="1"/>
  <c r="Q109" i="1"/>
  <c r="S108" i="1"/>
  <c r="S109" i="1"/>
  <c r="U108" i="1"/>
  <c r="U109" i="1"/>
  <c r="N75" i="1"/>
  <c r="N86" i="1"/>
  <c r="N113" i="1"/>
  <c r="U60" i="1"/>
  <c r="S60" i="1"/>
  <c r="S68" i="1"/>
  <c r="U68" i="1"/>
  <c r="Q50" i="1"/>
  <c r="S49" i="1"/>
  <c r="S50" i="1"/>
  <c r="U49" i="1"/>
  <c r="U50" i="1"/>
  <c r="H75" i="1"/>
  <c r="H86" i="1"/>
  <c r="Q23" i="1"/>
  <c r="Q112" i="1"/>
  <c r="V113" i="1"/>
  <c r="O43" i="1"/>
  <c r="O75" i="1"/>
  <c r="O86" i="1"/>
  <c r="O113" i="1"/>
  <c r="R70" i="1"/>
  <c r="R74" i="1"/>
  <c r="R75" i="1"/>
  <c r="R86" i="1"/>
  <c r="R113" i="1"/>
  <c r="U128" i="1"/>
  <c r="U131" i="1"/>
  <c r="U135" i="1"/>
  <c r="U136" i="1"/>
  <c r="S128" i="1"/>
  <c r="S131" i="1"/>
  <c r="S135" i="1"/>
  <c r="S136" i="1"/>
  <c r="Q6" i="1"/>
  <c r="Q13" i="1"/>
  <c r="S5" i="1"/>
  <c r="S6" i="1"/>
  <c r="S13" i="1"/>
  <c r="S23" i="1"/>
  <c r="U112" i="1"/>
  <c r="S43" i="1"/>
  <c r="Q74" i="1"/>
  <c r="Q75" i="1"/>
  <c r="Q86" i="1"/>
  <c r="U113" i="1"/>
  <c r="U74" i="1"/>
  <c r="U75" i="1"/>
  <c r="U86" i="1"/>
  <c r="Q113" i="1"/>
  <c r="S70" i="1"/>
  <c r="S74" i="1"/>
  <c r="S75" i="1"/>
  <c r="S86" i="1"/>
  <c r="S113" i="1"/>
  <c r="W109" i="31"/>
  <c r="W110" i="31"/>
  <c r="Z43" i="31"/>
  <c r="W32" i="31"/>
  <c r="T13" i="31"/>
  <c r="S74" i="31"/>
  <c r="S75" i="31"/>
  <c r="S85" i="31"/>
  <c r="W12" i="31"/>
  <c r="X11" i="31"/>
  <c r="X12" i="31"/>
  <c r="W82" i="31"/>
  <c r="T43" i="31"/>
  <c r="W37" i="31"/>
  <c r="X36" i="31"/>
  <c r="X37" i="31"/>
  <c r="N136" i="31"/>
  <c r="V24" i="31"/>
  <c r="W119" i="31"/>
  <c r="X118" i="31"/>
  <c r="X119" i="31"/>
  <c r="V93" i="31"/>
  <c r="W93" i="31"/>
  <c r="X93" i="31"/>
  <c r="T106" i="31"/>
  <c r="W6" i="31"/>
  <c r="W13" i="31"/>
  <c r="X5" i="31"/>
  <c r="X6" i="31"/>
  <c r="S112" i="31"/>
  <c r="S136" i="31"/>
  <c r="T121" i="31"/>
  <c r="T135" i="31"/>
  <c r="W131" i="31"/>
  <c r="X122" i="31"/>
  <c r="X131" i="31"/>
  <c r="V64" i="31"/>
  <c r="W64" i="31"/>
  <c r="X64" i="31"/>
  <c r="V92" i="31"/>
  <c r="W92" i="31"/>
  <c r="X92" i="31"/>
  <c r="V98" i="31"/>
  <c r="W98" i="31"/>
  <c r="X98" i="31"/>
  <c r="W54" i="31"/>
  <c r="R75" i="31"/>
  <c r="R85" i="31"/>
  <c r="W19" i="31"/>
  <c r="T20" i="31"/>
  <c r="T23" i="31"/>
  <c r="T24" i="31"/>
  <c r="W49" i="31"/>
  <c r="V60" i="31"/>
  <c r="W60" i="31"/>
  <c r="X60" i="31"/>
  <c r="U106" i="31"/>
  <c r="U111" i="31"/>
  <c r="U112" i="31"/>
  <c r="R112" i="31"/>
  <c r="T111" i="31"/>
  <c r="W33" i="31"/>
  <c r="X32" i="31"/>
  <c r="X33" i="31"/>
  <c r="U136" i="31"/>
  <c r="X38" i="31"/>
  <c r="Q112" i="31"/>
  <c r="Q136" i="31"/>
  <c r="Z64" i="31"/>
  <c r="W39" i="31"/>
  <c r="X39" i="31"/>
  <c r="W34" i="31"/>
  <c r="T70" i="31"/>
  <c r="T74" i="31"/>
  <c r="W56" i="31"/>
  <c r="R136" i="31"/>
  <c r="V40" i="31"/>
  <c r="V43" i="31"/>
  <c r="W62" i="31"/>
  <c r="X62" i="31"/>
  <c r="W58" i="31"/>
  <c r="X58" i="31"/>
  <c r="V120" i="31"/>
  <c r="V121" i="31"/>
  <c r="Z19" i="31"/>
  <c r="Z20" i="31"/>
  <c r="Z23" i="31"/>
  <c r="Z24" i="31"/>
  <c r="Q74" i="31"/>
  <c r="Q75" i="31"/>
  <c r="Q85" i="31"/>
  <c r="Z60" i="31"/>
  <c r="V131" i="31"/>
  <c r="V135" i="31"/>
  <c r="W104" i="31"/>
  <c r="X104" i="31"/>
  <c r="V90" i="31"/>
  <c r="W90" i="31"/>
  <c r="W41" i="30"/>
  <c r="W42" i="30"/>
  <c r="S24" i="30"/>
  <c r="N75" i="30"/>
  <c r="N112" i="30"/>
  <c r="U102" i="30"/>
  <c r="V102" i="30"/>
  <c r="S102" i="30"/>
  <c r="T130" i="30"/>
  <c r="V97" i="30"/>
  <c r="W97" i="30"/>
  <c r="X97" i="30"/>
  <c r="S36" i="30"/>
  <c r="S37" i="30"/>
  <c r="Z36" i="30"/>
  <c r="Z37" i="30"/>
  <c r="Q37" i="30"/>
  <c r="Z52" i="30"/>
  <c r="Z53" i="30"/>
  <c r="R75" i="30"/>
  <c r="V98" i="30"/>
  <c r="U98" i="30"/>
  <c r="S98" i="30"/>
  <c r="T108" i="30"/>
  <c r="V107" i="30"/>
  <c r="V108" i="30"/>
  <c r="V131" i="30"/>
  <c r="W129" i="30"/>
  <c r="X129" i="30"/>
  <c r="W127" i="30"/>
  <c r="X127" i="30"/>
  <c r="W100" i="30"/>
  <c r="X100" i="30"/>
  <c r="S119" i="30"/>
  <c r="S120" i="30"/>
  <c r="W93" i="30"/>
  <c r="X93" i="30"/>
  <c r="V92" i="30"/>
  <c r="W92" i="30"/>
  <c r="X92" i="30"/>
  <c r="R83" i="30"/>
  <c r="R84" i="30"/>
  <c r="R85" i="30"/>
  <c r="S82" i="30"/>
  <c r="S83" i="30"/>
  <c r="Z72" i="30"/>
  <c r="S95" i="30"/>
  <c r="U95" i="30"/>
  <c r="V95" i="30"/>
  <c r="W57" i="30"/>
  <c r="X57" i="30"/>
  <c r="Q43" i="30"/>
  <c r="W19" i="30"/>
  <c r="Z19" i="30"/>
  <c r="Z20" i="30"/>
  <c r="T20" i="30"/>
  <c r="U44" i="30"/>
  <c r="Z58" i="30"/>
  <c r="W56" i="30"/>
  <c r="Z56" i="30"/>
  <c r="T50" i="30"/>
  <c r="W49" i="30"/>
  <c r="W62" i="30"/>
  <c r="X62" i="30"/>
  <c r="V39" i="30"/>
  <c r="W39" i="30"/>
  <c r="X39" i="30"/>
  <c r="T118" i="30"/>
  <c r="H75" i="30"/>
  <c r="S11" i="30"/>
  <c r="S12" i="30"/>
  <c r="S13" i="30"/>
  <c r="Q12" i="30"/>
  <c r="Q13" i="30"/>
  <c r="Z11" i="30"/>
  <c r="Z12" i="30"/>
  <c r="I135" i="30"/>
  <c r="W124" i="30"/>
  <c r="X124" i="30"/>
  <c r="V121" i="30"/>
  <c r="Q134" i="30"/>
  <c r="W125" i="30"/>
  <c r="X125" i="30"/>
  <c r="V123" i="30"/>
  <c r="W123" i="30"/>
  <c r="X123" i="30"/>
  <c r="V82" i="30"/>
  <c r="V83" i="30"/>
  <c r="W72" i="30"/>
  <c r="X72" i="30"/>
  <c r="W126" i="30"/>
  <c r="X126" i="30"/>
  <c r="V117" i="30"/>
  <c r="V118" i="30"/>
  <c r="W101" i="30"/>
  <c r="X101" i="30"/>
  <c r="S32" i="30"/>
  <c r="S33" i="30"/>
  <c r="Q33" i="30"/>
  <c r="E85" i="30"/>
  <c r="E112" i="30"/>
  <c r="E135" i="30"/>
  <c r="V68" i="30"/>
  <c r="W68" i="30"/>
  <c r="X68" i="30"/>
  <c r="W60" i="30"/>
  <c r="X60" i="30"/>
  <c r="U74" i="30"/>
  <c r="I44" i="30"/>
  <c r="I75" i="30"/>
  <c r="V58" i="30"/>
  <c r="W58" i="30"/>
  <c r="X58" i="30"/>
  <c r="V52" i="30"/>
  <c r="W52" i="30"/>
  <c r="X52" i="30"/>
  <c r="S34" i="30"/>
  <c r="S35" i="30"/>
  <c r="Q35" i="30"/>
  <c r="Z34" i="30"/>
  <c r="Z35" i="30"/>
  <c r="Z29" i="30"/>
  <c r="Z31" i="30"/>
  <c r="S29" i="30"/>
  <c r="S31" i="30"/>
  <c r="Q31" i="30"/>
  <c r="V29" i="30"/>
  <c r="V31" i="30"/>
  <c r="Q23" i="30"/>
  <c r="P85" i="30"/>
  <c r="P112" i="30"/>
  <c r="P135" i="30"/>
  <c r="Z62" i="30"/>
  <c r="Z57" i="30"/>
  <c r="U128" i="30"/>
  <c r="U130" i="30"/>
  <c r="U134" i="30"/>
  <c r="S128" i="30"/>
  <c r="W94" i="30"/>
  <c r="X94" i="30"/>
  <c r="W104" i="30"/>
  <c r="X104" i="30"/>
  <c r="S69" i="30"/>
  <c r="S70" i="30"/>
  <c r="S74" i="30"/>
  <c r="Z5" i="30"/>
  <c r="Z6" i="30"/>
  <c r="S5" i="30"/>
  <c r="S6" i="30"/>
  <c r="Q6" i="30"/>
  <c r="V5" i="30"/>
  <c r="V6" i="30"/>
  <c r="T53" i="30"/>
  <c r="T22" i="30"/>
  <c r="T23" i="30"/>
  <c r="Z21" i="30"/>
  <c r="Z22" i="30"/>
  <c r="U109" i="30"/>
  <c r="U110" i="30"/>
  <c r="Q110" i="30"/>
  <c r="S109" i="30"/>
  <c r="S110" i="30"/>
  <c r="V105" i="30"/>
  <c r="W105" i="30"/>
  <c r="X105" i="30"/>
  <c r="N135" i="30"/>
  <c r="S121" i="30"/>
  <c r="V132" i="30"/>
  <c r="W132" i="30"/>
  <c r="X132" i="30"/>
  <c r="W122" i="30"/>
  <c r="X122" i="30"/>
  <c r="V94" i="30"/>
  <c r="W119" i="30"/>
  <c r="T120" i="30"/>
  <c r="S103" i="30"/>
  <c r="U103" i="30"/>
  <c r="W96" i="30"/>
  <c r="X96" i="30"/>
  <c r="S99" i="30"/>
  <c r="U99" i="30"/>
  <c r="V99" i="30"/>
  <c r="S91" i="30"/>
  <c r="U91" i="30"/>
  <c r="S80" i="30"/>
  <c r="S81" i="30"/>
  <c r="S84" i="30"/>
  <c r="T81" i="30"/>
  <c r="T84" i="30"/>
  <c r="V80" i="30"/>
  <c r="V81" i="30"/>
  <c r="Q81" i="30"/>
  <c r="Q84" i="30"/>
  <c r="Q85" i="30"/>
  <c r="U81" i="30"/>
  <c r="U84" i="30"/>
  <c r="U85" i="30"/>
  <c r="S71" i="30"/>
  <c r="S73" i="30"/>
  <c r="Q73" i="30"/>
  <c r="R106" i="30"/>
  <c r="R111" i="30"/>
  <c r="R112" i="30"/>
  <c r="R135" i="30"/>
  <c r="Q106" i="30"/>
  <c r="U90" i="30"/>
  <c r="S90" i="30"/>
  <c r="H85" i="30"/>
  <c r="H112" i="30"/>
  <c r="H135" i="30"/>
  <c r="W64" i="30"/>
  <c r="X64" i="30"/>
  <c r="W30" i="30"/>
  <c r="X30" i="30"/>
  <c r="S38" i="30"/>
  <c r="S40" i="30"/>
  <c r="S43" i="30"/>
  <c r="S44" i="30"/>
  <c r="Q40" i="30"/>
  <c r="V38" i="30"/>
  <c r="Q70" i="30"/>
  <c r="Q74" i="30"/>
  <c r="T55" i="30"/>
  <c r="W54" i="30"/>
  <c r="Z54" i="30"/>
  <c r="Z55" i="30"/>
  <c r="V51" i="30"/>
  <c r="V53" i="30"/>
  <c r="V21" i="30"/>
  <c r="V22" i="30"/>
  <c r="V23" i="30"/>
  <c r="W66" i="30"/>
  <c r="X66" i="30"/>
  <c r="S39" i="30"/>
  <c r="X109" i="31"/>
  <c r="X110" i="31"/>
  <c r="Z70" i="31"/>
  <c r="Z74" i="31"/>
  <c r="V70" i="31"/>
  <c r="V74" i="31"/>
  <c r="T75" i="31"/>
  <c r="T85" i="31"/>
  <c r="T112" i="31"/>
  <c r="T136" i="31"/>
  <c r="Z44" i="31"/>
  <c r="Z75" i="31"/>
  <c r="X13" i="31"/>
  <c r="V44" i="31"/>
  <c r="W35" i="31"/>
  <c r="X34" i="31"/>
  <c r="X35" i="31"/>
  <c r="V75" i="31"/>
  <c r="V85" i="31"/>
  <c r="W83" i="31"/>
  <c r="W84" i="31"/>
  <c r="X82" i="31"/>
  <c r="X83" i="31"/>
  <c r="X84" i="31"/>
  <c r="W50" i="31"/>
  <c r="X49" i="31"/>
  <c r="X50" i="31"/>
  <c r="W106" i="31"/>
  <c r="W111" i="31"/>
  <c r="X90" i="31"/>
  <c r="X106" i="31"/>
  <c r="X111" i="31"/>
  <c r="W70" i="31"/>
  <c r="X56" i="31"/>
  <c r="X70" i="31"/>
  <c r="X40" i="31"/>
  <c r="X43" i="31"/>
  <c r="W55" i="31"/>
  <c r="X54" i="31"/>
  <c r="X55" i="31"/>
  <c r="W120" i="31"/>
  <c r="V106" i="31"/>
  <c r="V111" i="31"/>
  <c r="W40" i="31"/>
  <c r="W43" i="31"/>
  <c r="W20" i="31"/>
  <c r="W23" i="31"/>
  <c r="W24" i="31"/>
  <c r="X19" i="31"/>
  <c r="X20" i="31"/>
  <c r="X23" i="31"/>
  <c r="X24" i="31"/>
  <c r="T44" i="31"/>
  <c r="V133" i="30"/>
  <c r="T134" i="30"/>
  <c r="W51" i="30"/>
  <c r="W53" i="30"/>
  <c r="X41" i="30"/>
  <c r="X42" i="30"/>
  <c r="V40" i="30"/>
  <c r="Z23" i="30"/>
  <c r="Z13" i="30"/>
  <c r="S75" i="30"/>
  <c r="X51" i="30"/>
  <c r="X53" i="30"/>
  <c r="T106" i="30"/>
  <c r="T73" i="30"/>
  <c r="T110" i="30"/>
  <c r="V128" i="30"/>
  <c r="V130" i="30"/>
  <c r="V134" i="30"/>
  <c r="T33" i="30"/>
  <c r="V90" i="30"/>
  <c r="W90" i="30"/>
  <c r="U106" i="30"/>
  <c r="Z71" i="30"/>
  <c r="Z73" i="30"/>
  <c r="V71" i="30"/>
  <c r="V73" i="30"/>
  <c r="W99" i="30"/>
  <c r="X99" i="30"/>
  <c r="W120" i="30"/>
  <c r="X119" i="30"/>
  <c r="X120" i="30"/>
  <c r="S130" i="30"/>
  <c r="S134" i="30"/>
  <c r="Z24" i="30"/>
  <c r="V69" i="30"/>
  <c r="V70" i="30"/>
  <c r="W29" i="30"/>
  <c r="T31" i="30"/>
  <c r="V34" i="30"/>
  <c r="V35" i="30"/>
  <c r="U75" i="30"/>
  <c r="V32" i="30"/>
  <c r="V33" i="30"/>
  <c r="T70" i="30"/>
  <c r="T74" i="30"/>
  <c r="W107" i="30"/>
  <c r="T37" i="30"/>
  <c r="V91" i="30"/>
  <c r="W91" i="30"/>
  <c r="X91" i="30"/>
  <c r="U111" i="30"/>
  <c r="U112" i="30"/>
  <c r="U135" i="30"/>
  <c r="T40" i="30"/>
  <c r="W38" i="30"/>
  <c r="V84" i="30"/>
  <c r="W21" i="30"/>
  <c r="Q24" i="30"/>
  <c r="Q44" i="30"/>
  <c r="Q75" i="30"/>
  <c r="T12" i="30"/>
  <c r="W117" i="30"/>
  <c r="W98" i="30"/>
  <c r="X98" i="30"/>
  <c r="W55" i="30"/>
  <c r="X54" i="30"/>
  <c r="X55" i="30"/>
  <c r="Z38" i="30"/>
  <c r="Z40" i="30"/>
  <c r="Z43" i="30"/>
  <c r="S106" i="30"/>
  <c r="S85" i="30"/>
  <c r="V103" i="30"/>
  <c r="W103" i="30"/>
  <c r="X103" i="30"/>
  <c r="W131" i="30"/>
  <c r="V109" i="30"/>
  <c r="V110" i="30"/>
  <c r="Q111" i="30"/>
  <c r="Q112" i="30"/>
  <c r="Q135" i="30"/>
  <c r="T6" i="30"/>
  <c r="W5" i="30"/>
  <c r="Z69" i="30"/>
  <c r="Z70" i="30"/>
  <c r="Z32" i="30"/>
  <c r="Z33" i="30"/>
  <c r="V11" i="30"/>
  <c r="V12" i="30"/>
  <c r="V13" i="30"/>
  <c r="V24" i="30"/>
  <c r="W50" i="30"/>
  <c r="X49" i="30"/>
  <c r="X50" i="30"/>
  <c r="X56" i="30"/>
  <c r="V36" i="30"/>
  <c r="V37" i="30"/>
  <c r="V43" i="30"/>
  <c r="W121" i="30"/>
  <c r="W102" i="30"/>
  <c r="X102" i="30"/>
  <c r="S111" i="30"/>
  <c r="S112" i="30"/>
  <c r="T35" i="30"/>
  <c r="W20" i="30"/>
  <c r="X19" i="30"/>
  <c r="X20" i="30"/>
  <c r="W95" i="30"/>
  <c r="X95" i="30"/>
  <c r="W44" i="31"/>
  <c r="X44" i="31"/>
  <c r="V112" i="31"/>
  <c r="V136" i="31"/>
  <c r="X85" i="31"/>
  <c r="X112" i="31"/>
  <c r="W121" i="31"/>
  <c r="W135" i="31"/>
  <c r="X120" i="31"/>
  <c r="X121" i="31"/>
  <c r="X135" i="31"/>
  <c r="X74" i="31"/>
  <c r="X75" i="31"/>
  <c r="W74" i="31"/>
  <c r="W75" i="31"/>
  <c r="W85" i="31"/>
  <c r="W112" i="31"/>
  <c r="W128" i="30"/>
  <c r="X128" i="30"/>
  <c r="T111" i="30"/>
  <c r="V74" i="30"/>
  <c r="Z74" i="30"/>
  <c r="T43" i="30"/>
  <c r="Z44" i="30"/>
  <c r="Z75" i="30"/>
  <c r="V44" i="30"/>
  <c r="V75" i="30"/>
  <c r="W106" i="30"/>
  <c r="X90" i="30"/>
  <c r="X106" i="30"/>
  <c r="W133" i="30"/>
  <c r="X131" i="30"/>
  <c r="X133" i="30"/>
  <c r="W118" i="30"/>
  <c r="X117" i="30"/>
  <c r="X118" i="30"/>
  <c r="W22" i="30"/>
  <c r="W23" i="30"/>
  <c r="X21" i="30"/>
  <c r="X22" i="30"/>
  <c r="X23" i="30"/>
  <c r="W36" i="30"/>
  <c r="W69" i="30"/>
  <c r="W71" i="30"/>
  <c r="W34" i="30"/>
  <c r="W130" i="30"/>
  <c r="X121" i="30"/>
  <c r="X130" i="30"/>
  <c r="T13" i="30"/>
  <c r="T24" i="30"/>
  <c r="V85" i="30"/>
  <c r="W31" i="30"/>
  <c r="X29" i="30"/>
  <c r="X31" i="30"/>
  <c r="W32" i="30"/>
  <c r="W109" i="30"/>
  <c r="W6" i="30"/>
  <c r="X5" i="30"/>
  <c r="X6" i="30"/>
  <c r="W11" i="30"/>
  <c r="W40" i="30"/>
  <c r="X38" i="30"/>
  <c r="X40" i="30"/>
  <c r="W108" i="30"/>
  <c r="X107" i="30"/>
  <c r="X108" i="30"/>
  <c r="S135" i="30"/>
  <c r="T85" i="30"/>
  <c r="V106" i="30"/>
  <c r="V111" i="30"/>
  <c r="X136" i="31"/>
  <c r="W136" i="31"/>
  <c r="W134" i="30"/>
  <c r="T112" i="30"/>
  <c r="T135" i="30"/>
  <c r="V112" i="30"/>
  <c r="V135" i="30"/>
  <c r="T44" i="30"/>
  <c r="T75" i="30"/>
  <c r="W12" i="30"/>
  <c r="W13" i="30"/>
  <c r="W24" i="30"/>
  <c r="X11" i="30"/>
  <c r="X12" i="30"/>
  <c r="X13" i="30"/>
  <c r="X24" i="30"/>
  <c r="W110" i="30"/>
  <c r="W111" i="30"/>
  <c r="W112" i="30"/>
  <c r="X109" i="30"/>
  <c r="X110" i="30"/>
  <c r="X111" i="30"/>
  <c r="X112" i="30"/>
  <c r="W35" i="30"/>
  <c r="X34" i="30"/>
  <c r="X35" i="30"/>
  <c r="X69" i="30"/>
  <c r="X70" i="30"/>
  <c r="X74" i="30"/>
  <c r="W70" i="30"/>
  <c r="W33" i="30"/>
  <c r="X32" i="30"/>
  <c r="X33" i="30"/>
  <c r="W73" i="30"/>
  <c r="X71" i="30"/>
  <c r="X73" i="30"/>
  <c r="W37" i="30"/>
  <c r="W43" i="30"/>
  <c r="W44" i="30"/>
  <c r="X36" i="30"/>
  <c r="X37" i="30"/>
  <c r="X134" i="30"/>
  <c r="W135" i="30"/>
  <c r="X135" i="30"/>
  <c r="X43" i="30"/>
  <c r="X44" i="30"/>
  <c r="X75" i="30"/>
  <c r="W74" i="30"/>
  <c r="W75" i="30"/>
</calcChain>
</file>

<file path=xl/sharedStrings.xml><?xml version="1.0" encoding="utf-8"?>
<sst xmlns="http://schemas.openxmlformats.org/spreadsheetml/2006/main" count="4057" uniqueCount="255">
  <si>
    <t>NO</t>
  </si>
  <si>
    <t>CBG/CAPEM/KEDAI</t>
  </si>
  <si>
    <t>No. Sertifikat</t>
  </si>
  <si>
    <t>TGL. SERTIFIKAT</t>
  </si>
  <si>
    <t>JLH TERJAMIN</t>
  </si>
  <si>
    <t>NAMA TERJAMIN</t>
  </si>
  <si>
    <t>COVERAGE</t>
  </si>
  <si>
    <t>PLAFON</t>
  </si>
  <si>
    <t>JML. JAMINAN</t>
  </si>
  <si>
    <t xml:space="preserve">JK. WAKTU </t>
  </si>
  <si>
    <t>BLN</t>
  </si>
  <si>
    <t>TARIF</t>
  </si>
  <si>
    <t>BIAYA PENJAMINAN</t>
  </si>
  <si>
    <t>TOTAL</t>
  </si>
  <si>
    <t>FEE BANK</t>
  </si>
  <si>
    <t>TOTAL PENDAPATAN</t>
  </si>
  <si>
    <t xml:space="preserve"> IJP </t>
  </si>
  <si>
    <t>ADM</t>
  </si>
  <si>
    <t>MATERAI</t>
  </si>
  <si>
    <t>TANJUNG UBAN</t>
  </si>
  <si>
    <t>Periode</t>
  </si>
  <si>
    <t>No</t>
  </si>
  <si>
    <t xml:space="preserve">Tanggal </t>
  </si>
  <si>
    <t xml:space="preserve">Cabang </t>
  </si>
  <si>
    <t>Nasabah</t>
  </si>
  <si>
    <t>Alamat</t>
  </si>
  <si>
    <t>Penggunaan  Kredit</t>
  </si>
  <si>
    <t>Plafond Kredit</t>
  </si>
  <si>
    <t>Coverage Penjaminan (%)</t>
  </si>
  <si>
    <t xml:space="preserve">Nilai Penjaminan                                                                                   </t>
  </si>
  <si>
    <t>Suku Bunga (Bulan)</t>
  </si>
  <si>
    <t>Jangka Waktu (Bulan)</t>
  </si>
  <si>
    <t>Tanggal</t>
  </si>
  <si>
    <t>Tarif</t>
  </si>
  <si>
    <t>IJP/Premi</t>
  </si>
  <si>
    <t>Fee Base (10% x IJP)</t>
  </si>
  <si>
    <t>IJP -- NET</t>
  </si>
  <si>
    <t>Nomor Sertifikat Penjaminan</t>
  </si>
  <si>
    <t>Lama Kredit jalan</t>
  </si>
  <si>
    <t>Taksasi Cicilan (Rp.)</t>
  </si>
  <si>
    <t>Taksasi O/s Kredit   (Rp.)</t>
  </si>
  <si>
    <t>Realisasi</t>
  </si>
  <si>
    <t>Jatuh Tempo</t>
  </si>
  <si>
    <t>Rp</t>
  </si>
  <si>
    <t>SISA</t>
  </si>
  <si>
    <t>KONSUMTIF</t>
  </si>
  <si>
    <t>BATAM</t>
  </si>
  <si>
    <t>ALFITRIADI</t>
  </si>
  <si>
    <t>EDY BAMBANG SETIYONO</t>
  </si>
  <si>
    <t>TANGKERANG</t>
  </si>
  <si>
    <t>TOTAL JULI</t>
  </si>
  <si>
    <t>BATU AJI</t>
  </si>
  <si>
    <t>TOTAL SEPTEMBER</t>
  </si>
  <si>
    <t>EKA PUSPITA SARI</t>
  </si>
  <si>
    <t>BRK  KONSUMTIF 2021</t>
  </si>
  <si>
    <t>07.02.20.00072.01.1.12.0</t>
  </si>
  <si>
    <t>HENDRA PUTRA</t>
  </si>
  <si>
    <t>JANUARI</t>
  </si>
  <si>
    <t>FEB-DES 2022</t>
  </si>
  <si>
    <t>TANJUNG PINANG</t>
  </si>
  <si>
    <t>07.02.21.00094.02.1.12.0</t>
  </si>
  <si>
    <t>AGUS ALFIAN</t>
  </si>
  <si>
    <t>BRK  KONSUMTIF JANUARI 2021</t>
  </si>
  <si>
    <t>BRK  KONSUMTIF FEBRUARI 2021</t>
  </si>
  <si>
    <t>IJP DIREKENING</t>
  </si>
  <si>
    <t xml:space="preserve">SELISIH </t>
  </si>
  <si>
    <t>KETERANGAN</t>
  </si>
  <si>
    <t>JANUARI-FEBRUARI</t>
  </si>
  <si>
    <t>MARET-FEB 2022</t>
  </si>
  <si>
    <t>IJP KONSUMTIF JANUARI 2021</t>
  </si>
  <si>
    <t>IJP KONSUMTIF FEBRUARI 2021</t>
  </si>
  <si>
    <t>FEBRUARI</t>
  </si>
  <si>
    <t>TOTAL FEBRUARI</t>
  </si>
  <si>
    <t>TOTAL JANUARI-FEBRUARI</t>
  </si>
  <si>
    <t>FEE KONSUMTIF FEBRUARI 2021</t>
  </si>
  <si>
    <t>MARET-FEB  2022</t>
  </si>
  <si>
    <t>FEE KONSUMTIF JANUARI 2021</t>
  </si>
  <si>
    <t>BRK  KONSUMTIF MARET 2021</t>
  </si>
  <si>
    <t>07.02.21.00129.02.1.12.0</t>
  </si>
  <si>
    <t>FARIDA IRIANI</t>
  </si>
  <si>
    <t>JANUARI-MARET</t>
  </si>
  <si>
    <t>APRIL- MARET 2022</t>
  </si>
  <si>
    <t xml:space="preserve">FEBRUARI-MARET </t>
  </si>
  <si>
    <t>APRIL-MARET  2022</t>
  </si>
  <si>
    <t>UTAMA</t>
  </si>
  <si>
    <t>07.02.21.00172.03.1.12.0</t>
  </si>
  <si>
    <t>ZULKIFLI INDRA</t>
  </si>
  <si>
    <t>IJP KONSUMTIF MARET 2021</t>
  </si>
  <si>
    <t>MARET</t>
  </si>
  <si>
    <t>FEE BLM</t>
  </si>
  <si>
    <t>fee ada</t>
  </si>
  <si>
    <t>FEE KONSUMTIF MARET 2021</t>
  </si>
  <si>
    <t>TOTAL MARET</t>
  </si>
  <si>
    <t>TOTAL JANUARI-MARET</t>
  </si>
  <si>
    <t>TOTAL JANUARI - MARET</t>
  </si>
  <si>
    <t>BRK  KONSUMTIF APRIL 2021</t>
  </si>
  <si>
    <t>07.02.21.00219.04.1.12.0</t>
  </si>
  <si>
    <t>JANUARI-APRIL</t>
  </si>
  <si>
    <t>MEI-APRIL 2022</t>
  </si>
  <si>
    <t>FEBRUARI-APRIL</t>
  </si>
  <si>
    <t>MARET-APRIL</t>
  </si>
  <si>
    <t>07.02.21.00205.04.1.12.0</t>
  </si>
  <si>
    <t>MOHD. SALEH SAAT</t>
  </si>
  <si>
    <t>07.02.21.00272,04.1.12.0</t>
  </si>
  <si>
    <t>AGUS JHON</t>
  </si>
  <si>
    <t>07.02.21.00273,04.1.12.0</t>
  </si>
  <si>
    <t>ABDUL SALAM</t>
  </si>
  <si>
    <t>TIDAK</t>
  </si>
  <si>
    <t>07.02.21.00274,04.1.12.0</t>
  </si>
  <si>
    <t>REJA JUANDA</t>
  </si>
  <si>
    <t>SARMIATI</t>
  </si>
  <si>
    <t>AHMAD YANI</t>
  </si>
  <si>
    <t>07.02.21.00238,04.1.12.0</t>
  </si>
  <si>
    <t>KATARINA SETIAWAN SE</t>
  </si>
  <si>
    <t>tidak</t>
  </si>
  <si>
    <t>TOTAL APRIL</t>
  </si>
  <si>
    <t>TOTAL JANUARI - APRIL</t>
  </si>
  <si>
    <t>IJP KONSUMTIF APRIL 2021</t>
  </si>
  <si>
    <t>APRIL</t>
  </si>
  <si>
    <t>MEI - APRL 2022</t>
  </si>
  <si>
    <t>FEE KONSUMTIF APRIL 2021</t>
  </si>
  <si>
    <t>BRK  KONSUMTIFMEI2021</t>
  </si>
  <si>
    <t>JAKARTA</t>
  </si>
  <si>
    <t>07.02.21.00281.05.1.12.0</t>
  </si>
  <si>
    <t>MHD. BAYU PUTRA FADLULLAH</t>
  </si>
  <si>
    <t>07.02.21.00309,05.1.12.0</t>
  </si>
  <si>
    <t>YOHANNES SUPRASOJO</t>
  </si>
  <si>
    <t>RENI MUTIARA S</t>
  </si>
  <si>
    <t>TANJUNG BALAI KARIMUN</t>
  </si>
  <si>
    <t>07.02.21.00336.05.1.12.0</t>
  </si>
  <si>
    <t>H. ANWAR HASYIM, M.SI</t>
  </si>
  <si>
    <t>07.02.21.00335.05.1.12.0</t>
  </si>
  <si>
    <t>ESLINDA SUHARTINI S</t>
  </si>
  <si>
    <t xml:space="preserve">KHAIRITA </t>
  </si>
  <si>
    <t>JUWITA FEBRIANTI S.PD</t>
  </si>
  <si>
    <t>SALYA DIFANANDA</t>
  </si>
  <si>
    <t>SRI HARIYATI</t>
  </si>
  <si>
    <t>ROMLAH</t>
  </si>
  <si>
    <t>MUHAMMAD RIDHA MASNUR</t>
  </si>
  <si>
    <t>YESSI ASTIKA</t>
  </si>
  <si>
    <t>HEFI ELIANA</t>
  </si>
  <si>
    <t>MARIYANI</t>
  </si>
  <si>
    <t>NOPY ADRIAN</t>
  </si>
  <si>
    <t>RAJA RIO HARTO</t>
  </si>
  <si>
    <t>M. SALIKIN</t>
  </si>
  <si>
    <t>DENY HERWANDI</t>
  </si>
  <si>
    <t xml:space="preserve">belum </t>
  </si>
  <si>
    <t>TOTAL MEI</t>
  </si>
  <si>
    <t>TOTAL JANUARI -MEI</t>
  </si>
  <si>
    <t>JANUARI-MEI</t>
  </si>
  <si>
    <t>JUNI-MEI 2022</t>
  </si>
  <si>
    <t>FEBRUARI-MEI</t>
  </si>
  <si>
    <t>APRIL-MEI</t>
  </si>
  <si>
    <t>MEI</t>
  </si>
  <si>
    <t>IJP KONSUMTIF MEI 2021</t>
  </si>
  <si>
    <t>MARET-MEI</t>
  </si>
  <si>
    <t>07.02.21.00341,05.1.12.0</t>
  </si>
  <si>
    <t>NORJANA</t>
  </si>
  <si>
    <t>MELKY ASFIANUR</t>
  </si>
  <si>
    <t>FEE KONSUMTIF MEI 2021</t>
  </si>
  <si>
    <t>07.02.21.00363.06.1.12.0</t>
  </si>
  <si>
    <t>HILDA YENI</t>
  </si>
  <si>
    <t>BRK  KONSUMTIF JUNI 2021</t>
  </si>
  <si>
    <t>07.02.21.00393.06.1.12.0</t>
  </si>
  <si>
    <t>LITA NAFRATILOFA</t>
  </si>
  <si>
    <t>BELUM</t>
  </si>
  <si>
    <t>JANUARI-JUNI</t>
  </si>
  <si>
    <t>JULI - JUNI 2022</t>
  </si>
  <si>
    <t>FEBRUARI-JUNI</t>
  </si>
  <si>
    <t>MARET-JUNI</t>
  </si>
  <si>
    <t>APRIL-JUNI</t>
  </si>
  <si>
    <t>MEI-JUNI</t>
  </si>
  <si>
    <t>IJP KONSUMTIF JUNI 2021</t>
  </si>
  <si>
    <t>JUNI</t>
  </si>
  <si>
    <t>TOTAL JUNI</t>
  </si>
  <si>
    <t>TOTAL JANUARI - JUNI</t>
  </si>
  <si>
    <t>FEE KONSUMTIFJUNI 2021</t>
  </si>
  <si>
    <t>BRK  KONSUMTIF JULI 2021</t>
  </si>
  <si>
    <t>07.02.21.00420.07.1.12.0</t>
  </si>
  <si>
    <t>PATMETASA SRI RAGESINARIF</t>
  </si>
  <si>
    <t>RESTINI SUHARNINGSIH</t>
  </si>
  <si>
    <t>ROSMALITA  SE, MM</t>
  </si>
  <si>
    <t>M. MOKHSON</t>
  </si>
  <si>
    <t>WAWAN SUPRIANTO</t>
  </si>
  <si>
    <t>DIAN ARISA</t>
  </si>
  <si>
    <t>MUHAMAT HANAFI</t>
  </si>
  <si>
    <t>RITA SYAHARA</t>
  </si>
  <si>
    <t>NURLELI</t>
  </si>
  <si>
    <t>RAFI'AH</t>
  </si>
  <si>
    <t>SAMSUL HADI</t>
  </si>
  <si>
    <t>GENI SAPUTRA</t>
  </si>
  <si>
    <t>ZAMRIZAL</t>
  </si>
  <si>
    <t>AZIM</t>
  </si>
  <si>
    <t>ALEK SANDERA</t>
  </si>
  <si>
    <t>AGUS HARIYANTO</t>
  </si>
  <si>
    <t>JANUARI-JULI</t>
  </si>
  <si>
    <t>AGUSTUS JULI 2022</t>
  </si>
  <si>
    <t>MARET-JULI</t>
  </si>
  <si>
    <t>FEBRUARI-JULI</t>
  </si>
  <si>
    <t>APRIL-JULI</t>
  </si>
  <si>
    <t>MEI-JULI</t>
  </si>
  <si>
    <t>IJP KONSUMTIF JULI 2021</t>
  </si>
  <si>
    <t>JULI</t>
  </si>
  <si>
    <t>JUNI-JULI</t>
  </si>
  <si>
    <t>AGUSTUS-JULI 2022</t>
  </si>
  <si>
    <t>FEE KONSUMTIF JULI 2021</t>
  </si>
  <si>
    <t>07.02.21.00430.07.1.12.0</t>
  </si>
  <si>
    <t>07.02.21.00447.07.1.12.0</t>
  </si>
  <si>
    <t>JAKA RAHMANDA</t>
  </si>
  <si>
    <t>TOTAL JANUARI - JULI</t>
  </si>
  <si>
    <t>BRK  KONSUMTIF SEPTEMBER 2021</t>
  </si>
  <si>
    <t>07.02.21.00542.09.1.12.0</t>
  </si>
  <si>
    <t>DEDI KUSWANDI</t>
  </si>
  <si>
    <t>DURI</t>
  </si>
  <si>
    <t>07.02.21.00546.09.1.12.0</t>
  </si>
  <si>
    <t>RAHMAT</t>
  </si>
  <si>
    <t>07.02.21.00555.09.1.12.0</t>
  </si>
  <si>
    <t>INDRA BUDI SATRIA</t>
  </si>
  <si>
    <t>ALWIS SEPTIAN</t>
  </si>
  <si>
    <t>SYAFI'I</t>
  </si>
  <si>
    <t>NOVA SUSANTI</t>
  </si>
  <si>
    <t>HERMAN JASRUL</t>
  </si>
  <si>
    <t>ELLYA ROZA ZURAINI</t>
  </si>
  <si>
    <t>MUHAMMAD ALWIN</t>
  </si>
  <si>
    <t>AHMAD IKROM</t>
  </si>
  <si>
    <t>RIESKY DIYANTI PUTERI</t>
  </si>
  <si>
    <t>07.02.21.00563.09.1.12.0</t>
  </si>
  <si>
    <t>MUHAMMAD ARIYONO WIBOWO</t>
  </si>
  <si>
    <t>OKTORENO SIBUEA</t>
  </si>
  <si>
    <t>TOTAL JANUARI - SEPTEMBER</t>
  </si>
  <si>
    <t>IJP KONSUMTIF SEPTEMBER 2021</t>
  </si>
  <si>
    <t>SEPTEMBER</t>
  </si>
  <si>
    <t>OKT-SEPT 2022</t>
  </si>
  <si>
    <t>FEE KONSUMTIF SEPTEMBER 2021</t>
  </si>
  <si>
    <t>JANUARI-OKTOBER</t>
  </si>
  <si>
    <t>NOVEMBER -DES 2022</t>
  </si>
  <si>
    <t>FEBRUARI-OKTOBER</t>
  </si>
  <si>
    <t>MARET-OKTOBER</t>
  </si>
  <si>
    <t>APRIL-OKTOBER</t>
  </si>
  <si>
    <t>MEI-OKTOBER</t>
  </si>
  <si>
    <t>JUNI-OKTOBER</t>
  </si>
  <si>
    <t>JULI-OKTOBER</t>
  </si>
  <si>
    <t>SEPTEMBER-OKTOBER</t>
  </si>
  <si>
    <t>NOV-OKT 2022</t>
  </si>
  <si>
    <t>SEPTEMBER-OKT</t>
  </si>
  <si>
    <t>DESEMBER</t>
  </si>
  <si>
    <t>SEPTEMBER-DESEMBER</t>
  </si>
  <si>
    <t>JAN-DES2022</t>
  </si>
  <si>
    <t>JANUARI-DESEMBER</t>
  </si>
  <si>
    <t>FEBRUARI-DESEMBER</t>
  </si>
  <si>
    <t>MARET-DESEMBER</t>
  </si>
  <si>
    <t>APRIL-DESEMBER</t>
  </si>
  <si>
    <t>MEI-DESEMBER</t>
  </si>
  <si>
    <t>JUNI-DESEMBER</t>
  </si>
  <si>
    <t>JULI-DESEMBER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</si>
</sst>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mm/dd/yy;@"/>
    <numFmt numFmtId="166" formatCode="_(* #,##0_);_(* \(#,##0\);_(* &quot;-&quot;??_);_(@_)"/>
    <numFmt numFmtId="167" formatCode="_(&quot;IDR&quot;* #,##0_);_(&quot;IDR&quot;* \(#,##0\);_(&quot;IDR&quot;* &quot;-&quot;_);_(@_)"/>
    <numFmt numFmtId="168" formatCode="_(* #,##0.0_);_(* \(#,##0.0\);_(* &quot;-&quot;??_);_(@_)"/>
    <numFmt numFmtId="169" formatCode="_(* #,##0.00_);_(* \(#,##0.00\);_(* &quot;-&quot;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vertAlign val="superscript"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vertAlign val="superscript"/>
      <sz val="16"/>
      <name val="Calibri"/>
      <family val="2"/>
      <scheme val="minor"/>
    </font>
    <font>
      <sz val="10"/>
      <name val="Calibri"/>
      <family val="2"/>
      <charset val="1"/>
      <scheme val="minor"/>
    </font>
    <font>
      <b/>
      <sz val="10"/>
      <name val="Calibri"/>
      <family val="2"/>
      <charset val="1"/>
      <scheme val="minor"/>
    </font>
    <font>
      <sz val="8"/>
      <color theme="1"/>
      <name val="Tahoma"/>
      <family val="2"/>
    </font>
    <font>
      <sz val="8"/>
      <color rgb="FFFF0000"/>
      <name val="Tahoma"/>
      <family val="2"/>
    </font>
    <font>
      <sz val="10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8">
    <xf numFmtId="0" fontId="0" fillId="0" borderId="0" xfId="0"/>
    <xf numFmtId="41" fontId="2" fillId="0" borderId="1" xfId="2" applyFont="1" applyBorder="1" applyAlignment="1">
      <alignment vertical="center"/>
    </xf>
    <xf numFmtId="41" fontId="3" fillId="0" borderId="0" xfId="2" applyFont="1" applyBorder="1" applyAlignment="1">
      <alignment vertical="center"/>
    </xf>
    <xf numFmtId="0" fontId="4" fillId="0" borderId="0" xfId="0" applyFont="1"/>
    <xf numFmtId="0" fontId="5" fillId="0" borderId="0" xfId="0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167" fontId="5" fillId="0" borderId="0" xfId="0" applyNumberFormat="1" applyFont="1" applyFill="1" applyBorder="1" applyAlignment="1">
      <alignment horizontal="center"/>
    </xf>
    <xf numFmtId="9" fontId="5" fillId="0" borderId="0" xfId="4" applyFont="1" applyFill="1" applyBorder="1" applyAlignment="1">
      <alignment horizontal="center"/>
    </xf>
    <xf numFmtId="14" fontId="5" fillId="0" borderId="0" xfId="0" applyNumberFormat="1" applyFont="1" applyFill="1" applyBorder="1" applyAlignment="1">
      <alignment horizontal="center" vertical="top"/>
    </xf>
    <xf numFmtId="10" fontId="5" fillId="0" borderId="0" xfId="4" applyNumberFormat="1" applyFont="1" applyFill="1" applyBorder="1" applyAlignment="1">
      <alignment horizontal="center"/>
    </xf>
    <xf numFmtId="41" fontId="5" fillId="0" borderId="0" xfId="2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167" fontId="5" fillId="0" borderId="1" xfId="1" applyNumberFormat="1" applyFont="1" applyFill="1" applyBorder="1" applyAlignment="1">
      <alignment horizontal="center" vertical="center"/>
    </xf>
    <xf numFmtId="9" fontId="5" fillId="0" borderId="1" xfId="4" applyFont="1" applyFill="1" applyBorder="1" applyAlignment="1">
      <alignment horizontal="center" vertical="center" wrapText="1"/>
    </xf>
    <xf numFmtId="167" fontId="5" fillId="0" borderId="1" xfId="1" applyNumberFormat="1" applyFont="1" applyFill="1" applyBorder="1" applyAlignment="1">
      <alignment horizontal="center" vertical="center" wrapText="1"/>
    </xf>
    <xf numFmtId="168" fontId="5" fillId="0" borderId="1" xfId="1" applyNumberFormat="1" applyFont="1" applyFill="1" applyBorder="1" applyAlignment="1">
      <alignment horizontal="center" vertical="center" wrapText="1"/>
    </xf>
    <xf numFmtId="0" fontId="5" fillId="0" borderId="1" xfId="1" applyNumberFormat="1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top"/>
    </xf>
    <xf numFmtId="10" fontId="5" fillId="0" borderId="1" xfId="4" applyNumberFormat="1" applyFont="1" applyFill="1" applyBorder="1" applyAlignment="1">
      <alignment horizontal="center" vertical="center"/>
    </xf>
    <xf numFmtId="167" fontId="5" fillId="0" borderId="1" xfId="0" applyNumberFormat="1" applyFont="1" applyFill="1" applyBorder="1" applyAlignment="1">
      <alignment horizontal="center" vertical="center" wrapText="1"/>
    </xf>
    <xf numFmtId="167" fontId="5" fillId="0" borderId="1" xfId="0" applyNumberFormat="1" applyFont="1" applyFill="1" applyBorder="1" applyAlignment="1">
      <alignment horizontal="center" vertical="center"/>
    </xf>
    <xf numFmtId="14" fontId="6" fillId="0" borderId="0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6" fillId="0" borderId="0" xfId="0" applyFont="1" applyFill="1" applyBorder="1" applyAlignment="1">
      <alignment horizontal="center"/>
    </xf>
    <xf numFmtId="41" fontId="6" fillId="0" borderId="0" xfId="2" applyFont="1" applyBorder="1" applyAlignment="1">
      <alignment vertical="center"/>
    </xf>
    <xf numFmtId="9" fontId="6" fillId="0" borderId="0" xfId="4" applyFont="1" applyBorder="1" applyAlignment="1">
      <alignment horizontal="center" vertical="center"/>
    </xf>
    <xf numFmtId="41" fontId="6" fillId="0" borderId="0" xfId="2" applyFont="1" applyFill="1" applyBorder="1" applyAlignment="1">
      <alignment horizontal="center"/>
    </xf>
    <xf numFmtId="167" fontId="5" fillId="0" borderId="0" xfId="3" applyNumberFormat="1" applyFont="1" applyFill="1" applyBorder="1" applyAlignment="1">
      <alignment horizontal="center"/>
    </xf>
    <xf numFmtId="0" fontId="6" fillId="0" borderId="0" xfId="2" applyNumberFormat="1" applyFont="1" applyBorder="1" applyAlignment="1">
      <alignment horizontal="center" vertical="center"/>
    </xf>
    <xf numFmtId="14" fontId="6" fillId="0" borderId="0" xfId="2" applyNumberFormat="1" applyFont="1" applyBorder="1" applyAlignment="1">
      <alignment horizontal="center" vertical="center"/>
    </xf>
    <xf numFmtId="14" fontId="6" fillId="0" borderId="0" xfId="0" applyNumberFormat="1" applyFont="1" applyFill="1" applyBorder="1" applyAlignment="1">
      <alignment horizontal="center"/>
    </xf>
    <xf numFmtId="167" fontId="6" fillId="0" borderId="0" xfId="3" applyNumberFormat="1" applyFont="1" applyFill="1" applyBorder="1" applyAlignment="1">
      <alignment horizontal="center"/>
    </xf>
    <xf numFmtId="0" fontId="7" fillId="0" borderId="0" xfId="0" applyFont="1" applyBorder="1"/>
    <xf numFmtId="164" fontId="2" fillId="0" borderId="1" xfId="0" applyNumberFormat="1" applyFont="1" applyBorder="1" applyAlignment="1">
      <alignment vertical="center"/>
    </xf>
    <xf numFmtId="41" fontId="2" fillId="0" borderId="0" xfId="2" applyFont="1" applyBorder="1" applyAlignment="1">
      <alignment vertical="center"/>
    </xf>
    <xf numFmtId="0" fontId="8" fillId="3" borderId="2" xfId="0" applyFont="1" applyFill="1" applyBorder="1" applyAlignment="1">
      <alignment horizontal="center"/>
    </xf>
    <xf numFmtId="41" fontId="8" fillId="3" borderId="3" xfId="2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41" fontId="8" fillId="3" borderId="7" xfId="2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vertical="center"/>
    </xf>
    <xf numFmtId="41" fontId="3" fillId="0" borderId="1" xfId="2" applyFont="1" applyBorder="1" applyAlignment="1">
      <alignment vertical="center"/>
    </xf>
    <xf numFmtId="0" fontId="5" fillId="0" borderId="8" xfId="0" applyFont="1" applyFill="1" applyBorder="1" applyAlignment="1">
      <alignment horizontal="center" vertical="center" wrapText="1"/>
    </xf>
    <xf numFmtId="0" fontId="5" fillId="0" borderId="8" xfId="0" applyNumberFormat="1" applyFont="1" applyFill="1" applyBorder="1" applyAlignment="1">
      <alignment horizontal="center" vertical="center" wrapText="1"/>
    </xf>
    <xf numFmtId="167" fontId="5" fillId="0" borderId="8" xfId="1" applyNumberFormat="1" applyFont="1" applyFill="1" applyBorder="1" applyAlignment="1">
      <alignment horizontal="center" vertical="center"/>
    </xf>
    <xf numFmtId="9" fontId="5" fillId="0" borderId="8" xfId="4" applyFont="1" applyFill="1" applyBorder="1" applyAlignment="1">
      <alignment horizontal="center" vertical="center" wrapText="1"/>
    </xf>
    <xf numFmtId="167" fontId="5" fillId="0" borderId="8" xfId="1" applyNumberFormat="1" applyFont="1" applyFill="1" applyBorder="1" applyAlignment="1">
      <alignment horizontal="center" vertical="center" wrapText="1"/>
    </xf>
    <xf numFmtId="168" fontId="5" fillId="0" borderId="8" xfId="1" applyNumberFormat="1" applyFont="1" applyFill="1" applyBorder="1" applyAlignment="1">
      <alignment horizontal="center" vertical="center" wrapText="1"/>
    </xf>
    <xf numFmtId="0" fontId="5" fillId="0" borderId="8" xfId="1" applyNumberFormat="1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top"/>
    </xf>
    <xf numFmtId="10" fontId="5" fillId="0" borderId="4" xfId="4" applyNumberFormat="1" applyFont="1" applyFill="1" applyBorder="1" applyAlignment="1">
      <alignment horizontal="center" vertical="center"/>
    </xf>
    <xf numFmtId="41" fontId="5" fillId="0" borderId="4" xfId="2" applyFont="1" applyFill="1" applyBorder="1" applyAlignment="1">
      <alignment horizontal="center" vertical="center"/>
    </xf>
    <xf numFmtId="167" fontId="5" fillId="0" borderId="8" xfId="0" applyNumberFormat="1" applyFont="1" applyFill="1" applyBorder="1" applyAlignment="1">
      <alignment horizontal="center" vertical="center" wrapText="1"/>
    </xf>
    <xf numFmtId="167" fontId="5" fillId="0" borderId="8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horizontal="right" vertical="center"/>
    </xf>
    <xf numFmtId="14" fontId="3" fillId="0" borderId="1" xfId="0" applyNumberFormat="1" applyFont="1" applyFill="1" applyBorder="1" applyAlignment="1">
      <alignment horizontal="left"/>
    </xf>
    <xf numFmtId="41" fontId="8" fillId="3" borderId="1" xfId="2" applyFont="1" applyFill="1" applyBorder="1"/>
    <xf numFmtId="0" fontId="6" fillId="0" borderId="0" xfId="0" applyFont="1" applyFill="1" applyBorder="1" applyAlignment="1">
      <alignment horizontal="left"/>
    </xf>
    <xf numFmtId="0" fontId="7" fillId="0" borderId="0" xfId="0" applyFont="1"/>
    <xf numFmtId="0" fontId="9" fillId="0" borderId="0" xfId="0" applyNumberFormat="1" applyFont="1" applyFill="1" applyBorder="1" applyAlignment="1">
      <alignment horizontal="left" vertical="center"/>
    </xf>
    <xf numFmtId="0" fontId="9" fillId="0" borderId="0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left"/>
    </xf>
    <xf numFmtId="9" fontId="9" fillId="0" borderId="0" xfId="4" applyNumberFormat="1" applyFont="1" applyFill="1" applyBorder="1" applyAlignment="1">
      <alignment horizontal="right"/>
    </xf>
    <xf numFmtId="41" fontId="9" fillId="0" borderId="0" xfId="2" applyFont="1" applyFill="1" applyBorder="1" applyAlignment="1"/>
    <xf numFmtId="165" fontId="9" fillId="0" borderId="0" xfId="0" applyNumberFormat="1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 applyAlignment="1"/>
    <xf numFmtId="41" fontId="3" fillId="0" borderId="0" xfId="2" applyFont="1" applyBorder="1" applyAlignment="1"/>
    <xf numFmtId="0" fontId="3" fillId="0" borderId="0" xfId="0" applyNumberFormat="1" applyFont="1" applyBorder="1" applyAlignment="1"/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/>
    </xf>
    <xf numFmtId="0" fontId="3" fillId="0" borderId="1" xfId="0" applyNumberFormat="1" applyFont="1" applyBorder="1" applyAlignment="1">
      <alignment horizontal="center"/>
    </xf>
    <xf numFmtId="9" fontId="3" fillId="0" borderId="1" xfId="4" applyFont="1" applyBorder="1" applyAlignment="1">
      <alignment horizontal="right" vertical="center"/>
    </xf>
    <xf numFmtId="14" fontId="3" fillId="0" borderId="1" xfId="2" applyNumberFormat="1" applyFont="1" applyBorder="1" applyAlignment="1">
      <alignment horizontal="right" vertical="center"/>
    </xf>
    <xf numFmtId="14" fontId="3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right" wrapText="1"/>
    </xf>
    <xf numFmtId="41" fontId="8" fillId="3" borderId="1" xfId="2" applyFont="1" applyFill="1" applyBorder="1" applyAlignment="1">
      <alignment horizontal="center"/>
    </xf>
    <xf numFmtId="0" fontId="8" fillId="3" borderId="1" xfId="2" applyNumberFormat="1" applyFont="1" applyFill="1" applyBorder="1" applyAlignment="1">
      <alignment horizontal="center"/>
    </xf>
    <xf numFmtId="166" fontId="3" fillId="0" borderId="1" xfId="1" applyNumberFormat="1" applyFont="1" applyFill="1" applyBorder="1" applyAlignment="1">
      <alignment vertical="center"/>
    </xf>
    <xf numFmtId="0" fontId="3" fillId="0" borderId="0" xfId="0" applyFont="1"/>
    <xf numFmtId="0" fontId="10" fillId="3" borderId="1" xfId="0" applyFont="1" applyFill="1" applyBorder="1"/>
    <xf numFmtId="0" fontId="8" fillId="3" borderId="1" xfId="0" applyFont="1" applyFill="1" applyBorder="1"/>
    <xf numFmtId="0" fontId="10" fillId="3" borderId="1" xfId="2" applyNumberFormat="1" applyFont="1" applyFill="1" applyBorder="1" applyAlignment="1">
      <alignment horizontal="center"/>
    </xf>
    <xf numFmtId="0" fontId="11" fillId="0" borderId="0" xfId="0" applyNumberFormat="1" applyFont="1" applyFill="1" applyBorder="1" applyAlignment="1">
      <alignment horizontal="left" vertical="top"/>
    </xf>
    <xf numFmtId="41" fontId="10" fillId="3" borderId="1" xfId="2" applyFont="1" applyFill="1" applyBorder="1" applyAlignment="1">
      <alignment horizontal="center"/>
    </xf>
    <xf numFmtId="0" fontId="8" fillId="3" borderId="1" xfId="0" applyNumberFormat="1" applyFont="1" applyFill="1" applyBorder="1" applyAlignment="1">
      <alignment horizontal="center"/>
    </xf>
    <xf numFmtId="0" fontId="4" fillId="3" borderId="1" xfId="0" applyFont="1" applyFill="1" applyBorder="1"/>
    <xf numFmtId="0" fontId="3" fillId="3" borderId="1" xfId="0" applyFont="1" applyFill="1" applyBorder="1"/>
    <xf numFmtId="41" fontId="10" fillId="3" borderId="1" xfId="2" applyFont="1" applyFill="1" applyBorder="1"/>
    <xf numFmtId="41" fontId="10" fillId="3" borderId="1" xfId="0" applyNumberFormat="1" applyFont="1" applyFill="1" applyBorder="1"/>
    <xf numFmtId="0" fontId="10" fillId="3" borderId="1" xfId="0" applyNumberFormat="1" applyFont="1" applyFill="1" applyBorder="1" applyAlignment="1">
      <alignment horizontal="center"/>
    </xf>
    <xf numFmtId="0" fontId="10" fillId="0" borderId="0" xfId="0" applyFont="1"/>
    <xf numFmtId="41" fontId="10" fillId="3" borderId="1" xfId="0" applyNumberFormat="1" applyFont="1" applyFill="1" applyBorder="1" applyAlignment="1">
      <alignment horizontal="center"/>
    </xf>
    <xf numFmtId="17" fontId="8" fillId="3" borderId="7" xfId="0" applyNumberFormat="1" applyFont="1" applyFill="1" applyBorder="1" applyAlignment="1">
      <alignment horizontal="center"/>
    </xf>
    <xf numFmtId="0" fontId="4" fillId="0" borderId="0" xfId="0" applyNumberFormat="1" applyFont="1"/>
    <xf numFmtId="166" fontId="8" fillId="3" borderId="1" xfId="1" applyNumberFormat="1" applyFont="1" applyFill="1" applyBorder="1" applyAlignment="1">
      <alignment horizontal="center"/>
    </xf>
    <xf numFmtId="0" fontId="3" fillId="0" borderId="1" xfId="4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41" fontId="3" fillId="0" borderId="1" xfId="0" applyNumberFormat="1" applyFont="1" applyBorder="1" applyAlignment="1">
      <alignment vertical="center"/>
    </xf>
    <xf numFmtId="166" fontId="8" fillId="3" borderId="1" xfId="1" applyNumberFormat="1" applyFont="1" applyFill="1" applyBorder="1" applyAlignment="1">
      <alignment horizontal="center"/>
    </xf>
    <xf numFmtId="166" fontId="8" fillId="3" borderId="1" xfId="1" applyNumberFormat="1" applyFont="1" applyFill="1" applyBorder="1" applyAlignment="1">
      <alignment horizontal="center"/>
    </xf>
    <xf numFmtId="17" fontId="8" fillId="3" borderId="9" xfId="0" applyNumberFormat="1" applyFont="1" applyFill="1" applyBorder="1" applyAlignment="1">
      <alignment horizontal="center"/>
    </xf>
    <xf numFmtId="41" fontId="8" fillId="3" borderId="9" xfId="2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164" fontId="3" fillId="0" borderId="0" xfId="0" applyNumberFormat="1" applyFont="1" applyBorder="1" applyAlignment="1">
      <alignment vertical="center"/>
    </xf>
    <xf numFmtId="14" fontId="3" fillId="0" borderId="1" xfId="0" applyNumberFormat="1" applyFont="1" applyBorder="1"/>
    <xf numFmtId="9" fontId="3" fillId="0" borderId="1" xfId="0" applyNumberFormat="1" applyFont="1" applyBorder="1" applyAlignment="1">
      <alignment horizontal="right"/>
    </xf>
    <xf numFmtId="41" fontId="3" fillId="0" borderId="1" xfId="2" applyFont="1" applyBorder="1"/>
    <xf numFmtId="41" fontId="3" fillId="0" borderId="1" xfId="2" applyFont="1" applyFill="1" applyBorder="1"/>
    <xf numFmtId="0" fontId="3" fillId="0" borderId="0" xfId="0" applyNumberFormat="1" applyFont="1"/>
    <xf numFmtId="0" fontId="8" fillId="3" borderId="1" xfId="0" applyFont="1" applyFill="1" applyBorder="1" applyAlignment="1">
      <alignment horizontal="right"/>
    </xf>
    <xf numFmtId="0" fontId="8" fillId="0" borderId="0" xfId="0" applyFont="1"/>
    <xf numFmtId="0" fontId="8" fillId="0" borderId="0" xfId="0" applyNumberFormat="1" applyFont="1"/>
    <xf numFmtId="41" fontId="7" fillId="0" borderId="0" xfId="2" applyFont="1" applyBorder="1"/>
    <xf numFmtId="0" fontId="6" fillId="0" borderId="0" xfId="4" applyNumberFormat="1" applyFont="1" applyBorder="1" applyAlignment="1">
      <alignment vertical="center"/>
    </xf>
    <xf numFmtId="14" fontId="6" fillId="0" borderId="0" xfId="0" applyNumberFormat="1" applyFont="1" applyBorder="1"/>
    <xf numFmtId="0" fontId="6" fillId="0" borderId="0" xfId="0" applyFont="1" applyBorder="1"/>
    <xf numFmtId="41" fontId="6" fillId="0" borderId="0" xfId="2" applyFont="1" applyBorder="1"/>
    <xf numFmtId="14" fontId="6" fillId="0" borderId="0" xfId="0" applyNumberFormat="1" applyFont="1" applyFill="1" applyBorder="1" applyAlignment="1">
      <alignment horizontal="right"/>
    </xf>
    <xf numFmtId="166" fontId="8" fillId="3" borderId="1" xfId="1" applyNumberFormat="1" applyFont="1" applyFill="1" applyBorder="1" applyAlignment="1">
      <alignment horizontal="center"/>
    </xf>
    <xf numFmtId="166" fontId="8" fillId="3" borderId="1" xfId="1" applyNumberFormat="1" applyFont="1" applyFill="1" applyBorder="1" applyAlignment="1">
      <alignment horizontal="center"/>
    </xf>
    <xf numFmtId="166" fontId="8" fillId="3" borderId="1" xfId="1" applyNumberFormat="1" applyFont="1" applyFill="1" applyBorder="1" applyAlignment="1">
      <alignment horizontal="center"/>
    </xf>
    <xf numFmtId="14" fontId="3" fillId="0" borderId="0" xfId="0" applyNumberFormat="1" applyFont="1" applyBorder="1"/>
    <xf numFmtId="0" fontId="3" fillId="0" borderId="0" xfId="0" applyFont="1" applyBorder="1"/>
    <xf numFmtId="41" fontId="3" fillId="0" borderId="0" xfId="2" applyFont="1" applyBorder="1"/>
    <xf numFmtId="14" fontId="3" fillId="0" borderId="0" xfId="0" applyNumberFormat="1" applyFont="1" applyFill="1" applyBorder="1" applyAlignment="1">
      <alignment horizontal="right"/>
    </xf>
    <xf numFmtId="0" fontId="3" fillId="0" borderId="0" xfId="4" applyNumberFormat="1" applyFont="1" applyBorder="1" applyAlignment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0" fontId="6" fillId="0" borderId="0" xfId="2" applyNumberFormat="1" applyFont="1" applyFill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/>
    </xf>
    <xf numFmtId="0" fontId="7" fillId="0" borderId="0" xfId="0" applyNumberFormat="1" applyFont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9" fontId="9" fillId="0" borderId="0" xfId="4" applyNumberFormat="1" applyFont="1" applyFill="1" applyBorder="1" applyAlignment="1">
      <alignment horizontal="center"/>
    </xf>
    <xf numFmtId="9" fontId="3" fillId="0" borderId="1" xfId="4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6" fontId="8" fillId="3" borderId="1" xfId="1" applyNumberFormat="1" applyFont="1" applyFill="1" applyBorder="1" applyAlignment="1">
      <alignment horizontal="center"/>
    </xf>
    <xf numFmtId="166" fontId="8" fillId="3" borderId="1" xfId="1" applyNumberFormat="1" applyFont="1" applyFill="1" applyBorder="1" applyAlignment="1">
      <alignment horizontal="center"/>
    </xf>
    <xf numFmtId="166" fontId="8" fillId="3" borderId="1" xfId="1" applyNumberFormat="1" applyFont="1" applyFill="1" applyBorder="1" applyAlignment="1">
      <alignment horizontal="center"/>
    </xf>
    <xf numFmtId="14" fontId="7" fillId="0" borderId="0" xfId="0" applyNumberFormat="1" applyFont="1" applyBorder="1"/>
    <xf numFmtId="14" fontId="7" fillId="0" borderId="0" xfId="0" applyNumberFormat="1" applyFont="1"/>
    <xf numFmtId="41" fontId="7" fillId="0" borderId="0" xfId="2" applyFont="1"/>
    <xf numFmtId="0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164" fontId="8" fillId="3" borderId="1" xfId="0" applyNumberFormat="1" applyFont="1" applyFill="1" applyBorder="1"/>
    <xf numFmtId="166" fontId="8" fillId="3" borderId="1" xfId="1" applyNumberFormat="1" applyFont="1" applyFill="1" applyBorder="1" applyAlignment="1">
      <alignment horizontal="center"/>
    </xf>
    <xf numFmtId="0" fontId="12" fillId="0" borderId="1" xfId="0" applyNumberFormat="1" applyFont="1" applyBorder="1" applyAlignment="1">
      <alignment horizontal="center"/>
    </xf>
    <xf numFmtId="0" fontId="12" fillId="0" borderId="1" xfId="0" applyFont="1" applyBorder="1"/>
    <xf numFmtId="14" fontId="12" fillId="0" borderId="1" xfId="0" applyNumberFormat="1" applyFont="1" applyBorder="1"/>
    <xf numFmtId="0" fontId="12" fillId="0" borderId="0" xfId="0" applyNumberFormat="1" applyFont="1" applyFill="1"/>
    <xf numFmtId="0" fontId="12" fillId="0" borderId="0" xfId="0" applyFont="1"/>
    <xf numFmtId="0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/>
    <xf numFmtId="0" fontId="12" fillId="2" borderId="1" xfId="0" applyFont="1" applyFill="1" applyBorder="1" applyAlignment="1">
      <alignment horizontal="right"/>
    </xf>
    <xf numFmtId="164" fontId="13" fillId="2" borderId="1" xfId="0" applyNumberFormat="1" applyFont="1" applyFill="1" applyBorder="1"/>
    <xf numFmtId="166" fontId="8" fillId="3" borderId="1" xfId="1" applyNumberFormat="1" applyFont="1" applyFill="1" applyBorder="1" applyAlignment="1">
      <alignment horizontal="center"/>
    </xf>
    <xf numFmtId="0" fontId="12" fillId="0" borderId="1" xfId="0" applyNumberFormat="1" applyFont="1" applyFill="1" applyBorder="1" applyAlignment="1">
      <alignment horizontal="center"/>
    </xf>
    <xf numFmtId="0" fontId="12" fillId="0" borderId="1" xfId="0" applyFont="1" applyFill="1" applyBorder="1"/>
    <xf numFmtId="0" fontId="4" fillId="0" borderId="1" xfId="0" applyFont="1" applyFill="1" applyBorder="1"/>
    <xf numFmtId="0" fontId="3" fillId="0" borderId="1" xfId="0" applyFont="1" applyFill="1" applyBorder="1"/>
    <xf numFmtId="0" fontId="4" fillId="0" borderId="1" xfId="0" applyFont="1" applyBorder="1"/>
    <xf numFmtId="2" fontId="3" fillId="0" borderId="1" xfId="4" applyNumberFormat="1" applyFont="1" applyBorder="1" applyAlignment="1">
      <alignment vertical="center"/>
    </xf>
    <xf numFmtId="14" fontId="12" fillId="0" borderId="0" xfId="0" applyNumberFormat="1" applyFont="1" applyBorder="1"/>
    <xf numFmtId="0" fontId="12" fillId="0" borderId="0" xfId="0" applyFont="1" applyBorder="1"/>
    <xf numFmtId="2" fontId="3" fillId="0" borderId="0" xfId="4" applyNumberFormat="1" applyFont="1" applyBorder="1" applyAlignment="1">
      <alignment vertical="center"/>
    </xf>
    <xf numFmtId="166" fontId="8" fillId="3" borderId="1" xfId="1" applyNumberFormat="1" applyFont="1" applyFill="1" applyBorder="1" applyAlignment="1">
      <alignment horizontal="center"/>
    </xf>
    <xf numFmtId="166" fontId="8" fillId="3" borderId="1" xfId="1" applyNumberFormat="1" applyFont="1" applyFill="1" applyBorder="1" applyAlignment="1">
      <alignment horizontal="center"/>
    </xf>
    <xf numFmtId="9" fontId="12" fillId="0" borderId="1" xfId="0" applyNumberFormat="1" applyFont="1" applyBorder="1" applyAlignment="1">
      <alignment horizontal="right"/>
    </xf>
    <xf numFmtId="41" fontId="12" fillId="0" borderId="1" xfId="2" applyFont="1" applyBorder="1"/>
    <xf numFmtId="14" fontId="12" fillId="0" borderId="1" xfId="0" applyNumberFormat="1" applyFont="1" applyFill="1" applyBorder="1" applyAlignment="1">
      <alignment horizontal="right"/>
    </xf>
    <xf numFmtId="0" fontId="5" fillId="2" borderId="1" xfId="2" applyNumberFormat="1" applyFont="1" applyFill="1" applyBorder="1" applyAlignment="1">
      <alignment horizontal="center"/>
    </xf>
    <xf numFmtId="41" fontId="5" fillId="2" borderId="1" xfId="2" applyFont="1" applyFill="1" applyBorder="1" applyAlignment="1">
      <alignment horizontal="center"/>
    </xf>
    <xf numFmtId="166" fontId="8" fillId="3" borderId="1" xfId="1" applyNumberFormat="1" applyFont="1" applyFill="1" applyBorder="1" applyAlignment="1">
      <alignment horizontal="center"/>
    </xf>
    <xf numFmtId="166" fontId="4" fillId="0" borderId="0" xfId="0" applyNumberFormat="1" applyFont="1"/>
    <xf numFmtId="166" fontId="4" fillId="0" borderId="1" xfId="0" applyNumberFormat="1" applyFont="1" applyBorder="1"/>
    <xf numFmtId="14" fontId="12" fillId="0" borderId="0" xfId="0" applyNumberFormat="1" applyFont="1" applyFill="1" applyBorder="1" applyAlignment="1">
      <alignment horizontal="right"/>
    </xf>
    <xf numFmtId="166" fontId="8" fillId="3" borderId="1" xfId="1" applyNumberFormat="1" applyFont="1" applyFill="1" applyBorder="1" applyAlignment="1">
      <alignment horizontal="center"/>
    </xf>
    <xf numFmtId="41" fontId="10" fillId="3" borderId="1" xfId="2" applyNumberFormat="1" applyFont="1" applyFill="1" applyBorder="1" applyAlignment="1">
      <alignment horizontal="center"/>
    </xf>
    <xf numFmtId="166" fontId="8" fillId="3" borderId="1" xfId="1" applyNumberFormat="1" applyFont="1" applyFill="1" applyBorder="1" applyAlignment="1">
      <alignment horizontal="center"/>
    </xf>
    <xf numFmtId="0" fontId="12" fillId="0" borderId="4" xfId="0" applyFont="1" applyBorder="1"/>
    <xf numFmtId="41" fontId="12" fillId="0" borderId="4" xfId="2" applyFont="1" applyBorder="1"/>
    <xf numFmtId="14" fontId="12" fillId="0" borderId="4" xfId="0" applyNumberFormat="1" applyFont="1" applyBorder="1"/>
    <xf numFmtId="166" fontId="3" fillId="0" borderId="4" xfId="1" applyNumberFormat="1" applyFont="1" applyFill="1" applyBorder="1" applyAlignment="1">
      <alignment vertical="center"/>
    </xf>
    <xf numFmtId="41" fontId="3" fillId="0" borderId="4" xfId="2" applyFont="1" applyFill="1" applyBorder="1"/>
    <xf numFmtId="41" fontId="14" fillId="0" borderId="0" xfId="2" applyFont="1" applyAlignment="1">
      <alignment vertical="center"/>
    </xf>
    <xf numFmtId="41" fontId="15" fillId="0" borderId="0" xfId="2" applyFont="1" applyAlignment="1">
      <alignment vertical="center"/>
    </xf>
    <xf numFmtId="166" fontId="8" fillId="3" borderId="1" xfId="1" applyNumberFormat="1" applyFont="1" applyFill="1" applyBorder="1" applyAlignment="1">
      <alignment horizontal="center"/>
    </xf>
    <xf numFmtId="169" fontId="12" fillId="0" borderId="1" xfId="2" applyNumberFormat="1" applyFont="1" applyBorder="1"/>
    <xf numFmtId="41" fontId="12" fillId="0" borderId="1" xfId="2" applyFont="1" applyFill="1" applyBorder="1"/>
    <xf numFmtId="41" fontId="7" fillId="0" borderId="1" xfId="2" applyFont="1" applyFill="1" applyBorder="1"/>
    <xf numFmtId="0" fontId="12" fillId="3" borderId="1" xfId="0" applyNumberFormat="1" applyFont="1" applyFill="1" applyBorder="1" applyAlignment="1">
      <alignment horizontal="center"/>
    </xf>
    <xf numFmtId="0" fontId="12" fillId="3" borderId="1" xfId="0" applyFont="1" applyFill="1" applyBorder="1"/>
    <xf numFmtId="0" fontId="5" fillId="3" borderId="1" xfId="2" applyNumberFormat="1" applyFont="1" applyFill="1" applyBorder="1" applyAlignment="1">
      <alignment horizontal="center"/>
    </xf>
    <xf numFmtId="41" fontId="5" fillId="3" borderId="1" xfId="2" applyFont="1" applyFill="1" applyBorder="1" applyAlignment="1">
      <alignment horizontal="center"/>
    </xf>
    <xf numFmtId="169" fontId="12" fillId="0" borderId="0" xfId="2" applyNumberFormat="1" applyFont="1" applyBorder="1"/>
    <xf numFmtId="0" fontId="4" fillId="0" borderId="0" xfId="0" applyNumberFormat="1" applyFont="1" applyAlignment="1">
      <alignment horizontal="center"/>
    </xf>
    <xf numFmtId="166" fontId="8" fillId="3" borderId="1" xfId="1" applyNumberFormat="1" applyFont="1" applyFill="1" applyBorder="1" applyAlignment="1">
      <alignment horizontal="center"/>
    </xf>
    <xf numFmtId="14" fontId="12" fillId="0" borderId="1" xfId="0" applyNumberFormat="1" applyFont="1" applyFill="1" applyBorder="1"/>
    <xf numFmtId="166" fontId="8" fillId="3" borderId="1" xfId="1" applyNumberFormat="1" applyFont="1" applyFill="1" applyBorder="1" applyAlignment="1">
      <alignment horizontal="center"/>
    </xf>
    <xf numFmtId="166" fontId="8" fillId="3" borderId="1" xfId="1" applyNumberFormat="1" applyFont="1" applyFill="1" applyBorder="1" applyAlignment="1">
      <alignment horizontal="center"/>
    </xf>
    <xf numFmtId="41" fontId="12" fillId="0" borderId="0" xfId="2" applyFont="1" applyBorder="1"/>
    <xf numFmtId="14" fontId="12" fillId="0" borderId="0" xfId="0" applyNumberFormat="1" applyFont="1" applyFill="1" applyBorder="1"/>
    <xf numFmtId="166" fontId="8" fillId="3" borderId="1" xfId="1" applyNumberFormat="1" applyFont="1" applyFill="1" applyBorder="1" applyAlignment="1">
      <alignment horizontal="center"/>
    </xf>
    <xf numFmtId="41" fontId="4" fillId="0" borderId="0" xfId="2" applyFont="1"/>
    <xf numFmtId="41" fontId="4" fillId="0" borderId="0" xfId="0" applyNumberFormat="1" applyFont="1"/>
    <xf numFmtId="166" fontId="8" fillId="3" borderId="1" xfId="1" applyNumberFormat="1" applyFont="1" applyFill="1" applyBorder="1" applyAlignment="1">
      <alignment horizontal="center"/>
    </xf>
    <xf numFmtId="166" fontId="8" fillId="3" borderId="1" xfId="1" applyNumberFormat="1" applyFont="1" applyFill="1" applyBorder="1" applyAlignment="1">
      <alignment horizontal="center"/>
    </xf>
    <xf numFmtId="17" fontId="8" fillId="3" borderId="7" xfId="0" applyNumberFormat="1" applyFont="1" applyFill="1" applyBorder="1" applyAlignment="1">
      <alignment horizontal="center" wrapText="1"/>
    </xf>
    <xf numFmtId="41" fontId="0" fillId="0" borderId="0" xfId="2" applyFont="1"/>
    <xf numFmtId="166" fontId="12" fillId="0" borderId="1" xfId="1" applyNumberFormat="1" applyFont="1" applyFill="1" applyBorder="1" applyAlignment="1">
      <alignment vertical="center"/>
    </xf>
    <xf numFmtId="166" fontId="12" fillId="0" borderId="4" xfId="1" applyNumberFormat="1" applyFont="1" applyFill="1" applyBorder="1" applyAlignment="1">
      <alignment vertical="center"/>
    </xf>
    <xf numFmtId="41" fontId="12" fillId="0" borderId="1" xfId="2" applyFont="1" applyBorder="1" applyAlignment="1">
      <alignment vertical="center"/>
    </xf>
    <xf numFmtId="164" fontId="12" fillId="0" borderId="1" xfId="0" applyNumberFormat="1" applyFont="1" applyBorder="1" applyAlignment="1">
      <alignment vertical="center"/>
    </xf>
    <xf numFmtId="41" fontId="12" fillId="0" borderId="0" xfId="2" applyFont="1" applyBorder="1" applyAlignment="1">
      <alignment vertical="center"/>
    </xf>
    <xf numFmtId="0" fontId="16" fillId="0" borderId="0" xfId="0" applyFont="1"/>
    <xf numFmtId="0" fontId="13" fillId="3" borderId="1" xfId="2" applyNumberFormat="1" applyFont="1" applyFill="1" applyBorder="1" applyAlignment="1">
      <alignment horizontal="center"/>
    </xf>
    <xf numFmtId="41" fontId="13" fillId="3" borderId="1" xfId="2" applyFont="1" applyFill="1" applyBorder="1" applyAlignment="1">
      <alignment horizontal="center"/>
    </xf>
    <xf numFmtId="166" fontId="8" fillId="3" borderId="1" xfId="1" applyNumberFormat="1" applyFont="1" applyFill="1" applyBorder="1" applyAlignment="1">
      <alignment horizontal="center"/>
    </xf>
    <xf numFmtId="166" fontId="8" fillId="4" borderId="1" xfId="1" applyNumberFormat="1" applyFont="1" applyFill="1" applyBorder="1" applyAlignment="1">
      <alignment horizontal="center" vertical="center"/>
    </xf>
    <xf numFmtId="165" fontId="8" fillId="3" borderId="1" xfId="3" applyNumberFormat="1" applyFont="1" applyFill="1" applyBorder="1" applyAlignment="1">
      <alignment horizontal="center" vertical="center"/>
    </xf>
    <xf numFmtId="0" fontId="8" fillId="3" borderId="1" xfId="3" applyNumberFormat="1" applyFont="1" applyFill="1" applyBorder="1" applyAlignment="1">
      <alignment horizontal="center" vertical="center"/>
    </xf>
    <xf numFmtId="166" fontId="8" fillId="3" borderId="1" xfId="1" applyNumberFormat="1" applyFont="1" applyFill="1" applyBorder="1" applyAlignment="1">
      <alignment horizontal="center" vertical="center"/>
    </xf>
    <xf numFmtId="166" fontId="8" fillId="3" borderId="1" xfId="1" applyNumberFormat="1" applyFont="1" applyFill="1" applyBorder="1" applyAlignment="1">
      <alignment horizontal="center"/>
    </xf>
    <xf numFmtId="0" fontId="8" fillId="3" borderId="1" xfId="0" applyNumberFormat="1" applyFont="1" applyFill="1" applyBorder="1" applyAlignment="1">
      <alignment horizontal="center" vertical="center"/>
    </xf>
    <xf numFmtId="0" fontId="8" fillId="3" borderId="1" xfId="1" applyNumberFormat="1" applyFont="1" applyFill="1" applyBorder="1" applyAlignment="1">
      <alignment horizontal="center" vertical="center"/>
    </xf>
    <xf numFmtId="14" fontId="8" fillId="3" borderId="1" xfId="1" applyNumberFormat="1" applyFont="1" applyFill="1" applyBorder="1" applyAlignment="1">
      <alignment horizontal="center" vertical="center"/>
    </xf>
    <xf numFmtId="0" fontId="8" fillId="3" borderId="1" xfId="1" applyNumberFormat="1" applyFont="1" applyFill="1" applyBorder="1" applyAlignment="1">
      <alignment horizontal="center" vertical="center" wrapText="1"/>
    </xf>
    <xf numFmtId="9" fontId="8" fillId="3" borderId="1" xfId="4" applyNumberFormat="1" applyFont="1" applyFill="1" applyBorder="1" applyAlignment="1">
      <alignment horizontal="right" vertical="center" wrapText="1"/>
    </xf>
    <xf numFmtId="41" fontId="8" fillId="3" borderId="1" xfId="2" applyFont="1" applyFill="1" applyBorder="1" applyAlignment="1">
      <alignment horizontal="center" vertical="center"/>
    </xf>
    <xf numFmtId="9" fontId="8" fillId="3" borderId="1" xfId="4" applyNumberFormat="1" applyFont="1" applyFill="1" applyBorder="1" applyAlignment="1">
      <alignment horizontal="center" vertical="center" wrapText="1"/>
    </xf>
  </cellXfs>
  <cellStyles count="5">
    <cellStyle name="Comma" xfId="1" builtinId="3"/>
    <cellStyle name="Comma [0]" xfId="2" builtinId="6"/>
    <cellStyle name="Currency [0]" xfId="3" builtinId="7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36"/>
  <sheetViews>
    <sheetView topLeftCell="A100" zoomScale="90" zoomScaleNormal="90" workbookViewId="0">
      <selection activeCell="F11" activeCellId="1" sqref="F5 F11"/>
    </sheetView>
  </sheetViews>
  <sheetFormatPr defaultRowHeight="12" x14ac:dyDescent="0.2"/>
  <cols>
    <col min="1" max="1" width="4.140625" style="3" customWidth="1"/>
    <col min="2" max="2" width="20.85546875" style="3" bestFit="1" customWidth="1"/>
    <col min="3" max="3" width="21.85546875" style="3" customWidth="1"/>
    <col min="4" max="4" width="12.28515625" style="82" customWidth="1"/>
    <col min="5" max="5" width="9" style="203" customWidth="1"/>
    <col min="6" max="6" width="29.5703125" style="3" customWidth="1"/>
    <col min="7" max="7" width="10" style="3" customWidth="1"/>
    <col min="8" max="8" width="14.7109375" style="3" customWidth="1"/>
    <col min="9" max="9" width="16" style="3" customWidth="1"/>
    <col min="10" max="10" width="10.85546875" style="3" customWidth="1"/>
    <col min="11" max="11" width="11" style="3" customWidth="1"/>
    <col min="12" max="12" width="6.5703125" style="3" customWidth="1"/>
    <col min="13" max="13" width="8.42578125" style="3" customWidth="1"/>
    <col min="14" max="16" width="13.85546875" style="3" hidden="1" customWidth="1"/>
    <col min="17" max="18" width="13.85546875" style="3" customWidth="1"/>
    <col min="19" max="19" width="16.7109375" style="3" customWidth="1"/>
    <col min="20" max="20" width="13.42578125" style="3" customWidth="1"/>
    <col min="21" max="21" width="12.42578125" style="3" customWidth="1"/>
    <col min="22" max="22" width="13.42578125" style="3" customWidth="1"/>
    <col min="23" max="16384" width="9.140625" style="3"/>
  </cols>
  <sheetData>
    <row r="2" spans="1:24" ht="14.25" customHeight="1" x14ac:dyDescent="0.2">
      <c r="A2" s="86" t="s">
        <v>62</v>
      </c>
      <c r="B2" s="62"/>
      <c r="C2" s="62"/>
      <c r="D2" s="57"/>
      <c r="E2" s="63"/>
      <c r="F2" s="64"/>
      <c r="G2" s="65"/>
      <c r="H2" s="66"/>
      <c r="I2" s="66"/>
      <c r="J2" s="67"/>
      <c r="K2" s="67"/>
      <c r="L2" s="68"/>
      <c r="M2" s="68"/>
      <c r="N2" s="69"/>
      <c r="O2" s="69"/>
      <c r="P2" s="69"/>
      <c r="Q2" s="69"/>
      <c r="R2" s="69"/>
      <c r="S2" s="69"/>
      <c r="T2" s="70"/>
      <c r="U2" s="71"/>
      <c r="V2" s="71"/>
    </row>
    <row r="3" spans="1:24" ht="14.25" customHeight="1" x14ac:dyDescent="0.2">
      <c r="A3" s="231" t="s">
        <v>0</v>
      </c>
      <c r="B3" s="232" t="s">
        <v>1</v>
      </c>
      <c r="C3" s="229" t="s">
        <v>2</v>
      </c>
      <c r="D3" s="233" t="s">
        <v>3</v>
      </c>
      <c r="E3" s="234" t="s">
        <v>4</v>
      </c>
      <c r="F3" s="232" t="s">
        <v>5</v>
      </c>
      <c r="G3" s="235" t="s">
        <v>6</v>
      </c>
      <c r="H3" s="236" t="s">
        <v>7</v>
      </c>
      <c r="I3" s="236" t="s">
        <v>8</v>
      </c>
      <c r="J3" s="227" t="s">
        <v>9</v>
      </c>
      <c r="K3" s="227"/>
      <c r="L3" s="228" t="s">
        <v>10</v>
      </c>
      <c r="M3" s="229" t="s">
        <v>11</v>
      </c>
      <c r="N3" s="230" t="s">
        <v>12</v>
      </c>
      <c r="O3" s="230"/>
      <c r="P3" s="230"/>
      <c r="Q3" s="229" t="s">
        <v>13</v>
      </c>
      <c r="R3" s="229" t="s">
        <v>14</v>
      </c>
      <c r="S3" s="229" t="s">
        <v>15</v>
      </c>
      <c r="T3" s="226" t="s">
        <v>64</v>
      </c>
      <c r="U3" s="226" t="s">
        <v>65</v>
      </c>
      <c r="V3" s="226" t="s">
        <v>66</v>
      </c>
    </row>
    <row r="4" spans="1:24" ht="14.25" customHeight="1" x14ac:dyDescent="0.2">
      <c r="A4" s="231"/>
      <c r="B4" s="232"/>
      <c r="C4" s="229"/>
      <c r="D4" s="233"/>
      <c r="E4" s="234"/>
      <c r="F4" s="232"/>
      <c r="G4" s="235"/>
      <c r="H4" s="236"/>
      <c r="I4" s="236"/>
      <c r="J4" s="227"/>
      <c r="K4" s="227"/>
      <c r="L4" s="228"/>
      <c r="M4" s="229"/>
      <c r="N4" s="102" t="s">
        <v>16</v>
      </c>
      <c r="O4" s="102" t="s">
        <v>17</v>
      </c>
      <c r="P4" s="102" t="s">
        <v>18</v>
      </c>
      <c r="Q4" s="229"/>
      <c r="R4" s="229"/>
      <c r="S4" s="229"/>
      <c r="T4" s="226"/>
      <c r="U4" s="226"/>
      <c r="V4" s="226"/>
    </row>
    <row r="5" spans="1:24" x14ac:dyDescent="0.2">
      <c r="A5" s="72">
        <v>1</v>
      </c>
      <c r="B5" s="73" t="s">
        <v>49</v>
      </c>
      <c r="C5" s="73" t="s">
        <v>55</v>
      </c>
      <c r="D5" s="58">
        <v>44225</v>
      </c>
      <c r="E5" s="74">
        <v>1</v>
      </c>
      <c r="F5" s="73" t="s">
        <v>56</v>
      </c>
      <c r="G5" s="75">
        <v>1</v>
      </c>
      <c r="H5" s="42">
        <v>200000000</v>
      </c>
      <c r="I5" s="42">
        <f>H5*G5</f>
        <v>200000000</v>
      </c>
      <c r="J5" s="76">
        <v>44207</v>
      </c>
      <c r="K5" s="77">
        <f>IFERROR(VALUE(DAY(J5)&amp;" "&amp;TEXT(EOMONTH(J5,L5)-29,"mmm")&amp;" "&amp;YEAR(EOMONTH(J5,L5)-29)),"-")</f>
        <v>47494</v>
      </c>
      <c r="L5" s="78">
        <v>108</v>
      </c>
      <c r="M5" s="99">
        <v>23.21</v>
      </c>
      <c r="N5" s="81">
        <f t="shared" ref="N5" si="0">M5*H5/1000</f>
        <v>4642000</v>
      </c>
      <c r="O5" s="81"/>
      <c r="P5" s="81"/>
      <c r="Q5" s="81">
        <f t="shared" ref="Q5" si="1">N5+O5+P5</f>
        <v>4642000</v>
      </c>
      <c r="R5" s="81">
        <f t="shared" ref="R5" si="2">10%*N5</f>
        <v>464200</v>
      </c>
      <c r="S5" s="81">
        <f t="shared" ref="S5" si="3">Q5-R5</f>
        <v>4177800</v>
      </c>
      <c r="T5" s="42">
        <v>4642000</v>
      </c>
      <c r="U5" s="101">
        <v>0</v>
      </c>
      <c r="V5" s="100"/>
    </row>
    <row r="6" spans="1:24" x14ac:dyDescent="0.2">
      <c r="A6" s="79"/>
      <c r="B6" s="59"/>
      <c r="C6" s="59"/>
      <c r="D6" s="59"/>
      <c r="E6" s="80">
        <f>SUM(E5:E5)</f>
        <v>1</v>
      </c>
      <c r="F6" s="80"/>
      <c r="G6" s="80"/>
      <c r="H6" s="79">
        <f>SUM(H5:H5)</f>
        <v>200000000</v>
      </c>
      <c r="I6" s="79">
        <f>SUM(I5:I5)</f>
        <v>200000000</v>
      </c>
      <c r="J6" s="79"/>
      <c r="K6" s="79"/>
      <c r="L6" s="79"/>
      <c r="M6" s="79"/>
      <c r="N6" s="79">
        <f t="shared" ref="N6:V6" si="4">SUM(N5:N5)</f>
        <v>4642000</v>
      </c>
      <c r="O6" s="79">
        <f t="shared" si="4"/>
        <v>0</v>
      </c>
      <c r="P6" s="79">
        <f t="shared" si="4"/>
        <v>0</v>
      </c>
      <c r="Q6" s="79">
        <f t="shared" si="4"/>
        <v>4642000</v>
      </c>
      <c r="R6" s="79">
        <f t="shared" si="4"/>
        <v>464200</v>
      </c>
      <c r="S6" s="79">
        <f t="shared" si="4"/>
        <v>4177800</v>
      </c>
      <c r="T6" s="79">
        <f t="shared" si="4"/>
        <v>4642000</v>
      </c>
      <c r="U6" s="79">
        <f t="shared" si="4"/>
        <v>0</v>
      </c>
      <c r="V6" s="79">
        <f t="shared" si="4"/>
        <v>0</v>
      </c>
    </row>
    <row r="8" spans="1:24" ht="14.25" customHeight="1" x14ac:dyDescent="0.2">
      <c r="A8" s="86" t="s">
        <v>63</v>
      </c>
      <c r="B8" s="62"/>
      <c r="C8" s="62"/>
      <c r="D8" s="57"/>
      <c r="E8" s="63"/>
      <c r="F8" s="64"/>
      <c r="G8" s="65"/>
      <c r="H8" s="66"/>
      <c r="I8" s="66"/>
      <c r="J8" s="67"/>
      <c r="K8" s="67"/>
      <c r="L8" s="68"/>
      <c r="M8" s="68"/>
      <c r="N8" s="69"/>
      <c r="O8" s="69"/>
      <c r="P8" s="69"/>
      <c r="Q8" s="69"/>
      <c r="R8" s="69"/>
      <c r="S8" s="69"/>
      <c r="T8" s="70"/>
      <c r="U8" s="71"/>
      <c r="V8" s="71"/>
    </row>
    <row r="9" spans="1:24" ht="14.25" customHeight="1" x14ac:dyDescent="0.2">
      <c r="A9" s="231" t="s">
        <v>0</v>
      </c>
      <c r="B9" s="232" t="s">
        <v>1</v>
      </c>
      <c r="C9" s="229" t="s">
        <v>2</v>
      </c>
      <c r="D9" s="233" t="s">
        <v>3</v>
      </c>
      <c r="E9" s="234" t="s">
        <v>4</v>
      </c>
      <c r="F9" s="232" t="s">
        <v>5</v>
      </c>
      <c r="G9" s="235" t="s">
        <v>6</v>
      </c>
      <c r="H9" s="236" t="s">
        <v>7</v>
      </c>
      <c r="I9" s="236" t="s">
        <v>8</v>
      </c>
      <c r="J9" s="227" t="s">
        <v>9</v>
      </c>
      <c r="K9" s="227"/>
      <c r="L9" s="228" t="s">
        <v>10</v>
      </c>
      <c r="M9" s="229" t="s">
        <v>11</v>
      </c>
      <c r="N9" s="230" t="s">
        <v>12</v>
      </c>
      <c r="O9" s="230"/>
      <c r="P9" s="230"/>
      <c r="Q9" s="229" t="s">
        <v>13</v>
      </c>
      <c r="R9" s="229" t="s">
        <v>14</v>
      </c>
      <c r="S9" s="229" t="s">
        <v>15</v>
      </c>
      <c r="T9" s="226" t="s">
        <v>64</v>
      </c>
      <c r="U9" s="226" t="s">
        <v>65</v>
      </c>
      <c r="V9" s="226" t="s">
        <v>66</v>
      </c>
    </row>
    <row r="10" spans="1:24" ht="14.25" customHeight="1" x14ac:dyDescent="0.2">
      <c r="A10" s="231"/>
      <c r="B10" s="232"/>
      <c r="C10" s="229"/>
      <c r="D10" s="233"/>
      <c r="E10" s="234"/>
      <c r="F10" s="232"/>
      <c r="G10" s="235"/>
      <c r="H10" s="236"/>
      <c r="I10" s="236"/>
      <c r="J10" s="227"/>
      <c r="K10" s="227"/>
      <c r="L10" s="228"/>
      <c r="M10" s="229"/>
      <c r="N10" s="102" t="s">
        <v>16</v>
      </c>
      <c r="O10" s="102" t="s">
        <v>17</v>
      </c>
      <c r="P10" s="102" t="s">
        <v>18</v>
      </c>
      <c r="Q10" s="229"/>
      <c r="R10" s="229"/>
      <c r="S10" s="229"/>
      <c r="T10" s="226"/>
      <c r="U10" s="226"/>
      <c r="V10" s="226"/>
    </row>
    <row r="11" spans="1:24" s="82" customFormat="1" x14ac:dyDescent="0.2">
      <c r="A11" s="74">
        <v>2</v>
      </c>
      <c r="B11" s="107" t="s">
        <v>59</v>
      </c>
      <c r="C11" s="107" t="s">
        <v>60</v>
      </c>
      <c r="D11" s="110">
        <v>44237</v>
      </c>
      <c r="E11" s="74">
        <v>1</v>
      </c>
      <c r="F11" s="107" t="s">
        <v>61</v>
      </c>
      <c r="G11" s="111">
        <v>1</v>
      </c>
      <c r="H11" s="112">
        <v>300000000</v>
      </c>
      <c r="I11" s="112">
        <f>H11*G11</f>
        <v>300000000</v>
      </c>
      <c r="J11" s="110">
        <v>44222</v>
      </c>
      <c r="K11" s="77">
        <f>IFERROR(VALUE(DAY(J11)&amp;" "&amp;TEXT(EOMONTH(J11,L11)-29,"mmm")&amp;" "&amp;YEAR(EOMONTH(J11,L11)-29)),"-")</f>
        <v>49700</v>
      </c>
      <c r="L11" s="107">
        <v>180</v>
      </c>
      <c r="M11" s="99">
        <v>37.520000000000003</v>
      </c>
      <c r="N11" s="81">
        <f t="shared" ref="N11" si="5">M11*H11/1000</f>
        <v>11256000</v>
      </c>
      <c r="O11" s="81"/>
      <c r="P11" s="81"/>
      <c r="Q11" s="81">
        <f t="shared" ref="Q11" si="6">N11+O11+P11</f>
        <v>11256000</v>
      </c>
      <c r="R11" s="81">
        <f t="shared" ref="R11" si="7">10%*N11</f>
        <v>1125600</v>
      </c>
      <c r="S11" s="81">
        <f t="shared" ref="S11" si="8">Q11-R11</f>
        <v>10130400</v>
      </c>
      <c r="T11" s="113">
        <v>11250000</v>
      </c>
      <c r="U11" s="101">
        <v>0</v>
      </c>
      <c r="V11" s="100"/>
      <c r="X11" s="114"/>
    </row>
    <row r="12" spans="1:24" s="116" customFormat="1" x14ac:dyDescent="0.2">
      <c r="A12" s="88"/>
      <c r="B12" s="84"/>
      <c r="C12" s="84" t="s">
        <v>72</v>
      </c>
      <c r="D12" s="84"/>
      <c r="E12" s="88">
        <f>SUM(E11:E11)</f>
        <v>1</v>
      </c>
      <c r="F12" s="84"/>
      <c r="G12" s="115"/>
      <c r="H12" s="59">
        <f>SUM(H11:H11)</f>
        <v>300000000</v>
      </c>
      <c r="I12" s="59">
        <f>SUM(I11:I11)</f>
        <v>300000000</v>
      </c>
      <c r="J12" s="59"/>
      <c r="K12" s="59"/>
      <c r="L12" s="59"/>
      <c r="M12" s="59"/>
      <c r="N12" s="59">
        <f t="shared" ref="N12:V12" si="9">SUM(N11:N11)</f>
        <v>11256000</v>
      </c>
      <c r="O12" s="59">
        <f t="shared" si="9"/>
        <v>0</v>
      </c>
      <c r="P12" s="59">
        <f t="shared" si="9"/>
        <v>0</v>
      </c>
      <c r="Q12" s="59">
        <f t="shared" si="9"/>
        <v>11256000</v>
      </c>
      <c r="R12" s="59">
        <f t="shared" si="9"/>
        <v>1125600</v>
      </c>
      <c r="S12" s="59">
        <f t="shared" si="9"/>
        <v>10130400</v>
      </c>
      <c r="T12" s="59">
        <f t="shared" si="9"/>
        <v>11250000</v>
      </c>
      <c r="U12" s="59">
        <f t="shared" si="9"/>
        <v>0</v>
      </c>
      <c r="V12" s="59">
        <f t="shared" si="9"/>
        <v>0</v>
      </c>
      <c r="X12" s="117"/>
    </row>
    <row r="13" spans="1:24" x14ac:dyDescent="0.2">
      <c r="A13" s="83"/>
      <c r="B13" s="83"/>
      <c r="C13" s="83" t="s">
        <v>73</v>
      </c>
      <c r="D13" s="84"/>
      <c r="E13" s="93">
        <f>E12+E6</f>
        <v>2</v>
      </c>
      <c r="F13" s="93"/>
      <c r="G13" s="93"/>
      <c r="H13" s="87">
        <f t="shared" ref="H13" si="10">H12+H6</f>
        <v>500000000</v>
      </c>
      <c r="I13" s="87">
        <f t="shared" ref="I13" si="11">I12+I6</f>
        <v>500000000</v>
      </c>
      <c r="J13" s="87">
        <f t="shared" ref="J13" si="12">J12+J6</f>
        <v>0</v>
      </c>
      <c r="K13" s="87">
        <f t="shared" ref="K13" si="13">K12+K6</f>
        <v>0</v>
      </c>
      <c r="L13" s="87">
        <f t="shared" ref="L13" si="14">L12+L6</f>
        <v>0</v>
      </c>
      <c r="M13" s="87">
        <f t="shared" ref="M13" si="15">M12+M6</f>
        <v>0</v>
      </c>
      <c r="N13" s="87">
        <f t="shared" ref="N13" si="16">N12+N6</f>
        <v>15898000</v>
      </c>
      <c r="O13" s="87">
        <f t="shared" ref="O13" si="17">O12+O6</f>
        <v>0</v>
      </c>
      <c r="P13" s="87">
        <f t="shared" ref="P13" si="18">P12+P6</f>
        <v>0</v>
      </c>
      <c r="Q13" s="87">
        <f t="shared" ref="Q13" si="19">Q12+Q6</f>
        <v>15898000</v>
      </c>
      <c r="R13" s="87">
        <f t="shared" ref="R13" si="20">R12+R6</f>
        <v>1589800</v>
      </c>
      <c r="S13" s="87">
        <f t="shared" ref="S13" si="21">S12+S6</f>
        <v>14308200</v>
      </c>
      <c r="T13" s="87">
        <f t="shared" ref="T13" si="22">T12+T6</f>
        <v>15892000</v>
      </c>
      <c r="U13" s="87">
        <f t="shared" ref="U13" si="23">U12+U6</f>
        <v>0</v>
      </c>
      <c r="V13" s="87">
        <f t="shared" ref="V13" si="24">V12+V6</f>
        <v>0</v>
      </c>
    </row>
    <row r="15" spans="1:24" ht="14.25" customHeight="1" x14ac:dyDescent="0.2">
      <c r="A15" s="86" t="s">
        <v>77</v>
      </c>
      <c r="B15" s="62"/>
      <c r="C15" s="62"/>
      <c r="D15" s="57"/>
      <c r="E15" s="63"/>
      <c r="F15" s="64"/>
      <c r="G15" s="65"/>
      <c r="H15" s="66"/>
      <c r="I15" s="66"/>
      <c r="J15" s="67"/>
      <c r="K15" s="67"/>
      <c r="L15" s="68"/>
      <c r="M15" s="68"/>
      <c r="N15" s="69"/>
      <c r="O15" s="69"/>
      <c r="P15" s="69"/>
      <c r="Q15" s="69"/>
      <c r="R15" s="69"/>
      <c r="S15" s="69"/>
      <c r="T15" s="70"/>
      <c r="U15" s="71"/>
      <c r="V15" s="71"/>
    </row>
    <row r="16" spans="1:24" ht="14.25" customHeight="1" x14ac:dyDescent="0.2">
      <c r="A16" s="231" t="s">
        <v>0</v>
      </c>
      <c r="B16" s="232" t="s">
        <v>1</v>
      </c>
      <c r="C16" s="229" t="s">
        <v>2</v>
      </c>
      <c r="D16" s="233" t="s">
        <v>3</v>
      </c>
      <c r="E16" s="234" t="s">
        <v>4</v>
      </c>
      <c r="F16" s="232" t="s">
        <v>5</v>
      </c>
      <c r="G16" s="235" t="s">
        <v>6</v>
      </c>
      <c r="H16" s="236" t="s">
        <v>7</v>
      </c>
      <c r="I16" s="236" t="s">
        <v>8</v>
      </c>
      <c r="J16" s="227" t="s">
        <v>9</v>
      </c>
      <c r="K16" s="227"/>
      <c r="L16" s="228" t="s">
        <v>10</v>
      </c>
      <c r="M16" s="229" t="s">
        <v>11</v>
      </c>
      <c r="N16" s="230" t="s">
        <v>12</v>
      </c>
      <c r="O16" s="230"/>
      <c r="P16" s="230"/>
      <c r="Q16" s="229" t="s">
        <v>13</v>
      </c>
      <c r="R16" s="229" t="s">
        <v>14</v>
      </c>
      <c r="S16" s="229" t="s">
        <v>15</v>
      </c>
      <c r="T16" s="226" t="s">
        <v>64</v>
      </c>
      <c r="U16" s="226" t="s">
        <v>65</v>
      </c>
      <c r="V16" s="226" t="s">
        <v>66</v>
      </c>
    </row>
    <row r="17" spans="1:24" ht="14.25" customHeight="1" x14ac:dyDescent="0.2">
      <c r="A17" s="231"/>
      <c r="B17" s="232"/>
      <c r="C17" s="229"/>
      <c r="D17" s="233"/>
      <c r="E17" s="234"/>
      <c r="F17" s="232"/>
      <c r="G17" s="235"/>
      <c r="H17" s="236"/>
      <c r="I17" s="236"/>
      <c r="J17" s="227"/>
      <c r="K17" s="227"/>
      <c r="L17" s="228"/>
      <c r="M17" s="229"/>
      <c r="N17" s="124" t="s">
        <v>16</v>
      </c>
      <c r="O17" s="124" t="s">
        <v>17</v>
      </c>
      <c r="P17" s="124" t="s">
        <v>18</v>
      </c>
      <c r="Q17" s="229"/>
      <c r="R17" s="229"/>
      <c r="S17" s="229"/>
      <c r="T17" s="226"/>
      <c r="U17" s="226"/>
      <c r="V17" s="226"/>
    </row>
    <row r="18" spans="1:24" s="82" customFormat="1" x14ac:dyDescent="0.2">
      <c r="A18" s="74">
        <v>3</v>
      </c>
      <c r="B18" s="107" t="s">
        <v>49</v>
      </c>
      <c r="C18" s="107" t="s">
        <v>78</v>
      </c>
      <c r="D18" s="110">
        <v>44237</v>
      </c>
      <c r="E18" s="74">
        <v>1</v>
      </c>
      <c r="F18" s="107" t="s">
        <v>79</v>
      </c>
      <c r="G18" s="111">
        <v>1</v>
      </c>
      <c r="H18" s="112">
        <v>40000000</v>
      </c>
      <c r="I18" s="112">
        <f>H18*G18</f>
        <v>40000000</v>
      </c>
      <c r="J18" s="110">
        <v>44245</v>
      </c>
      <c r="K18" s="77">
        <f>IFERROR(VALUE(DAY(J18)&amp;" "&amp;TEXT(EOMONTH(J18,L18)-29,"mmm")&amp;" "&amp;YEAR(EOMONTH(J18,L18)-29)),"-")</f>
        <v>44944</v>
      </c>
      <c r="L18" s="107">
        <v>24</v>
      </c>
      <c r="M18" s="99">
        <v>21.1</v>
      </c>
      <c r="N18" s="81">
        <f t="shared" ref="N18" si="25">M18*H18/1000</f>
        <v>844000</v>
      </c>
      <c r="O18" s="81"/>
      <c r="P18" s="81"/>
      <c r="Q18" s="81">
        <f t="shared" ref="Q18" si="26">N18+O18+P18</f>
        <v>844000</v>
      </c>
      <c r="R18" s="81">
        <f t="shared" ref="R18" si="27">10%*N18</f>
        <v>84400</v>
      </c>
      <c r="S18" s="81">
        <f t="shared" ref="S18" si="28">Q18-R18</f>
        <v>759600</v>
      </c>
      <c r="T18" s="113">
        <v>11250000</v>
      </c>
      <c r="U18" s="101">
        <v>0</v>
      </c>
      <c r="V18" s="100"/>
      <c r="X18" s="114"/>
    </row>
    <row r="19" spans="1:24" s="116" customFormat="1" x14ac:dyDescent="0.2">
      <c r="A19" s="88"/>
      <c r="B19" s="84"/>
      <c r="C19" s="84"/>
      <c r="D19" s="84"/>
      <c r="E19" s="88">
        <f>SUM(E18:E18)</f>
        <v>1</v>
      </c>
      <c r="F19" s="84"/>
      <c r="G19" s="115"/>
      <c r="H19" s="59">
        <f>SUM(H18:H18)</f>
        <v>40000000</v>
      </c>
      <c r="I19" s="59">
        <f>SUM(I18:I18)</f>
        <v>40000000</v>
      </c>
      <c r="J19" s="59"/>
      <c r="K19" s="59"/>
      <c r="L19" s="59"/>
      <c r="M19" s="59"/>
      <c r="N19" s="59">
        <f t="shared" ref="N19:V19" si="29">SUM(N18:N18)</f>
        <v>844000</v>
      </c>
      <c r="O19" s="59">
        <f t="shared" si="29"/>
        <v>0</v>
      </c>
      <c r="P19" s="59">
        <f t="shared" si="29"/>
        <v>0</v>
      </c>
      <c r="Q19" s="59">
        <f t="shared" si="29"/>
        <v>844000</v>
      </c>
      <c r="R19" s="59">
        <f t="shared" si="29"/>
        <v>84400</v>
      </c>
      <c r="S19" s="59">
        <f t="shared" si="29"/>
        <v>759600</v>
      </c>
      <c r="T19" s="59">
        <f t="shared" si="29"/>
        <v>11250000</v>
      </c>
      <c r="U19" s="59">
        <f t="shared" si="29"/>
        <v>0</v>
      </c>
      <c r="V19" s="59">
        <f t="shared" si="29"/>
        <v>0</v>
      </c>
      <c r="W19" s="116" t="s">
        <v>90</v>
      </c>
      <c r="X19" s="117"/>
    </row>
    <row r="20" spans="1:24" s="82" customFormat="1" x14ac:dyDescent="0.2">
      <c r="A20" s="74">
        <v>4</v>
      </c>
      <c r="B20" s="107" t="s">
        <v>84</v>
      </c>
      <c r="C20" s="107" t="s">
        <v>85</v>
      </c>
      <c r="D20" s="110">
        <v>44286</v>
      </c>
      <c r="E20" s="74">
        <v>1</v>
      </c>
      <c r="F20" s="107" t="s">
        <v>86</v>
      </c>
      <c r="G20" s="111">
        <v>1</v>
      </c>
      <c r="H20" s="112">
        <v>300000000</v>
      </c>
      <c r="I20" s="112">
        <f>H20*G20</f>
        <v>300000000</v>
      </c>
      <c r="J20" s="110">
        <v>44263</v>
      </c>
      <c r="K20" s="77">
        <f t="shared" ref="K20" si="30">IFERROR(VALUE(DAY(J20)&amp;" "&amp;TEXT(EOMONTH(J20,L20)-29,"mmm")&amp;" "&amp;YEAR(EOMONTH(J20,L20)-29)),"-")</f>
        <v>44993</v>
      </c>
      <c r="L20" s="107">
        <v>24</v>
      </c>
      <c r="M20" s="99">
        <v>51.12</v>
      </c>
      <c r="N20" s="81">
        <f t="shared" ref="N20" si="31">M20*H20/1000</f>
        <v>15336000</v>
      </c>
      <c r="O20" s="81"/>
      <c r="P20" s="81"/>
      <c r="Q20" s="81">
        <f t="shared" ref="Q20" si="32">N20+O20+P20</f>
        <v>15336000</v>
      </c>
      <c r="R20" s="81">
        <f t="shared" ref="R20" si="33">10%*N20</f>
        <v>1533600</v>
      </c>
      <c r="S20" s="81">
        <f t="shared" ref="S20" si="34">Q20-R20</f>
        <v>13802400</v>
      </c>
      <c r="T20" s="113">
        <v>15336000</v>
      </c>
      <c r="U20" s="101">
        <v>0</v>
      </c>
      <c r="V20" s="100"/>
      <c r="X20" s="114"/>
    </row>
    <row r="21" spans="1:24" s="116" customFormat="1" x14ac:dyDescent="0.2">
      <c r="A21" s="88"/>
      <c r="B21" s="84"/>
      <c r="C21" s="84"/>
      <c r="D21" s="84"/>
      <c r="E21" s="88">
        <f>SUM(E20:E20)</f>
        <v>1</v>
      </c>
      <c r="F21" s="84"/>
      <c r="G21" s="115"/>
      <c r="H21" s="59">
        <f>SUM(H20:H20)</f>
        <v>300000000</v>
      </c>
      <c r="I21" s="59">
        <f>SUM(I20:I20)</f>
        <v>300000000</v>
      </c>
      <c r="J21" s="59"/>
      <c r="K21" s="59"/>
      <c r="L21" s="59"/>
      <c r="M21" s="59"/>
      <c r="N21" s="59">
        <f t="shared" ref="N21:V21" si="35">SUM(N20:N20)</f>
        <v>15336000</v>
      </c>
      <c r="O21" s="59">
        <f t="shared" si="35"/>
        <v>0</v>
      </c>
      <c r="P21" s="59">
        <f t="shared" si="35"/>
        <v>0</v>
      </c>
      <c r="Q21" s="59">
        <f t="shared" si="35"/>
        <v>15336000</v>
      </c>
      <c r="R21" s="59">
        <f t="shared" si="35"/>
        <v>1533600</v>
      </c>
      <c r="S21" s="59">
        <f t="shared" si="35"/>
        <v>13802400</v>
      </c>
      <c r="T21" s="59">
        <f t="shared" si="35"/>
        <v>15336000</v>
      </c>
      <c r="U21" s="59">
        <f t="shared" si="35"/>
        <v>0</v>
      </c>
      <c r="V21" s="59">
        <f t="shared" si="35"/>
        <v>0</v>
      </c>
      <c r="W21" s="116" t="s">
        <v>89</v>
      </c>
      <c r="X21" s="117"/>
    </row>
    <row r="22" spans="1:24" x14ac:dyDescent="0.2">
      <c r="A22" s="83"/>
      <c r="B22" s="83"/>
      <c r="C22" s="83" t="s">
        <v>92</v>
      </c>
      <c r="D22" s="84"/>
      <c r="E22" s="93">
        <f>E21+E19</f>
        <v>2</v>
      </c>
      <c r="F22" s="87">
        <f t="shared" ref="F22:V22" si="36">F21+F19</f>
        <v>0</v>
      </c>
      <c r="G22" s="87">
        <f t="shared" si="36"/>
        <v>0</v>
      </c>
      <c r="H22" s="87">
        <f t="shared" si="36"/>
        <v>340000000</v>
      </c>
      <c r="I22" s="87">
        <f t="shared" si="36"/>
        <v>340000000</v>
      </c>
      <c r="J22" s="87">
        <f t="shared" si="36"/>
        <v>0</v>
      </c>
      <c r="K22" s="87">
        <f t="shared" si="36"/>
        <v>0</v>
      </c>
      <c r="L22" s="87">
        <f t="shared" si="36"/>
        <v>0</v>
      </c>
      <c r="M22" s="87">
        <f t="shared" si="36"/>
        <v>0</v>
      </c>
      <c r="N22" s="87">
        <f t="shared" si="36"/>
        <v>16180000</v>
      </c>
      <c r="O22" s="87">
        <f t="shared" si="36"/>
        <v>0</v>
      </c>
      <c r="P22" s="87">
        <f t="shared" si="36"/>
        <v>0</v>
      </c>
      <c r="Q22" s="87">
        <f t="shared" si="36"/>
        <v>16180000</v>
      </c>
      <c r="R22" s="87">
        <f t="shared" si="36"/>
        <v>1618000</v>
      </c>
      <c r="S22" s="87">
        <f t="shared" si="36"/>
        <v>14562000</v>
      </c>
      <c r="T22" s="87">
        <f t="shared" si="36"/>
        <v>26586000</v>
      </c>
      <c r="U22" s="87">
        <f t="shared" si="36"/>
        <v>0</v>
      </c>
      <c r="V22" s="87">
        <f t="shared" si="36"/>
        <v>0</v>
      </c>
    </row>
    <row r="23" spans="1:24" s="94" customFormat="1" x14ac:dyDescent="0.2">
      <c r="A23" s="83"/>
      <c r="B23" s="83"/>
      <c r="C23" s="83" t="s">
        <v>94</v>
      </c>
      <c r="D23" s="84"/>
      <c r="E23" s="93">
        <f>E22+E13</f>
        <v>4</v>
      </c>
      <c r="F23" s="83"/>
      <c r="G23" s="83"/>
      <c r="H23" s="87">
        <f>H22+H13</f>
        <v>840000000</v>
      </c>
      <c r="I23" s="87">
        <f>I22+I13</f>
        <v>840000000</v>
      </c>
      <c r="J23" s="83"/>
      <c r="K23" s="83"/>
      <c r="L23" s="83"/>
      <c r="M23" s="83"/>
      <c r="N23" s="87">
        <f t="shared" ref="N23:V23" si="37">N22+N13</f>
        <v>32078000</v>
      </c>
      <c r="O23" s="87">
        <f t="shared" si="37"/>
        <v>0</v>
      </c>
      <c r="P23" s="87">
        <f t="shared" si="37"/>
        <v>0</v>
      </c>
      <c r="Q23" s="87">
        <f t="shared" si="37"/>
        <v>32078000</v>
      </c>
      <c r="R23" s="87">
        <f t="shared" si="37"/>
        <v>3207800</v>
      </c>
      <c r="S23" s="87">
        <f t="shared" si="37"/>
        <v>28870200</v>
      </c>
      <c r="T23" s="87">
        <f t="shared" si="37"/>
        <v>42478000</v>
      </c>
      <c r="U23" s="87">
        <f t="shared" si="37"/>
        <v>0</v>
      </c>
      <c r="V23" s="87">
        <f t="shared" si="37"/>
        <v>0</v>
      </c>
    </row>
    <row r="25" spans="1:24" ht="14.25" customHeight="1" x14ac:dyDescent="0.2">
      <c r="A25" s="86" t="s">
        <v>95</v>
      </c>
      <c r="B25" s="62"/>
      <c r="C25" s="62"/>
      <c r="D25" s="57"/>
      <c r="E25" s="63"/>
      <c r="F25" s="64"/>
      <c r="G25" s="65"/>
      <c r="H25" s="66"/>
      <c r="I25" s="66"/>
      <c r="J25" s="67"/>
      <c r="K25" s="67"/>
      <c r="L25" s="68"/>
      <c r="M25" s="68"/>
      <c r="N25" s="69"/>
      <c r="O25" s="69"/>
      <c r="P25" s="69"/>
      <c r="Q25" s="69"/>
      <c r="R25" s="69"/>
      <c r="S25" s="69"/>
      <c r="T25" s="70"/>
      <c r="U25" s="71"/>
      <c r="V25" s="71"/>
    </row>
    <row r="26" spans="1:24" ht="14.25" customHeight="1" x14ac:dyDescent="0.2">
      <c r="A26" s="231" t="s">
        <v>0</v>
      </c>
      <c r="B26" s="232" t="s">
        <v>1</v>
      </c>
      <c r="C26" s="229" t="s">
        <v>2</v>
      </c>
      <c r="D26" s="233" t="s">
        <v>3</v>
      </c>
      <c r="E26" s="234" t="s">
        <v>4</v>
      </c>
      <c r="F26" s="232" t="s">
        <v>5</v>
      </c>
      <c r="G26" s="235" t="s">
        <v>6</v>
      </c>
      <c r="H26" s="236" t="s">
        <v>7</v>
      </c>
      <c r="I26" s="236" t="s">
        <v>8</v>
      </c>
      <c r="J26" s="227" t="s">
        <v>9</v>
      </c>
      <c r="K26" s="227"/>
      <c r="L26" s="228" t="s">
        <v>10</v>
      </c>
      <c r="M26" s="229" t="s">
        <v>11</v>
      </c>
      <c r="N26" s="230" t="s">
        <v>12</v>
      </c>
      <c r="O26" s="230"/>
      <c r="P26" s="230"/>
      <c r="Q26" s="229" t="s">
        <v>13</v>
      </c>
      <c r="R26" s="229" t="s">
        <v>14</v>
      </c>
      <c r="S26" s="229" t="s">
        <v>15</v>
      </c>
      <c r="T26" s="226" t="s">
        <v>64</v>
      </c>
      <c r="U26" s="226" t="s">
        <v>65</v>
      </c>
      <c r="V26" s="226" t="s">
        <v>66</v>
      </c>
    </row>
    <row r="27" spans="1:24" ht="14.25" customHeight="1" x14ac:dyDescent="0.2">
      <c r="A27" s="231"/>
      <c r="B27" s="232"/>
      <c r="C27" s="229"/>
      <c r="D27" s="233"/>
      <c r="E27" s="234"/>
      <c r="F27" s="232"/>
      <c r="G27" s="235"/>
      <c r="H27" s="236"/>
      <c r="I27" s="236"/>
      <c r="J27" s="227"/>
      <c r="K27" s="227"/>
      <c r="L27" s="228"/>
      <c r="M27" s="229"/>
      <c r="N27" s="144" t="s">
        <v>16</v>
      </c>
      <c r="O27" s="144" t="s">
        <v>17</v>
      </c>
      <c r="P27" s="144" t="s">
        <v>18</v>
      </c>
      <c r="Q27" s="229"/>
      <c r="R27" s="229"/>
      <c r="S27" s="229"/>
      <c r="T27" s="226"/>
      <c r="U27" s="226"/>
      <c r="V27" s="226"/>
    </row>
    <row r="28" spans="1:24" s="82" customFormat="1" x14ac:dyDescent="0.2">
      <c r="A28" s="74">
        <v>5</v>
      </c>
      <c r="B28" s="107" t="s">
        <v>46</v>
      </c>
      <c r="C28" s="107" t="s">
        <v>96</v>
      </c>
      <c r="D28" s="110">
        <v>44313</v>
      </c>
      <c r="E28" s="74">
        <v>1</v>
      </c>
      <c r="F28" s="107" t="s">
        <v>47</v>
      </c>
      <c r="G28" s="111">
        <v>1</v>
      </c>
      <c r="H28" s="112">
        <v>57599206</v>
      </c>
      <c r="I28" s="112">
        <f>H28*G28</f>
        <v>57599206</v>
      </c>
      <c r="J28" s="110">
        <v>46069</v>
      </c>
      <c r="K28" s="77">
        <v>46446</v>
      </c>
      <c r="L28" s="107">
        <v>12</v>
      </c>
      <c r="M28" s="99">
        <v>9.1</v>
      </c>
      <c r="N28" s="81">
        <f t="shared" ref="N28:N29" si="38">M28*H28/1000</f>
        <v>524152.77459999995</v>
      </c>
      <c r="O28" s="81">
        <v>100000</v>
      </c>
      <c r="P28" s="81"/>
      <c r="Q28" s="81">
        <f t="shared" ref="Q28:Q29" si="39">N28+O28+P28</f>
        <v>624152.77459999989</v>
      </c>
      <c r="R28" s="81"/>
      <c r="S28" s="81">
        <f t="shared" ref="S28:S29" si="40">Q28-R28</f>
        <v>624152.77459999989</v>
      </c>
      <c r="T28" s="113">
        <v>624152.77459999989</v>
      </c>
      <c r="U28" s="101">
        <v>0</v>
      </c>
      <c r="V28" s="100"/>
      <c r="X28" s="114"/>
    </row>
    <row r="29" spans="1:24" s="82" customFormat="1" x14ac:dyDescent="0.2">
      <c r="A29" s="74"/>
      <c r="B29" s="107"/>
      <c r="C29" s="107"/>
      <c r="D29" s="110"/>
      <c r="E29" s="74">
        <v>1</v>
      </c>
      <c r="F29" s="107" t="s">
        <v>48</v>
      </c>
      <c r="G29" s="111">
        <v>1</v>
      </c>
      <c r="H29" s="112">
        <v>11844392</v>
      </c>
      <c r="I29" s="112">
        <f>H29*G29</f>
        <v>11844392</v>
      </c>
      <c r="J29" s="110">
        <v>46523</v>
      </c>
      <c r="K29" s="77">
        <v>46768</v>
      </c>
      <c r="L29" s="107">
        <v>8</v>
      </c>
      <c r="M29" s="99">
        <v>5.46</v>
      </c>
      <c r="N29" s="81">
        <f t="shared" si="38"/>
        <v>64670.380320000004</v>
      </c>
      <c r="O29" s="81">
        <v>100000</v>
      </c>
      <c r="P29" s="81"/>
      <c r="Q29" s="81">
        <f t="shared" si="39"/>
        <v>164670.38032</v>
      </c>
      <c r="R29" s="81"/>
      <c r="S29" s="81">
        <f t="shared" si="40"/>
        <v>164670.38032</v>
      </c>
      <c r="T29" s="113">
        <v>164670.38032</v>
      </c>
      <c r="U29" s="101">
        <v>0</v>
      </c>
      <c r="V29" s="100"/>
      <c r="X29" s="114"/>
    </row>
    <row r="30" spans="1:24" s="116" customFormat="1" x14ac:dyDescent="0.2">
      <c r="A30" s="88"/>
      <c r="B30" s="84"/>
      <c r="C30" s="84"/>
      <c r="D30" s="84"/>
      <c r="E30" s="88"/>
      <c r="F30" s="84"/>
      <c r="G30" s="115"/>
      <c r="H30" s="59"/>
      <c r="I30" s="59"/>
      <c r="J30" s="59"/>
      <c r="K30" s="59"/>
      <c r="L30" s="59"/>
      <c r="M30" s="59"/>
      <c r="N30" s="59">
        <f t="shared" ref="N30:V30" si="41">SUM(N28:N29)</f>
        <v>588823.15492</v>
      </c>
      <c r="O30" s="59">
        <f t="shared" si="41"/>
        <v>200000</v>
      </c>
      <c r="P30" s="59">
        <f t="shared" si="41"/>
        <v>0</v>
      </c>
      <c r="Q30" s="59">
        <f t="shared" si="41"/>
        <v>788823.15491999988</v>
      </c>
      <c r="R30" s="59">
        <f t="shared" si="41"/>
        <v>0</v>
      </c>
      <c r="S30" s="59">
        <f t="shared" si="41"/>
        <v>788823.15491999988</v>
      </c>
      <c r="T30" s="59">
        <f t="shared" si="41"/>
        <v>788823.15491999988</v>
      </c>
      <c r="U30" s="59">
        <f t="shared" si="41"/>
        <v>0</v>
      </c>
      <c r="V30" s="59">
        <f t="shared" si="41"/>
        <v>0</v>
      </c>
      <c r="W30" s="116" t="s">
        <v>107</v>
      </c>
      <c r="X30" s="117"/>
    </row>
    <row r="31" spans="1:24" s="82" customFormat="1" x14ac:dyDescent="0.2">
      <c r="A31" s="74">
        <v>6</v>
      </c>
      <c r="B31" s="107" t="s">
        <v>49</v>
      </c>
      <c r="C31" s="107" t="s">
        <v>101</v>
      </c>
      <c r="D31" s="110">
        <v>44301</v>
      </c>
      <c r="E31" s="74">
        <v>1</v>
      </c>
      <c r="F31" s="107" t="s">
        <v>102</v>
      </c>
      <c r="G31" s="111">
        <v>1</v>
      </c>
      <c r="H31" s="112">
        <v>35000000</v>
      </c>
      <c r="I31" s="112">
        <f>H31*G31</f>
        <v>35000000</v>
      </c>
      <c r="J31" s="110">
        <v>44278</v>
      </c>
      <c r="K31" s="77">
        <f t="shared" ref="K31" si="42">IFERROR(VALUE(DAY(J31)&amp;" "&amp;TEXT(EOMONTH(J31,L31)-29,"mmm")&amp;" "&amp;YEAR(EOMONTH(J31,L31)-29)),"-")</f>
        <v>45374</v>
      </c>
      <c r="L31" s="107">
        <v>36</v>
      </c>
      <c r="M31" s="99">
        <v>31.16</v>
      </c>
      <c r="N31" s="81">
        <f t="shared" ref="N31" si="43">M31*H31/1000</f>
        <v>1090600</v>
      </c>
      <c r="O31" s="81"/>
      <c r="P31" s="81"/>
      <c r="Q31" s="81">
        <f t="shared" ref="Q31" si="44">N31+O31+P31</f>
        <v>1090600</v>
      </c>
      <c r="R31" s="81">
        <f t="shared" ref="R31" si="45">10%*N31</f>
        <v>109060</v>
      </c>
      <c r="S31" s="81">
        <f t="shared" ref="S31" si="46">Q31-R31</f>
        <v>981540</v>
      </c>
      <c r="T31" s="113">
        <v>1090600</v>
      </c>
      <c r="U31" s="101">
        <v>0</v>
      </c>
      <c r="V31" s="100"/>
      <c r="X31" s="114"/>
    </row>
    <row r="32" spans="1:24" s="116" customFormat="1" x14ac:dyDescent="0.2">
      <c r="A32" s="88"/>
      <c r="B32" s="84"/>
      <c r="C32" s="84"/>
      <c r="D32" s="84"/>
      <c r="E32" s="88">
        <f>SUM(E31:E31)</f>
        <v>1</v>
      </c>
      <c r="F32" s="84"/>
      <c r="G32" s="115"/>
      <c r="H32" s="59">
        <f>SUM(H31:H31)</f>
        <v>35000000</v>
      </c>
      <c r="I32" s="59">
        <f>SUM(I31:I31)</f>
        <v>35000000</v>
      </c>
      <c r="J32" s="59"/>
      <c r="K32" s="59"/>
      <c r="L32" s="59"/>
      <c r="M32" s="59"/>
      <c r="N32" s="59">
        <f t="shared" ref="N32:V32" si="47">SUM(N31:N31)</f>
        <v>1090600</v>
      </c>
      <c r="O32" s="59">
        <f t="shared" si="47"/>
        <v>0</v>
      </c>
      <c r="P32" s="59">
        <f t="shared" si="47"/>
        <v>0</v>
      </c>
      <c r="Q32" s="59">
        <f t="shared" si="47"/>
        <v>1090600</v>
      </c>
      <c r="R32" s="59">
        <f t="shared" si="47"/>
        <v>109060</v>
      </c>
      <c r="S32" s="59">
        <f t="shared" si="47"/>
        <v>981540</v>
      </c>
      <c r="T32" s="59">
        <f t="shared" si="47"/>
        <v>1090600</v>
      </c>
      <c r="U32" s="59">
        <f t="shared" si="47"/>
        <v>0</v>
      </c>
      <c r="V32" s="59">
        <f t="shared" si="47"/>
        <v>0</v>
      </c>
      <c r="X32" s="117"/>
    </row>
    <row r="33" spans="1:24" s="82" customFormat="1" ht="15.75" customHeight="1" x14ac:dyDescent="0.2">
      <c r="A33" s="74">
        <v>7</v>
      </c>
      <c r="B33" s="107" t="s">
        <v>49</v>
      </c>
      <c r="C33" s="107" t="s">
        <v>103</v>
      </c>
      <c r="D33" s="110">
        <v>44316</v>
      </c>
      <c r="E33" s="74">
        <v>1</v>
      </c>
      <c r="F33" s="107" t="s">
        <v>104</v>
      </c>
      <c r="G33" s="111">
        <v>1</v>
      </c>
      <c r="H33" s="112">
        <v>83000000</v>
      </c>
      <c r="I33" s="112">
        <f>H33*G33</f>
        <v>83000000</v>
      </c>
      <c r="J33" s="110">
        <v>44315</v>
      </c>
      <c r="K33" s="77">
        <f>IFERROR(VALUE(DAY(J33)&amp;" "&amp;TEXT(EOMONTH(J33,L33)-29,"mmm")&amp;" "&amp;YEAR(EOMONTH(J33,L33)-29)),"-")</f>
        <v>46506</v>
      </c>
      <c r="L33" s="107">
        <v>72</v>
      </c>
      <c r="M33" s="99">
        <v>50.64</v>
      </c>
      <c r="N33" s="81">
        <f t="shared" ref="N33" si="48">M33*H33/1000</f>
        <v>4203120</v>
      </c>
      <c r="O33" s="81"/>
      <c r="P33" s="81"/>
      <c r="Q33" s="81">
        <f t="shared" ref="Q33" si="49">N33+O33+P33</f>
        <v>4203120</v>
      </c>
      <c r="R33" s="81">
        <f t="shared" ref="R33" si="50">10%*N33</f>
        <v>420312</v>
      </c>
      <c r="S33" s="81">
        <f t="shared" ref="S33" si="51">Q33-R33</f>
        <v>3782808</v>
      </c>
      <c r="T33" s="113">
        <v>4203120</v>
      </c>
      <c r="U33" s="101">
        <f>Q33-T33</f>
        <v>0</v>
      </c>
      <c r="V33" s="100"/>
      <c r="X33" s="114"/>
    </row>
    <row r="34" spans="1:24" s="82" customFormat="1" x14ac:dyDescent="0.2">
      <c r="A34" s="150"/>
      <c r="B34" s="90"/>
      <c r="C34" s="90"/>
      <c r="D34" s="90"/>
      <c r="E34" s="150">
        <f>SUM(E33:E33)</f>
        <v>1</v>
      </c>
      <c r="F34" s="90"/>
      <c r="G34" s="151"/>
      <c r="H34" s="152">
        <f>SUM(H33:H33)</f>
        <v>83000000</v>
      </c>
      <c r="I34" s="152">
        <f>SUM(I33:I33)</f>
        <v>83000000</v>
      </c>
      <c r="J34" s="152"/>
      <c r="K34" s="152"/>
      <c r="L34" s="152"/>
      <c r="M34" s="152"/>
      <c r="N34" s="152">
        <f t="shared" ref="N34:V34" si="52">SUM(N33:N33)</f>
        <v>4203120</v>
      </c>
      <c r="O34" s="152">
        <f t="shared" si="52"/>
        <v>0</v>
      </c>
      <c r="P34" s="152">
        <f t="shared" si="52"/>
        <v>0</v>
      </c>
      <c r="Q34" s="152">
        <f t="shared" si="52"/>
        <v>4203120</v>
      </c>
      <c r="R34" s="152">
        <f t="shared" si="52"/>
        <v>420312</v>
      </c>
      <c r="S34" s="152">
        <f t="shared" si="52"/>
        <v>3782808</v>
      </c>
      <c r="T34" s="152">
        <f t="shared" si="52"/>
        <v>4203120</v>
      </c>
      <c r="U34" s="152">
        <f t="shared" si="52"/>
        <v>0</v>
      </c>
      <c r="V34" s="152">
        <f t="shared" si="52"/>
        <v>0</v>
      </c>
      <c r="W34" s="116"/>
      <c r="X34" s="117"/>
    </row>
    <row r="35" spans="1:24" s="82" customFormat="1" ht="15.75" customHeight="1" x14ac:dyDescent="0.2">
      <c r="A35" s="74">
        <v>8</v>
      </c>
      <c r="B35" s="107" t="s">
        <v>49</v>
      </c>
      <c r="C35" s="107" t="s">
        <v>105</v>
      </c>
      <c r="D35" s="110">
        <v>44316</v>
      </c>
      <c r="E35" s="74">
        <v>1</v>
      </c>
      <c r="F35" s="107" t="s">
        <v>106</v>
      </c>
      <c r="G35" s="111">
        <v>1</v>
      </c>
      <c r="H35" s="112">
        <v>35000000</v>
      </c>
      <c r="I35" s="112">
        <f>H35*G35</f>
        <v>35000000</v>
      </c>
      <c r="J35" s="110">
        <v>44313</v>
      </c>
      <c r="K35" s="77">
        <f>IFERROR(VALUE(DAY(J35)&amp;" "&amp;TEXT(EOMONTH(J35,L35)-29,"mmm")&amp;" "&amp;YEAR(EOMONTH(J35,L35)-29)),"-")</f>
        <v>45409</v>
      </c>
      <c r="L35" s="107">
        <v>36</v>
      </c>
      <c r="M35" s="99">
        <v>30.71</v>
      </c>
      <c r="N35" s="81">
        <f t="shared" ref="N35" si="53">M35*H35/1000</f>
        <v>1074850</v>
      </c>
      <c r="O35" s="81"/>
      <c r="P35" s="81"/>
      <c r="Q35" s="81">
        <f t="shared" ref="Q35" si="54">N35+O35+P35</f>
        <v>1074850</v>
      </c>
      <c r="R35" s="81">
        <f t="shared" ref="R35" si="55">10%*N35</f>
        <v>107485</v>
      </c>
      <c r="S35" s="81">
        <f t="shared" ref="S35" si="56">Q35-R35</f>
        <v>967365</v>
      </c>
      <c r="T35" s="113">
        <v>1074850</v>
      </c>
      <c r="U35" s="101">
        <v>0</v>
      </c>
      <c r="V35" s="100"/>
      <c r="X35" s="114"/>
    </row>
    <row r="36" spans="1:24" s="82" customFormat="1" x14ac:dyDescent="0.2">
      <c r="A36" s="150"/>
      <c r="B36" s="90"/>
      <c r="C36" s="90"/>
      <c r="D36" s="90"/>
      <c r="E36" s="150">
        <f>SUM(E35:E35)</f>
        <v>1</v>
      </c>
      <c r="F36" s="90"/>
      <c r="G36" s="151"/>
      <c r="H36" s="152">
        <f>SUM(H35:H35)</f>
        <v>35000000</v>
      </c>
      <c r="I36" s="152">
        <f>SUM(I35:I35)</f>
        <v>35000000</v>
      </c>
      <c r="J36" s="152"/>
      <c r="K36" s="152"/>
      <c r="L36" s="152"/>
      <c r="M36" s="152"/>
      <c r="N36" s="152">
        <f t="shared" ref="N36:V36" si="57">SUM(N35:N35)</f>
        <v>1074850</v>
      </c>
      <c r="O36" s="152">
        <f t="shared" si="57"/>
        <v>0</v>
      </c>
      <c r="P36" s="152">
        <f t="shared" si="57"/>
        <v>0</v>
      </c>
      <c r="Q36" s="152">
        <f t="shared" si="57"/>
        <v>1074850</v>
      </c>
      <c r="R36" s="152">
        <f t="shared" si="57"/>
        <v>107485</v>
      </c>
      <c r="S36" s="152">
        <f t="shared" si="57"/>
        <v>967365</v>
      </c>
      <c r="T36" s="152">
        <f t="shared" si="57"/>
        <v>1074850</v>
      </c>
      <c r="U36" s="152">
        <f t="shared" si="57"/>
        <v>0</v>
      </c>
      <c r="V36" s="152">
        <f t="shared" si="57"/>
        <v>0</v>
      </c>
      <c r="W36" s="116"/>
      <c r="X36" s="117"/>
    </row>
    <row r="37" spans="1:24" x14ac:dyDescent="0.2">
      <c r="A37" s="74">
        <v>9</v>
      </c>
      <c r="B37" s="107" t="s">
        <v>49</v>
      </c>
      <c r="C37" s="107" t="s">
        <v>108</v>
      </c>
      <c r="D37" s="110">
        <v>44316</v>
      </c>
      <c r="E37" s="74">
        <v>1</v>
      </c>
      <c r="F37" s="107" t="s">
        <v>109</v>
      </c>
      <c r="G37" s="111">
        <v>1</v>
      </c>
      <c r="H37" s="112">
        <v>220000000</v>
      </c>
      <c r="I37" s="112">
        <f>H37*G37</f>
        <v>220000000</v>
      </c>
      <c r="J37" s="110">
        <v>44300</v>
      </c>
      <c r="K37" s="77">
        <f>IFERROR(VALUE(DAY(J37)&amp;" "&amp;TEXT(EOMONTH(J37,L37)-29,"mmm")&amp;" "&amp;YEAR(EOMONTH(J37,L37)-29)),"-")</f>
        <v>47952</v>
      </c>
      <c r="L37" s="107">
        <v>120</v>
      </c>
      <c r="M37" s="99">
        <v>25.48</v>
      </c>
      <c r="N37" s="81">
        <f t="shared" ref="N37:N38" si="58">M37*H37/1000</f>
        <v>5605600</v>
      </c>
      <c r="O37" s="81"/>
      <c r="P37" s="81"/>
      <c r="Q37" s="81">
        <f t="shared" ref="Q37:Q38" si="59">N37+O37+P37</f>
        <v>5605600</v>
      </c>
      <c r="R37" s="81">
        <f t="shared" ref="R37:R38" si="60">10%*N37</f>
        <v>560560</v>
      </c>
      <c r="S37" s="81">
        <f t="shared" ref="S37:S38" si="61">Q37-R37</f>
        <v>5045040</v>
      </c>
      <c r="T37" s="113">
        <v>5605600</v>
      </c>
      <c r="U37" s="101">
        <v>0</v>
      </c>
      <c r="V37" s="100"/>
    </row>
    <row r="38" spans="1:24" x14ac:dyDescent="0.2">
      <c r="A38" s="74"/>
      <c r="B38" s="107"/>
      <c r="C38" s="107"/>
      <c r="D38" s="110"/>
      <c r="E38" s="74">
        <v>1</v>
      </c>
      <c r="F38" s="107" t="s">
        <v>110</v>
      </c>
      <c r="G38" s="111">
        <v>1</v>
      </c>
      <c r="H38" s="112">
        <v>160000000</v>
      </c>
      <c r="I38" s="112">
        <f>H38*G38</f>
        <v>160000000</v>
      </c>
      <c r="J38" s="110">
        <v>44305</v>
      </c>
      <c r="K38" s="77">
        <f>IFERROR(VALUE(DAY(J38)&amp;" "&amp;TEXT(EOMONTH(J38,L38)-29,"mmm")&amp;" "&amp;YEAR(EOMONTH(J38,L38)-29)),"-")</f>
        <v>45554</v>
      </c>
      <c r="L38" s="107">
        <v>41</v>
      </c>
      <c r="M38" s="99">
        <v>11.38</v>
      </c>
      <c r="N38" s="81">
        <f t="shared" si="58"/>
        <v>1820800.0000000002</v>
      </c>
      <c r="O38" s="81"/>
      <c r="P38" s="81"/>
      <c r="Q38" s="81">
        <f t="shared" si="59"/>
        <v>1820800.0000000002</v>
      </c>
      <c r="R38" s="81">
        <f t="shared" si="60"/>
        <v>182080.00000000003</v>
      </c>
      <c r="S38" s="81">
        <f t="shared" si="61"/>
        <v>1638720.0000000002</v>
      </c>
      <c r="T38" s="113">
        <v>1820800.0000000002</v>
      </c>
      <c r="U38" s="101">
        <v>0</v>
      </c>
      <c r="V38" s="100"/>
    </row>
    <row r="39" spans="1:24" s="94" customFormat="1" x14ac:dyDescent="0.2">
      <c r="A39" s="88"/>
      <c r="B39" s="84"/>
      <c r="C39" s="84"/>
      <c r="D39" s="84"/>
      <c r="E39" s="88">
        <f>SUM(E37:E38)</f>
        <v>2</v>
      </c>
      <c r="F39" s="84"/>
      <c r="G39" s="115"/>
      <c r="H39" s="79">
        <f t="shared" ref="H39:I39" si="62">SUM(H37:H38)</f>
        <v>380000000</v>
      </c>
      <c r="I39" s="79">
        <f t="shared" si="62"/>
        <v>380000000</v>
      </c>
      <c r="J39" s="59"/>
      <c r="K39" s="59"/>
      <c r="L39" s="59"/>
      <c r="M39" s="59"/>
      <c r="N39" s="79">
        <f t="shared" ref="N39:V39" si="63">SUM(N37:N38)</f>
        <v>7426400</v>
      </c>
      <c r="O39" s="79">
        <f t="shared" si="63"/>
        <v>0</v>
      </c>
      <c r="P39" s="79">
        <f t="shared" si="63"/>
        <v>0</v>
      </c>
      <c r="Q39" s="79">
        <f t="shared" si="63"/>
        <v>7426400</v>
      </c>
      <c r="R39" s="79">
        <f t="shared" si="63"/>
        <v>742640</v>
      </c>
      <c r="S39" s="79">
        <f t="shared" si="63"/>
        <v>6683760</v>
      </c>
      <c r="T39" s="79">
        <f t="shared" si="63"/>
        <v>7426400</v>
      </c>
      <c r="U39" s="79">
        <f t="shared" si="63"/>
        <v>0</v>
      </c>
      <c r="V39" s="79">
        <f t="shared" si="63"/>
        <v>0</v>
      </c>
    </row>
    <row r="40" spans="1:24" s="82" customFormat="1" ht="15.75" customHeight="1" x14ac:dyDescent="0.2">
      <c r="A40" s="74">
        <v>10</v>
      </c>
      <c r="B40" s="107" t="s">
        <v>111</v>
      </c>
      <c r="C40" s="107" t="s">
        <v>112</v>
      </c>
      <c r="D40" s="110">
        <v>44316</v>
      </c>
      <c r="E40" s="74">
        <v>1</v>
      </c>
      <c r="F40" s="107" t="s">
        <v>113</v>
      </c>
      <c r="G40" s="111">
        <v>1</v>
      </c>
      <c r="H40" s="112">
        <v>45323679</v>
      </c>
      <c r="I40" s="112">
        <f>H40*G40</f>
        <v>45323679</v>
      </c>
      <c r="J40" s="110">
        <v>45784</v>
      </c>
      <c r="K40" s="77">
        <v>46302</v>
      </c>
      <c r="L40" s="107">
        <v>17</v>
      </c>
      <c r="M40" s="99">
        <v>9.1</v>
      </c>
      <c r="N40" s="81">
        <f t="shared" ref="N40" si="64">M40*H40/1000</f>
        <v>412445.47889999999</v>
      </c>
      <c r="O40" s="81">
        <v>100000</v>
      </c>
      <c r="P40" s="81"/>
      <c r="Q40" s="81">
        <f t="shared" ref="Q40" si="65">N40+O40+P40</f>
        <v>512445.47889999999</v>
      </c>
      <c r="R40" s="81"/>
      <c r="S40" s="81">
        <f t="shared" ref="S40" si="66">Q40-R40</f>
        <v>512445.47889999999</v>
      </c>
      <c r="T40" s="113">
        <v>512445.47889999999</v>
      </c>
      <c r="U40" s="101">
        <v>0</v>
      </c>
      <c r="V40" s="100"/>
      <c r="X40" s="114"/>
    </row>
    <row r="41" spans="1:24" s="82" customFormat="1" x14ac:dyDescent="0.2">
      <c r="A41" s="150"/>
      <c r="B41" s="90"/>
      <c r="C41" s="90"/>
      <c r="D41" s="90"/>
      <c r="E41" s="150"/>
      <c r="F41" s="90"/>
      <c r="G41" s="151"/>
      <c r="H41" s="152"/>
      <c r="I41" s="152"/>
      <c r="J41" s="152"/>
      <c r="K41" s="152"/>
      <c r="L41" s="152"/>
      <c r="M41" s="152"/>
      <c r="N41" s="152">
        <f t="shared" ref="N41:V41" si="67">SUM(N40:N40)</f>
        <v>412445.47889999999</v>
      </c>
      <c r="O41" s="152">
        <f t="shared" si="67"/>
        <v>100000</v>
      </c>
      <c r="P41" s="152">
        <f t="shared" si="67"/>
        <v>0</v>
      </c>
      <c r="Q41" s="152">
        <f t="shared" si="67"/>
        <v>512445.47889999999</v>
      </c>
      <c r="R41" s="152">
        <f t="shared" si="67"/>
        <v>0</v>
      </c>
      <c r="S41" s="152">
        <f t="shared" si="67"/>
        <v>512445.47889999999</v>
      </c>
      <c r="T41" s="152">
        <f t="shared" si="67"/>
        <v>512445.47889999999</v>
      </c>
      <c r="U41" s="152">
        <f t="shared" si="67"/>
        <v>0</v>
      </c>
      <c r="V41" s="152">
        <f t="shared" si="67"/>
        <v>0</v>
      </c>
      <c r="W41" s="116" t="s">
        <v>114</v>
      </c>
      <c r="X41" s="117"/>
    </row>
    <row r="42" spans="1:24" x14ac:dyDescent="0.2">
      <c r="A42" s="83"/>
      <c r="B42" s="83"/>
      <c r="C42" s="83" t="s">
        <v>115</v>
      </c>
      <c r="D42" s="84"/>
      <c r="E42" s="85">
        <f>E41+E39+E36+E34+E32+E30</f>
        <v>5</v>
      </c>
      <c r="F42" s="87"/>
      <c r="G42" s="87"/>
      <c r="H42" s="87">
        <f t="shared" ref="H42:V42" si="68">H41+H39+H36+H34+H32+H30</f>
        <v>533000000</v>
      </c>
      <c r="I42" s="87">
        <f t="shared" si="68"/>
        <v>533000000</v>
      </c>
      <c r="J42" s="87">
        <f t="shared" si="68"/>
        <v>0</v>
      </c>
      <c r="K42" s="87">
        <f t="shared" si="68"/>
        <v>0</v>
      </c>
      <c r="L42" s="87">
        <f t="shared" si="68"/>
        <v>0</v>
      </c>
      <c r="M42" s="87">
        <f t="shared" si="68"/>
        <v>0</v>
      </c>
      <c r="N42" s="87">
        <f t="shared" si="68"/>
        <v>14796238.633820001</v>
      </c>
      <c r="O42" s="87">
        <f t="shared" si="68"/>
        <v>300000</v>
      </c>
      <c r="P42" s="87">
        <f t="shared" si="68"/>
        <v>0</v>
      </c>
      <c r="Q42" s="87">
        <f t="shared" si="68"/>
        <v>15096238.633820001</v>
      </c>
      <c r="R42" s="87">
        <f t="shared" si="68"/>
        <v>1379497</v>
      </c>
      <c r="S42" s="87">
        <f t="shared" si="68"/>
        <v>13716741.633820001</v>
      </c>
      <c r="T42" s="87">
        <f t="shared" si="68"/>
        <v>15096238.633820001</v>
      </c>
      <c r="U42" s="87">
        <f t="shared" si="68"/>
        <v>0</v>
      </c>
      <c r="V42" s="87">
        <f t="shared" si="68"/>
        <v>0</v>
      </c>
    </row>
    <row r="43" spans="1:24" s="94" customFormat="1" x14ac:dyDescent="0.2">
      <c r="A43" s="83"/>
      <c r="B43" s="83"/>
      <c r="C43" s="83" t="s">
        <v>116</v>
      </c>
      <c r="D43" s="84"/>
      <c r="E43" s="93">
        <f>E42+E23</f>
        <v>9</v>
      </c>
      <c r="F43" s="95"/>
      <c r="G43" s="95"/>
      <c r="H43" s="95">
        <f t="shared" ref="H43:V43" si="69">H42+H23</f>
        <v>1373000000</v>
      </c>
      <c r="I43" s="95">
        <f t="shared" si="69"/>
        <v>1373000000</v>
      </c>
      <c r="J43" s="95">
        <f t="shared" si="69"/>
        <v>0</v>
      </c>
      <c r="K43" s="95">
        <f t="shared" si="69"/>
        <v>0</v>
      </c>
      <c r="L43" s="95">
        <f t="shared" si="69"/>
        <v>0</v>
      </c>
      <c r="M43" s="95">
        <f t="shared" si="69"/>
        <v>0</v>
      </c>
      <c r="N43" s="95">
        <f t="shared" si="69"/>
        <v>46874238.633819997</v>
      </c>
      <c r="O43" s="95">
        <f t="shared" si="69"/>
        <v>300000</v>
      </c>
      <c r="P43" s="95">
        <f t="shared" si="69"/>
        <v>0</v>
      </c>
      <c r="Q43" s="95">
        <f t="shared" si="69"/>
        <v>47174238.633819997</v>
      </c>
      <c r="R43" s="95">
        <f t="shared" si="69"/>
        <v>4587297</v>
      </c>
      <c r="S43" s="95">
        <f t="shared" si="69"/>
        <v>42586941.633819997</v>
      </c>
      <c r="T43" s="95">
        <f t="shared" si="69"/>
        <v>57574238.633819997</v>
      </c>
      <c r="U43" s="95">
        <f t="shared" si="69"/>
        <v>0</v>
      </c>
      <c r="V43" s="95">
        <f t="shared" si="69"/>
        <v>0</v>
      </c>
    </row>
    <row r="46" spans="1:24" ht="14.25" customHeight="1" x14ac:dyDescent="0.2">
      <c r="A46" s="86" t="s">
        <v>121</v>
      </c>
      <c r="B46" s="62"/>
      <c r="C46" s="62"/>
      <c r="D46" s="57"/>
      <c r="E46" s="63"/>
      <c r="F46" s="64"/>
      <c r="G46" s="65"/>
      <c r="H46" s="66"/>
      <c r="I46" s="66"/>
      <c r="J46" s="67"/>
      <c r="K46" s="67"/>
      <c r="L46" s="68"/>
      <c r="M46" s="68"/>
      <c r="N46" s="69"/>
      <c r="O46" s="69"/>
      <c r="P46" s="69"/>
      <c r="Q46" s="69"/>
      <c r="R46" s="69"/>
      <c r="S46" s="69"/>
      <c r="T46" s="70"/>
      <c r="U46" s="71"/>
      <c r="V46" s="71"/>
    </row>
    <row r="47" spans="1:24" ht="14.25" customHeight="1" x14ac:dyDescent="0.2">
      <c r="A47" s="231" t="s">
        <v>0</v>
      </c>
      <c r="B47" s="232" t="s">
        <v>1</v>
      </c>
      <c r="C47" s="229" t="s">
        <v>2</v>
      </c>
      <c r="D47" s="233" t="s">
        <v>3</v>
      </c>
      <c r="E47" s="234" t="s">
        <v>4</v>
      </c>
      <c r="F47" s="232" t="s">
        <v>5</v>
      </c>
      <c r="G47" s="235" t="s">
        <v>6</v>
      </c>
      <c r="H47" s="236" t="s">
        <v>7</v>
      </c>
      <c r="I47" s="236" t="s">
        <v>8</v>
      </c>
      <c r="J47" s="227" t="s">
        <v>9</v>
      </c>
      <c r="K47" s="227"/>
      <c r="L47" s="228" t="s">
        <v>10</v>
      </c>
      <c r="M47" s="229" t="s">
        <v>11</v>
      </c>
      <c r="N47" s="230" t="s">
        <v>12</v>
      </c>
      <c r="O47" s="230"/>
      <c r="P47" s="230"/>
      <c r="Q47" s="229" t="s">
        <v>13</v>
      </c>
      <c r="R47" s="229" t="s">
        <v>14</v>
      </c>
      <c r="S47" s="229" t="s">
        <v>15</v>
      </c>
      <c r="T47" s="226" t="s">
        <v>64</v>
      </c>
      <c r="U47" s="226" t="s">
        <v>65</v>
      </c>
      <c r="V47" s="226" t="s">
        <v>66</v>
      </c>
    </row>
    <row r="48" spans="1:24" ht="14.25" customHeight="1" x14ac:dyDescent="0.2">
      <c r="A48" s="231"/>
      <c r="B48" s="232"/>
      <c r="C48" s="229"/>
      <c r="D48" s="233"/>
      <c r="E48" s="234"/>
      <c r="F48" s="232"/>
      <c r="G48" s="235"/>
      <c r="H48" s="236"/>
      <c r="I48" s="236"/>
      <c r="J48" s="227"/>
      <c r="K48" s="227"/>
      <c r="L48" s="228"/>
      <c r="M48" s="229"/>
      <c r="N48" s="153" t="s">
        <v>16</v>
      </c>
      <c r="O48" s="153" t="s">
        <v>17</v>
      </c>
      <c r="P48" s="153" t="s">
        <v>18</v>
      </c>
      <c r="Q48" s="229"/>
      <c r="R48" s="229"/>
      <c r="S48" s="229"/>
      <c r="T48" s="226"/>
      <c r="U48" s="226"/>
      <c r="V48" s="226"/>
    </row>
    <row r="49" spans="1:24" s="158" customFormat="1" ht="15" x14ac:dyDescent="0.25">
      <c r="A49" s="154">
        <v>11</v>
      </c>
      <c r="B49" s="155" t="s">
        <v>122</v>
      </c>
      <c r="C49" s="155" t="s">
        <v>123</v>
      </c>
      <c r="D49" s="156">
        <v>44334</v>
      </c>
      <c r="E49" s="154">
        <v>1</v>
      </c>
      <c r="F49" s="155" t="s">
        <v>124</v>
      </c>
      <c r="G49" s="111">
        <v>1</v>
      </c>
      <c r="H49" s="112">
        <v>30000000</v>
      </c>
      <c r="I49" s="112">
        <f>H49*G49</f>
        <v>30000000</v>
      </c>
      <c r="J49" s="110">
        <v>44257</v>
      </c>
      <c r="K49" s="77">
        <f>IFERROR(VALUE(DAY(J49)&amp;" "&amp;TEXT(EOMONTH(J49,L49)-29,"mmm")&amp;" "&amp;YEAR(EOMONTH(J49,L49)-29)),"-")</f>
        <v>44987</v>
      </c>
      <c r="L49" s="107">
        <v>24</v>
      </c>
      <c r="M49" s="99">
        <v>10.57</v>
      </c>
      <c r="N49" s="81">
        <f t="shared" ref="N49" si="70">M49*H49/1000</f>
        <v>317100</v>
      </c>
      <c r="O49" s="81"/>
      <c r="P49" s="81"/>
      <c r="Q49" s="81">
        <f t="shared" ref="Q49" si="71">N49+O49+P49</f>
        <v>317100</v>
      </c>
      <c r="R49" s="81">
        <f t="shared" ref="R49" si="72">10%*N49</f>
        <v>31710</v>
      </c>
      <c r="S49" s="81">
        <f t="shared" ref="S49" si="73">Q49-R49</f>
        <v>285390</v>
      </c>
      <c r="T49" s="113">
        <v>317100</v>
      </c>
      <c r="U49" s="101">
        <f>Q49-T49</f>
        <v>0</v>
      </c>
      <c r="V49" s="100"/>
      <c r="W49"/>
      <c r="X49" s="157"/>
    </row>
    <row r="50" spans="1:24" s="158" customFormat="1" ht="15" x14ac:dyDescent="0.25">
      <c r="A50" s="159"/>
      <c r="B50" s="160"/>
      <c r="C50" s="160"/>
      <c r="D50" s="160"/>
      <c r="E50" s="159">
        <f>SUM(E49)</f>
        <v>1</v>
      </c>
      <c r="F50" s="160"/>
      <c r="G50" s="161"/>
      <c r="H50" s="162">
        <f>SUM(H49)</f>
        <v>30000000</v>
      </c>
      <c r="I50" s="162">
        <f>SUM(I49)</f>
        <v>30000000</v>
      </c>
      <c r="J50" s="162"/>
      <c r="K50" s="162"/>
      <c r="L50" s="162"/>
      <c r="M50" s="162"/>
      <c r="N50" s="162">
        <f t="shared" ref="N50:V50" si="74">SUM(N49)</f>
        <v>317100</v>
      </c>
      <c r="O50" s="162">
        <f t="shared" si="74"/>
        <v>0</v>
      </c>
      <c r="P50" s="162">
        <f t="shared" si="74"/>
        <v>0</v>
      </c>
      <c r="Q50" s="162">
        <f t="shared" si="74"/>
        <v>317100</v>
      </c>
      <c r="R50" s="162">
        <f t="shared" si="74"/>
        <v>31710</v>
      </c>
      <c r="S50" s="162">
        <f t="shared" si="74"/>
        <v>285390</v>
      </c>
      <c r="T50" s="162">
        <f t="shared" si="74"/>
        <v>317100</v>
      </c>
      <c r="U50" s="162">
        <f t="shared" si="74"/>
        <v>0</v>
      </c>
      <c r="V50" s="162">
        <f t="shared" si="74"/>
        <v>0</v>
      </c>
      <c r="W50"/>
      <c r="X50" s="157"/>
    </row>
    <row r="51" spans="1:24" x14ac:dyDescent="0.2">
      <c r="A51" s="74">
        <v>12</v>
      </c>
      <c r="B51" s="107" t="s">
        <v>111</v>
      </c>
      <c r="C51" s="107" t="s">
        <v>125</v>
      </c>
      <c r="D51" s="110">
        <v>44336</v>
      </c>
      <c r="E51" s="74">
        <v>1</v>
      </c>
      <c r="F51" s="107" t="s">
        <v>126</v>
      </c>
      <c r="G51" s="111">
        <v>1</v>
      </c>
      <c r="H51" s="112">
        <v>69230850</v>
      </c>
      <c r="I51" s="112">
        <f>H51*G51</f>
        <v>69230850</v>
      </c>
      <c r="J51" s="110">
        <v>44315</v>
      </c>
      <c r="K51" s="77">
        <f>IFERROR(VALUE(DAY(J51)&amp;" "&amp;TEXT(EOMONTH(J51,L51)-29,"mmm")&amp;" "&amp;YEAR(EOMONTH(J51,L51)-29)),"-")</f>
        <v>45686</v>
      </c>
      <c r="L51" s="107">
        <v>45</v>
      </c>
      <c r="M51" s="99">
        <v>15.93</v>
      </c>
      <c r="N51" s="81">
        <f t="shared" ref="N51:N52" si="75">M51*H51/1000</f>
        <v>1102847.4405</v>
      </c>
      <c r="O51" s="81"/>
      <c r="P51" s="81"/>
      <c r="Q51" s="81">
        <f t="shared" ref="Q51:Q52" si="76">N51+O51+P51</f>
        <v>1102847.4405</v>
      </c>
      <c r="R51" s="81">
        <f t="shared" ref="R51:R52" si="77">10%*N51</f>
        <v>110284.74405000001</v>
      </c>
      <c r="S51" s="81">
        <f t="shared" ref="S51:S52" si="78">Q51-R51</f>
        <v>992562.69645000005</v>
      </c>
      <c r="T51" s="113">
        <v>1102847.4405</v>
      </c>
      <c r="U51" s="101">
        <f t="shared" ref="U51:U52" si="79">Q51-T51</f>
        <v>0</v>
      </c>
      <c r="V51" s="100"/>
    </row>
    <row r="52" spans="1:24" x14ac:dyDescent="0.2">
      <c r="A52" s="74"/>
      <c r="B52" s="107"/>
      <c r="C52" s="107"/>
      <c r="D52" s="110"/>
      <c r="E52" s="74">
        <v>1</v>
      </c>
      <c r="F52" s="107" t="s">
        <v>127</v>
      </c>
      <c r="G52" s="111">
        <v>1</v>
      </c>
      <c r="H52" s="112">
        <v>82219772</v>
      </c>
      <c r="I52" s="112">
        <f>H52*G52</f>
        <v>82219772</v>
      </c>
      <c r="J52" s="110">
        <v>44307</v>
      </c>
      <c r="K52" s="77">
        <f>IFERROR(VALUE(DAY(J52)&amp;" "&amp;TEXT(EOMONTH(J52,L52)-29,"mmm")&amp;" "&amp;YEAR(EOMONTH(J52,L52)-29)),"-")</f>
        <v>46742</v>
      </c>
      <c r="L52" s="107">
        <v>80</v>
      </c>
      <c r="M52" s="99">
        <v>25.48</v>
      </c>
      <c r="N52" s="81">
        <f t="shared" si="75"/>
        <v>2094959.7905599999</v>
      </c>
      <c r="O52" s="81"/>
      <c r="P52" s="81"/>
      <c r="Q52" s="81">
        <f t="shared" si="76"/>
        <v>2094959.7905599999</v>
      </c>
      <c r="R52" s="81">
        <f t="shared" si="77"/>
        <v>209495.97905600001</v>
      </c>
      <c r="S52" s="81">
        <f t="shared" si="78"/>
        <v>1885463.8115039999</v>
      </c>
      <c r="T52" s="113">
        <v>2094959.7905599999</v>
      </c>
      <c r="U52" s="101">
        <f t="shared" si="79"/>
        <v>0</v>
      </c>
      <c r="V52" s="100"/>
    </row>
    <row r="53" spans="1:24" s="94" customFormat="1" x14ac:dyDescent="0.2">
      <c r="A53" s="88"/>
      <c r="B53" s="84"/>
      <c r="C53" s="84"/>
      <c r="D53" s="84"/>
      <c r="E53" s="88">
        <f>SUM(E51:E52)</f>
        <v>2</v>
      </c>
      <c r="F53" s="84"/>
      <c r="G53" s="115"/>
      <c r="H53" s="79">
        <f t="shared" ref="H53:I53" si="80">SUM(H51:H52)</f>
        <v>151450622</v>
      </c>
      <c r="I53" s="79">
        <f t="shared" si="80"/>
        <v>151450622</v>
      </c>
      <c r="J53" s="59"/>
      <c r="K53" s="59"/>
      <c r="L53" s="59"/>
      <c r="M53" s="59"/>
      <c r="N53" s="79">
        <f t="shared" ref="N53:V53" si="81">SUM(N51:N52)</f>
        <v>3197807.2310600001</v>
      </c>
      <c r="O53" s="79">
        <f t="shared" si="81"/>
        <v>0</v>
      </c>
      <c r="P53" s="79">
        <f t="shared" si="81"/>
        <v>0</v>
      </c>
      <c r="Q53" s="79">
        <f t="shared" si="81"/>
        <v>3197807.2310600001</v>
      </c>
      <c r="R53" s="79">
        <f t="shared" si="81"/>
        <v>319780.72310599999</v>
      </c>
      <c r="S53" s="79">
        <f t="shared" si="81"/>
        <v>2878026.507954</v>
      </c>
      <c r="T53" s="79">
        <f t="shared" si="81"/>
        <v>3197807.2310600001</v>
      </c>
      <c r="U53" s="79">
        <f t="shared" si="81"/>
        <v>0</v>
      </c>
      <c r="V53" s="79">
        <f t="shared" si="81"/>
        <v>0</v>
      </c>
      <c r="X53" s="94" t="s">
        <v>146</v>
      </c>
    </row>
    <row r="54" spans="1:24" s="158" customFormat="1" ht="15" x14ac:dyDescent="0.25">
      <c r="A54" s="154">
        <v>13</v>
      </c>
      <c r="B54" s="155" t="s">
        <v>128</v>
      </c>
      <c r="C54" s="155" t="s">
        <v>129</v>
      </c>
      <c r="D54" s="156">
        <v>44347</v>
      </c>
      <c r="E54" s="154">
        <v>1</v>
      </c>
      <c r="F54" s="155" t="s">
        <v>130</v>
      </c>
      <c r="G54" s="111">
        <v>1</v>
      </c>
      <c r="H54" s="112">
        <v>1000000000</v>
      </c>
      <c r="I54" s="112">
        <f>H54*G54</f>
        <v>1000000000</v>
      </c>
      <c r="J54" s="110">
        <v>44327</v>
      </c>
      <c r="K54" s="77">
        <f>IFERROR(VALUE(DAY(J54)&amp;" "&amp;TEXT(EOMONTH(J54,L54)-29,"mmm")&amp;" "&amp;YEAR(EOMONTH(J54,L54)-29)),"-")</f>
        <v>45241</v>
      </c>
      <c r="L54" s="107">
        <v>30</v>
      </c>
      <c r="M54" s="99">
        <v>30.71</v>
      </c>
      <c r="N54" s="81">
        <f t="shared" ref="N54" si="82">M54*H54/1000</f>
        <v>30710000</v>
      </c>
      <c r="O54" s="81"/>
      <c r="P54" s="81"/>
      <c r="Q54" s="81">
        <f t="shared" ref="Q54" si="83">N54+O54+P54</f>
        <v>30710000</v>
      </c>
      <c r="R54" s="81">
        <f t="shared" ref="R54" si="84">10%*N54</f>
        <v>3071000</v>
      </c>
      <c r="S54" s="81">
        <f t="shared" ref="S54" si="85">Q54-R54</f>
        <v>27639000</v>
      </c>
      <c r="T54" s="113">
        <v>30710000</v>
      </c>
      <c r="U54" s="101">
        <f>Q54-T54</f>
        <v>0</v>
      </c>
      <c r="V54" s="100"/>
      <c r="W54"/>
      <c r="X54" s="157"/>
    </row>
    <row r="55" spans="1:24" s="158" customFormat="1" ht="15" x14ac:dyDescent="0.25">
      <c r="A55" s="159"/>
      <c r="B55" s="160"/>
      <c r="C55" s="160"/>
      <c r="D55" s="160"/>
      <c r="E55" s="159">
        <f>SUM(E54)</f>
        <v>1</v>
      </c>
      <c r="F55" s="160"/>
      <c r="G55" s="161"/>
      <c r="H55" s="162">
        <f>SUM(H54)</f>
        <v>1000000000</v>
      </c>
      <c r="I55" s="162">
        <f>SUM(I54)</f>
        <v>1000000000</v>
      </c>
      <c r="J55" s="162"/>
      <c r="K55" s="162"/>
      <c r="L55" s="162"/>
      <c r="M55" s="162"/>
      <c r="N55" s="162">
        <f t="shared" ref="N55:V55" si="86">SUM(N54)</f>
        <v>30710000</v>
      </c>
      <c r="O55" s="162">
        <f t="shared" si="86"/>
        <v>0</v>
      </c>
      <c r="P55" s="162">
        <f t="shared" si="86"/>
        <v>0</v>
      </c>
      <c r="Q55" s="162">
        <f t="shared" si="86"/>
        <v>30710000</v>
      </c>
      <c r="R55" s="162">
        <f t="shared" si="86"/>
        <v>3071000</v>
      </c>
      <c r="S55" s="162">
        <f t="shared" si="86"/>
        <v>27639000</v>
      </c>
      <c r="T55" s="162">
        <f t="shared" si="86"/>
        <v>30710000</v>
      </c>
      <c r="U55" s="162">
        <f t="shared" si="86"/>
        <v>0</v>
      </c>
      <c r="V55" s="162">
        <f t="shared" si="86"/>
        <v>0</v>
      </c>
      <c r="W55"/>
      <c r="X55" s="157"/>
    </row>
    <row r="56" spans="1:24" s="158" customFormat="1" ht="15" x14ac:dyDescent="0.25">
      <c r="A56" s="154">
        <v>14</v>
      </c>
      <c r="B56" s="155" t="s">
        <v>128</v>
      </c>
      <c r="C56" s="155" t="s">
        <v>131</v>
      </c>
      <c r="D56" s="156">
        <v>44347</v>
      </c>
      <c r="E56" s="154">
        <v>1</v>
      </c>
      <c r="F56" s="155" t="s">
        <v>132</v>
      </c>
      <c r="G56" s="111">
        <v>1</v>
      </c>
      <c r="H56" s="112">
        <v>170000000</v>
      </c>
      <c r="I56" s="112">
        <f>H56*G56</f>
        <v>170000000</v>
      </c>
      <c r="J56" s="110">
        <v>44319</v>
      </c>
      <c r="K56" s="77">
        <f>IFERROR(VALUE(DAY(J56)&amp;" "&amp;TEXT(EOMONTH(J56,L56)-29,"mmm")&amp;" "&amp;YEAR(EOMONTH(J56,L56)-29)),"-")</f>
        <v>46145</v>
      </c>
      <c r="L56" s="107">
        <v>60</v>
      </c>
      <c r="M56" s="169">
        <v>13.65</v>
      </c>
      <c r="N56" s="81">
        <f t="shared" ref="N56" si="87">M56*H56/1000</f>
        <v>2320500</v>
      </c>
      <c r="O56" s="81"/>
      <c r="P56" s="81"/>
      <c r="Q56" s="81">
        <f t="shared" ref="Q56" si="88">N56+O56+P56</f>
        <v>2320500</v>
      </c>
      <c r="R56" s="81">
        <f t="shared" ref="R56" si="89">10%*N56</f>
        <v>232050</v>
      </c>
      <c r="S56" s="81">
        <f t="shared" ref="S56" si="90">Q56-R56</f>
        <v>2088450</v>
      </c>
      <c r="T56" s="113">
        <v>2320500</v>
      </c>
      <c r="U56" s="101">
        <f t="shared" ref="U56:U69" si="91">Q56-T56</f>
        <v>0</v>
      </c>
      <c r="V56" s="100"/>
      <c r="W56"/>
      <c r="X56" s="157"/>
    </row>
    <row r="57" spans="1:24" s="158" customFormat="1" ht="15" x14ac:dyDescent="0.25">
      <c r="A57" s="164"/>
      <c r="B57" s="165"/>
      <c r="C57" s="165"/>
      <c r="D57" s="165"/>
      <c r="E57" s="154">
        <v>1</v>
      </c>
      <c r="F57" s="155" t="s">
        <v>133</v>
      </c>
      <c r="G57" s="111">
        <v>1</v>
      </c>
      <c r="H57" s="112">
        <v>250000000</v>
      </c>
      <c r="I57" s="112">
        <f t="shared" ref="I57:I63" si="92">H57*G57</f>
        <v>250000000</v>
      </c>
      <c r="J57" s="110">
        <v>44320</v>
      </c>
      <c r="K57" s="77">
        <f t="shared" ref="K57:K69" si="93">IFERROR(VALUE(DAY(J57)&amp;" "&amp;TEXT(EOMONTH(J57,L57)-29,"mmm")&amp;" "&amp;YEAR(EOMONTH(J57,L57)-29)),"-")</f>
        <v>45781</v>
      </c>
      <c r="L57" s="107">
        <v>48</v>
      </c>
      <c r="M57" s="169">
        <v>11.38</v>
      </c>
      <c r="N57" s="81">
        <f t="shared" ref="N57:N63" si="94">M57*H57/1000</f>
        <v>2845000</v>
      </c>
      <c r="O57" s="81"/>
      <c r="P57" s="81"/>
      <c r="Q57" s="81">
        <f t="shared" ref="Q57:Q63" si="95">N57+O57+P57</f>
        <v>2845000</v>
      </c>
      <c r="R57" s="81">
        <f t="shared" ref="R57:R63" si="96">10%*N57</f>
        <v>284500</v>
      </c>
      <c r="S57" s="81">
        <f t="shared" ref="S57:S63" si="97">Q57-R57</f>
        <v>2560500</v>
      </c>
      <c r="T57" s="113">
        <v>2845000</v>
      </c>
      <c r="U57" s="101">
        <f t="shared" si="91"/>
        <v>0</v>
      </c>
      <c r="V57" s="100"/>
      <c r="W57"/>
      <c r="X57" s="157"/>
    </row>
    <row r="58" spans="1:24" ht="12.75" x14ac:dyDescent="0.2">
      <c r="A58" s="166"/>
      <c r="B58" s="166"/>
      <c r="C58" s="166"/>
      <c r="D58" s="167"/>
      <c r="E58" s="154">
        <v>1</v>
      </c>
      <c r="F58" s="155" t="s">
        <v>134</v>
      </c>
      <c r="G58" s="111">
        <v>1</v>
      </c>
      <c r="H58" s="112">
        <v>315000000</v>
      </c>
      <c r="I58" s="112">
        <f t="shared" si="92"/>
        <v>315000000</v>
      </c>
      <c r="J58" s="110">
        <v>44319</v>
      </c>
      <c r="K58" s="77">
        <f t="shared" si="93"/>
        <v>49798</v>
      </c>
      <c r="L58" s="107">
        <v>180</v>
      </c>
      <c r="M58" s="169">
        <v>37.520000000000003</v>
      </c>
      <c r="N58" s="81">
        <f t="shared" si="94"/>
        <v>11818800.000000002</v>
      </c>
      <c r="O58" s="81"/>
      <c r="P58" s="81"/>
      <c r="Q58" s="81">
        <f t="shared" si="95"/>
        <v>11818800.000000002</v>
      </c>
      <c r="R58" s="81">
        <f t="shared" si="96"/>
        <v>1181880.0000000002</v>
      </c>
      <c r="S58" s="81">
        <f t="shared" si="97"/>
        <v>10636920.000000002</v>
      </c>
      <c r="T58" s="113">
        <v>11818800.000000002</v>
      </c>
      <c r="U58" s="101">
        <f t="shared" si="91"/>
        <v>0</v>
      </c>
      <c r="V58" s="100"/>
    </row>
    <row r="59" spans="1:24" ht="12.75" x14ac:dyDescent="0.2">
      <c r="A59" s="168"/>
      <c r="B59" s="168"/>
      <c r="C59" s="168"/>
      <c r="D59" s="107"/>
      <c r="E59" s="154">
        <v>1</v>
      </c>
      <c r="F59" s="155" t="s">
        <v>135</v>
      </c>
      <c r="G59" s="111">
        <v>1</v>
      </c>
      <c r="H59" s="112">
        <v>315000000</v>
      </c>
      <c r="I59" s="112">
        <f t="shared" si="92"/>
        <v>315000000</v>
      </c>
      <c r="J59" s="110">
        <v>44320</v>
      </c>
      <c r="K59" s="77">
        <f t="shared" si="93"/>
        <v>49799</v>
      </c>
      <c r="L59" s="107">
        <v>180</v>
      </c>
      <c r="M59" s="169">
        <v>37.520000000000003</v>
      </c>
      <c r="N59" s="81">
        <f t="shared" si="94"/>
        <v>11818800.000000002</v>
      </c>
      <c r="O59" s="81"/>
      <c r="P59" s="81"/>
      <c r="Q59" s="81">
        <f t="shared" si="95"/>
        <v>11818800.000000002</v>
      </c>
      <c r="R59" s="81">
        <f t="shared" si="96"/>
        <v>1181880.0000000002</v>
      </c>
      <c r="S59" s="81">
        <f t="shared" si="97"/>
        <v>10636920.000000002</v>
      </c>
      <c r="T59" s="113">
        <v>11818800.000000002</v>
      </c>
      <c r="U59" s="101">
        <f t="shared" si="91"/>
        <v>0</v>
      </c>
      <c r="V59" s="100"/>
    </row>
    <row r="60" spans="1:24" ht="12.75" x14ac:dyDescent="0.2">
      <c r="A60" s="168"/>
      <c r="B60" s="168"/>
      <c r="C60" s="168"/>
      <c r="D60" s="107"/>
      <c r="E60" s="154">
        <v>1</v>
      </c>
      <c r="F60" s="155" t="s">
        <v>136</v>
      </c>
      <c r="G60" s="111">
        <v>1</v>
      </c>
      <c r="H60" s="112">
        <v>250000000</v>
      </c>
      <c r="I60" s="112">
        <f t="shared" si="92"/>
        <v>250000000</v>
      </c>
      <c r="J60" s="110">
        <v>44320</v>
      </c>
      <c r="K60" s="77">
        <f t="shared" si="93"/>
        <v>47972</v>
      </c>
      <c r="L60" s="107">
        <v>120</v>
      </c>
      <c r="M60" s="169">
        <v>25.48</v>
      </c>
      <c r="N60" s="81">
        <f t="shared" si="94"/>
        <v>6370000</v>
      </c>
      <c r="O60" s="81"/>
      <c r="P60" s="81"/>
      <c r="Q60" s="81">
        <f t="shared" si="95"/>
        <v>6370000</v>
      </c>
      <c r="R60" s="81">
        <f t="shared" si="96"/>
        <v>637000</v>
      </c>
      <c r="S60" s="81">
        <f t="shared" si="97"/>
        <v>5733000</v>
      </c>
      <c r="T60" s="113">
        <v>6370000</v>
      </c>
      <c r="U60" s="101">
        <f t="shared" si="91"/>
        <v>0</v>
      </c>
      <c r="V60" s="100"/>
    </row>
    <row r="61" spans="1:24" ht="12.75" x14ac:dyDescent="0.2">
      <c r="A61" s="168"/>
      <c r="B61" s="168"/>
      <c r="C61" s="168"/>
      <c r="D61" s="107"/>
      <c r="E61" s="154">
        <v>1</v>
      </c>
      <c r="F61" s="155" t="s">
        <v>137</v>
      </c>
      <c r="G61" s="111">
        <v>1</v>
      </c>
      <c r="H61" s="112">
        <v>450000000</v>
      </c>
      <c r="I61" s="112">
        <f t="shared" si="92"/>
        <v>450000000</v>
      </c>
      <c r="J61" s="110">
        <v>44320</v>
      </c>
      <c r="K61" s="77">
        <f t="shared" si="93"/>
        <v>49799</v>
      </c>
      <c r="L61" s="107">
        <v>180</v>
      </c>
      <c r="M61" s="169">
        <v>37.520000000000003</v>
      </c>
      <c r="N61" s="81">
        <f t="shared" si="94"/>
        <v>16884000.000000004</v>
      </c>
      <c r="O61" s="81"/>
      <c r="P61" s="81"/>
      <c r="Q61" s="81">
        <f t="shared" si="95"/>
        <v>16884000.000000004</v>
      </c>
      <c r="R61" s="81">
        <f t="shared" si="96"/>
        <v>1688400.0000000005</v>
      </c>
      <c r="S61" s="81">
        <f t="shared" si="97"/>
        <v>15195600.000000004</v>
      </c>
      <c r="T61" s="113">
        <v>16884000.000000004</v>
      </c>
      <c r="U61" s="101">
        <f t="shared" si="91"/>
        <v>0</v>
      </c>
      <c r="V61" s="100"/>
    </row>
    <row r="62" spans="1:24" ht="12.75" x14ac:dyDescent="0.2">
      <c r="A62" s="168"/>
      <c r="B62" s="168"/>
      <c r="C62" s="168"/>
      <c r="D62" s="107"/>
      <c r="E62" s="154">
        <v>1</v>
      </c>
      <c r="F62" s="155" t="s">
        <v>138</v>
      </c>
      <c r="G62" s="111">
        <v>1</v>
      </c>
      <c r="H62" s="112">
        <v>340000000</v>
      </c>
      <c r="I62" s="112">
        <f t="shared" si="92"/>
        <v>340000000</v>
      </c>
      <c r="J62" s="110">
        <v>44320</v>
      </c>
      <c r="K62" s="77">
        <f t="shared" si="93"/>
        <v>49799</v>
      </c>
      <c r="L62" s="107">
        <v>180</v>
      </c>
      <c r="M62" s="169">
        <v>37.520000000000003</v>
      </c>
      <c r="N62" s="81">
        <f t="shared" si="94"/>
        <v>12756800.000000002</v>
      </c>
      <c r="O62" s="81"/>
      <c r="P62" s="81"/>
      <c r="Q62" s="81">
        <f t="shared" si="95"/>
        <v>12756800.000000002</v>
      </c>
      <c r="R62" s="81">
        <f t="shared" si="96"/>
        <v>1275680.0000000002</v>
      </c>
      <c r="S62" s="81">
        <f t="shared" si="97"/>
        <v>11481120.000000002</v>
      </c>
      <c r="T62" s="113">
        <v>12756800.000000002</v>
      </c>
      <c r="U62" s="101">
        <f t="shared" si="91"/>
        <v>0</v>
      </c>
      <c r="V62" s="100"/>
    </row>
    <row r="63" spans="1:24" ht="12.75" x14ac:dyDescent="0.2">
      <c r="A63" s="168"/>
      <c r="B63" s="168"/>
      <c r="C63" s="168"/>
      <c r="D63" s="107"/>
      <c r="E63" s="154">
        <v>1</v>
      </c>
      <c r="F63" s="155" t="s">
        <v>139</v>
      </c>
      <c r="G63" s="111">
        <v>1</v>
      </c>
      <c r="H63" s="112">
        <v>30000000</v>
      </c>
      <c r="I63" s="112">
        <f t="shared" si="92"/>
        <v>30000000</v>
      </c>
      <c r="J63" s="110">
        <v>44321</v>
      </c>
      <c r="K63" s="77">
        <f t="shared" si="93"/>
        <v>45417</v>
      </c>
      <c r="L63" s="107">
        <v>36</v>
      </c>
      <c r="M63" s="169">
        <v>17.88</v>
      </c>
      <c r="N63" s="81">
        <f t="shared" si="94"/>
        <v>536399.99999999988</v>
      </c>
      <c r="O63" s="81"/>
      <c r="P63" s="81"/>
      <c r="Q63" s="81">
        <f t="shared" si="95"/>
        <v>536399.99999999988</v>
      </c>
      <c r="R63" s="81">
        <f t="shared" si="96"/>
        <v>53639.999999999993</v>
      </c>
      <c r="S63" s="81">
        <f t="shared" si="97"/>
        <v>482759.99999999988</v>
      </c>
      <c r="T63" s="113">
        <v>536399.99999999988</v>
      </c>
      <c r="U63" s="101">
        <f t="shared" si="91"/>
        <v>0</v>
      </c>
      <c r="V63" s="100"/>
    </row>
    <row r="64" spans="1:24" ht="12.75" x14ac:dyDescent="0.2">
      <c r="A64" s="168"/>
      <c r="B64" s="168"/>
      <c r="C64" s="168"/>
      <c r="D64" s="107"/>
      <c r="E64" s="154">
        <v>1</v>
      </c>
      <c r="F64" s="155" t="s">
        <v>140</v>
      </c>
      <c r="G64" s="111">
        <v>1</v>
      </c>
      <c r="H64" s="112">
        <v>170000000</v>
      </c>
      <c r="I64" s="112">
        <f t="shared" ref="I64:I69" si="98">H64*G64</f>
        <v>170000000</v>
      </c>
      <c r="J64" s="110">
        <v>44321</v>
      </c>
      <c r="K64" s="77">
        <f t="shared" si="93"/>
        <v>49800</v>
      </c>
      <c r="L64" s="107">
        <v>180</v>
      </c>
      <c r="M64" s="169">
        <v>37.520000000000003</v>
      </c>
      <c r="N64" s="81">
        <f t="shared" ref="N64:N69" si="99">M64*H64/1000</f>
        <v>6378400.0000000009</v>
      </c>
      <c r="O64" s="81"/>
      <c r="P64" s="81"/>
      <c r="Q64" s="81">
        <f t="shared" ref="Q64:Q69" si="100">N64+O64+P64</f>
        <v>6378400.0000000009</v>
      </c>
      <c r="R64" s="81">
        <f t="shared" ref="R64:R69" si="101">10%*N64</f>
        <v>637840.00000000012</v>
      </c>
      <c r="S64" s="81">
        <f t="shared" ref="S64:S69" si="102">Q64-R64</f>
        <v>5740560.0000000009</v>
      </c>
      <c r="T64" s="113">
        <v>6378400.0000000009</v>
      </c>
      <c r="U64" s="101">
        <f t="shared" si="91"/>
        <v>0</v>
      </c>
      <c r="V64" s="100"/>
    </row>
    <row r="65" spans="1:22" ht="12.75" x14ac:dyDescent="0.2">
      <c r="A65" s="168"/>
      <c r="B65" s="168"/>
      <c r="C65" s="168"/>
      <c r="D65" s="107"/>
      <c r="E65" s="154">
        <v>1</v>
      </c>
      <c r="F65" s="155" t="s">
        <v>141</v>
      </c>
      <c r="G65" s="111">
        <v>1</v>
      </c>
      <c r="H65" s="112">
        <v>40000000</v>
      </c>
      <c r="I65" s="112">
        <f t="shared" si="98"/>
        <v>40000000</v>
      </c>
      <c r="J65" s="110">
        <v>44322</v>
      </c>
      <c r="K65" s="77">
        <f t="shared" si="93"/>
        <v>45418</v>
      </c>
      <c r="L65" s="107">
        <v>36</v>
      </c>
      <c r="M65" s="169">
        <v>9.1</v>
      </c>
      <c r="N65" s="81">
        <f t="shared" si="99"/>
        <v>364000</v>
      </c>
      <c r="O65" s="81"/>
      <c r="P65" s="81"/>
      <c r="Q65" s="81">
        <f t="shared" si="100"/>
        <v>364000</v>
      </c>
      <c r="R65" s="81">
        <f t="shared" si="101"/>
        <v>36400</v>
      </c>
      <c r="S65" s="81">
        <f t="shared" si="102"/>
        <v>327600</v>
      </c>
      <c r="T65" s="113">
        <v>364000</v>
      </c>
      <c r="U65" s="101">
        <f t="shared" si="91"/>
        <v>0</v>
      </c>
      <c r="V65" s="100"/>
    </row>
    <row r="66" spans="1:22" ht="12.75" x14ac:dyDescent="0.2">
      <c r="A66" s="168"/>
      <c r="B66" s="168"/>
      <c r="C66" s="168"/>
      <c r="D66" s="107"/>
      <c r="E66" s="154">
        <v>1</v>
      </c>
      <c r="F66" s="155" t="s">
        <v>142</v>
      </c>
      <c r="G66" s="111">
        <v>1</v>
      </c>
      <c r="H66" s="112">
        <v>440000000</v>
      </c>
      <c r="I66" s="112">
        <f t="shared" si="98"/>
        <v>440000000</v>
      </c>
      <c r="J66" s="110">
        <v>44323</v>
      </c>
      <c r="K66" s="77">
        <f t="shared" si="93"/>
        <v>49802</v>
      </c>
      <c r="L66" s="107">
        <v>180</v>
      </c>
      <c r="M66" s="169">
        <v>37.520000000000003</v>
      </c>
      <c r="N66" s="81">
        <f t="shared" si="99"/>
        <v>16508800.000000002</v>
      </c>
      <c r="O66" s="81"/>
      <c r="P66" s="81"/>
      <c r="Q66" s="81">
        <f t="shared" si="100"/>
        <v>16508800.000000002</v>
      </c>
      <c r="R66" s="81">
        <f t="shared" si="101"/>
        <v>1650880.0000000002</v>
      </c>
      <c r="S66" s="81">
        <f t="shared" si="102"/>
        <v>14857920.000000002</v>
      </c>
      <c r="T66" s="113">
        <v>16508800.000000002</v>
      </c>
      <c r="U66" s="101">
        <f t="shared" si="91"/>
        <v>0</v>
      </c>
      <c r="V66" s="100"/>
    </row>
    <row r="67" spans="1:22" ht="12.75" x14ac:dyDescent="0.2">
      <c r="A67" s="168"/>
      <c r="B67" s="168"/>
      <c r="C67" s="168"/>
      <c r="D67" s="107"/>
      <c r="E67" s="154">
        <v>1</v>
      </c>
      <c r="F67" s="155" t="s">
        <v>144</v>
      </c>
      <c r="G67" s="111">
        <v>1</v>
      </c>
      <c r="H67" s="112">
        <v>30000000</v>
      </c>
      <c r="I67" s="112">
        <f t="shared" si="98"/>
        <v>30000000</v>
      </c>
      <c r="J67" s="110">
        <v>44323</v>
      </c>
      <c r="K67" s="77">
        <f t="shared" si="93"/>
        <v>45053</v>
      </c>
      <c r="L67" s="107">
        <v>24</v>
      </c>
      <c r="M67" s="169">
        <v>9.1</v>
      </c>
      <c r="N67" s="81">
        <f t="shared" si="99"/>
        <v>273000</v>
      </c>
      <c r="O67" s="81"/>
      <c r="P67" s="81"/>
      <c r="Q67" s="81">
        <f t="shared" si="100"/>
        <v>273000</v>
      </c>
      <c r="R67" s="81">
        <f t="shared" si="101"/>
        <v>27300</v>
      </c>
      <c r="S67" s="81">
        <f t="shared" si="102"/>
        <v>245700</v>
      </c>
      <c r="T67" s="113">
        <v>273000</v>
      </c>
      <c r="U67" s="101">
        <f t="shared" si="91"/>
        <v>0</v>
      </c>
      <c r="V67" s="100"/>
    </row>
    <row r="68" spans="1:22" ht="12.75" x14ac:dyDescent="0.2">
      <c r="A68" s="168"/>
      <c r="B68" s="168"/>
      <c r="C68" s="168"/>
      <c r="D68" s="107"/>
      <c r="E68" s="154">
        <v>1</v>
      </c>
      <c r="F68" s="155" t="s">
        <v>143</v>
      </c>
      <c r="G68" s="111">
        <v>1</v>
      </c>
      <c r="H68" s="112">
        <v>200000000</v>
      </c>
      <c r="I68" s="112">
        <f t="shared" si="98"/>
        <v>200000000</v>
      </c>
      <c r="J68" s="110">
        <v>44326</v>
      </c>
      <c r="K68" s="77">
        <f t="shared" si="93"/>
        <v>47978</v>
      </c>
      <c r="L68" s="107">
        <v>120</v>
      </c>
      <c r="M68" s="169">
        <v>25.48</v>
      </c>
      <c r="N68" s="81">
        <f t="shared" si="99"/>
        <v>5096000</v>
      </c>
      <c r="O68" s="81"/>
      <c r="P68" s="81"/>
      <c r="Q68" s="81">
        <f t="shared" si="100"/>
        <v>5096000</v>
      </c>
      <c r="R68" s="81">
        <f t="shared" si="101"/>
        <v>509600</v>
      </c>
      <c r="S68" s="81">
        <f t="shared" si="102"/>
        <v>4586400</v>
      </c>
      <c r="T68" s="113">
        <v>5096000</v>
      </c>
      <c r="U68" s="101">
        <f t="shared" si="91"/>
        <v>0</v>
      </c>
      <c r="V68" s="100"/>
    </row>
    <row r="69" spans="1:22" ht="12.75" x14ac:dyDescent="0.2">
      <c r="A69" s="168"/>
      <c r="B69" s="168"/>
      <c r="C69" s="168"/>
      <c r="D69" s="107"/>
      <c r="E69" s="154">
        <v>1</v>
      </c>
      <c r="F69" s="155" t="s">
        <v>145</v>
      </c>
      <c r="G69" s="111">
        <v>1</v>
      </c>
      <c r="H69" s="112">
        <v>265000000</v>
      </c>
      <c r="I69" s="112">
        <f t="shared" si="98"/>
        <v>265000000</v>
      </c>
      <c r="J69" s="110">
        <v>44326</v>
      </c>
      <c r="K69" s="77">
        <f t="shared" si="93"/>
        <v>48497</v>
      </c>
      <c r="L69" s="107">
        <v>137</v>
      </c>
      <c r="M69" s="169">
        <v>30.46</v>
      </c>
      <c r="N69" s="81">
        <f t="shared" si="99"/>
        <v>8071900</v>
      </c>
      <c r="O69" s="81"/>
      <c r="P69" s="81"/>
      <c r="Q69" s="81">
        <f t="shared" si="100"/>
        <v>8071900</v>
      </c>
      <c r="R69" s="81">
        <f t="shared" si="101"/>
        <v>807190</v>
      </c>
      <c r="S69" s="81">
        <f t="shared" si="102"/>
        <v>7264710</v>
      </c>
      <c r="T69" s="113">
        <v>8071900</v>
      </c>
      <c r="U69" s="101">
        <f t="shared" si="91"/>
        <v>0</v>
      </c>
      <c r="V69" s="100"/>
    </row>
    <row r="70" spans="1:22" x14ac:dyDescent="0.2">
      <c r="A70" s="83"/>
      <c r="B70" s="83"/>
      <c r="C70" s="83"/>
      <c r="D70" s="84"/>
      <c r="E70" s="93">
        <f>SUM(E56:E69)</f>
        <v>14</v>
      </c>
      <c r="F70" s="83"/>
      <c r="G70" s="83"/>
      <c r="H70" s="92">
        <f>SUM(H56:H69)</f>
        <v>3265000000</v>
      </c>
      <c r="I70" s="92">
        <f t="shared" ref="I70:V70" si="103">SUM(I56:I69)</f>
        <v>3265000000</v>
      </c>
      <c r="J70" s="92"/>
      <c r="K70" s="92"/>
      <c r="L70" s="92"/>
      <c r="M70" s="92"/>
      <c r="N70" s="92">
        <f t="shared" si="103"/>
        <v>102042400</v>
      </c>
      <c r="O70" s="92">
        <f t="shared" si="103"/>
        <v>0</v>
      </c>
      <c r="P70" s="92">
        <f t="shared" si="103"/>
        <v>0</v>
      </c>
      <c r="Q70" s="92">
        <f t="shared" si="103"/>
        <v>102042400</v>
      </c>
      <c r="R70" s="92">
        <f t="shared" si="103"/>
        <v>10204240.000000002</v>
      </c>
      <c r="S70" s="92">
        <f t="shared" si="103"/>
        <v>91838160.000000015</v>
      </c>
      <c r="T70" s="92">
        <f t="shared" si="103"/>
        <v>102042400</v>
      </c>
      <c r="U70" s="92">
        <f t="shared" si="103"/>
        <v>0</v>
      </c>
      <c r="V70" s="92">
        <f t="shared" si="103"/>
        <v>0</v>
      </c>
    </row>
    <row r="71" spans="1:22" x14ac:dyDescent="0.2">
      <c r="A71" s="74">
        <v>15</v>
      </c>
      <c r="B71" s="107" t="s">
        <v>49</v>
      </c>
      <c r="C71" s="107" t="s">
        <v>156</v>
      </c>
      <c r="D71" s="110">
        <v>44347</v>
      </c>
      <c r="E71" s="74">
        <v>1</v>
      </c>
      <c r="F71" s="107" t="s">
        <v>157</v>
      </c>
      <c r="G71" s="111">
        <v>1</v>
      </c>
      <c r="H71" s="112">
        <v>250000000</v>
      </c>
      <c r="I71" s="112">
        <f>H71*G71</f>
        <v>250000000</v>
      </c>
      <c r="J71" s="110">
        <v>44320</v>
      </c>
      <c r="K71" s="77">
        <f>IFERROR(VALUE(DAY(J71)&amp;" "&amp;TEXT(EOMONTH(J71,L71)-29,"mmm")&amp;" "&amp;YEAR(EOMONTH(J71,L71)-29)),"-")</f>
        <v>48338</v>
      </c>
      <c r="L71" s="107">
        <v>132</v>
      </c>
      <c r="M71" s="99">
        <v>27.98</v>
      </c>
      <c r="N71" s="81">
        <f t="shared" ref="N71:N72" si="104">M71*H71/1000</f>
        <v>6995000</v>
      </c>
      <c r="O71" s="81"/>
      <c r="P71" s="81"/>
      <c r="Q71" s="81">
        <f t="shared" ref="Q71:Q72" si="105">N71+O71+P71</f>
        <v>6995000</v>
      </c>
      <c r="R71" s="81">
        <f t="shared" ref="R71:R72" si="106">10%*N71</f>
        <v>699500</v>
      </c>
      <c r="S71" s="81">
        <f t="shared" ref="S71:S72" si="107">Q71-R71</f>
        <v>6295500</v>
      </c>
      <c r="T71" s="113">
        <v>6995000</v>
      </c>
      <c r="U71" s="101">
        <f t="shared" ref="U71:U72" si="108">Q71-T71</f>
        <v>0</v>
      </c>
      <c r="V71" s="100"/>
    </row>
    <row r="72" spans="1:22" x14ac:dyDescent="0.2">
      <c r="A72" s="74"/>
      <c r="B72" s="107"/>
      <c r="C72" s="107"/>
      <c r="D72" s="110"/>
      <c r="E72" s="74">
        <v>1</v>
      </c>
      <c r="F72" s="107" t="s">
        <v>158</v>
      </c>
      <c r="G72" s="111">
        <v>1</v>
      </c>
      <c r="H72" s="112">
        <v>60000000</v>
      </c>
      <c r="I72" s="112">
        <f>H72*G72</f>
        <v>60000000</v>
      </c>
      <c r="J72" s="110">
        <v>44320</v>
      </c>
      <c r="K72" s="77">
        <f>IFERROR(VALUE(DAY(J72)&amp;" "&amp;TEXT(EOMONTH(J72,L72)-29,"mmm")&amp;" "&amp;YEAR(EOMONTH(J72,L72)-29)),"-")</f>
        <v>46146</v>
      </c>
      <c r="L72" s="107">
        <v>60</v>
      </c>
      <c r="M72" s="99">
        <v>13.65</v>
      </c>
      <c r="N72" s="81">
        <f t="shared" si="104"/>
        <v>819000</v>
      </c>
      <c r="O72" s="81"/>
      <c r="P72" s="81"/>
      <c r="Q72" s="81">
        <f t="shared" si="105"/>
        <v>819000</v>
      </c>
      <c r="R72" s="81">
        <f t="shared" si="106"/>
        <v>81900</v>
      </c>
      <c r="S72" s="81">
        <f t="shared" si="107"/>
        <v>737100</v>
      </c>
      <c r="T72" s="113">
        <v>819000</v>
      </c>
      <c r="U72" s="101">
        <f t="shared" si="108"/>
        <v>0</v>
      </c>
      <c r="V72" s="100"/>
    </row>
    <row r="73" spans="1:22" s="94" customFormat="1" x14ac:dyDescent="0.2">
      <c r="A73" s="88"/>
      <c r="B73" s="84"/>
      <c r="C73" s="84"/>
      <c r="D73" s="84"/>
      <c r="E73" s="88">
        <f>SUM(E71:E72)</f>
        <v>2</v>
      </c>
      <c r="F73" s="84"/>
      <c r="G73" s="115"/>
      <c r="H73" s="79">
        <f t="shared" ref="H73:I73" si="109">SUM(H71:H72)</f>
        <v>310000000</v>
      </c>
      <c r="I73" s="79">
        <f t="shared" si="109"/>
        <v>310000000</v>
      </c>
      <c r="J73" s="59"/>
      <c r="K73" s="59"/>
      <c r="L73" s="59"/>
      <c r="M73" s="59"/>
      <c r="N73" s="79">
        <f t="shared" ref="N73:V73" si="110">SUM(N71:N72)</f>
        <v>7814000</v>
      </c>
      <c r="O73" s="79">
        <f t="shared" si="110"/>
        <v>0</v>
      </c>
      <c r="P73" s="79">
        <f t="shared" si="110"/>
        <v>0</v>
      </c>
      <c r="Q73" s="79">
        <f t="shared" si="110"/>
        <v>7814000</v>
      </c>
      <c r="R73" s="79">
        <f t="shared" si="110"/>
        <v>781400</v>
      </c>
      <c r="S73" s="79">
        <f t="shared" si="110"/>
        <v>7032600</v>
      </c>
      <c r="T73" s="79">
        <f t="shared" si="110"/>
        <v>7814000</v>
      </c>
      <c r="U73" s="79">
        <f t="shared" si="110"/>
        <v>0</v>
      </c>
      <c r="V73" s="79">
        <f t="shared" si="110"/>
        <v>0</v>
      </c>
    </row>
    <row r="74" spans="1:22" x14ac:dyDescent="0.2">
      <c r="A74" s="83"/>
      <c r="B74" s="83"/>
      <c r="C74" s="83" t="s">
        <v>147</v>
      </c>
      <c r="D74" s="84"/>
      <c r="E74" s="85">
        <f>E70+E55+E53+E50+E73</f>
        <v>20</v>
      </c>
      <c r="F74" s="87">
        <f t="shared" ref="F74:V74" si="111">F70+F55+F53+F50+F73</f>
        <v>0</v>
      </c>
      <c r="G74" s="87">
        <f t="shared" si="111"/>
        <v>0</v>
      </c>
      <c r="H74" s="87">
        <f t="shared" si="111"/>
        <v>4756450622</v>
      </c>
      <c r="I74" s="87">
        <f t="shared" si="111"/>
        <v>4756450622</v>
      </c>
      <c r="J74" s="87">
        <f t="shared" si="111"/>
        <v>0</v>
      </c>
      <c r="K74" s="87">
        <f t="shared" si="111"/>
        <v>0</v>
      </c>
      <c r="L74" s="87">
        <f t="shared" si="111"/>
        <v>0</v>
      </c>
      <c r="M74" s="87">
        <f t="shared" si="111"/>
        <v>0</v>
      </c>
      <c r="N74" s="87">
        <f t="shared" si="111"/>
        <v>144081307.23106</v>
      </c>
      <c r="O74" s="87">
        <f t="shared" si="111"/>
        <v>0</v>
      </c>
      <c r="P74" s="87">
        <f t="shared" si="111"/>
        <v>0</v>
      </c>
      <c r="Q74" s="87">
        <f t="shared" si="111"/>
        <v>144081307.23106</v>
      </c>
      <c r="R74" s="87">
        <f t="shared" si="111"/>
        <v>14408130.723106002</v>
      </c>
      <c r="S74" s="87">
        <f t="shared" si="111"/>
        <v>129673176.50795402</v>
      </c>
      <c r="T74" s="87">
        <f t="shared" si="111"/>
        <v>144081307.23106</v>
      </c>
      <c r="U74" s="87">
        <f t="shared" si="111"/>
        <v>0</v>
      </c>
      <c r="V74" s="87">
        <f t="shared" si="111"/>
        <v>0</v>
      </c>
    </row>
    <row r="75" spans="1:22" s="94" customFormat="1" x14ac:dyDescent="0.2">
      <c r="A75" s="83"/>
      <c r="B75" s="83"/>
      <c r="C75" s="83" t="s">
        <v>148</v>
      </c>
      <c r="D75" s="84"/>
      <c r="E75" s="93">
        <f>E74+E43</f>
        <v>29</v>
      </c>
      <c r="F75" s="95">
        <f t="shared" ref="F75:V75" si="112">F74+F43</f>
        <v>0</v>
      </c>
      <c r="G75" s="95">
        <f t="shared" si="112"/>
        <v>0</v>
      </c>
      <c r="H75" s="95">
        <f t="shared" si="112"/>
        <v>6129450622</v>
      </c>
      <c r="I75" s="95">
        <f t="shared" si="112"/>
        <v>6129450622</v>
      </c>
      <c r="J75" s="95"/>
      <c r="K75" s="95"/>
      <c r="L75" s="95"/>
      <c r="M75" s="95"/>
      <c r="N75" s="95">
        <f t="shared" si="112"/>
        <v>190955545.86488</v>
      </c>
      <c r="O75" s="95">
        <f t="shared" si="112"/>
        <v>300000</v>
      </c>
      <c r="P75" s="95">
        <f t="shared" si="112"/>
        <v>0</v>
      </c>
      <c r="Q75" s="95">
        <f t="shared" si="112"/>
        <v>191255545.86488</v>
      </c>
      <c r="R75" s="95">
        <f t="shared" si="112"/>
        <v>18995427.723106004</v>
      </c>
      <c r="S75" s="95">
        <f t="shared" si="112"/>
        <v>172260118.141774</v>
      </c>
      <c r="T75" s="95">
        <f t="shared" si="112"/>
        <v>201655545.86488</v>
      </c>
      <c r="U75" s="95">
        <f t="shared" si="112"/>
        <v>0</v>
      </c>
      <c r="V75" s="95">
        <f t="shared" si="112"/>
        <v>0</v>
      </c>
    </row>
    <row r="78" spans="1:22" ht="14.25" customHeight="1" x14ac:dyDescent="0.2">
      <c r="A78" s="86" t="s">
        <v>162</v>
      </c>
      <c r="B78" s="62"/>
      <c r="C78" s="62"/>
      <c r="D78" s="57"/>
      <c r="E78" s="63"/>
      <c r="F78" s="64"/>
      <c r="G78" s="65"/>
      <c r="H78" s="66"/>
      <c r="I78" s="66"/>
      <c r="J78" s="67"/>
      <c r="K78" s="67"/>
      <c r="L78" s="68"/>
      <c r="M78" s="68"/>
      <c r="N78" s="69"/>
      <c r="O78" s="69"/>
      <c r="P78" s="69"/>
      <c r="Q78" s="69"/>
      <c r="R78" s="69"/>
      <c r="S78" s="69"/>
      <c r="T78" s="70"/>
      <c r="U78" s="71"/>
      <c r="V78" s="71"/>
    </row>
    <row r="79" spans="1:22" ht="14.25" customHeight="1" x14ac:dyDescent="0.2">
      <c r="A79" s="231" t="s">
        <v>0</v>
      </c>
      <c r="B79" s="232" t="s">
        <v>1</v>
      </c>
      <c r="C79" s="229" t="s">
        <v>2</v>
      </c>
      <c r="D79" s="233" t="s">
        <v>3</v>
      </c>
      <c r="E79" s="234" t="s">
        <v>4</v>
      </c>
      <c r="F79" s="232" t="s">
        <v>5</v>
      </c>
      <c r="G79" s="235" t="s">
        <v>6</v>
      </c>
      <c r="H79" s="236" t="s">
        <v>7</v>
      </c>
      <c r="I79" s="236" t="s">
        <v>8</v>
      </c>
      <c r="J79" s="227" t="s">
        <v>9</v>
      </c>
      <c r="K79" s="227"/>
      <c r="L79" s="228" t="s">
        <v>10</v>
      </c>
      <c r="M79" s="229" t="s">
        <v>11</v>
      </c>
      <c r="N79" s="230" t="s">
        <v>12</v>
      </c>
      <c r="O79" s="230"/>
      <c r="P79" s="230"/>
      <c r="Q79" s="229" t="s">
        <v>13</v>
      </c>
      <c r="R79" s="229" t="s">
        <v>14</v>
      </c>
      <c r="S79" s="229" t="s">
        <v>15</v>
      </c>
      <c r="T79" s="226" t="s">
        <v>64</v>
      </c>
      <c r="U79" s="226" t="s">
        <v>65</v>
      </c>
      <c r="V79" s="226" t="s">
        <v>66</v>
      </c>
    </row>
    <row r="80" spans="1:22" ht="14.25" customHeight="1" x14ac:dyDescent="0.2">
      <c r="A80" s="231"/>
      <c r="B80" s="232"/>
      <c r="C80" s="229"/>
      <c r="D80" s="233"/>
      <c r="E80" s="234"/>
      <c r="F80" s="232"/>
      <c r="G80" s="235"/>
      <c r="H80" s="236"/>
      <c r="I80" s="236"/>
      <c r="J80" s="227"/>
      <c r="K80" s="227"/>
      <c r="L80" s="228"/>
      <c r="M80" s="229"/>
      <c r="N80" s="174" t="s">
        <v>16</v>
      </c>
      <c r="O80" s="174" t="s">
        <v>17</v>
      </c>
      <c r="P80" s="174" t="s">
        <v>18</v>
      </c>
      <c r="Q80" s="229"/>
      <c r="R80" s="229"/>
      <c r="S80" s="229"/>
      <c r="T80" s="226"/>
      <c r="U80" s="226"/>
      <c r="V80" s="226"/>
    </row>
    <row r="81" spans="1:24" s="158" customFormat="1" ht="15" x14ac:dyDescent="0.25">
      <c r="A81" s="154">
        <v>16</v>
      </c>
      <c r="B81" s="155" t="s">
        <v>111</v>
      </c>
      <c r="C81" s="155" t="s">
        <v>160</v>
      </c>
      <c r="D81" s="156">
        <v>44361</v>
      </c>
      <c r="E81" s="154">
        <v>1</v>
      </c>
      <c r="F81" s="155" t="s">
        <v>161</v>
      </c>
      <c r="G81" s="175">
        <v>1</v>
      </c>
      <c r="H81" s="176">
        <v>64397514</v>
      </c>
      <c r="I81" s="176">
        <f>H81*G81</f>
        <v>64397514</v>
      </c>
      <c r="J81" s="156">
        <v>44822</v>
      </c>
      <c r="K81" s="177">
        <v>44990</v>
      </c>
      <c r="L81" s="155">
        <v>6</v>
      </c>
      <c r="M81" s="99">
        <v>5.46</v>
      </c>
      <c r="N81" s="81">
        <f t="shared" ref="N81" si="113">M81*H81/1000</f>
        <v>351610.42644000001</v>
      </c>
      <c r="O81" s="81">
        <v>100000</v>
      </c>
      <c r="P81" s="81"/>
      <c r="Q81" s="81">
        <f t="shared" ref="Q81" si="114">N81+O81+P81</f>
        <v>451610.42644000001</v>
      </c>
      <c r="R81" s="81"/>
      <c r="S81" s="81">
        <f t="shared" ref="S81" si="115">Q81-R81</f>
        <v>451610.42644000001</v>
      </c>
      <c r="T81" s="113">
        <v>451610.42644000001</v>
      </c>
      <c r="U81" s="176">
        <f>T81-Q81</f>
        <v>0</v>
      </c>
      <c r="V81" s="155"/>
      <c r="W81"/>
      <c r="X81" s="157"/>
    </row>
    <row r="82" spans="1:24" s="158" customFormat="1" ht="15" x14ac:dyDescent="0.25">
      <c r="A82" s="159"/>
      <c r="B82" s="160"/>
      <c r="C82" s="160"/>
      <c r="D82" s="160"/>
      <c r="E82" s="178"/>
      <c r="F82" s="179"/>
      <c r="G82" s="179"/>
      <c r="H82" s="179"/>
      <c r="I82" s="179"/>
      <c r="J82" s="179"/>
      <c r="K82" s="179"/>
      <c r="L82" s="179"/>
      <c r="M82" s="179"/>
      <c r="N82" s="179">
        <f t="shared" ref="N82:V82" si="116">SUM(N81)</f>
        <v>351610.42644000001</v>
      </c>
      <c r="O82" s="179">
        <f t="shared" si="116"/>
        <v>100000</v>
      </c>
      <c r="P82" s="179">
        <f t="shared" si="116"/>
        <v>0</v>
      </c>
      <c r="Q82" s="179">
        <f t="shared" si="116"/>
        <v>451610.42644000001</v>
      </c>
      <c r="R82" s="179">
        <f t="shared" si="116"/>
        <v>0</v>
      </c>
      <c r="S82" s="179">
        <f t="shared" si="116"/>
        <v>451610.42644000001</v>
      </c>
      <c r="T82" s="179">
        <f t="shared" si="116"/>
        <v>451610.42644000001</v>
      </c>
      <c r="U82" s="179">
        <f t="shared" si="116"/>
        <v>0</v>
      </c>
      <c r="V82" s="179">
        <f t="shared" si="116"/>
        <v>0</v>
      </c>
      <c r="W82"/>
      <c r="X82" s="157"/>
    </row>
    <row r="83" spans="1:24" s="158" customFormat="1" ht="15" x14ac:dyDescent="0.25">
      <c r="A83" s="154">
        <v>17</v>
      </c>
      <c r="B83" s="155" t="s">
        <v>49</v>
      </c>
      <c r="C83" s="155" t="s">
        <v>163</v>
      </c>
      <c r="D83" s="156">
        <v>44377</v>
      </c>
      <c r="E83" s="154">
        <v>1</v>
      </c>
      <c r="F83" s="155" t="s">
        <v>164</v>
      </c>
      <c r="G83" s="175">
        <v>1</v>
      </c>
      <c r="H83" s="176">
        <v>179133550</v>
      </c>
      <c r="I83" s="176">
        <f>H83*G83</f>
        <v>179133550</v>
      </c>
      <c r="J83" s="156">
        <v>44373</v>
      </c>
      <c r="K83" s="177">
        <v>46280</v>
      </c>
      <c r="L83" s="155">
        <v>63</v>
      </c>
      <c r="M83" s="99">
        <v>25.48</v>
      </c>
      <c r="N83" s="81">
        <f t="shared" ref="N83" si="117">M83*H83/1000</f>
        <v>4564322.8540000003</v>
      </c>
      <c r="O83" s="81"/>
      <c r="P83" s="81"/>
      <c r="Q83" s="81">
        <f t="shared" ref="Q83" si="118">N83+O83+P83</f>
        <v>4564322.8540000003</v>
      </c>
      <c r="R83" s="81">
        <f t="shared" ref="R83" si="119">10%*N83</f>
        <v>456432.28540000005</v>
      </c>
      <c r="S83" s="81">
        <f t="shared" ref="S83" si="120">Q83-R83</f>
        <v>4107890.5686000003</v>
      </c>
      <c r="T83" s="113">
        <v>4564322.8540000003</v>
      </c>
      <c r="U83" s="176">
        <f>T83-Q83</f>
        <v>0</v>
      </c>
      <c r="V83" s="155"/>
      <c r="W83"/>
      <c r="X83" s="157"/>
    </row>
    <row r="84" spans="1:24" s="158" customFormat="1" ht="15" x14ac:dyDescent="0.25">
      <c r="A84" s="159"/>
      <c r="B84" s="160"/>
      <c r="C84" s="160"/>
      <c r="D84" s="160"/>
      <c r="E84" s="178">
        <f>SUM(E83)</f>
        <v>1</v>
      </c>
      <c r="F84" s="179"/>
      <c r="G84" s="179"/>
      <c r="H84" s="179">
        <f>SUM(H83)</f>
        <v>179133550</v>
      </c>
      <c r="I84" s="179">
        <f>SUM(I83)</f>
        <v>179133550</v>
      </c>
      <c r="J84" s="179"/>
      <c r="K84" s="179"/>
      <c r="L84" s="179"/>
      <c r="M84" s="179"/>
      <c r="N84" s="179">
        <f t="shared" ref="N84" si="121">SUM(N83)</f>
        <v>4564322.8540000003</v>
      </c>
      <c r="O84" s="179">
        <f t="shared" ref="O84" si="122">SUM(O83)</f>
        <v>0</v>
      </c>
      <c r="P84" s="179">
        <f t="shared" ref="P84" si="123">SUM(P83)</f>
        <v>0</v>
      </c>
      <c r="Q84" s="179">
        <f t="shared" ref="Q84" si="124">SUM(Q83)</f>
        <v>4564322.8540000003</v>
      </c>
      <c r="R84" s="179">
        <f t="shared" ref="R84" si="125">SUM(R83)</f>
        <v>456432.28540000005</v>
      </c>
      <c r="S84" s="179">
        <f t="shared" ref="S84" si="126">SUM(S83)</f>
        <v>4107890.5686000003</v>
      </c>
      <c r="T84" s="179">
        <f t="shared" ref="T84" si="127">SUM(T83)</f>
        <v>4564322.8540000003</v>
      </c>
      <c r="U84" s="179">
        <f t="shared" ref="U84" si="128">SUM(U83)</f>
        <v>0</v>
      </c>
      <c r="V84" s="179">
        <f t="shared" ref="V84" si="129">SUM(V83)</f>
        <v>0</v>
      </c>
      <c r="W84"/>
      <c r="X84" s="157" t="s">
        <v>165</v>
      </c>
    </row>
    <row r="85" spans="1:24" x14ac:dyDescent="0.2">
      <c r="A85" s="83"/>
      <c r="B85" s="83"/>
      <c r="C85" s="83" t="s">
        <v>174</v>
      </c>
      <c r="D85" s="84"/>
      <c r="E85" s="85">
        <f>E82+E84</f>
        <v>1</v>
      </c>
      <c r="F85" s="87"/>
      <c r="G85" s="87"/>
      <c r="H85" s="87">
        <f t="shared" ref="H85:V85" si="130">H82+H84</f>
        <v>179133550</v>
      </c>
      <c r="I85" s="87">
        <f t="shared" si="130"/>
        <v>179133550</v>
      </c>
      <c r="J85" s="87"/>
      <c r="K85" s="87"/>
      <c r="L85" s="87"/>
      <c r="M85" s="87"/>
      <c r="N85" s="87">
        <f t="shared" si="130"/>
        <v>4915933.2804399999</v>
      </c>
      <c r="O85" s="87">
        <f t="shared" si="130"/>
        <v>100000</v>
      </c>
      <c r="P85" s="87">
        <f t="shared" si="130"/>
        <v>0</v>
      </c>
      <c r="Q85" s="87">
        <f t="shared" si="130"/>
        <v>5015933.2804399999</v>
      </c>
      <c r="R85" s="87">
        <f t="shared" si="130"/>
        <v>456432.28540000005</v>
      </c>
      <c r="S85" s="87">
        <f t="shared" si="130"/>
        <v>4559500.9950400004</v>
      </c>
      <c r="T85" s="87">
        <f t="shared" si="130"/>
        <v>5015933.2804399999</v>
      </c>
      <c r="U85" s="87">
        <f t="shared" si="130"/>
        <v>0</v>
      </c>
      <c r="V85" s="87">
        <f t="shared" si="130"/>
        <v>0</v>
      </c>
    </row>
    <row r="86" spans="1:24" s="94" customFormat="1" x14ac:dyDescent="0.2">
      <c r="A86" s="83"/>
      <c r="B86" s="83"/>
      <c r="C86" s="83" t="s">
        <v>175</v>
      </c>
      <c r="D86" s="84"/>
      <c r="E86" s="93">
        <f>E85+E75</f>
        <v>30</v>
      </c>
      <c r="F86" s="95"/>
      <c r="G86" s="95"/>
      <c r="H86" s="95">
        <f t="shared" ref="H86:V86" si="131">H85+H75</f>
        <v>6308584172</v>
      </c>
      <c r="I86" s="95">
        <f t="shared" si="131"/>
        <v>6308584172</v>
      </c>
      <c r="J86" s="95"/>
      <c r="K86" s="95"/>
      <c r="L86" s="95"/>
      <c r="M86" s="95"/>
      <c r="N86" s="95">
        <f t="shared" si="131"/>
        <v>195871479.14532</v>
      </c>
      <c r="O86" s="95">
        <f t="shared" si="131"/>
        <v>400000</v>
      </c>
      <c r="P86" s="95">
        <f t="shared" si="131"/>
        <v>0</v>
      </c>
      <c r="Q86" s="95">
        <f t="shared" si="131"/>
        <v>196271479.14532</v>
      </c>
      <c r="R86" s="95">
        <f t="shared" si="131"/>
        <v>19451860.008506004</v>
      </c>
      <c r="S86" s="95">
        <f t="shared" si="131"/>
        <v>176819619.136814</v>
      </c>
      <c r="T86" s="95">
        <f t="shared" si="131"/>
        <v>206671479.14532</v>
      </c>
      <c r="U86" s="95">
        <f t="shared" si="131"/>
        <v>0</v>
      </c>
      <c r="V86" s="95">
        <f t="shared" si="131"/>
        <v>0</v>
      </c>
    </row>
    <row r="88" spans="1:24" ht="14.25" customHeight="1" x14ac:dyDescent="0.2">
      <c r="A88" s="86" t="s">
        <v>177</v>
      </c>
      <c r="B88" s="62"/>
      <c r="C88" s="62"/>
      <c r="D88" s="57"/>
      <c r="E88" s="63"/>
      <c r="F88" s="64"/>
      <c r="G88" s="65"/>
      <c r="H88" s="66"/>
      <c r="I88" s="66"/>
      <c r="J88" s="67"/>
      <c r="K88" s="67"/>
      <c r="L88" s="68"/>
      <c r="M88" s="68"/>
      <c r="N88" s="69"/>
      <c r="O88" s="69"/>
      <c r="P88" s="69"/>
      <c r="Q88" s="69"/>
      <c r="R88" s="69"/>
      <c r="S88" s="69"/>
      <c r="T88" s="70"/>
      <c r="U88" s="71"/>
      <c r="V88" s="71"/>
    </row>
    <row r="89" spans="1:24" ht="14.25" customHeight="1" x14ac:dyDescent="0.2">
      <c r="A89" s="231" t="s">
        <v>0</v>
      </c>
      <c r="B89" s="232" t="s">
        <v>1</v>
      </c>
      <c r="C89" s="229" t="s">
        <v>2</v>
      </c>
      <c r="D89" s="233" t="s">
        <v>3</v>
      </c>
      <c r="E89" s="234" t="s">
        <v>4</v>
      </c>
      <c r="F89" s="232" t="s">
        <v>5</v>
      </c>
      <c r="G89" s="235" t="s">
        <v>6</v>
      </c>
      <c r="H89" s="236" t="s">
        <v>7</v>
      </c>
      <c r="I89" s="236" t="s">
        <v>8</v>
      </c>
      <c r="J89" s="227" t="s">
        <v>9</v>
      </c>
      <c r="K89" s="227"/>
      <c r="L89" s="228" t="s">
        <v>10</v>
      </c>
      <c r="M89" s="229" t="s">
        <v>11</v>
      </c>
      <c r="N89" s="230" t="s">
        <v>12</v>
      </c>
      <c r="O89" s="230"/>
      <c r="P89" s="230"/>
      <c r="Q89" s="229" t="s">
        <v>13</v>
      </c>
      <c r="R89" s="229" t="s">
        <v>14</v>
      </c>
      <c r="S89" s="229" t="s">
        <v>15</v>
      </c>
      <c r="T89" s="226" t="s">
        <v>64</v>
      </c>
      <c r="U89" s="226" t="s">
        <v>65</v>
      </c>
      <c r="V89" s="226" t="s">
        <v>66</v>
      </c>
    </row>
    <row r="90" spans="1:24" ht="14.25" customHeight="1" x14ac:dyDescent="0.2">
      <c r="A90" s="231"/>
      <c r="B90" s="232"/>
      <c r="C90" s="229"/>
      <c r="D90" s="233"/>
      <c r="E90" s="234"/>
      <c r="F90" s="232"/>
      <c r="G90" s="235"/>
      <c r="H90" s="236"/>
      <c r="I90" s="236"/>
      <c r="J90" s="227"/>
      <c r="K90" s="227"/>
      <c r="L90" s="228"/>
      <c r="M90" s="229"/>
      <c r="N90" s="184" t="s">
        <v>16</v>
      </c>
      <c r="O90" s="184" t="s">
        <v>17</v>
      </c>
      <c r="P90" s="184" t="s">
        <v>18</v>
      </c>
      <c r="Q90" s="229"/>
      <c r="R90" s="229"/>
      <c r="S90" s="229"/>
      <c r="T90" s="226"/>
      <c r="U90" s="226"/>
      <c r="V90" s="226"/>
    </row>
    <row r="91" spans="1:24" s="158" customFormat="1" ht="15" x14ac:dyDescent="0.25">
      <c r="A91" s="154">
        <v>18</v>
      </c>
      <c r="B91" s="155" t="s">
        <v>128</v>
      </c>
      <c r="C91" s="155" t="s">
        <v>178</v>
      </c>
      <c r="D91" s="156">
        <v>44391</v>
      </c>
      <c r="E91" s="154">
        <v>1</v>
      </c>
      <c r="F91" s="155" t="s">
        <v>179</v>
      </c>
      <c r="G91" s="175">
        <v>1</v>
      </c>
      <c r="H91" s="176">
        <v>380000000</v>
      </c>
      <c r="I91" s="176">
        <f>H91*G91</f>
        <v>380000000</v>
      </c>
      <c r="J91" s="156">
        <v>44350</v>
      </c>
      <c r="K91" s="77">
        <f t="shared" ref="K91:K106" si="132">IFERROR(VALUE(DAY(J91)&amp;" "&amp;TEXT(EOMONTH(J91,L91)-29,"mmm")&amp;" "&amp;YEAR(EOMONTH(J91,L91)-29)),"-")</f>
        <v>48002</v>
      </c>
      <c r="L91" s="155">
        <v>120</v>
      </c>
      <c r="M91" s="99">
        <v>25.48</v>
      </c>
      <c r="N91" s="81">
        <f t="shared" ref="N91" si="133">M91*H91/1000</f>
        <v>9682400</v>
      </c>
      <c r="O91" s="81"/>
      <c r="P91" s="81"/>
      <c r="Q91" s="81">
        <f t="shared" ref="Q91" si="134">N91+O91+P91</f>
        <v>9682400</v>
      </c>
      <c r="R91" s="81">
        <f t="shared" ref="R91:R106" si="135">10%*N91</f>
        <v>968240</v>
      </c>
      <c r="S91" s="81">
        <f t="shared" ref="S91" si="136">Q91-R91</f>
        <v>8714160</v>
      </c>
      <c r="T91" s="113">
        <v>9682400</v>
      </c>
      <c r="U91" s="176">
        <f>T91-Q91</f>
        <v>0</v>
      </c>
      <c r="V91" s="155"/>
      <c r="W91"/>
      <c r="X91" s="157"/>
    </row>
    <row r="92" spans="1:24" ht="12.75" x14ac:dyDescent="0.2">
      <c r="A92" s="168"/>
      <c r="B92" s="168"/>
      <c r="C92" s="168"/>
      <c r="D92" s="107"/>
      <c r="E92" s="154">
        <v>1</v>
      </c>
      <c r="F92" s="155" t="s">
        <v>180</v>
      </c>
      <c r="G92" s="175">
        <v>1</v>
      </c>
      <c r="H92" s="176">
        <v>445000000</v>
      </c>
      <c r="I92" s="176">
        <f t="shared" ref="I92:I106" si="137">H92*G92</f>
        <v>445000000</v>
      </c>
      <c r="J92" s="156">
        <v>44350</v>
      </c>
      <c r="K92" s="77">
        <f t="shared" si="132"/>
        <v>49312</v>
      </c>
      <c r="L92" s="155">
        <v>164</v>
      </c>
      <c r="M92" s="99">
        <v>35.409999999999997</v>
      </c>
      <c r="N92" s="81">
        <f t="shared" ref="N92:N106" si="138">M92*H92/1000</f>
        <v>15757449.999999998</v>
      </c>
      <c r="O92" s="81"/>
      <c r="P92" s="81"/>
      <c r="Q92" s="81">
        <f t="shared" ref="Q92:Q106" si="139">N92+O92+P92</f>
        <v>15757449.999999998</v>
      </c>
      <c r="R92" s="81">
        <f t="shared" si="135"/>
        <v>1575745</v>
      </c>
      <c r="S92" s="81">
        <f t="shared" ref="S92:S106" si="140">Q92-R92</f>
        <v>14181704.999999998</v>
      </c>
      <c r="T92" s="113">
        <v>15757449.999999998</v>
      </c>
      <c r="U92" s="176">
        <f t="shared" ref="U92:U106" si="141">T92-Q92</f>
        <v>0</v>
      </c>
      <c r="V92" s="155"/>
    </row>
    <row r="93" spans="1:24" ht="12.75" x14ac:dyDescent="0.2">
      <c r="A93" s="168"/>
      <c r="B93" s="168"/>
      <c r="C93" s="168"/>
      <c r="D93" s="107"/>
      <c r="E93" s="154">
        <v>1</v>
      </c>
      <c r="F93" s="155" t="s">
        <v>181</v>
      </c>
      <c r="G93" s="175">
        <v>1</v>
      </c>
      <c r="H93" s="176">
        <v>500000000</v>
      </c>
      <c r="I93" s="176">
        <f t="shared" si="137"/>
        <v>500000000</v>
      </c>
      <c r="J93" s="156">
        <v>44350</v>
      </c>
      <c r="K93" s="77">
        <f t="shared" si="132"/>
        <v>49463</v>
      </c>
      <c r="L93" s="155">
        <v>168</v>
      </c>
      <c r="M93" s="99">
        <v>35.409999999999997</v>
      </c>
      <c r="N93" s="81">
        <f t="shared" si="138"/>
        <v>17705000</v>
      </c>
      <c r="O93" s="81"/>
      <c r="P93" s="81"/>
      <c r="Q93" s="81">
        <f t="shared" si="139"/>
        <v>17705000</v>
      </c>
      <c r="R93" s="81">
        <f t="shared" si="135"/>
        <v>1770500</v>
      </c>
      <c r="S93" s="81">
        <f t="shared" si="140"/>
        <v>15934500</v>
      </c>
      <c r="T93" s="113">
        <v>17705000</v>
      </c>
      <c r="U93" s="176">
        <f t="shared" si="141"/>
        <v>0</v>
      </c>
      <c r="V93" s="155"/>
    </row>
    <row r="94" spans="1:24" ht="12.75" x14ac:dyDescent="0.2">
      <c r="A94" s="168"/>
      <c r="B94" s="168"/>
      <c r="C94" s="168"/>
      <c r="D94" s="107"/>
      <c r="E94" s="154">
        <v>1</v>
      </c>
      <c r="F94" s="155" t="s">
        <v>182</v>
      </c>
      <c r="G94" s="175">
        <v>1</v>
      </c>
      <c r="H94" s="176">
        <v>330000000</v>
      </c>
      <c r="I94" s="176">
        <f t="shared" si="137"/>
        <v>330000000</v>
      </c>
      <c r="J94" s="156">
        <v>44350</v>
      </c>
      <c r="K94" s="77">
        <f t="shared" si="132"/>
        <v>49829</v>
      </c>
      <c r="L94" s="155">
        <v>180</v>
      </c>
      <c r="M94" s="99">
        <v>37.520000000000003</v>
      </c>
      <c r="N94" s="81">
        <f t="shared" si="138"/>
        <v>12381600.000000002</v>
      </c>
      <c r="O94" s="81"/>
      <c r="P94" s="81"/>
      <c r="Q94" s="81">
        <f t="shared" si="139"/>
        <v>12381600.000000002</v>
      </c>
      <c r="R94" s="81">
        <f t="shared" si="135"/>
        <v>1238160.0000000002</v>
      </c>
      <c r="S94" s="81">
        <f t="shared" si="140"/>
        <v>11143440.000000002</v>
      </c>
      <c r="T94" s="113">
        <v>12381600.000000002</v>
      </c>
      <c r="U94" s="176">
        <f t="shared" si="141"/>
        <v>0</v>
      </c>
      <c r="V94" s="155"/>
    </row>
    <row r="95" spans="1:24" ht="12.75" x14ac:dyDescent="0.2">
      <c r="A95" s="168"/>
      <c r="B95" s="168"/>
      <c r="C95" s="168"/>
      <c r="D95" s="107"/>
      <c r="E95" s="154">
        <v>1</v>
      </c>
      <c r="F95" s="155" t="s">
        <v>193</v>
      </c>
      <c r="G95" s="175">
        <v>1</v>
      </c>
      <c r="H95" s="176">
        <v>331000000</v>
      </c>
      <c r="I95" s="176">
        <f t="shared" si="137"/>
        <v>331000000</v>
      </c>
      <c r="J95" s="156">
        <v>44350</v>
      </c>
      <c r="K95" s="77">
        <f t="shared" si="132"/>
        <v>49281</v>
      </c>
      <c r="L95" s="155">
        <v>162</v>
      </c>
      <c r="M95" s="99">
        <v>35.409999999999997</v>
      </c>
      <c r="N95" s="81">
        <f t="shared" si="138"/>
        <v>11720709.999999998</v>
      </c>
      <c r="O95" s="81"/>
      <c r="P95" s="81"/>
      <c r="Q95" s="81">
        <f t="shared" si="139"/>
        <v>11720709.999999998</v>
      </c>
      <c r="R95" s="81">
        <f t="shared" si="135"/>
        <v>1172070.9999999998</v>
      </c>
      <c r="S95" s="81">
        <f t="shared" si="140"/>
        <v>10548638.999999998</v>
      </c>
      <c r="T95" s="113">
        <v>11720709.999999998</v>
      </c>
      <c r="U95" s="176">
        <f t="shared" si="141"/>
        <v>0</v>
      </c>
      <c r="V95" s="155"/>
    </row>
    <row r="96" spans="1:24" ht="12.75" x14ac:dyDescent="0.2">
      <c r="A96" s="168"/>
      <c r="B96" s="168"/>
      <c r="C96" s="168"/>
      <c r="D96" s="107"/>
      <c r="E96" s="154">
        <v>1</v>
      </c>
      <c r="F96" s="155" t="s">
        <v>183</v>
      </c>
      <c r="G96" s="175">
        <v>1</v>
      </c>
      <c r="H96" s="176">
        <v>230000000</v>
      </c>
      <c r="I96" s="176">
        <f t="shared" si="137"/>
        <v>230000000</v>
      </c>
      <c r="J96" s="156">
        <v>44350</v>
      </c>
      <c r="K96" s="77">
        <f t="shared" si="132"/>
        <v>48002</v>
      </c>
      <c r="L96" s="155">
        <v>120</v>
      </c>
      <c r="M96" s="99">
        <v>25.48</v>
      </c>
      <c r="N96" s="81">
        <f t="shared" si="138"/>
        <v>5860400</v>
      </c>
      <c r="O96" s="81"/>
      <c r="P96" s="81"/>
      <c r="Q96" s="81">
        <f t="shared" si="139"/>
        <v>5860400</v>
      </c>
      <c r="R96" s="81">
        <f t="shared" si="135"/>
        <v>586040</v>
      </c>
      <c r="S96" s="81">
        <f t="shared" si="140"/>
        <v>5274360</v>
      </c>
      <c r="T96" s="113">
        <v>5860400</v>
      </c>
      <c r="U96" s="176">
        <f t="shared" si="141"/>
        <v>0</v>
      </c>
      <c r="V96" s="155"/>
    </row>
    <row r="97" spans="1:24" ht="12.75" x14ac:dyDescent="0.2">
      <c r="A97" s="168"/>
      <c r="B97" s="168"/>
      <c r="C97" s="168"/>
      <c r="D97" s="107"/>
      <c r="E97" s="154">
        <v>1</v>
      </c>
      <c r="F97" s="155" t="s">
        <v>184</v>
      </c>
      <c r="G97" s="175">
        <v>1</v>
      </c>
      <c r="H97" s="176">
        <v>360000000</v>
      </c>
      <c r="I97" s="176">
        <f t="shared" si="137"/>
        <v>360000000</v>
      </c>
      <c r="J97" s="156">
        <v>44351</v>
      </c>
      <c r="K97" s="77">
        <f t="shared" si="132"/>
        <v>49647</v>
      </c>
      <c r="L97" s="155">
        <v>174</v>
      </c>
      <c r="M97" s="99">
        <v>37.520000000000003</v>
      </c>
      <c r="N97" s="81">
        <f t="shared" si="138"/>
        <v>13507200.000000002</v>
      </c>
      <c r="O97" s="81"/>
      <c r="P97" s="81"/>
      <c r="Q97" s="81">
        <f t="shared" si="139"/>
        <v>13507200.000000002</v>
      </c>
      <c r="R97" s="81">
        <f t="shared" si="135"/>
        <v>1350720.0000000002</v>
      </c>
      <c r="S97" s="81">
        <f t="shared" si="140"/>
        <v>12156480.000000002</v>
      </c>
      <c r="T97" s="113">
        <v>13507200.000000002</v>
      </c>
      <c r="U97" s="176">
        <f t="shared" si="141"/>
        <v>0</v>
      </c>
      <c r="V97" s="155"/>
    </row>
    <row r="98" spans="1:24" ht="12.75" x14ac:dyDescent="0.2">
      <c r="A98" s="168"/>
      <c r="B98" s="168"/>
      <c r="C98" s="168"/>
      <c r="D98" s="107"/>
      <c r="E98" s="154">
        <v>1</v>
      </c>
      <c r="F98" s="155" t="s">
        <v>185</v>
      </c>
      <c r="G98" s="175">
        <v>1</v>
      </c>
      <c r="H98" s="176">
        <v>310000000</v>
      </c>
      <c r="I98" s="176">
        <f t="shared" si="137"/>
        <v>310000000</v>
      </c>
      <c r="J98" s="156">
        <v>44354</v>
      </c>
      <c r="K98" s="77">
        <f t="shared" si="132"/>
        <v>48372</v>
      </c>
      <c r="L98" s="155">
        <v>132</v>
      </c>
      <c r="M98" s="169">
        <v>27.98</v>
      </c>
      <c r="N98" s="81">
        <f t="shared" si="138"/>
        <v>8673800</v>
      </c>
      <c r="O98" s="81"/>
      <c r="P98" s="81"/>
      <c r="Q98" s="81">
        <f t="shared" si="139"/>
        <v>8673800</v>
      </c>
      <c r="R98" s="81">
        <f t="shared" si="135"/>
        <v>867380</v>
      </c>
      <c r="S98" s="81">
        <f t="shared" si="140"/>
        <v>7806420</v>
      </c>
      <c r="T98" s="113">
        <v>8673800</v>
      </c>
      <c r="U98" s="176">
        <f t="shared" si="141"/>
        <v>0</v>
      </c>
      <c r="V98" s="155"/>
    </row>
    <row r="99" spans="1:24" ht="12.75" x14ac:dyDescent="0.2">
      <c r="A99" s="168"/>
      <c r="B99" s="168"/>
      <c r="C99" s="168"/>
      <c r="D99" s="107"/>
      <c r="E99" s="154">
        <v>1</v>
      </c>
      <c r="F99" s="155" t="s">
        <v>186</v>
      </c>
      <c r="G99" s="175">
        <v>1</v>
      </c>
      <c r="H99" s="176">
        <v>350000000</v>
      </c>
      <c r="I99" s="176">
        <f t="shared" si="137"/>
        <v>350000000</v>
      </c>
      <c r="J99" s="156">
        <v>44354</v>
      </c>
      <c r="K99" s="77">
        <f t="shared" si="132"/>
        <v>48737</v>
      </c>
      <c r="L99" s="155">
        <v>144</v>
      </c>
      <c r="M99" s="99">
        <v>30.46</v>
      </c>
      <c r="N99" s="81">
        <f t="shared" si="138"/>
        <v>10661000</v>
      </c>
      <c r="O99" s="81"/>
      <c r="P99" s="81"/>
      <c r="Q99" s="81">
        <f t="shared" si="139"/>
        <v>10661000</v>
      </c>
      <c r="R99" s="81">
        <f t="shared" si="135"/>
        <v>1066100</v>
      </c>
      <c r="S99" s="81">
        <f t="shared" si="140"/>
        <v>9594900</v>
      </c>
      <c r="T99" s="113">
        <v>10661000</v>
      </c>
      <c r="U99" s="176">
        <f t="shared" si="141"/>
        <v>0</v>
      </c>
      <c r="V99" s="155"/>
    </row>
    <row r="100" spans="1:24" ht="12.75" x14ac:dyDescent="0.2">
      <c r="A100" s="168"/>
      <c r="B100" s="168"/>
      <c r="C100" s="168"/>
      <c r="D100" s="107"/>
      <c r="E100" s="154">
        <v>1</v>
      </c>
      <c r="F100" s="155" t="s">
        <v>187</v>
      </c>
      <c r="G100" s="175">
        <v>1</v>
      </c>
      <c r="H100" s="176">
        <v>400000000</v>
      </c>
      <c r="I100" s="176">
        <f t="shared" si="137"/>
        <v>400000000</v>
      </c>
      <c r="J100" s="156">
        <v>44354</v>
      </c>
      <c r="K100" s="77">
        <f t="shared" si="132"/>
        <v>49833</v>
      </c>
      <c r="L100" s="155">
        <v>180</v>
      </c>
      <c r="M100" s="99">
        <v>37.520000000000003</v>
      </c>
      <c r="N100" s="81">
        <f t="shared" si="138"/>
        <v>15008000.000000002</v>
      </c>
      <c r="O100" s="81"/>
      <c r="P100" s="81"/>
      <c r="Q100" s="81">
        <f t="shared" si="139"/>
        <v>15008000.000000002</v>
      </c>
      <c r="R100" s="81">
        <f t="shared" si="135"/>
        <v>1500800.0000000002</v>
      </c>
      <c r="S100" s="81">
        <f t="shared" si="140"/>
        <v>13507200.000000002</v>
      </c>
      <c r="T100" s="113">
        <v>15008000.000000002</v>
      </c>
      <c r="U100" s="176">
        <f t="shared" si="141"/>
        <v>0</v>
      </c>
      <c r="V100" s="155"/>
    </row>
    <row r="101" spans="1:24" ht="12.75" x14ac:dyDescent="0.2">
      <c r="A101" s="168"/>
      <c r="B101" s="168"/>
      <c r="C101" s="168"/>
      <c r="D101" s="107"/>
      <c r="E101" s="154">
        <v>1</v>
      </c>
      <c r="F101" s="155" t="s">
        <v>188</v>
      </c>
      <c r="G101" s="175">
        <v>1</v>
      </c>
      <c r="H101" s="176">
        <v>310000000</v>
      </c>
      <c r="I101" s="176">
        <f t="shared" si="137"/>
        <v>310000000</v>
      </c>
      <c r="J101" s="156">
        <v>44355</v>
      </c>
      <c r="K101" s="77">
        <f t="shared" si="132"/>
        <v>47825</v>
      </c>
      <c r="L101" s="155">
        <v>114</v>
      </c>
      <c r="M101" s="99">
        <v>25.48</v>
      </c>
      <c r="N101" s="81">
        <f t="shared" si="138"/>
        <v>7898800</v>
      </c>
      <c r="O101" s="81"/>
      <c r="P101" s="81"/>
      <c r="Q101" s="81">
        <f t="shared" si="139"/>
        <v>7898800</v>
      </c>
      <c r="R101" s="81">
        <f t="shared" si="135"/>
        <v>789880</v>
      </c>
      <c r="S101" s="81">
        <f t="shared" si="140"/>
        <v>7108920</v>
      </c>
      <c r="T101" s="113">
        <v>7898800</v>
      </c>
      <c r="U101" s="176">
        <f t="shared" si="141"/>
        <v>0</v>
      </c>
      <c r="V101" s="155"/>
    </row>
    <row r="102" spans="1:24" ht="12.75" x14ac:dyDescent="0.2">
      <c r="A102" s="168"/>
      <c r="B102" s="168"/>
      <c r="C102" s="168"/>
      <c r="D102" s="107"/>
      <c r="E102" s="154">
        <v>1</v>
      </c>
      <c r="F102" s="155" t="s">
        <v>189</v>
      </c>
      <c r="G102" s="175">
        <v>1</v>
      </c>
      <c r="H102" s="176">
        <v>165000000</v>
      </c>
      <c r="I102" s="176">
        <f t="shared" si="137"/>
        <v>165000000</v>
      </c>
      <c r="J102" s="156">
        <v>44355</v>
      </c>
      <c r="K102" s="77">
        <f t="shared" si="132"/>
        <v>47277</v>
      </c>
      <c r="L102" s="155">
        <v>96</v>
      </c>
      <c r="M102" s="99">
        <v>20.93</v>
      </c>
      <c r="N102" s="81">
        <f t="shared" si="138"/>
        <v>3453450</v>
      </c>
      <c r="O102" s="81"/>
      <c r="P102" s="81"/>
      <c r="Q102" s="81">
        <f t="shared" si="139"/>
        <v>3453450</v>
      </c>
      <c r="R102" s="81">
        <f t="shared" si="135"/>
        <v>345345</v>
      </c>
      <c r="S102" s="81">
        <f t="shared" si="140"/>
        <v>3108105</v>
      </c>
      <c r="T102" s="113">
        <v>3453450</v>
      </c>
      <c r="U102" s="176">
        <f t="shared" si="141"/>
        <v>0</v>
      </c>
      <c r="V102" s="155"/>
    </row>
    <row r="103" spans="1:24" ht="12.75" x14ac:dyDescent="0.2">
      <c r="A103" s="168"/>
      <c r="B103" s="168"/>
      <c r="C103" s="168"/>
      <c r="D103" s="107"/>
      <c r="E103" s="154">
        <v>1</v>
      </c>
      <c r="F103" s="155" t="s">
        <v>190</v>
      </c>
      <c r="G103" s="175">
        <v>1</v>
      </c>
      <c r="H103" s="176">
        <v>300000000</v>
      </c>
      <c r="I103" s="176">
        <f t="shared" si="137"/>
        <v>300000000</v>
      </c>
      <c r="J103" s="156">
        <v>44355</v>
      </c>
      <c r="K103" s="77">
        <f t="shared" si="132"/>
        <v>49834</v>
      </c>
      <c r="L103" s="155">
        <v>180</v>
      </c>
      <c r="M103" s="99">
        <v>37.520000000000003</v>
      </c>
      <c r="N103" s="81">
        <f t="shared" si="138"/>
        <v>11256000</v>
      </c>
      <c r="O103" s="81"/>
      <c r="P103" s="81"/>
      <c r="Q103" s="81">
        <f t="shared" si="139"/>
        <v>11256000</v>
      </c>
      <c r="R103" s="81">
        <f t="shared" si="135"/>
        <v>1125600</v>
      </c>
      <c r="S103" s="81">
        <f t="shared" si="140"/>
        <v>10130400</v>
      </c>
      <c r="T103" s="113">
        <v>11256000</v>
      </c>
      <c r="U103" s="176">
        <f t="shared" si="141"/>
        <v>0</v>
      </c>
      <c r="V103" s="155"/>
    </row>
    <row r="104" spans="1:24" ht="12.75" x14ac:dyDescent="0.2">
      <c r="A104" s="168"/>
      <c r="B104" s="168"/>
      <c r="C104" s="168"/>
      <c r="D104" s="107"/>
      <c r="E104" s="154">
        <v>1</v>
      </c>
      <c r="F104" s="155" t="s">
        <v>191</v>
      </c>
      <c r="G104" s="175">
        <v>1</v>
      </c>
      <c r="H104" s="176">
        <v>25000000</v>
      </c>
      <c r="I104" s="176">
        <f t="shared" si="137"/>
        <v>25000000</v>
      </c>
      <c r="J104" s="156">
        <v>44361</v>
      </c>
      <c r="K104" s="77">
        <f t="shared" si="132"/>
        <v>45274</v>
      </c>
      <c r="L104" s="155">
        <v>30</v>
      </c>
      <c r="M104" s="99">
        <v>9.1</v>
      </c>
      <c r="N104" s="81">
        <f t="shared" si="138"/>
        <v>227500</v>
      </c>
      <c r="O104" s="81"/>
      <c r="P104" s="81"/>
      <c r="Q104" s="81">
        <f t="shared" si="139"/>
        <v>227500</v>
      </c>
      <c r="R104" s="81">
        <f t="shared" si="135"/>
        <v>22750</v>
      </c>
      <c r="S104" s="81">
        <f t="shared" si="140"/>
        <v>204750</v>
      </c>
      <c r="T104" s="113">
        <v>227500</v>
      </c>
      <c r="U104" s="176">
        <f t="shared" si="141"/>
        <v>0</v>
      </c>
      <c r="V104" s="155"/>
    </row>
    <row r="105" spans="1:24" ht="12.75" x14ac:dyDescent="0.2">
      <c r="A105" s="168"/>
      <c r="B105" s="168"/>
      <c r="C105" s="168"/>
      <c r="D105" s="107"/>
      <c r="E105" s="154">
        <v>1</v>
      </c>
      <c r="F105" s="155" t="s">
        <v>192</v>
      </c>
      <c r="G105" s="175">
        <v>1</v>
      </c>
      <c r="H105" s="176">
        <v>170000000</v>
      </c>
      <c r="I105" s="176">
        <f t="shared" si="137"/>
        <v>170000000</v>
      </c>
      <c r="J105" s="156">
        <v>44362</v>
      </c>
      <c r="K105" s="77">
        <f t="shared" si="132"/>
        <v>48014</v>
      </c>
      <c r="L105" s="155">
        <v>120</v>
      </c>
      <c r="M105" s="99">
        <v>25.48</v>
      </c>
      <c r="N105" s="81">
        <f t="shared" si="138"/>
        <v>4331600</v>
      </c>
      <c r="O105" s="81"/>
      <c r="P105" s="81"/>
      <c r="Q105" s="81">
        <f t="shared" si="139"/>
        <v>4331600</v>
      </c>
      <c r="R105" s="81">
        <f t="shared" si="135"/>
        <v>433160</v>
      </c>
      <c r="S105" s="81">
        <f t="shared" si="140"/>
        <v>3898440</v>
      </c>
      <c r="T105" s="113">
        <v>4331600</v>
      </c>
      <c r="U105" s="176">
        <f t="shared" si="141"/>
        <v>0</v>
      </c>
      <c r="V105" s="155"/>
    </row>
    <row r="106" spans="1:24" ht="12.75" x14ac:dyDescent="0.2">
      <c r="A106" s="168"/>
      <c r="B106" s="168"/>
      <c r="C106" s="168"/>
      <c r="D106" s="107"/>
      <c r="E106" s="154">
        <v>1</v>
      </c>
      <c r="F106" s="155" t="s">
        <v>194</v>
      </c>
      <c r="G106" s="175">
        <v>1</v>
      </c>
      <c r="H106" s="188">
        <v>343000000</v>
      </c>
      <c r="I106" s="188">
        <f t="shared" si="137"/>
        <v>343000000</v>
      </c>
      <c r="J106" s="189">
        <v>44363</v>
      </c>
      <c r="K106" s="77">
        <f t="shared" si="132"/>
        <v>49476</v>
      </c>
      <c r="L106" s="187">
        <v>168</v>
      </c>
      <c r="M106" s="99">
        <v>35.409999999999997</v>
      </c>
      <c r="N106" s="190">
        <f t="shared" si="138"/>
        <v>12145629.999999998</v>
      </c>
      <c r="O106" s="190"/>
      <c r="P106" s="190"/>
      <c r="Q106" s="190">
        <f t="shared" si="139"/>
        <v>12145629.999999998</v>
      </c>
      <c r="R106" s="81">
        <f t="shared" si="135"/>
        <v>1214562.9999999998</v>
      </c>
      <c r="S106" s="190">
        <f t="shared" si="140"/>
        <v>10931066.999999998</v>
      </c>
      <c r="T106" s="191">
        <v>12145629.999999998</v>
      </c>
      <c r="U106" s="188">
        <f t="shared" si="141"/>
        <v>0</v>
      </c>
      <c r="V106" s="187"/>
    </row>
    <row r="107" spans="1:24" x14ac:dyDescent="0.2">
      <c r="A107" s="91"/>
      <c r="B107" s="91"/>
      <c r="C107" s="91"/>
      <c r="D107" s="59"/>
      <c r="E107" s="85">
        <f>SUM(E91:E106)</f>
        <v>16</v>
      </c>
      <c r="F107" s="91"/>
      <c r="G107" s="91"/>
      <c r="H107" s="91">
        <f>SUM(H91:H106)</f>
        <v>4949000000</v>
      </c>
      <c r="I107" s="91">
        <f>SUM(I91:I106)</f>
        <v>4949000000</v>
      </c>
      <c r="J107" s="91"/>
      <c r="K107" s="91"/>
      <c r="L107" s="91"/>
      <c r="M107" s="91"/>
      <c r="N107" s="91">
        <f t="shared" ref="N107:V107" si="142">SUM(N91:N106)</f>
        <v>160270540</v>
      </c>
      <c r="O107" s="91">
        <f t="shared" si="142"/>
        <v>0</v>
      </c>
      <c r="P107" s="91">
        <f t="shared" si="142"/>
        <v>0</v>
      </c>
      <c r="Q107" s="91">
        <f t="shared" si="142"/>
        <v>160270540</v>
      </c>
      <c r="R107" s="91">
        <f t="shared" si="142"/>
        <v>16027054</v>
      </c>
      <c r="S107" s="91">
        <f t="shared" si="142"/>
        <v>144243486</v>
      </c>
      <c r="T107" s="91">
        <f t="shared" si="142"/>
        <v>160270540</v>
      </c>
      <c r="U107" s="91">
        <f t="shared" si="142"/>
        <v>0</v>
      </c>
      <c r="V107" s="91">
        <f t="shared" si="142"/>
        <v>0</v>
      </c>
    </row>
    <row r="108" spans="1:24" s="158" customFormat="1" ht="15" x14ac:dyDescent="0.25">
      <c r="A108" s="154">
        <v>19</v>
      </c>
      <c r="B108" s="155" t="s">
        <v>46</v>
      </c>
      <c r="C108" s="155" t="s">
        <v>206</v>
      </c>
      <c r="D108" s="156">
        <v>44407</v>
      </c>
      <c r="E108" s="154">
        <v>1</v>
      </c>
      <c r="F108" s="155" t="s">
        <v>53</v>
      </c>
      <c r="G108" s="175">
        <v>1</v>
      </c>
      <c r="H108" s="176">
        <v>70717947</v>
      </c>
      <c r="I108" s="176">
        <f>H108*G108</f>
        <v>70717947</v>
      </c>
      <c r="J108" s="156">
        <v>46914</v>
      </c>
      <c r="K108" s="156">
        <v>47279</v>
      </c>
      <c r="L108" s="155">
        <v>12</v>
      </c>
      <c r="M108" s="195">
        <v>5.46</v>
      </c>
      <c r="N108" s="176">
        <f>M108*H108/1000</f>
        <v>386119.99062</v>
      </c>
      <c r="O108" s="176">
        <v>100000</v>
      </c>
      <c r="P108" s="176"/>
      <c r="Q108" s="176">
        <f>N108+O108+P108</f>
        <v>486119.99062</v>
      </c>
      <c r="R108" s="196"/>
      <c r="S108" s="176">
        <f>Q108-R108</f>
        <v>486119.99062</v>
      </c>
      <c r="T108" s="197">
        <v>486119.99062</v>
      </c>
      <c r="U108" s="176">
        <f>T108-Q108</f>
        <v>0</v>
      </c>
      <c r="V108" s="155"/>
      <c r="W108"/>
      <c r="X108" s="157"/>
    </row>
    <row r="109" spans="1:24" s="158" customFormat="1" ht="15" x14ac:dyDescent="0.25">
      <c r="A109" s="198"/>
      <c r="B109" s="199"/>
      <c r="C109" s="199"/>
      <c r="D109" s="199"/>
      <c r="E109" s="200"/>
      <c r="F109" s="201"/>
      <c r="G109" s="201"/>
      <c r="H109" s="201"/>
      <c r="I109" s="201"/>
      <c r="J109" s="201"/>
      <c r="K109" s="201"/>
      <c r="L109" s="201"/>
      <c r="M109" s="201"/>
      <c r="N109" s="201">
        <f t="shared" ref="N109:V109" si="143">SUM(N108:N108)</f>
        <v>386119.99062</v>
      </c>
      <c r="O109" s="201">
        <f t="shared" si="143"/>
        <v>100000</v>
      </c>
      <c r="P109" s="201">
        <f t="shared" si="143"/>
        <v>0</v>
      </c>
      <c r="Q109" s="201">
        <f t="shared" si="143"/>
        <v>486119.99062</v>
      </c>
      <c r="R109" s="201">
        <f t="shared" si="143"/>
        <v>0</v>
      </c>
      <c r="S109" s="201">
        <f t="shared" si="143"/>
        <v>486119.99062</v>
      </c>
      <c r="T109" s="201">
        <f t="shared" si="143"/>
        <v>486119.99062</v>
      </c>
      <c r="U109" s="201">
        <f t="shared" si="143"/>
        <v>0</v>
      </c>
      <c r="V109" s="201">
        <f t="shared" si="143"/>
        <v>0</v>
      </c>
      <c r="W109"/>
      <c r="X109" s="157"/>
    </row>
    <row r="110" spans="1:24" s="158" customFormat="1" ht="12.75" x14ac:dyDescent="0.2">
      <c r="A110" s="154">
        <v>20</v>
      </c>
      <c r="B110" s="155" t="s">
        <v>122</v>
      </c>
      <c r="C110" s="155" t="s">
        <v>207</v>
      </c>
      <c r="D110" s="156">
        <v>44407</v>
      </c>
      <c r="E110" s="154">
        <v>1</v>
      </c>
      <c r="F110" s="155" t="s">
        <v>208</v>
      </c>
      <c r="G110" s="175">
        <v>1</v>
      </c>
      <c r="H110" s="176">
        <v>30000000</v>
      </c>
      <c r="I110" s="176">
        <f>H110*G110</f>
        <v>30000000</v>
      </c>
      <c r="J110" s="156">
        <v>44406</v>
      </c>
      <c r="K110" s="156">
        <v>45136</v>
      </c>
      <c r="L110" s="155">
        <v>24</v>
      </c>
      <c r="M110" s="195">
        <v>10.57</v>
      </c>
      <c r="N110" s="176">
        <f>M110*H110/1000</f>
        <v>317100</v>
      </c>
      <c r="O110" s="176"/>
      <c r="P110" s="176"/>
      <c r="Q110" s="190">
        <f t="shared" ref="Q110" si="144">N110+O110+P110</f>
        <v>317100</v>
      </c>
      <c r="R110" s="81">
        <f t="shared" ref="R110" si="145">10%*N110</f>
        <v>31710</v>
      </c>
      <c r="S110" s="190">
        <f t="shared" ref="S110" si="146">Q110-R110</f>
        <v>285390</v>
      </c>
      <c r="T110" s="191">
        <v>317100</v>
      </c>
      <c r="U110" s="188">
        <f t="shared" ref="U110" si="147">T110-Q110</f>
        <v>0</v>
      </c>
      <c r="V110" s="187"/>
    </row>
    <row r="111" spans="1:24" s="158" customFormat="1" ht="12.75" x14ac:dyDescent="0.2">
      <c r="A111" s="198"/>
      <c r="B111" s="199"/>
      <c r="C111" s="199"/>
      <c r="D111" s="199"/>
      <c r="E111" s="200">
        <f>SUM(E110:E110)</f>
        <v>1</v>
      </c>
      <c r="F111" s="201">
        <f>SUM(F110:F110)</f>
        <v>0</v>
      </c>
      <c r="G111" s="201"/>
      <c r="H111" s="201">
        <f>SUM(H110:H110)</f>
        <v>30000000</v>
      </c>
      <c r="I111" s="201">
        <f>SUM(I110:I110)</f>
        <v>30000000</v>
      </c>
      <c r="J111" s="201"/>
      <c r="K111" s="201"/>
      <c r="L111" s="201"/>
      <c r="M111" s="201"/>
      <c r="N111" s="201">
        <f t="shared" ref="N111:V111" si="148">SUM(N110:N110)</f>
        <v>317100</v>
      </c>
      <c r="O111" s="201">
        <f t="shared" si="148"/>
        <v>0</v>
      </c>
      <c r="P111" s="201">
        <f t="shared" si="148"/>
        <v>0</v>
      </c>
      <c r="Q111" s="201">
        <f t="shared" si="148"/>
        <v>317100</v>
      </c>
      <c r="R111" s="201">
        <f t="shared" si="148"/>
        <v>31710</v>
      </c>
      <c r="S111" s="201">
        <f t="shared" si="148"/>
        <v>285390</v>
      </c>
      <c r="T111" s="201">
        <f t="shared" si="148"/>
        <v>317100</v>
      </c>
      <c r="U111" s="201">
        <f t="shared" si="148"/>
        <v>0</v>
      </c>
      <c r="V111" s="201">
        <f t="shared" si="148"/>
        <v>0</v>
      </c>
    </row>
    <row r="112" spans="1:24" x14ac:dyDescent="0.2">
      <c r="A112" s="83"/>
      <c r="B112" s="83"/>
      <c r="C112" s="83" t="s">
        <v>50</v>
      </c>
      <c r="D112" s="84"/>
      <c r="E112" s="85">
        <f>E111+E107</f>
        <v>17</v>
      </c>
      <c r="F112" s="185">
        <f t="shared" ref="F112:P112" si="149">F111+F107</f>
        <v>0</v>
      </c>
      <c r="G112" s="185">
        <f t="shared" si="149"/>
        <v>0</v>
      </c>
      <c r="H112" s="185">
        <f t="shared" si="149"/>
        <v>4979000000</v>
      </c>
      <c r="I112" s="185">
        <f t="shared" si="149"/>
        <v>4979000000</v>
      </c>
      <c r="J112" s="185"/>
      <c r="K112" s="185"/>
      <c r="L112" s="185"/>
      <c r="M112" s="185"/>
      <c r="N112" s="185">
        <f t="shared" si="149"/>
        <v>160587640</v>
      </c>
      <c r="O112" s="185">
        <f t="shared" si="149"/>
        <v>0</v>
      </c>
      <c r="P112" s="185">
        <f t="shared" si="149"/>
        <v>0</v>
      </c>
      <c r="Q112" s="185">
        <f>Q111+Q107+Q109</f>
        <v>161073759.99061999</v>
      </c>
      <c r="R112" s="185">
        <f t="shared" ref="R112:V112" si="150">R111+R107+R109</f>
        <v>16058764</v>
      </c>
      <c r="S112" s="185">
        <f t="shared" si="150"/>
        <v>145014995.99061999</v>
      </c>
      <c r="T112" s="185">
        <f t="shared" si="150"/>
        <v>161073759.99061999</v>
      </c>
      <c r="U112" s="185">
        <f t="shared" si="150"/>
        <v>0</v>
      </c>
      <c r="V112" s="185">
        <f t="shared" si="150"/>
        <v>0</v>
      </c>
    </row>
    <row r="113" spans="1:24" s="94" customFormat="1" x14ac:dyDescent="0.2">
      <c r="A113" s="83"/>
      <c r="B113" s="83"/>
      <c r="C113" s="83" t="s">
        <v>209</v>
      </c>
      <c r="D113" s="84"/>
      <c r="E113" s="93">
        <f>E112+E86</f>
        <v>47</v>
      </c>
      <c r="F113" s="95">
        <f t="shared" ref="F113:V113" si="151">F112+F86</f>
        <v>0</v>
      </c>
      <c r="G113" s="95">
        <f t="shared" si="151"/>
        <v>0</v>
      </c>
      <c r="H113" s="95">
        <f t="shared" si="151"/>
        <v>11287584172</v>
      </c>
      <c r="I113" s="95">
        <f t="shared" si="151"/>
        <v>11287584172</v>
      </c>
      <c r="J113" s="95"/>
      <c r="K113" s="95"/>
      <c r="L113" s="95"/>
      <c r="M113" s="95"/>
      <c r="N113" s="95">
        <f t="shared" si="151"/>
        <v>356459119.14532</v>
      </c>
      <c r="O113" s="95">
        <f t="shared" si="151"/>
        <v>400000</v>
      </c>
      <c r="P113" s="95">
        <f t="shared" si="151"/>
        <v>0</v>
      </c>
      <c r="Q113" s="95">
        <f t="shared" si="151"/>
        <v>357345239.13593996</v>
      </c>
      <c r="R113" s="95">
        <f t="shared" si="151"/>
        <v>35510624.008506</v>
      </c>
      <c r="S113" s="95">
        <f t="shared" si="151"/>
        <v>321834615.12743402</v>
      </c>
      <c r="T113" s="95">
        <f t="shared" si="151"/>
        <v>367745239.13593996</v>
      </c>
      <c r="U113" s="95">
        <f t="shared" si="151"/>
        <v>0</v>
      </c>
      <c r="V113" s="95">
        <f t="shared" si="151"/>
        <v>0</v>
      </c>
    </row>
    <row r="114" spans="1:24" x14ac:dyDescent="0.2">
      <c r="H114" s="193"/>
      <c r="I114" s="192"/>
    </row>
    <row r="115" spans="1:24" ht="14.25" customHeight="1" x14ac:dyDescent="0.2">
      <c r="A115" s="86" t="s">
        <v>210</v>
      </c>
      <c r="B115" s="62"/>
      <c r="C115" s="62"/>
      <c r="D115" s="57"/>
      <c r="E115" s="63"/>
      <c r="F115" s="64"/>
      <c r="G115" s="65"/>
      <c r="H115" s="66"/>
      <c r="I115" s="66"/>
      <c r="J115" s="67"/>
      <c r="K115" s="67"/>
      <c r="L115" s="68"/>
      <c r="M115" s="68"/>
      <c r="N115" s="69"/>
      <c r="O115" s="69"/>
      <c r="P115" s="69"/>
      <c r="Q115" s="69"/>
      <c r="R115" s="69"/>
      <c r="S115" s="69"/>
      <c r="T115" s="70"/>
      <c r="U115" s="71"/>
      <c r="V115" s="71"/>
    </row>
    <row r="116" spans="1:24" ht="14.25" customHeight="1" x14ac:dyDescent="0.2">
      <c r="A116" s="231" t="s">
        <v>0</v>
      </c>
      <c r="B116" s="232" t="s">
        <v>1</v>
      </c>
      <c r="C116" s="229" t="s">
        <v>2</v>
      </c>
      <c r="D116" s="233" t="s">
        <v>3</v>
      </c>
      <c r="E116" s="234" t="s">
        <v>4</v>
      </c>
      <c r="F116" s="232" t="s">
        <v>5</v>
      </c>
      <c r="G116" s="235" t="s">
        <v>6</v>
      </c>
      <c r="H116" s="236" t="s">
        <v>7</v>
      </c>
      <c r="I116" s="236" t="s">
        <v>8</v>
      </c>
      <c r="J116" s="227" t="s">
        <v>9</v>
      </c>
      <c r="K116" s="227"/>
      <c r="L116" s="228" t="s">
        <v>10</v>
      </c>
      <c r="M116" s="229" t="s">
        <v>11</v>
      </c>
      <c r="N116" s="230" t="s">
        <v>12</v>
      </c>
      <c r="O116" s="230"/>
      <c r="P116" s="230"/>
      <c r="Q116" s="229" t="s">
        <v>13</v>
      </c>
      <c r="R116" s="229" t="s">
        <v>14</v>
      </c>
      <c r="S116" s="229" t="s">
        <v>15</v>
      </c>
      <c r="T116" s="226" t="s">
        <v>64</v>
      </c>
      <c r="U116" s="226" t="s">
        <v>65</v>
      </c>
      <c r="V116" s="226" t="s">
        <v>66</v>
      </c>
    </row>
    <row r="117" spans="1:24" ht="14.25" customHeight="1" x14ac:dyDescent="0.2">
      <c r="A117" s="231"/>
      <c r="B117" s="232"/>
      <c r="C117" s="229"/>
      <c r="D117" s="233"/>
      <c r="E117" s="234"/>
      <c r="F117" s="232"/>
      <c r="G117" s="235"/>
      <c r="H117" s="236"/>
      <c r="I117" s="236"/>
      <c r="J117" s="227"/>
      <c r="K117" s="227"/>
      <c r="L117" s="228"/>
      <c r="M117" s="229"/>
      <c r="N117" s="204" t="s">
        <v>16</v>
      </c>
      <c r="O117" s="204" t="s">
        <v>17</v>
      </c>
      <c r="P117" s="204" t="s">
        <v>18</v>
      </c>
      <c r="Q117" s="229"/>
      <c r="R117" s="229"/>
      <c r="S117" s="229"/>
      <c r="T117" s="226"/>
      <c r="U117" s="226"/>
      <c r="V117" s="226"/>
    </row>
    <row r="118" spans="1:24" s="158" customFormat="1" ht="15" x14ac:dyDescent="0.25">
      <c r="A118" s="154">
        <v>21</v>
      </c>
      <c r="B118" s="155" t="s">
        <v>19</v>
      </c>
      <c r="C118" s="155" t="s">
        <v>211</v>
      </c>
      <c r="D118" s="156">
        <v>44463</v>
      </c>
      <c r="E118" s="154">
        <v>1</v>
      </c>
      <c r="F118" s="155" t="s">
        <v>212</v>
      </c>
      <c r="G118" s="175">
        <v>1</v>
      </c>
      <c r="H118" s="176">
        <v>25237639</v>
      </c>
      <c r="I118" s="176">
        <f>H118*G118</f>
        <v>25237639</v>
      </c>
      <c r="J118" s="205">
        <v>44611</v>
      </c>
      <c r="K118" s="205">
        <v>44895</v>
      </c>
      <c r="L118" s="155">
        <v>9</v>
      </c>
      <c r="M118" s="195">
        <v>5.46</v>
      </c>
      <c r="N118" s="176">
        <f>M118*H118/1000</f>
        <v>137797.50894</v>
      </c>
      <c r="O118" s="176">
        <v>100000</v>
      </c>
      <c r="P118" s="176"/>
      <c r="Q118" s="176">
        <f>N118+O118+P118</f>
        <v>237797.50894</v>
      </c>
      <c r="R118" s="196"/>
      <c r="S118" s="176">
        <f>Q118-R118</f>
        <v>237797.50894</v>
      </c>
      <c r="T118" s="197">
        <v>237797.50894</v>
      </c>
      <c r="U118" s="176">
        <f>T118-Q118</f>
        <v>0</v>
      </c>
      <c r="V118" s="155"/>
      <c r="W118"/>
      <c r="X118" s="157"/>
    </row>
    <row r="119" spans="1:24" s="158" customFormat="1" ht="15" x14ac:dyDescent="0.25">
      <c r="A119" s="198"/>
      <c r="B119" s="199"/>
      <c r="C119" s="199"/>
      <c r="D119" s="199"/>
      <c r="E119" s="200"/>
      <c r="F119" s="201"/>
      <c r="G119" s="201"/>
      <c r="H119" s="201"/>
      <c r="I119" s="201"/>
      <c r="J119" s="201"/>
      <c r="K119" s="201"/>
      <c r="L119" s="201"/>
      <c r="M119" s="201"/>
      <c r="N119" s="201">
        <f t="shared" ref="N119:V119" si="152">SUM(N118:N118)</f>
        <v>137797.50894</v>
      </c>
      <c r="O119" s="201">
        <f t="shared" si="152"/>
        <v>100000</v>
      </c>
      <c r="P119" s="201">
        <f t="shared" si="152"/>
        <v>0</v>
      </c>
      <c r="Q119" s="201">
        <f t="shared" si="152"/>
        <v>237797.50894</v>
      </c>
      <c r="R119" s="201">
        <f t="shared" si="152"/>
        <v>0</v>
      </c>
      <c r="S119" s="201">
        <f t="shared" si="152"/>
        <v>237797.50894</v>
      </c>
      <c r="T119" s="201">
        <f t="shared" si="152"/>
        <v>237797.50894</v>
      </c>
      <c r="U119" s="201">
        <f t="shared" si="152"/>
        <v>0</v>
      </c>
      <c r="V119" s="201">
        <f t="shared" si="152"/>
        <v>0</v>
      </c>
      <c r="W119"/>
      <c r="X119" s="157"/>
    </row>
    <row r="120" spans="1:24" s="158" customFormat="1" ht="14.25" customHeight="1" x14ac:dyDescent="0.25">
      <c r="A120" s="154">
        <v>22</v>
      </c>
      <c r="B120" s="155" t="s">
        <v>213</v>
      </c>
      <c r="C120" s="155" t="s">
        <v>214</v>
      </c>
      <c r="D120" s="156">
        <v>44468</v>
      </c>
      <c r="E120" s="154">
        <v>1</v>
      </c>
      <c r="F120" s="155" t="s">
        <v>215</v>
      </c>
      <c r="G120" s="175">
        <v>1</v>
      </c>
      <c r="H120" s="176">
        <v>13910250</v>
      </c>
      <c r="I120" s="176">
        <f>H120*G120</f>
        <v>13910250</v>
      </c>
      <c r="J120" s="205">
        <v>44447</v>
      </c>
      <c r="K120" s="205">
        <v>44812</v>
      </c>
      <c r="L120" s="155">
        <v>12</v>
      </c>
      <c r="M120" s="195">
        <v>60.9</v>
      </c>
      <c r="N120" s="176">
        <f>M120*H120/1000</f>
        <v>847134.22499999998</v>
      </c>
      <c r="O120" s="176"/>
      <c r="P120" s="176"/>
      <c r="Q120" s="190">
        <f t="shared" ref="Q120" si="153">N120+O120+P120</f>
        <v>847134.22499999998</v>
      </c>
      <c r="R120" s="81">
        <f t="shared" ref="R120:R133" si="154">10%*N120</f>
        <v>84713.422500000001</v>
      </c>
      <c r="S120" s="190">
        <f t="shared" ref="S120" si="155">Q120-R120</f>
        <v>762420.80249999999</v>
      </c>
      <c r="T120" s="191">
        <v>847151</v>
      </c>
      <c r="U120" s="188">
        <f t="shared" ref="U120" si="156">T120-Q120</f>
        <v>16.775000000023283</v>
      </c>
      <c r="V120" s="187"/>
      <c r="W120"/>
    </row>
    <row r="121" spans="1:24" s="158" customFormat="1" ht="14.25" customHeight="1" x14ac:dyDescent="0.25">
      <c r="A121" s="198"/>
      <c r="B121" s="199"/>
      <c r="C121" s="199"/>
      <c r="D121" s="199"/>
      <c r="E121" s="200">
        <f>SUM(E120:E120)</f>
        <v>1</v>
      </c>
      <c r="F121" s="201"/>
      <c r="G121" s="201"/>
      <c r="H121" s="201">
        <f>SUM(H120:H120)</f>
        <v>13910250</v>
      </c>
      <c r="I121" s="201">
        <f>SUM(I120:I120)</f>
        <v>13910250</v>
      </c>
      <c r="J121" s="201"/>
      <c r="K121" s="201"/>
      <c r="L121" s="201"/>
      <c r="M121" s="201"/>
      <c r="N121" s="201">
        <f t="shared" ref="N121:V121" si="157">SUM(N120:N120)</f>
        <v>847134.22499999998</v>
      </c>
      <c r="O121" s="201">
        <f t="shared" si="157"/>
        <v>0</v>
      </c>
      <c r="P121" s="201">
        <f t="shared" si="157"/>
        <v>0</v>
      </c>
      <c r="Q121" s="201">
        <f t="shared" si="157"/>
        <v>847134.22499999998</v>
      </c>
      <c r="R121" s="201">
        <f t="shared" si="157"/>
        <v>84713.422500000001</v>
      </c>
      <c r="S121" s="201">
        <f t="shared" si="157"/>
        <v>762420.80249999999</v>
      </c>
      <c r="T121" s="201">
        <f t="shared" si="157"/>
        <v>847151</v>
      </c>
      <c r="U121" s="201">
        <f t="shared" si="157"/>
        <v>16.775000000023283</v>
      </c>
      <c r="V121" s="201">
        <f t="shared" si="157"/>
        <v>0</v>
      </c>
      <c r="W121"/>
      <c r="X121" s="157"/>
    </row>
    <row r="122" spans="1:24" s="158" customFormat="1" ht="14.25" customHeight="1" x14ac:dyDescent="0.25">
      <c r="A122" s="154">
        <v>23</v>
      </c>
      <c r="B122" s="155" t="s">
        <v>49</v>
      </c>
      <c r="C122" s="155" t="s">
        <v>216</v>
      </c>
      <c r="D122" s="156">
        <v>44467</v>
      </c>
      <c r="E122" s="154">
        <v>1</v>
      </c>
      <c r="F122" s="155" t="s">
        <v>217</v>
      </c>
      <c r="G122" s="175">
        <v>1</v>
      </c>
      <c r="H122" s="176">
        <v>22343000</v>
      </c>
      <c r="I122" s="176">
        <f t="shared" ref="I122:I130" si="158">H122*G122</f>
        <v>22343000</v>
      </c>
      <c r="J122" s="205">
        <v>44456</v>
      </c>
      <c r="K122" s="205">
        <v>45552</v>
      </c>
      <c r="L122" s="155">
        <v>36</v>
      </c>
      <c r="M122" s="195">
        <v>11.5</v>
      </c>
      <c r="N122" s="176">
        <f>M122*H122/1000</f>
        <v>256944.5</v>
      </c>
      <c r="O122" s="176"/>
      <c r="P122" s="176"/>
      <c r="Q122" s="176">
        <f>N122+O122+P122</f>
        <v>256944.5</v>
      </c>
      <c r="R122" s="81">
        <f t="shared" si="154"/>
        <v>25694.45</v>
      </c>
      <c r="S122" s="176">
        <f>Q122-R122</f>
        <v>231250.05</v>
      </c>
      <c r="T122" s="197">
        <v>256945</v>
      </c>
      <c r="U122" s="176">
        <f>T122-Q122</f>
        <v>0.5</v>
      </c>
      <c r="V122" s="187"/>
      <c r="W122"/>
    </row>
    <row r="123" spans="1:24" s="158" customFormat="1" ht="15" x14ac:dyDescent="0.25">
      <c r="A123" s="154"/>
      <c r="B123" s="155"/>
      <c r="C123" s="155"/>
      <c r="D123" s="156"/>
      <c r="E123" s="154">
        <v>1</v>
      </c>
      <c r="F123" s="155" t="s">
        <v>218</v>
      </c>
      <c r="G123" s="175">
        <v>1</v>
      </c>
      <c r="H123" s="176">
        <v>330000000</v>
      </c>
      <c r="I123" s="176">
        <f t="shared" si="158"/>
        <v>330000000</v>
      </c>
      <c r="J123" s="205">
        <v>44467</v>
      </c>
      <c r="K123" s="205">
        <v>46293</v>
      </c>
      <c r="L123" s="155">
        <v>180</v>
      </c>
      <c r="M123" s="195">
        <v>37.520000000000003</v>
      </c>
      <c r="N123" s="176">
        <f t="shared" ref="N123:N130" si="159">M123*H123/1000</f>
        <v>12381600.000000002</v>
      </c>
      <c r="O123" s="176"/>
      <c r="P123" s="176"/>
      <c r="Q123" s="176">
        <f t="shared" ref="Q123:Q130" si="160">N123+O123+P123</f>
        <v>12381600.000000002</v>
      </c>
      <c r="R123" s="81">
        <f t="shared" si="154"/>
        <v>1238160.0000000002</v>
      </c>
      <c r="S123" s="190">
        <f t="shared" ref="S123:S130" si="161">Q123-R123</f>
        <v>11143440.000000002</v>
      </c>
      <c r="T123" s="191">
        <v>12381600.000000002</v>
      </c>
      <c r="U123" s="188">
        <f t="shared" ref="U123:U130" si="162">T123-Q123</f>
        <v>0</v>
      </c>
      <c r="V123" s="187"/>
      <c r="W123"/>
    </row>
    <row r="124" spans="1:24" s="158" customFormat="1" ht="15" x14ac:dyDescent="0.25">
      <c r="A124" s="154"/>
      <c r="B124" s="155"/>
      <c r="C124" s="155"/>
      <c r="D124" s="156"/>
      <c r="E124" s="154">
        <v>1</v>
      </c>
      <c r="F124" s="155" t="s">
        <v>219</v>
      </c>
      <c r="G124" s="175">
        <v>1</v>
      </c>
      <c r="H124" s="176">
        <v>35000000</v>
      </c>
      <c r="I124" s="176">
        <f t="shared" si="158"/>
        <v>35000000</v>
      </c>
      <c r="J124" s="205">
        <v>44447</v>
      </c>
      <c r="K124" s="205">
        <v>46273</v>
      </c>
      <c r="L124" s="155">
        <v>60</v>
      </c>
      <c r="M124" s="195">
        <v>18.2</v>
      </c>
      <c r="N124" s="176">
        <f t="shared" si="159"/>
        <v>637000</v>
      </c>
      <c r="O124" s="176"/>
      <c r="P124" s="176"/>
      <c r="Q124" s="176">
        <f t="shared" si="160"/>
        <v>637000</v>
      </c>
      <c r="R124" s="81">
        <f t="shared" si="154"/>
        <v>63700</v>
      </c>
      <c r="S124" s="190">
        <f t="shared" si="161"/>
        <v>573300</v>
      </c>
      <c r="T124" s="191">
        <v>637000</v>
      </c>
      <c r="U124" s="188">
        <f t="shared" si="162"/>
        <v>0</v>
      </c>
      <c r="V124" s="187"/>
      <c r="W124"/>
    </row>
    <row r="125" spans="1:24" s="158" customFormat="1" ht="15" x14ac:dyDescent="0.25">
      <c r="A125" s="154"/>
      <c r="B125" s="155"/>
      <c r="C125" s="155"/>
      <c r="D125" s="156"/>
      <c r="E125" s="154">
        <v>1</v>
      </c>
      <c r="F125" s="155" t="s">
        <v>220</v>
      </c>
      <c r="G125" s="175">
        <v>1</v>
      </c>
      <c r="H125" s="176">
        <v>250000000</v>
      </c>
      <c r="I125" s="176">
        <f t="shared" si="158"/>
        <v>250000000</v>
      </c>
      <c r="J125" s="205">
        <v>44446</v>
      </c>
      <c r="K125" s="205">
        <v>49194</v>
      </c>
      <c r="L125" s="155">
        <v>156</v>
      </c>
      <c r="M125" s="195">
        <v>32.94</v>
      </c>
      <c r="N125" s="176">
        <f t="shared" si="159"/>
        <v>8234999.9999999991</v>
      </c>
      <c r="O125" s="176"/>
      <c r="P125" s="176"/>
      <c r="Q125" s="176">
        <f t="shared" si="160"/>
        <v>8234999.9999999991</v>
      </c>
      <c r="R125" s="81">
        <f t="shared" si="154"/>
        <v>823500</v>
      </c>
      <c r="S125" s="190">
        <f t="shared" si="161"/>
        <v>7411499.9999999991</v>
      </c>
      <c r="T125" s="191">
        <v>8234999.9999999991</v>
      </c>
      <c r="U125" s="188">
        <f t="shared" si="162"/>
        <v>0</v>
      </c>
      <c r="V125" s="187"/>
      <c r="W125"/>
    </row>
    <row r="126" spans="1:24" s="158" customFormat="1" ht="15" x14ac:dyDescent="0.25">
      <c r="A126" s="154"/>
      <c r="B126" s="155"/>
      <c r="C126" s="155"/>
      <c r="D126" s="156"/>
      <c r="E126" s="154">
        <v>1</v>
      </c>
      <c r="F126" s="155" t="s">
        <v>221</v>
      </c>
      <c r="G126" s="175">
        <v>1</v>
      </c>
      <c r="H126" s="176">
        <v>270000000</v>
      </c>
      <c r="I126" s="176">
        <f t="shared" si="158"/>
        <v>270000000</v>
      </c>
      <c r="J126" s="205">
        <v>44446</v>
      </c>
      <c r="K126" s="205">
        <v>48098</v>
      </c>
      <c r="L126" s="155">
        <v>120</v>
      </c>
      <c r="M126" s="195">
        <v>25.48</v>
      </c>
      <c r="N126" s="176">
        <f t="shared" si="159"/>
        <v>6879600</v>
      </c>
      <c r="O126" s="176"/>
      <c r="P126" s="176"/>
      <c r="Q126" s="176">
        <f t="shared" si="160"/>
        <v>6879600</v>
      </c>
      <c r="R126" s="81">
        <f t="shared" si="154"/>
        <v>687960</v>
      </c>
      <c r="S126" s="190">
        <f t="shared" si="161"/>
        <v>6191640</v>
      </c>
      <c r="T126" s="191">
        <v>6879600</v>
      </c>
      <c r="U126" s="188">
        <f t="shared" si="162"/>
        <v>0</v>
      </c>
      <c r="V126" s="187"/>
      <c r="W126"/>
    </row>
    <row r="127" spans="1:24" s="158" customFormat="1" ht="15" x14ac:dyDescent="0.25">
      <c r="A127" s="154"/>
      <c r="B127" s="155"/>
      <c r="C127" s="155"/>
      <c r="D127" s="156"/>
      <c r="E127" s="154">
        <v>1</v>
      </c>
      <c r="F127" s="155" t="s">
        <v>222</v>
      </c>
      <c r="G127" s="175">
        <v>1</v>
      </c>
      <c r="H127" s="176">
        <v>310000000</v>
      </c>
      <c r="I127" s="176">
        <f t="shared" si="158"/>
        <v>310000000</v>
      </c>
      <c r="J127" s="205">
        <v>44453</v>
      </c>
      <c r="K127" s="205">
        <v>48105</v>
      </c>
      <c r="L127" s="155">
        <v>120</v>
      </c>
      <c r="M127" s="195">
        <v>25.48</v>
      </c>
      <c r="N127" s="176">
        <f t="shared" si="159"/>
        <v>7898800</v>
      </c>
      <c r="O127" s="176"/>
      <c r="P127" s="176"/>
      <c r="Q127" s="176">
        <f t="shared" si="160"/>
        <v>7898800</v>
      </c>
      <c r="R127" s="81">
        <f t="shared" si="154"/>
        <v>789880</v>
      </c>
      <c r="S127" s="190">
        <f t="shared" si="161"/>
        <v>7108920</v>
      </c>
      <c r="T127" s="191">
        <v>7898800</v>
      </c>
      <c r="U127" s="188">
        <f t="shared" si="162"/>
        <v>0</v>
      </c>
      <c r="V127" s="187"/>
      <c r="W127"/>
    </row>
    <row r="128" spans="1:24" s="158" customFormat="1" ht="15" x14ac:dyDescent="0.25">
      <c r="A128" s="154"/>
      <c r="B128" s="155"/>
      <c r="C128" s="155"/>
      <c r="D128" s="156"/>
      <c r="E128" s="154">
        <v>1</v>
      </c>
      <c r="F128" s="155" t="s">
        <v>223</v>
      </c>
      <c r="G128" s="175">
        <v>1</v>
      </c>
      <c r="H128" s="176">
        <v>50000000</v>
      </c>
      <c r="I128" s="176">
        <f t="shared" si="158"/>
        <v>50000000</v>
      </c>
      <c r="J128" s="205">
        <v>44460</v>
      </c>
      <c r="K128" s="205">
        <v>48112</v>
      </c>
      <c r="L128" s="155">
        <v>36</v>
      </c>
      <c r="M128" s="195">
        <v>9.1</v>
      </c>
      <c r="N128" s="176">
        <f t="shared" si="159"/>
        <v>455000</v>
      </c>
      <c r="O128" s="176"/>
      <c r="P128" s="176"/>
      <c r="Q128" s="176">
        <f t="shared" si="160"/>
        <v>455000</v>
      </c>
      <c r="R128" s="81">
        <f t="shared" si="154"/>
        <v>45500</v>
      </c>
      <c r="S128" s="190">
        <f t="shared" si="161"/>
        <v>409500</v>
      </c>
      <c r="T128" s="191">
        <v>455000</v>
      </c>
      <c r="U128" s="188">
        <f t="shared" si="162"/>
        <v>0</v>
      </c>
      <c r="V128" s="187"/>
      <c r="W128"/>
    </row>
    <row r="129" spans="1:25" s="158" customFormat="1" ht="15" x14ac:dyDescent="0.25">
      <c r="A129" s="154"/>
      <c r="B129" s="155"/>
      <c r="C129" s="155"/>
      <c r="D129" s="156"/>
      <c r="E129" s="154">
        <v>1</v>
      </c>
      <c r="F129" s="155" t="s">
        <v>224</v>
      </c>
      <c r="G129" s="175">
        <v>1</v>
      </c>
      <c r="H129" s="176">
        <v>334000000</v>
      </c>
      <c r="I129" s="176">
        <f t="shared" si="158"/>
        <v>334000000</v>
      </c>
      <c r="J129" s="205">
        <v>44453</v>
      </c>
      <c r="K129" s="205">
        <v>44453</v>
      </c>
      <c r="L129" s="155">
        <v>180</v>
      </c>
      <c r="M129" s="195">
        <v>35.409999999999997</v>
      </c>
      <c r="N129" s="176">
        <f t="shared" si="159"/>
        <v>11826939.999999998</v>
      </c>
      <c r="O129" s="176"/>
      <c r="P129" s="176"/>
      <c r="Q129" s="176">
        <f t="shared" si="160"/>
        <v>11826939.999999998</v>
      </c>
      <c r="R129" s="81">
        <f t="shared" si="154"/>
        <v>1182693.9999999998</v>
      </c>
      <c r="S129" s="190">
        <f t="shared" si="161"/>
        <v>10644245.999999998</v>
      </c>
      <c r="T129" s="191">
        <v>11826939.999999998</v>
      </c>
      <c r="U129" s="188">
        <f t="shared" si="162"/>
        <v>0</v>
      </c>
      <c r="V129" s="187"/>
      <c r="W129"/>
    </row>
    <row r="130" spans="1:25" s="158" customFormat="1" ht="15" x14ac:dyDescent="0.25">
      <c r="A130" s="154"/>
      <c r="B130" s="155"/>
      <c r="C130" s="155"/>
      <c r="D130" s="156"/>
      <c r="E130" s="154">
        <v>1</v>
      </c>
      <c r="F130" s="155" t="s">
        <v>225</v>
      </c>
      <c r="G130" s="175">
        <v>1</v>
      </c>
      <c r="H130" s="176">
        <v>230000000</v>
      </c>
      <c r="I130" s="176">
        <f t="shared" si="158"/>
        <v>230000000</v>
      </c>
      <c r="J130" s="205">
        <v>44436</v>
      </c>
      <c r="K130" s="205">
        <v>44436</v>
      </c>
      <c r="L130" s="155">
        <v>84</v>
      </c>
      <c r="M130" s="195">
        <v>25.48</v>
      </c>
      <c r="N130" s="176">
        <f t="shared" si="159"/>
        <v>5860400</v>
      </c>
      <c r="O130" s="176"/>
      <c r="P130" s="176"/>
      <c r="Q130" s="176">
        <f t="shared" si="160"/>
        <v>5860400</v>
      </c>
      <c r="R130" s="81">
        <f t="shared" si="154"/>
        <v>586040</v>
      </c>
      <c r="S130" s="190">
        <f t="shared" si="161"/>
        <v>5274360</v>
      </c>
      <c r="T130" s="191">
        <v>5860400</v>
      </c>
      <c r="U130" s="188">
        <f t="shared" si="162"/>
        <v>0</v>
      </c>
      <c r="V130" s="187"/>
      <c r="W130"/>
    </row>
    <row r="131" spans="1:25" s="158" customFormat="1" ht="15" x14ac:dyDescent="0.25">
      <c r="A131" s="198"/>
      <c r="B131" s="199"/>
      <c r="C131" s="199"/>
      <c r="D131" s="199"/>
      <c r="E131" s="201">
        <f t="shared" ref="E131" si="163">SUM(E122:E130)</f>
        <v>9</v>
      </c>
      <c r="F131" s="201">
        <f t="shared" ref="F131" si="164">SUM(F122:F130)</f>
        <v>0</v>
      </c>
      <c r="G131" s="201"/>
      <c r="H131" s="201">
        <f t="shared" ref="H131:P131" si="165">SUM(H122:H130)</f>
        <v>1831343000</v>
      </c>
      <c r="I131" s="201">
        <f t="shared" si="165"/>
        <v>1831343000</v>
      </c>
      <c r="J131" s="201"/>
      <c r="K131" s="201"/>
      <c r="L131" s="201"/>
      <c r="M131" s="201"/>
      <c r="N131" s="201">
        <f t="shared" si="165"/>
        <v>54431284.5</v>
      </c>
      <c r="O131" s="201">
        <f t="shared" si="165"/>
        <v>0</v>
      </c>
      <c r="P131" s="201">
        <f t="shared" si="165"/>
        <v>0</v>
      </c>
      <c r="Q131" s="201">
        <f t="shared" ref="Q131:V131" si="166">SUM(Q122:Q130)</f>
        <v>54431284.5</v>
      </c>
      <c r="R131" s="201">
        <f t="shared" si="166"/>
        <v>5443128.4500000002</v>
      </c>
      <c r="S131" s="201">
        <f t="shared" si="166"/>
        <v>48988156.049999997</v>
      </c>
      <c r="T131" s="201">
        <f t="shared" si="166"/>
        <v>54431285</v>
      </c>
      <c r="U131" s="201">
        <f t="shared" si="166"/>
        <v>0.5</v>
      </c>
      <c r="V131" s="201">
        <f t="shared" si="166"/>
        <v>0</v>
      </c>
      <c r="W131"/>
      <c r="X131" s="157"/>
    </row>
    <row r="132" spans="1:25" s="158" customFormat="1" ht="15" customHeight="1" x14ac:dyDescent="0.25">
      <c r="A132" s="154">
        <v>24</v>
      </c>
      <c r="B132" s="155" t="s">
        <v>51</v>
      </c>
      <c r="C132" s="155" t="s">
        <v>226</v>
      </c>
      <c r="D132" s="156">
        <v>44469</v>
      </c>
      <c r="E132" s="154">
        <v>1</v>
      </c>
      <c r="F132" s="155" t="s">
        <v>227</v>
      </c>
      <c r="G132" s="175">
        <v>1</v>
      </c>
      <c r="H132" s="176">
        <v>300000000</v>
      </c>
      <c r="I132" s="176">
        <f t="shared" ref="I132:I133" si="167">H132*G132</f>
        <v>300000000</v>
      </c>
      <c r="J132" s="205">
        <v>44442</v>
      </c>
      <c r="K132" s="205">
        <v>48094</v>
      </c>
      <c r="L132" s="155">
        <v>120</v>
      </c>
      <c r="M132" s="195">
        <v>25.48</v>
      </c>
      <c r="N132" s="176">
        <f t="shared" ref="N132:N133" si="168">M132*H132/1000</f>
        <v>7644000</v>
      </c>
      <c r="O132" s="176"/>
      <c r="P132" s="176"/>
      <c r="Q132" s="176">
        <f t="shared" ref="Q132:Q133" si="169">N132+O132+P132</f>
        <v>7644000</v>
      </c>
      <c r="R132" s="81">
        <f t="shared" si="154"/>
        <v>764400</v>
      </c>
      <c r="S132" s="190">
        <f t="shared" ref="S132:S133" si="170">Q132-R132</f>
        <v>6879600</v>
      </c>
      <c r="T132" s="191">
        <v>7644000</v>
      </c>
      <c r="U132" s="188">
        <f t="shared" ref="U132:U133" si="171">T132-Q132</f>
        <v>0</v>
      </c>
      <c r="V132" s="187"/>
      <c r="W132"/>
    </row>
    <row r="133" spans="1:25" s="158" customFormat="1" ht="15" customHeight="1" x14ac:dyDescent="0.25">
      <c r="A133" s="154"/>
      <c r="B133" s="155"/>
      <c r="C133" s="155"/>
      <c r="D133" s="156"/>
      <c r="E133" s="154">
        <v>1</v>
      </c>
      <c r="F133" s="155" t="s">
        <v>228</v>
      </c>
      <c r="G133" s="175">
        <v>1</v>
      </c>
      <c r="H133" s="176">
        <v>260000000</v>
      </c>
      <c r="I133" s="176">
        <f t="shared" si="167"/>
        <v>260000000</v>
      </c>
      <c r="J133" s="205">
        <v>44466</v>
      </c>
      <c r="K133" s="205">
        <v>48118</v>
      </c>
      <c r="L133" s="155">
        <v>120</v>
      </c>
      <c r="M133" s="195">
        <v>36.4</v>
      </c>
      <c r="N133" s="176">
        <f t="shared" si="168"/>
        <v>9464000</v>
      </c>
      <c r="O133" s="176"/>
      <c r="P133" s="176"/>
      <c r="Q133" s="176">
        <f t="shared" si="169"/>
        <v>9464000</v>
      </c>
      <c r="R133" s="81">
        <f t="shared" si="154"/>
        <v>946400</v>
      </c>
      <c r="S133" s="190">
        <f t="shared" si="170"/>
        <v>8517600</v>
      </c>
      <c r="T133" s="191">
        <v>9464000</v>
      </c>
      <c r="U133" s="188">
        <f t="shared" si="171"/>
        <v>0</v>
      </c>
      <c r="V133" s="187"/>
      <c r="W133"/>
    </row>
    <row r="134" spans="1:25" s="158" customFormat="1" ht="15" customHeight="1" x14ac:dyDescent="0.25">
      <c r="A134" s="198"/>
      <c r="B134" s="199"/>
      <c r="C134" s="199"/>
      <c r="D134" s="199"/>
      <c r="E134" s="200">
        <f>SUM(E132:E133)</f>
        <v>2</v>
      </c>
      <c r="F134" s="201"/>
      <c r="G134" s="201"/>
      <c r="H134" s="201">
        <f>SUM(H132:H133)</f>
        <v>560000000</v>
      </c>
      <c r="I134" s="201">
        <f>SUM(I132:I133)</f>
        <v>560000000</v>
      </c>
      <c r="J134" s="201"/>
      <c r="K134" s="201"/>
      <c r="L134" s="201"/>
      <c r="M134" s="201"/>
      <c r="N134" s="201">
        <f t="shared" ref="N134:V134" si="172">SUM(N132:N133)</f>
        <v>17108000</v>
      </c>
      <c r="O134" s="201">
        <f t="shared" si="172"/>
        <v>0</v>
      </c>
      <c r="P134" s="201">
        <f t="shared" si="172"/>
        <v>0</v>
      </c>
      <c r="Q134" s="201">
        <f t="shared" si="172"/>
        <v>17108000</v>
      </c>
      <c r="R134" s="201">
        <f t="shared" si="172"/>
        <v>1710800</v>
      </c>
      <c r="S134" s="201">
        <f t="shared" si="172"/>
        <v>15397200</v>
      </c>
      <c r="T134" s="201">
        <f t="shared" si="172"/>
        <v>17108000</v>
      </c>
      <c r="U134" s="201">
        <f t="shared" si="172"/>
        <v>0</v>
      </c>
      <c r="V134" s="201">
        <f t="shared" si="172"/>
        <v>0</v>
      </c>
      <c r="W134"/>
      <c r="X134" s="157" t="s">
        <v>165</v>
      </c>
      <c r="Y134" s="158" t="s">
        <v>245</v>
      </c>
    </row>
    <row r="135" spans="1:25" x14ac:dyDescent="0.2">
      <c r="A135" s="83"/>
      <c r="B135" s="83"/>
      <c r="C135" s="83" t="s">
        <v>52</v>
      </c>
      <c r="D135" s="84"/>
      <c r="E135" s="85">
        <f>E134+E131+E121+E119</f>
        <v>12</v>
      </c>
      <c r="F135" s="87"/>
      <c r="G135" s="87"/>
      <c r="H135" s="87">
        <f t="shared" ref="H135:V135" si="173">H134+H131+H121+H119</f>
        <v>2405253250</v>
      </c>
      <c r="I135" s="87">
        <f t="shared" si="173"/>
        <v>2405253250</v>
      </c>
      <c r="J135" s="87"/>
      <c r="K135" s="87"/>
      <c r="L135" s="87"/>
      <c r="M135" s="87"/>
      <c r="N135" s="87">
        <f t="shared" si="173"/>
        <v>72524216.23393999</v>
      </c>
      <c r="O135" s="87">
        <f t="shared" si="173"/>
        <v>100000</v>
      </c>
      <c r="P135" s="87">
        <f t="shared" si="173"/>
        <v>0</v>
      </c>
      <c r="Q135" s="87">
        <f t="shared" si="173"/>
        <v>72624216.23393999</v>
      </c>
      <c r="R135" s="87">
        <f t="shared" si="173"/>
        <v>7238641.8725000005</v>
      </c>
      <c r="S135" s="87">
        <f t="shared" si="173"/>
        <v>65385574.361439995</v>
      </c>
      <c r="T135" s="87">
        <f t="shared" si="173"/>
        <v>72624233.508939996</v>
      </c>
      <c r="U135" s="87">
        <f t="shared" si="173"/>
        <v>17.275000000023283</v>
      </c>
      <c r="V135" s="87">
        <f t="shared" si="173"/>
        <v>0</v>
      </c>
    </row>
    <row r="136" spans="1:25" s="94" customFormat="1" x14ac:dyDescent="0.2">
      <c r="A136" s="83"/>
      <c r="B136" s="83"/>
      <c r="C136" s="83" t="s">
        <v>229</v>
      </c>
      <c r="D136" s="84"/>
      <c r="E136" s="93">
        <f>E135+E113</f>
        <v>59</v>
      </c>
      <c r="F136" s="95"/>
      <c r="G136" s="95"/>
      <c r="H136" s="95">
        <f t="shared" ref="H136:V136" si="174">H135+H113</f>
        <v>13692837422</v>
      </c>
      <c r="I136" s="95">
        <f t="shared" si="174"/>
        <v>13692837422</v>
      </c>
      <c r="J136" s="95"/>
      <c r="K136" s="95"/>
      <c r="L136" s="95"/>
      <c r="M136" s="95"/>
      <c r="N136" s="95">
        <f t="shared" si="174"/>
        <v>428983335.37926</v>
      </c>
      <c r="O136" s="95">
        <f t="shared" si="174"/>
        <v>500000</v>
      </c>
      <c r="P136" s="95">
        <f t="shared" si="174"/>
        <v>0</v>
      </c>
      <c r="Q136" s="95">
        <f t="shared" si="174"/>
        <v>429969455.36987996</v>
      </c>
      <c r="R136" s="95">
        <f t="shared" si="174"/>
        <v>42749265.881006002</v>
      </c>
      <c r="S136" s="95">
        <f t="shared" si="174"/>
        <v>387220189.48887402</v>
      </c>
      <c r="T136" s="95">
        <f t="shared" si="174"/>
        <v>440369472.64487994</v>
      </c>
      <c r="U136" s="95">
        <f t="shared" si="174"/>
        <v>17.275000000023283</v>
      </c>
      <c r="V136" s="95">
        <f t="shared" si="174"/>
        <v>0</v>
      </c>
    </row>
  </sheetData>
  <mergeCells count="152">
    <mergeCell ref="V89:V90"/>
    <mergeCell ref="J89:K90"/>
    <mergeCell ref="L89:L90"/>
    <mergeCell ref="M89:M90"/>
    <mergeCell ref="N89:P89"/>
    <mergeCell ref="Q89:Q90"/>
    <mergeCell ref="R89:R90"/>
    <mergeCell ref="S89:S90"/>
    <mergeCell ref="T89:T90"/>
    <mergeCell ref="U89:U90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S79:S80"/>
    <mergeCell ref="T79:T80"/>
    <mergeCell ref="U79:U80"/>
    <mergeCell ref="V79:V80"/>
    <mergeCell ref="L79:L80"/>
    <mergeCell ref="M79:M80"/>
    <mergeCell ref="N79:P79"/>
    <mergeCell ref="Q79:Q80"/>
    <mergeCell ref="R79:R80"/>
    <mergeCell ref="F79:F80"/>
    <mergeCell ref="G79:G80"/>
    <mergeCell ref="H79:H80"/>
    <mergeCell ref="I79:I80"/>
    <mergeCell ref="J79:K80"/>
    <mergeCell ref="A79:A80"/>
    <mergeCell ref="B79:B80"/>
    <mergeCell ref="C79:C80"/>
    <mergeCell ref="D79:D80"/>
    <mergeCell ref="E79:E80"/>
    <mergeCell ref="S47:S48"/>
    <mergeCell ref="T47:T48"/>
    <mergeCell ref="U47:U48"/>
    <mergeCell ref="V47:V48"/>
    <mergeCell ref="L47:L48"/>
    <mergeCell ref="M47:M48"/>
    <mergeCell ref="N47:P47"/>
    <mergeCell ref="Q47:Q48"/>
    <mergeCell ref="R47:R48"/>
    <mergeCell ref="A3:A4"/>
    <mergeCell ref="B3:B4"/>
    <mergeCell ref="C3:C4"/>
    <mergeCell ref="D3:D4"/>
    <mergeCell ref="E3:E4"/>
    <mergeCell ref="N3:P3"/>
    <mergeCell ref="Q3:Q4"/>
    <mergeCell ref="R3:R4"/>
    <mergeCell ref="F47:F48"/>
    <mergeCell ref="G47:G48"/>
    <mergeCell ref="H47:H48"/>
    <mergeCell ref="I47:I48"/>
    <mergeCell ref="J47:K48"/>
    <mergeCell ref="A47:A48"/>
    <mergeCell ref="B47:B48"/>
    <mergeCell ref="C47:C48"/>
    <mergeCell ref="D47:D48"/>
    <mergeCell ref="E47:E48"/>
    <mergeCell ref="R16:R17"/>
    <mergeCell ref="A26:A27"/>
    <mergeCell ref="B26:B27"/>
    <mergeCell ref="C26:C27"/>
    <mergeCell ref="D26:D27"/>
    <mergeCell ref="E26:E27"/>
    <mergeCell ref="S3:S4"/>
    <mergeCell ref="G3:G4"/>
    <mergeCell ref="H3:H4"/>
    <mergeCell ref="I3:I4"/>
    <mergeCell ref="J3:K4"/>
    <mergeCell ref="L3:L4"/>
    <mergeCell ref="M3:M4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K10"/>
    <mergeCell ref="L9:L10"/>
    <mergeCell ref="M9:M10"/>
    <mergeCell ref="N9:P9"/>
    <mergeCell ref="Q9:Q10"/>
    <mergeCell ref="R9:R10"/>
    <mergeCell ref="S9:S10"/>
    <mergeCell ref="F3:F4"/>
    <mergeCell ref="T3:T4"/>
    <mergeCell ref="U3:U4"/>
    <mergeCell ref="V3:V4"/>
    <mergeCell ref="T9:T10"/>
    <mergeCell ref="U9:U10"/>
    <mergeCell ref="V9:V10"/>
    <mergeCell ref="A16:A17"/>
    <mergeCell ref="B16:B17"/>
    <mergeCell ref="C16:C17"/>
    <mergeCell ref="D16:D17"/>
    <mergeCell ref="E16:E17"/>
    <mergeCell ref="F16:F17"/>
    <mergeCell ref="G16:G17"/>
    <mergeCell ref="H16:H17"/>
    <mergeCell ref="I16:I17"/>
    <mergeCell ref="J16:K17"/>
    <mergeCell ref="S16:S17"/>
    <mergeCell ref="T16:T17"/>
    <mergeCell ref="U16:U17"/>
    <mergeCell ref="V16:V17"/>
    <mergeCell ref="L16:L17"/>
    <mergeCell ref="M16:M17"/>
    <mergeCell ref="N16:P16"/>
    <mergeCell ref="Q16:Q17"/>
    <mergeCell ref="F26:F27"/>
    <mergeCell ref="G26:G27"/>
    <mergeCell ref="H26:H27"/>
    <mergeCell ref="I26:I27"/>
    <mergeCell ref="J26:K27"/>
    <mergeCell ref="S26:S27"/>
    <mergeCell ref="T26:T27"/>
    <mergeCell ref="U26:U27"/>
    <mergeCell ref="V26:V27"/>
    <mergeCell ref="L26:L27"/>
    <mergeCell ref="M26:M27"/>
    <mergeCell ref="N26:P26"/>
    <mergeCell ref="Q26:Q27"/>
    <mergeCell ref="R26:R27"/>
    <mergeCell ref="A116:A117"/>
    <mergeCell ref="B116:B117"/>
    <mergeCell ref="C116:C117"/>
    <mergeCell ref="D116:D117"/>
    <mergeCell ref="E116:E117"/>
    <mergeCell ref="F116:F117"/>
    <mergeCell ref="G116:G117"/>
    <mergeCell ref="H116:H117"/>
    <mergeCell ref="I116:I117"/>
    <mergeCell ref="V116:V117"/>
    <mergeCell ref="J116:K117"/>
    <mergeCell ref="L116:L117"/>
    <mergeCell ref="M116:M117"/>
    <mergeCell ref="N116:P116"/>
    <mergeCell ref="Q116:Q117"/>
    <mergeCell ref="R116:R117"/>
    <mergeCell ref="S116:S117"/>
    <mergeCell ref="T116:T117"/>
    <mergeCell ref="U116:U117"/>
  </mergeCells>
  <pageMargins left="0.27559055118110237" right="0.39370078740157483" top="0.51181102362204722" bottom="0.43307086614173229" header="0.27559055118110237" footer="0.31496062992125984"/>
  <pageSetup paperSize="5" scale="6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2"/>
  <sheetViews>
    <sheetView topLeftCell="A13" workbookViewId="0">
      <selection activeCell="A13" sqref="A1:XFD1048576"/>
    </sheetView>
  </sheetViews>
  <sheetFormatPr defaultRowHeight="12" x14ac:dyDescent="0.2"/>
  <cols>
    <col min="1" max="1" width="4.140625" style="3" customWidth="1"/>
    <col min="2" max="2" width="14.7109375" style="3" customWidth="1"/>
    <col min="3" max="3" width="17.28515625" style="3" customWidth="1"/>
    <col min="4" max="4" width="10.85546875" style="82" customWidth="1"/>
    <col min="5" max="5" width="7.85546875" style="97" customWidth="1"/>
    <col min="6" max="6" width="24.140625" style="3" customWidth="1"/>
    <col min="7" max="7" width="8.85546875" style="3" hidden="1" customWidth="1"/>
    <col min="8" max="8" width="14" style="3" customWidth="1"/>
    <col min="9" max="9" width="13.7109375" style="3" customWidth="1"/>
    <col min="10" max="10" width="0.28515625" style="3" hidden="1" customWidth="1"/>
    <col min="11" max="11" width="9.5703125" style="3" hidden="1" customWidth="1"/>
    <col min="12" max="12" width="4.28515625" style="3" bestFit="1" customWidth="1"/>
    <col min="13" max="13" width="8.5703125" style="3" customWidth="1"/>
    <col min="14" max="14" width="12.5703125" style="3" hidden="1" customWidth="1"/>
    <col min="15" max="16" width="9.140625" style="3" hidden="1" customWidth="1"/>
    <col min="17" max="17" width="9" style="3" hidden="1" customWidth="1"/>
    <col min="18" max="18" width="10.7109375" style="3" customWidth="1"/>
    <col min="19" max="19" width="17.28515625" style="3" hidden="1" customWidth="1"/>
    <col min="20" max="20" width="14.7109375" style="3" customWidth="1"/>
    <col min="21" max="21" width="16.5703125" style="3" customWidth="1"/>
    <col min="22" max="22" width="13" style="3" customWidth="1"/>
    <col min="23" max="23" width="10.85546875" style="3" customWidth="1"/>
    <col min="24" max="16384" width="9.140625" style="3"/>
  </cols>
  <sheetData>
    <row r="2" spans="1:26" ht="14.25" customHeight="1" x14ac:dyDescent="0.2">
      <c r="A2" s="86" t="s">
        <v>76</v>
      </c>
      <c r="B2" s="62"/>
      <c r="C2" s="62"/>
      <c r="D2" s="57"/>
      <c r="E2" s="63"/>
      <c r="F2" s="64"/>
      <c r="G2" s="65"/>
      <c r="H2" s="66"/>
      <c r="I2" s="66"/>
      <c r="J2" s="67"/>
      <c r="K2" s="67"/>
      <c r="L2" s="68"/>
      <c r="M2" s="68"/>
      <c r="N2" s="69"/>
      <c r="O2" s="69"/>
      <c r="P2" s="69"/>
      <c r="Q2" s="69"/>
      <c r="R2" s="69"/>
      <c r="S2" s="69"/>
      <c r="T2" s="70"/>
      <c r="U2" s="71"/>
      <c r="V2" s="71"/>
    </row>
    <row r="3" spans="1:26" ht="14.25" customHeight="1" x14ac:dyDescent="0.2">
      <c r="A3" s="231" t="s">
        <v>0</v>
      </c>
      <c r="B3" s="232" t="s">
        <v>1</v>
      </c>
      <c r="C3" s="229" t="s">
        <v>2</v>
      </c>
      <c r="D3" s="233" t="s">
        <v>3</v>
      </c>
      <c r="E3" s="234" t="s">
        <v>4</v>
      </c>
      <c r="F3" s="232" t="s">
        <v>5</v>
      </c>
      <c r="G3" s="235" t="s">
        <v>6</v>
      </c>
      <c r="H3" s="236" t="s">
        <v>7</v>
      </c>
      <c r="I3" s="236" t="s">
        <v>8</v>
      </c>
      <c r="J3" s="227" t="s">
        <v>9</v>
      </c>
      <c r="K3" s="227"/>
      <c r="L3" s="228" t="s">
        <v>10</v>
      </c>
      <c r="M3" s="229" t="s">
        <v>11</v>
      </c>
      <c r="N3" s="230" t="s">
        <v>12</v>
      </c>
      <c r="O3" s="230"/>
      <c r="P3" s="230"/>
      <c r="Q3" s="229" t="s">
        <v>13</v>
      </c>
      <c r="R3" s="229" t="s">
        <v>14</v>
      </c>
      <c r="S3" s="229" t="s">
        <v>15</v>
      </c>
      <c r="T3" s="36">
        <v>2021</v>
      </c>
      <c r="U3" s="37"/>
      <c r="V3" s="38" t="s">
        <v>44</v>
      </c>
    </row>
    <row r="4" spans="1:26" ht="14.25" customHeight="1" x14ac:dyDescent="0.2">
      <c r="A4" s="231"/>
      <c r="B4" s="232"/>
      <c r="C4" s="229"/>
      <c r="D4" s="233"/>
      <c r="E4" s="234"/>
      <c r="F4" s="232"/>
      <c r="G4" s="235"/>
      <c r="H4" s="236"/>
      <c r="I4" s="236"/>
      <c r="J4" s="227"/>
      <c r="K4" s="227"/>
      <c r="L4" s="228"/>
      <c r="M4" s="229"/>
      <c r="N4" s="186" t="s">
        <v>16</v>
      </c>
      <c r="O4" s="186" t="s">
        <v>17</v>
      </c>
      <c r="P4" s="186" t="s">
        <v>18</v>
      </c>
      <c r="Q4" s="229"/>
      <c r="R4" s="229"/>
      <c r="S4" s="229"/>
      <c r="T4" s="96" t="s">
        <v>195</v>
      </c>
      <c r="U4" s="39" t="s">
        <v>204</v>
      </c>
      <c r="V4" s="40"/>
    </row>
    <row r="5" spans="1:26" x14ac:dyDescent="0.2">
      <c r="A5" s="72">
        <v>1</v>
      </c>
      <c r="B5" s="73" t="s">
        <v>49</v>
      </c>
      <c r="C5" s="73" t="s">
        <v>55</v>
      </c>
      <c r="D5" s="58">
        <v>44225</v>
      </c>
      <c r="E5" s="74">
        <v>1</v>
      </c>
      <c r="F5" s="73" t="s">
        <v>56</v>
      </c>
      <c r="G5" s="75">
        <v>1</v>
      </c>
      <c r="H5" s="42">
        <v>200000000</v>
      </c>
      <c r="I5" s="42">
        <f>H5*G5</f>
        <v>200000000</v>
      </c>
      <c r="J5" s="76">
        <v>44207</v>
      </c>
      <c r="K5" s="77">
        <f>IFERROR(VALUE(DAY(J5)&amp;" "&amp;TEXT(EOMONTH(J5,L5)-29,"mmm")&amp;" "&amp;YEAR(EOMONTH(J5,L5)-29)),"-")</f>
        <v>47494</v>
      </c>
      <c r="L5" s="78">
        <v>108</v>
      </c>
      <c r="M5" s="99">
        <v>23.21</v>
      </c>
      <c r="N5" s="81">
        <f t="shared" ref="N5" si="0">M5*H5/1000</f>
        <v>4642000</v>
      </c>
      <c r="O5" s="81"/>
      <c r="P5" s="81"/>
      <c r="Q5" s="81">
        <f t="shared" ref="Q5" si="1">N5+O5+P5</f>
        <v>4642000</v>
      </c>
      <c r="R5" s="81">
        <f t="shared" ref="R5" si="2">10%*N5</f>
        <v>464200</v>
      </c>
      <c r="S5" s="81">
        <f t="shared" ref="S5" si="3">Q5-R5</f>
        <v>4177800</v>
      </c>
      <c r="T5" s="42">
        <f>R5*10%+(Y5*6)</f>
        <v>69846.915887850468</v>
      </c>
      <c r="U5" s="1">
        <f t="shared" ref="U5" si="4">Y5*12</f>
        <v>46853.831775700935</v>
      </c>
      <c r="V5" s="34">
        <f t="shared" ref="V5" si="5">R5-T5-U5</f>
        <v>347499.25233644864</v>
      </c>
      <c r="W5" s="35">
        <f t="shared" ref="W5" si="6">T5+U5+V5</f>
        <v>464200.00000000006</v>
      </c>
      <c r="X5" s="35">
        <f t="shared" ref="X5" si="7">R5-W5</f>
        <v>0</v>
      </c>
      <c r="Y5" s="35">
        <v>3904.4859813084113</v>
      </c>
      <c r="Z5" s="41">
        <f t="shared" ref="Z5" si="8">(R5-T5)/(L5-1)</f>
        <v>3685.542842169622</v>
      </c>
    </row>
    <row r="6" spans="1:26" x14ac:dyDescent="0.2">
      <c r="A6" s="79"/>
      <c r="B6" s="59"/>
      <c r="C6" s="59"/>
      <c r="D6" s="59"/>
      <c r="E6" s="80">
        <f>SUM(E5:E5)</f>
        <v>1</v>
      </c>
      <c r="F6" s="80"/>
      <c r="G6" s="80"/>
      <c r="H6" s="79">
        <f>SUM(H5:H5)</f>
        <v>200000000</v>
      </c>
      <c r="I6" s="79">
        <f>SUM(I5:I5)</f>
        <v>200000000</v>
      </c>
      <c r="J6" s="79"/>
      <c r="K6" s="79"/>
      <c r="L6" s="79"/>
      <c r="M6" s="79"/>
      <c r="N6" s="79">
        <f t="shared" ref="N6:Z6" si="9">SUM(N5:N5)</f>
        <v>4642000</v>
      </c>
      <c r="O6" s="79">
        <f t="shared" si="9"/>
        <v>0</v>
      </c>
      <c r="P6" s="79">
        <f t="shared" si="9"/>
        <v>0</v>
      </c>
      <c r="Q6" s="79">
        <f t="shared" si="9"/>
        <v>4642000</v>
      </c>
      <c r="R6" s="79">
        <f t="shared" si="9"/>
        <v>464200</v>
      </c>
      <c r="S6" s="79">
        <f t="shared" si="9"/>
        <v>4177800</v>
      </c>
      <c r="T6" s="79">
        <f t="shared" si="9"/>
        <v>69846.915887850468</v>
      </c>
      <c r="U6" s="79">
        <f t="shared" si="9"/>
        <v>46853.831775700935</v>
      </c>
      <c r="V6" s="79">
        <f t="shared" si="9"/>
        <v>347499.25233644864</v>
      </c>
      <c r="W6" s="79">
        <f t="shared" si="9"/>
        <v>464200.00000000006</v>
      </c>
      <c r="X6" s="79">
        <f t="shared" si="9"/>
        <v>0</v>
      </c>
      <c r="Y6" s="79">
        <f t="shared" si="9"/>
        <v>3904.4859813084113</v>
      </c>
      <c r="Z6" s="79">
        <f t="shared" si="9"/>
        <v>3685.542842169622</v>
      </c>
    </row>
    <row r="8" spans="1:26" ht="14.25" customHeight="1" x14ac:dyDescent="0.2">
      <c r="A8" s="86" t="s">
        <v>74</v>
      </c>
      <c r="B8" s="62"/>
      <c r="C8" s="62"/>
      <c r="D8" s="57"/>
      <c r="E8" s="63"/>
      <c r="F8" s="64"/>
      <c r="G8" s="65"/>
      <c r="H8" s="66"/>
      <c r="I8" s="66"/>
      <c r="J8" s="67"/>
      <c r="K8" s="67"/>
      <c r="L8" s="68"/>
      <c r="M8" s="68"/>
      <c r="N8" s="69"/>
      <c r="O8" s="69"/>
      <c r="P8" s="69"/>
      <c r="Q8" s="69"/>
      <c r="R8" s="69"/>
      <c r="S8" s="69"/>
      <c r="T8" s="70"/>
      <c r="U8" s="71"/>
      <c r="V8" s="71"/>
    </row>
    <row r="9" spans="1:26" ht="14.25" customHeight="1" x14ac:dyDescent="0.2">
      <c r="A9" s="231" t="s">
        <v>0</v>
      </c>
      <c r="B9" s="232" t="s">
        <v>1</v>
      </c>
      <c r="C9" s="229" t="s">
        <v>2</v>
      </c>
      <c r="D9" s="233" t="s">
        <v>3</v>
      </c>
      <c r="E9" s="234" t="s">
        <v>4</v>
      </c>
      <c r="F9" s="232" t="s">
        <v>5</v>
      </c>
      <c r="G9" s="235" t="s">
        <v>6</v>
      </c>
      <c r="H9" s="236" t="s">
        <v>7</v>
      </c>
      <c r="I9" s="236" t="s">
        <v>8</v>
      </c>
      <c r="J9" s="227" t="s">
        <v>9</v>
      </c>
      <c r="K9" s="227"/>
      <c r="L9" s="228" t="s">
        <v>10</v>
      </c>
      <c r="M9" s="229" t="s">
        <v>11</v>
      </c>
      <c r="N9" s="230" t="s">
        <v>12</v>
      </c>
      <c r="O9" s="230"/>
      <c r="P9" s="230"/>
      <c r="Q9" s="229" t="s">
        <v>13</v>
      </c>
      <c r="R9" s="229" t="s">
        <v>14</v>
      </c>
      <c r="S9" s="229" t="s">
        <v>15</v>
      </c>
      <c r="T9" s="36">
        <v>2021</v>
      </c>
      <c r="U9" s="37"/>
      <c r="V9" s="38" t="s">
        <v>44</v>
      </c>
    </row>
    <row r="10" spans="1:26" ht="14.25" customHeight="1" x14ac:dyDescent="0.2">
      <c r="A10" s="231"/>
      <c r="B10" s="232"/>
      <c r="C10" s="229"/>
      <c r="D10" s="233"/>
      <c r="E10" s="234"/>
      <c r="F10" s="232"/>
      <c r="G10" s="235"/>
      <c r="H10" s="236"/>
      <c r="I10" s="236"/>
      <c r="J10" s="227"/>
      <c r="K10" s="227"/>
      <c r="L10" s="228"/>
      <c r="M10" s="229"/>
      <c r="N10" s="186" t="s">
        <v>16</v>
      </c>
      <c r="O10" s="186" t="s">
        <v>17</v>
      </c>
      <c r="P10" s="186" t="s">
        <v>18</v>
      </c>
      <c r="Q10" s="229"/>
      <c r="R10" s="229"/>
      <c r="S10" s="229"/>
      <c r="T10" s="96" t="s">
        <v>198</v>
      </c>
      <c r="U10" s="39" t="s">
        <v>204</v>
      </c>
      <c r="V10" s="40"/>
    </row>
    <row r="11" spans="1:26" x14ac:dyDescent="0.2">
      <c r="A11" s="74">
        <v>2</v>
      </c>
      <c r="B11" s="107" t="s">
        <v>59</v>
      </c>
      <c r="C11" s="107" t="s">
        <v>60</v>
      </c>
      <c r="D11" s="110">
        <v>44237</v>
      </c>
      <c r="E11" s="74">
        <v>1</v>
      </c>
      <c r="F11" s="107" t="s">
        <v>61</v>
      </c>
      <c r="G11" s="111">
        <v>1</v>
      </c>
      <c r="H11" s="112">
        <v>300000000</v>
      </c>
      <c r="I11" s="112">
        <f>H11*G11</f>
        <v>300000000</v>
      </c>
      <c r="J11" s="110">
        <v>44222</v>
      </c>
      <c r="K11" s="77">
        <f>IFERROR(VALUE(DAY(J11)&amp;" "&amp;TEXT(EOMONTH(J11,L11)-29,"mmm")&amp;" "&amp;YEAR(EOMONTH(J11,L11)-29)),"-")</f>
        <v>49700</v>
      </c>
      <c r="L11" s="107">
        <v>180</v>
      </c>
      <c r="M11" s="99">
        <v>37.520000000000003</v>
      </c>
      <c r="N11" s="81">
        <f t="shared" ref="N11" si="10">M11*H11/1000</f>
        <v>11256000</v>
      </c>
      <c r="O11" s="81"/>
      <c r="P11" s="81"/>
      <c r="Q11" s="81">
        <f t="shared" ref="Q11" si="11">N11+O11+P11</f>
        <v>11256000</v>
      </c>
      <c r="R11" s="81">
        <f t="shared" ref="R11" si="12">10%*N11</f>
        <v>1125600</v>
      </c>
      <c r="S11" s="81">
        <f t="shared" ref="S11" si="13">Q11-R11</f>
        <v>10130400</v>
      </c>
      <c r="T11" s="42">
        <f>(R11*10%)+(Y11*5)</f>
        <v>140857.2067039106</v>
      </c>
      <c r="U11" s="1">
        <f t="shared" ref="U11" si="14">Y11*12</f>
        <v>67913.296089385476</v>
      </c>
      <c r="V11" s="34">
        <f t="shared" ref="V11" si="15">R11-T11-U11</f>
        <v>916829.49720670388</v>
      </c>
      <c r="W11" s="35">
        <f t="shared" ref="W11" si="16">T11+U11+V11</f>
        <v>1125600</v>
      </c>
      <c r="X11" s="35">
        <f t="shared" ref="X11" si="17">R11-W11</f>
        <v>0</v>
      </c>
      <c r="Y11" s="35">
        <v>5659.441340782123</v>
      </c>
      <c r="Z11" s="41">
        <f t="shared" ref="Z11" si="18">(R11-T11)/(L11-1)</f>
        <v>5501.3563871289907</v>
      </c>
    </row>
    <row r="12" spans="1:26" x14ac:dyDescent="0.2">
      <c r="A12" s="79"/>
      <c r="B12" s="59"/>
      <c r="C12" s="59"/>
      <c r="D12" s="59"/>
      <c r="E12" s="80">
        <f>SUM(E11:E11)</f>
        <v>1</v>
      </c>
      <c r="F12" s="80"/>
      <c r="G12" s="80"/>
      <c r="H12" s="79">
        <f>SUM(H11:H11)</f>
        <v>300000000</v>
      </c>
      <c r="I12" s="79">
        <f>SUM(I11:I11)</f>
        <v>300000000</v>
      </c>
      <c r="J12" s="79"/>
      <c r="K12" s="79"/>
      <c r="L12" s="79"/>
      <c r="M12" s="79"/>
      <c r="N12" s="79">
        <f t="shared" ref="N12:Z12" si="19">SUM(N11:N11)</f>
        <v>11256000</v>
      </c>
      <c r="O12" s="79">
        <f t="shared" si="19"/>
        <v>0</v>
      </c>
      <c r="P12" s="79">
        <f t="shared" si="19"/>
        <v>0</v>
      </c>
      <c r="Q12" s="79">
        <f t="shared" si="19"/>
        <v>11256000</v>
      </c>
      <c r="R12" s="79">
        <f t="shared" si="19"/>
        <v>1125600</v>
      </c>
      <c r="S12" s="79">
        <f t="shared" si="19"/>
        <v>10130400</v>
      </c>
      <c r="T12" s="79">
        <f t="shared" si="19"/>
        <v>140857.2067039106</v>
      </c>
      <c r="U12" s="79">
        <f t="shared" si="19"/>
        <v>67913.296089385476</v>
      </c>
      <c r="V12" s="79">
        <f t="shared" si="19"/>
        <v>916829.49720670388</v>
      </c>
      <c r="W12" s="79">
        <f t="shared" si="19"/>
        <v>1125600</v>
      </c>
      <c r="X12" s="79">
        <f t="shared" si="19"/>
        <v>0</v>
      </c>
      <c r="Y12" s="79">
        <f t="shared" si="19"/>
        <v>5659.441340782123</v>
      </c>
      <c r="Z12" s="79">
        <f t="shared" si="19"/>
        <v>5501.3563871289907</v>
      </c>
    </row>
    <row r="13" spans="1:26" x14ac:dyDescent="0.2">
      <c r="A13" s="89"/>
      <c r="B13" s="89"/>
      <c r="C13" s="89" t="s">
        <v>73</v>
      </c>
      <c r="D13" s="90"/>
      <c r="E13" s="85">
        <f>E6+E12</f>
        <v>2</v>
      </c>
      <c r="F13" s="87">
        <f t="shared" ref="F13:G13" si="20">F6</f>
        <v>0</v>
      </c>
      <c r="G13" s="87">
        <f t="shared" si="20"/>
        <v>0</v>
      </c>
      <c r="H13" s="87">
        <f>H6+H12</f>
        <v>500000000</v>
      </c>
      <c r="I13" s="87">
        <f t="shared" ref="I13:Z13" si="21">I6+I12</f>
        <v>500000000</v>
      </c>
      <c r="J13" s="87">
        <f t="shared" si="21"/>
        <v>0</v>
      </c>
      <c r="K13" s="87">
        <f t="shared" si="21"/>
        <v>0</v>
      </c>
      <c r="L13" s="87">
        <f t="shared" si="21"/>
        <v>0</v>
      </c>
      <c r="M13" s="87">
        <f t="shared" si="21"/>
        <v>0</v>
      </c>
      <c r="N13" s="87">
        <f t="shared" si="21"/>
        <v>15898000</v>
      </c>
      <c r="O13" s="87">
        <f t="shared" si="21"/>
        <v>0</v>
      </c>
      <c r="P13" s="87">
        <f t="shared" si="21"/>
        <v>0</v>
      </c>
      <c r="Q13" s="87">
        <f t="shared" si="21"/>
        <v>15898000</v>
      </c>
      <c r="R13" s="87">
        <f t="shared" si="21"/>
        <v>1589800</v>
      </c>
      <c r="S13" s="87">
        <f t="shared" si="21"/>
        <v>14308200</v>
      </c>
      <c r="T13" s="87">
        <f t="shared" si="21"/>
        <v>210704.12259176106</v>
      </c>
      <c r="U13" s="87">
        <f t="shared" si="21"/>
        <v>114767.12786508641</v>
      </c>
      <c r="V13" s="87">
        <f t="shared" si="21"/>
        <v>1264328.7495431525</v>
      </c>
      <c r="W13" s="87">
        <f t="shared" si="21"/>
        <v>1589800</v>
      </c>
      <c r="X13" s="87">
        <f t="shared" si="21"/>
        <v>0</v>
      </c>
      <c r="Y13" s="87">
        <f t="shared" si="21"/>
        <v>9563.9273220905343</v>
      </c>
      <c r="Z13" s="87">
        <f t="shared" si="21"/>
        <v>9186.8992292986131</v>
      </c>
    </row>
    <row r="16" spans="1:26" ht="14.25" customHeight="1" x14ac:dyDescent="0.2">
      <c r="A16" s="86" t="s">
        <v>91</v>
      </c>
      <c r="B16" s="62"/>
      <c r="C16" s="62"/>
      <c r="D16" s="57"/>
      <c r="E16" s="63"/>
      <c r="F16" s="64"/>
      <c r="G16" s="65"/>
      <c r="H16" s="66"/>
      <c r="I16" s="66"/>
      <c r="J16" s="67"/>
      <c r="K16" s="67"/>
      <c r="L16" s="68"/>
      <c r="M16" s="68"/>
      <c r="N16" s="69"/>
      <c r="O16" s="69"/>
      <c r="P16" s="69"/>
      <c r="Q16" s="69"/>
      <c r="R16" s="69"/>
      <c r="S16" s="69"/>
      <c r="T16" s="70"/>
      <c r="U16" s="71"/>
      <c r="V16" s="71"/>
    </row>
    <row r="17" spans="1:26" ht="14.25" customHeight="1" x14ac:dyDescent="0.2">
      <c r="A17" s="231" t="s">
        <v>0</v>
      </c>
      <c r="B17" s="232" t="s">
        <v>1</v>
      </c>
      <c r="C17" s="229" t="s">
        <v>2</v>
      </c>
      <c r="D17" s="233" t="s">
        <v>3</v>
      </c>
      <c r="E17" s="234" t="s">
        <v>4</v>
      </c>
      <c r="F17" s="232" t="s">
        <v>5</v>
      </c>
      <c r="G17" s="235" t="s">
        <v>6</v>
      </c>
      <c r="H17" s="236" t="s">
        <v>7</v>
      </c>
      <c r="I17" s="236" t="s">
        <v>8</v>
      </c>
      <c r="J17" s="227" t="s">
        <v>9</v>
      </c>
      <c r="K17" s="227"/>
      <c r="L17" s="228" t="s">
        <v>10</v>
      </c>
      <c r="M17" s="229" t="s">
        <v>11</v>
      </c>
      <c r="N17" s="230" t="s">
        <v>12</v>
      </c>
      <c r="O17" s="230"/>
      <c r="P17" s="230"/>
      <c r="Q17" s="229" t="s">
        <v>13</v>
      </c>
      <c r="R17" s="229" t="s">
        <v>14</v>
      </c>
      <c r="S17" s="229" t="s">
        <v>15</v>
      </c>
      <c r="T17" s="36">
        <v>2021</v>
      </c>
      <c r="U17" s="37"/>
      <c r="V17" s="38" t="s">
        <v>44</v>
      </c>
    </row>
    <row r="18" spans="1:26" ht="14.25" customHeight="1" x14ac:dyDescent="0.2">
      <c r="A18" s="231"/>
      <c r="B18" s="232"/>
      <c r="C18" s="229"/>
      <c r="D18" s="233"/>
      <c r="E18" s="234"/>
      <c r="F18" s="232"/>
      <c r="G18" s="235"/>
      <c r="H18" s="236"/>
      <c r="I18" s="236"/>
      <c r="J18" s="227"/>
      <c r="K18" s="227"/>
      <c r="L18" s="228"/>
      <c r="M18" s="229"/>
      <c r="N18" s="186" t="s">
        <v>16</v>
      </c>
      <c r="O18" s="186" t="s">
        <v>17</v>
      </c>
      <c r="P18" s="186" t="s">
        <v>18</v>
      </c>
      <c r="Q18" s="229"/>
      <c r="R18" s="229"/>
      <c r="S18" s="229"/>
      <c r="T18" s="96" t="s">
        <v>197</v>
      </c>
      <c r="U18" s="39" t="s">
        <v>204</v>
      </c>
      <c r="V18" s="40"/>
    </row>
    <row r="19" spans="1:26" x14ac:dyDescent="0.2">
      <c r="A19" s="74">
        <v>3</v>
      </c>
      <c r="B19" s="107" t="s">
        <v>49</v>
      </c>
      <c r="C19" s="107" t="s">
        <v>78</v>
      </c>
      <c r="D19" s="110">
        <v>44237</v>
      </c>
      <c r="E19" s="74">
        <v>1</v>
      </c>
      <c r="F19" s="107" t="s">
        <v>79</v>
      </c>
      <c r="G19" s="111">
        <v>1</v>
      </c>
      <c r="H19" s="112">
        <v>40000000</v>
      </c>
      <c r="I19" s="112">
        <f>H19*G19</f>
        <v>40000000</v>
      </c>
      <c r="J19" s="110">
        <v>44245</v>
      </c>
      <c r="K19" s="77">
        <f>IFERROR(VALUE(DAY(J19)&amp;" "&amp;TEXT(EOMONTH(J19,L19)-29,"mmm")&amp;" "&amp;YEAR(EOMONTH(J19,L19)-29)),"-")</f>
        <v>44944</v>
      </c>
      <c r="L19" s="107">
        <v>24</v>
      </c>
      <c r="M19" s="99">
        <v>21.1</v>
      </c>
      <c r="N19" s="81">
        <f t="shared" ref="N19" si="22">M19*H19/1000</f>
        <v>844000</v>
      </c>
      <c r="O19" s="81"/>
      <c r="P19" s="81"/>
      <c r="Q19" s="81">
        <f t="shared" ref="Q19" si="23">N19+O19+P19</f>
        <v>844000</v>
      </c>
      <c r="R19" s="81">
        <f t="shared" ref="R19" si="24">10%*N19</f>
        <v>84400</v>
      </c>
      <c r="S19" s="81">
        <f t="shared" ref="S19" si="25">Q19-R19</f>
        <v>759600</v>
      </c>
      <c r="T19" s="42">
        <f>R19*10%+(Y19*4)</f>
        <v>21650.434782608696</v>
      </c>
      <c r="U19" s="1">
        <f>Y19*12</f>
        <v>39631.304347826088</v>
      </c>
      <c r="V19" s="34">
        <f t="shared" ref="V19" si="26">R19-T19-U19</f>
        <v>23118.260869565216</v>
      </c>
      <c r="W19" s="35">
        <f t="shared" ref="W19" si="27">T19+U19+V19</f>
        <v>84400</v>
      </c>
      <c r="X19" s="35">
        <f t="shared" ref="X19" si="28">R19-W19</f>
        <v>0</v>
      </c>
      <c r="Y19" s="35">
        <v>3302.608695652174</v>
      </c>
      <c r="Z19" s="41">
        <f>(R19-T19)/(L19-1)</f>
        <v>2728.2419659735351</v>
      </c>
    </row>
    <row r="20" spans="1:26" x14ac:dyDescent="0.2">
      <c r="A20" s="88"/>
      <c r="B20" s="84"/>
      <c r="C20" s="84"/>
      <c r="D20" s="84"/>
      <c r="E20" s="88">
        <f>SUM(E19:E19)</f>
        <v>1</v>
      </c>
      <c r="F20" s="84"/>
      <c r="G20" s="115"/>
      <c r="H20" s="59">
        <f>SUM(H19:H19)</f>
        <v>40000000</v>
      </c>
      <c r="I20" s="59">
        <f>SUM(I19:I19)</f>
        <v>40000000</v>
      </c>
      <c r="J20" s="59"/>
      <c r="K20" s="59"/>
      <c r="L20" s="59"/>
      <c r="M20" s="59"/>
      <c r="N20" s="59">
        <f t="shared" ref="N20:Z20" si="29">SUM(N19:N19)</f>
        <v>844000</v>
      </c>
      <c r="O20" s="59">
        <f t="shared" si="29"/>
        <v>0</v>
      </c>
      <c r="P20" s="59">
        <f t="shared" si="29"/>
        <v>0</v>
      </c>
      <c r="Q20" s="59">
        <f t="shared" si="29"/>
        <v>844000</v>
      </c>
      <c r="R20" s="59">
        <f t="shared" si="29"/>
        <v>84400</v>
      </c>
      <c r="S20" s="59">
        <f t="shared" si="29"/>
        <v>759600</v>
      </c>
      <c r="T20" s="59">
        <f t="shared" si="29"/>
        <v>21650.434782608696</v>
      </c>
      <c r="U20" s="59">
        <f t="shared" si="29"/>
        <v>39631.304347826088</v>
      </c>
      <c r="V20" s="59">
        <f t="shared" si="29"/>
        <v>23118.260869565216</v>
      </c>
      <c r="W20" s="59">
        <f t="shared" si="29"/>
        <v>84400</v>
      </c>
      <c r="X20" s="59">
        <f t="shared" si="29"/>
        <v>0</v>
      </c>
      <c r="Y20" s="59">
        <f t="shared" si="29"/>
        <v>3302.608695652174</v>
      </c>
      <c r="Z20" s="59">
        <f t="shared" si="29"/>
        <v>2728.2419659735351</v>
      </c>
    </row>
    <row r="21" spans="1:26" x14ac:dyDescent="0.2">
      <c r="A21" s="74">
        <v>4</v>
      </c>
      <c r="B21" s="107" t="s">
        <v>84</v>
      </c>
      <c r="C21" s="107" t="s">
        <v>85</v>
      </c>
      <c r="D21" s="110">
        <v>44286</v>
      </c>
      <c r="E21" s="74">
        <v>1</v>
      </c>
      <c r="F21" s="107" t="s">
        <v>86</v>
      </c>
      <c r="G21" s="111">
        <v>1</v>
      </c>
      <c r="H21" s="112">
        <v>300000000</v>
      </c>
      <c r="I21" s="112">
        <f>H21*G21</f>
        <v>300000000</v>
      </c>
      <c r="J21" s="110">
        <v>44263</v>
      </c>
      <c r="K21" s="77">
        <f t="shared" ref="K21" si="30">IFERROR(VALUE(DAY(J21)&amp;" "&amp;TEXT(EOMONTH(J21,L21)-29,"mmm")&amp;" "&amp;YEAR(EOMONTH(J21,L21)-29)),"-")</f>
        <v>44993</v>
      </c>
      <c r="L21" s="107">
        <v>24</v>
      </c>
      <c r="M21" s="99">
        <v>51.12</v>
      </c>
      <c r="N21" s="81">
        <f t="shared" ref="N21" si="31">M21*H21/1000</f>
        <v>15336000</v>
      </c>
      <c r="O21" s="81"/>
      <c r="P21" s="81"/>
      <c r="Q21" s="81">
        <f t="shared" ref="Q21" si="32">N21+O21+P21</f>
        <v>15336000</v>
      </c>
      <c r="R21" s="81">
        <f t="shared" ref="R21" si="33">10%*N21</f>
        <v>1533600</v>
      </c>
      <c r="S21" s="81">
        <f t="shared" ref="S21" si="34">Q21-R21</f>
        <v>13802400</v>
      </c>
      <c r="T21" s="42"/>
      <c r="U21" s="1"/>
      <c r="V21" s="34"/>
      <c r="W21" s="35"/>
      <c r="X21" s="35"/>
      <c r="Y21" s="35"/>
      <c r="Z21" s="41"/>
    </row>
    <row r="22" spans="1:26" x14ac:dyDescent="0.2">
      <c r="A22" s="88"/>
      <c r="B22" s="84"/>
      <c r="C22" s="84"/>
      <c r="D22" s="84"/>
      <c r="E22" s="88"/>
      <c r="F22" s="84"/>
      <c r="G22" s="115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>
        <f t="shared" ref="S22:Z22" si="35">SUM(S21:S21)</f>
        <v>13802400</v>
      </c>
      <c r="T22" s="59">
        <f t="shared" si="35"/>
        <v>0</v>
      </c>
      <c r="U22" s="59">
        <f t="shared" si="35"/>
        <v>0</v>
      </c>
      <c r="V22" s="59">
        <f t="shared" si="35"/>
        <v>0</v>
      </c>
      <c r="W22" s="59">
        <f t="shared" si="35"/>
        <v>0</v>
      </c>
      <c r="X22" s="59">
        <f t="shared" si="35"/>
        <v>0</v>
      </c>
      <c r="Y22" s="59">
        <f t="shared" si="35"/>
        <v>0</v>
      </c>
      <c r="Z22" s="59">
        <f t="shared" si="35"/>
        <v>0</v>
      </c>
    </row>
    <row r="23" spans="1:26" x14ac:dyDescent="0.2">
      <c r="A23" s="83"/>
      <c r="B23" s="83"/>
      <c r="C23" s="83" t="s">
        <v>92</v>
      </c>
      <c r="D23" s="84"/>
      <c r="E23" s="85">
        <f>E22+E20</f>
        <v>1</v>
      </c>
      <c r="F23" s="87"/>
      <c r="G23" s="87"/>
      <c r="H23" s="87">
        <f t="shared" ref="H23:Z23" si="36">H22+H20</f>
        <v>40000000</v>
      </c>
      <c r="I23" s="87">
        <f t="shared" si="36"/>
        <v>40000000</v>
      </c>
      <c r="J23" s="87">
        <f t="shared" si="36"/>
        <v>0</v>
      </c>
      <c r="K23" s="87">
        <f t="shared" si="36"/>
        <v>0</v>
      </c>
      <c r="L23" s="87"/>
      <c r="M23" s="87"/>
      <c r="N23" s="87">
        <f t="shared" si="36"/>
        <v>844000</v>
      </c>
      <c r="O23" s="87">
        <f t="shared" si="36"/>
        <v>0</v>
      </c>
      <c r="P23" s="87">
        <f t="shared" si="36"/>
        <v>0</v>
      </c>
      <c r="Q23" s="87">
        <f t="shared" si="36"/>
        <v>844000</v>
      </c>
      <c r="R23" s="87">
        <f t="shared" si="36"/>
        <v>84400</v>
      </c>
      <c r="S23" s="87">
        <f t="shared" si="36"/>
        <v>14562000</v>
      </c>
      <c r="T23" s="87">
        <f t="shared" si="36"/>
        <v>21650.434782608696</v>
      </c>
      <c r="U23" s="87">
        <f t="shared" si="36"/>
        <v>39631.304347826088</v>
      </c>
      <c r="V23" s="87">
        <f t="shared" si="36"/>
        <v>23118.260869565216</v>
      </c>
      <c r="W23" s="87">
        <f t="shared" si="36"/>
        <v>84400</v>
      </c>
      <c r="X23" s="87">
        <f t="shared" si="36"/>
        <v>0</v>
      </c>
      <c r="Y23" s="87">
        <f t="shared" si="36"/>
        <v>3302.608695652174</v>
      </c>
      <c r="Z23" s="87">
        <f t="shared" si="36"/>
        <v>2728.2419659735351</v>
      </c>
    </row>
    <row r="24" spans="1:26" s="94" customFormat="1" x14ac:dyDescent="0.2">
      <c r="A24" s="83"/>
      <c r="B24" s="83"/>
      <c r="C24" s="83" t="s">
        <v>93</v>
      </c>
      <c r="D24" s="84"/>
      <c r="E24" s="85">
        <f>E23+E13</f>
        <v>3</v>
      </c>
      <c r="F24" s="87">
        <f t="shared" ref="F24:Z24" si="37">F23+F13</f>
        <v>0</v>
      </c>
      <c r="G24" s="87">
        <f t="shared" si="37"/>
        <v>0</v>
      </c>
      <c r="H24" s="87">
        <f t="shared" si="37"/>
        <v>540000000</v>
      </c>
      <c r="I24" s="87">
        <f t="shared" si="37"/>
        <v>540000000</v>
      </c>
      <c r="J24" s="87">
        <f t="shared" si="37"/>
        <v>0</v>
      </c>
      <c r="K24" s="87">
        <f t="shared" si="37"/>
        <v>0</v>
      </c>
      <c r="L24" s="87">
        <f t="shared" si="37"/>
        <v>0</v>
      </c>
      <c r="M24" s="87">
        <f t="shared" si="37"/>
        <v>0</v>
      </c>
      <c r="N24" s="87">
        <f t="shared" si="37"/>
        <v>16742000</v>
      </c>
      <c r="O24" s="87">
        <f t="shared" si="37"/>
        <v>0</v>
      </c>
      <c r="P24" s="87">
        <f t="shared" si="37"/>
        <v>0</v>
      </c>
      <c r="Q24" s="87">
        <f t="shared" si="37"/>
        <v>16742000</v>
      </c>
      <c r="R24" s="87">
        <f>R23+R13</f>
        <v>1674200</v>
      </c>
      <c r="S24" s="87">
        <f t="shared" si="37"/>
        <v>28870200</v>
      </c>
      <c r="T24" s="87">
        <f t="shared" si="37"/>
        <v>232354.55737436976</v>
      </c>
      <c r="U24" s="87">
        <f t="shared" si="37"/>
        <v>154398.43221291251</v>
      </c>
      <c r="V24" s="87">
        <f t="shared" si="37"/>
        <v>1287447.0104127177</v>
      </c>
      <c r="W24" s="87">
        <f t="shared" si="37"/>
        <v>1674200</v>
      </c>
      <c r="X24" s="87">
        <f t="shared" si="37"/>
        <v>0</v>
      </c>
      <c r="Y24" s="87">
        <f t="shared" si="37"/>
        <v>12866.536017742708</v>
      </c>
      <c r="Z24" s="87">
        <f t="shared" si="37"/>
        <v>11915.141195272148</v>
      </c>
    </row>
    <row r="26" spans="1:26" ht="14.25" customHeight="1" x14ac:dyDescent="0.2">
      <c r="A26" s="86" t="s">
        <v>120</v>
      </c>
      <c r="B26" s="62"/>
      <c r="C26" s="62"/>
      <c r="D26" s="57"/>
      <c r="E26" s="63"/>
      <c r="F26" s="64"/>
      <c r="G26" s="65"/>
      <c r="H26" s="66"/>
      <c r="I26" s="66"/>
      <c r="J26" s="67"/>
      <c r="K26" s="67"/>
      <c r="L26" s="68"/>
      <c r="M26" s="68"/>
      <c r="N26" s="69"/>
      <c r="O26" s="69"/>
      <c r="P26" s="69"/>
      <c r="Q26" s="69"/>
      <c r="R26" s="69"/>
      <c r="S26" s="69"/>
      <c r="T26" s="70"/>
      <c r="U26" s="71"/>
      <c r="V26" s="71"/>
    </row>
    <row r="27" spans="1:26" ht="14.25" customHeight="1" x14ac:dyDescent="0.2">
      <c r="A27" s="231" t="s">
        <v>0</v>
      </c>
      <c r="B27" s="232" t="s">
        <v>1</v>
      </c>
      <c r="C27" s="229" t="s">
        <v>2</v>
      </c>
      <c r="D27" s="233" t="s">
        <v>3</v>
      </c>
      <c r="E27" s="234" t="s">
        <v>4</v>
      </c>
      <c r="F27" s="232" t="s">
        <v>5</v>
      </c>
      <c r="G27" s="235" t="s">
        <v>6</v>
      </c>
      <c r="H27" s="236" t="s">
        <v>7</v>
      </c>
      <c r="I27" s="236" t="s">
        <v>8</v>
      </c>
      <c r="J27" s="227" t="s">
        <v>9</v>
      </c>
      <c r="K27" s="227"/>
      <c r="L27" s="228" t="s">
        <v>10</v>
      </c>
      <c r="M27" s="229" t="s">
        <v>11</v>
      </c>
      <c r="N27" s="230" t="s">
        <v>12</v>
      </c>
      <c r="O27" s="230"/>
      <c r="P27" s="230"/>
      <c r="Q27" s="229" t="s">
        <v>13</v>
      </c>
      <c r="R27" s="229" t="s">
        <v>14</v>
      </c>
      <c r="S27" s="229" t="s">
        <v>15</v>
      </c>
      <c r="T27" s="36">
        <v>2021</v>
      </c>
      <c r="U27" s="37"/>
      <c r="V27" s="38" t="s">
        <v>44</v>
      </c>
    </row>
    <row r="28" spans="1:26" ht="14.25" customHeight="1" x14ac:dyDescent="0.2">
      <c r="A28" s="231"/>
      <c r="B28" s="232"/>
      <c r="C28" s="229"/>
      <c r="D28" s="233"/>
      <c r="E28" s="234"/>
      <c r="F28" s="232"/>
      <c r="G28" s="235"/>
      <c r="H28" s="236"/>
      <c r="I28" s="236"/>
      <c r="J28" s="227"/>
      <c r="K28" s="227"/>
      <c r="L28" s="228"/>
      <c r="M28" s="229"/>
      <c r="N28" s="186" t="s">
        <v>16</v>
      </c>
      <c r="O28" s="186" t="s">
        <v>17</v>
      </c>
      <c r="P28" s="186" t="s">
        <v>18</v>
      </c>
      <c r="Q28" s="229"/>
      <c r="R28" s="229"/>
      <c r="S28" s="229"/>
      <c r="T28" s="96" t="s">
        <v>199</v>
      </c>
      <c r="U28" s="39" t="s">
        <v>204</v>
      </c>
      <c r="V28" s="40"/>
    </row>
    <row r="29" spans="1:26" x14ac:dyDescent="0.2">
      <c r="A29" s="74">
        <v>5</v>
      </c>
      <c r="B29" s="107" t="s">
        <v>46</v>
      </c>
      <c r="C29" s="107" t="s">
        <v>96</v>
      </c>
      <c r="D29" s="110">
        <v>44313</v>
      </c>
      <c r="E29" s="74">
        <v>1</v>
      </c>
      <c r="F29" s="107" t="s">
        <v>47</v>
      </c>
      <c r="G29" s="111">
        <v>1</v>
      </c>
      <c r="H29" s="112">
        <v>57599206</v>
      </c>
      <c r="I29" s="112">
        <f>H29*G29</f>
        <v>57599206</v>
      </c>
      <c r="J29" s="110">
        <v>46069</v>
      </c>
      <c r="K29" s="77">
        <v>46446</v>
      </c>
      <c r="L29" s="107">
        <v>12</v>
      </c>
      <c r="M29" s="99">
        <v>9.1</v>
      </c>
      <c r="N29" s="81">
        <f t="shared" ref="N29:N30" si="38">M29*H29/1000</f>
        <v>524152.77459999995</v>
      </c>
      <c r="O29" s="81">
        <v>100000</v>
      </c>
      <c r="P29" s="81"/>
      <c r="Q29" s="81">
        <f t="shared" ref="Q29:Q30" si="39">N29+O29+P29</f>
        <v>624152.77459999989</v>
      </c>
      <c r="R29" s="81"/>
      <c r="S29" s="81">
        <f t="shared" ref="S29:S30" si="40">Q29-R29</f>
        <v>624152.77459999989</v>
      </c>
      <c r="T29" s="42">
        <f>R29*10%</f>
        <v>0</v>
      </c>
      <c r="U29" s="1">
        <f>Y29*12</f>
        <v>0</v>
      </c>
      <c r="V29" s="34">
        <f t="shared" ref="V29:V41" si="41">R29-T29-U29</f>
        <v>0</v>
      </c>
      <c r="W29" s="35">
        <f t="shared" ref="W29:W41" si="42">T29+U29+V29</f>
        <v>0</v>
      </c>
      <c r="X29" s="35">
        <f t="shared" ref="X29:X41" si="43">R29-W29</f>
        <v>0</v>
      </c>
      <c r="Y29" s="35">
        <v>0</v>
      </c>
      <c r="Z29" s="41">
        <f>(R29-T29)/(L29-1)</f>
        <v>0</v>
      </c>
    </row>
    <row r="30" spans="1:26" x14ac:dyDescent="0.2">
      <c r="A30" s="74"/>
      <c r="B30" s="107"/>
      <c r="C30" s="107"/>
      <c r="D30" s="110"/>
      <c r="E30" s="74">
        <v>1</v>
      </c>
      <c r="F30" s="107" t="s">
        <v>48</v>
      </c>
      <c r="G30" s="111">
        <v>1</v>
      </c>
      <c r="H30" s="112">
        <v>11844392</v>
      </c>
      <c r="I30" s="112">
        <f>H30*G30</f>
        <v>11844392</v>
      </c>
      <c r="J30" s="110">
        <v>46523</v>
      </c>
      <c r="K30" s="77">
        <v>46768</v>
      </c>
      <c r="L30" s="107">
        <v>8</v>
      </c>
      <c r="M30" s="99">
        <v>5.46</v>
      </c>
      <c r="N30" s="81">
        <f t="shared" si="38"/>
        <v>64670.380320000004</v>
      </c>
      <c r="O30" s="81">
        <v>100000</v>
      </c>
      <c r="P30" s="81"/>
      <c r="Q30" s="81">
        <f t="shared" si="39"/>
        <v>164670.38032</v>
      </c>
      <c r="R30" s="81"/>
      <c r="S30" s="81">
        <f t="shared" si="40"/>
        <v>164670.38032</v>
      </c>
      <c r="T30" s="42">
        <f t="shared" ref="T30:T41" si="44">R30*10%</f>
        <v>0</v>
      </c>
      <c r="U30" s="1">
        <f t="shared" ref="U30:U41" si="45">Y30*12</f>
        <v>0</v>
      </c>
      <c r="V30" s="34">
        <f t="shared" si="41"/>
        <v>0</v>
      </c>
      <c r="W30" s="35">
        <f t="shared" si="42"/>
        <v>0</v>
      </c>
      <c r="X30" s="35">
        <f t="shared" si="43"/>
        <v>0</v>
      </c>
      <c r="Y30" s="35">
        <v>0</v>
      </c>
      <c r="Z30" s="41">
        <f t="shared" ref="Z30:Z41" si="46">(R30-T30)/(L30-1)</f>
        <v>0</v>
      </c>
    </row>
    <row r="31" spans="1:26" x14ac:dyDescent="0.2">
      <c r="A31" s="88"/>
      <c r="B31" s="84"/>
      <c r="C31" s="84"/>
      <c r="D31" s="84"/>
      <c r="E31" s="88"/>
      <c r="F31" s="84"/>
      <c r="G31" s="115"/>
      <c r="H31" s="59"/>
      <c r="I31" s="59"/>
      <c r="J31" s="59"/>
      <c r="K31" s="59"/>
      <c r="L31" s="59"/>
      <c r="M31" s="59"/>
      <c r="N31" s="59">
        <f t="shared" ref="N31:Z31" si="47">SUM(N29:N30)</f>
        <v>588823.15492</v>
      </c>
      <c r="O31" s="59">
        <f t="shared" si="47"/>
        <v>200000</v>
      </c>
      <c r="P31" s="59">
        <f t="shared" si="47"/>
        <v>0</v>
      </c>
      <c r="Q31" s="59">
        <f t="shared" si="47"/>
        <v>788823.15491999988</v>
      </c>
      <c r="R31" s="59">
        <f t="shared" si="47"/>
        <v>0</v>
      </c>
      <c r="S31" s="59">
        <f t="shared" si="47"/>
        <v>788823.15491999988</v>
      </c>
      <c r="T31" s="59">
        <f t="shared" si="47"/>
        <v>0</v>
      </c>
      <c r="U31" s="59">
        <f t="shared" si="47"/>
        <v>0</v>
      </c>
      <c r="V31" s="59">
        <f t="shared" si="47"/>
        <v>0</v>
      </c>
      <c r="W31" s="59">
        <f t="shared" si="47"/>
        <v>0</v>
      </c>
      <c r="X31" s="59">
        <f t="shared" si="47"/>
        <v>0</v>
      </c>
      <c r="Y31" s="59">
        <f t="shared" si="47"/>
        <v>0</v>
      </c>
      <c r="Z31" s="59">
        <f t="shared" si="47"/>
        <v>0</v>
      </c>
    </row>
    <row r="32" spans="1:26" x14ac:dyDescent="0.2">
      <c r="A32" s="74">
        <v>6</v>
      </c>
      <c r="B32" s="107" t="s">
        <v>49</v>
      </c>
      <c r="C32" s="107" t="s">
        <v>101</v>
      </c>
      <c r="D32" s="110">
        <v>44301</v>
      </c>
      <c r="E32" s="74">
        <v>1</v>
      </c>
      <c r="F32" s="107" t="s">
        <v>102</v>
      </c>
      <c r="G32" s="111">
        <v>1</v>
      </c>
      <c r="H32" s="112">
        <v>35000000</v>
      </c>
      <c r="I32" s="112">
        <f>H32*G32</f>
        <v>35000000</v>
      </c>
      <c r="J32" s="110">
        <v>44278</v>
      </c>
      <c r="K32" s="77">
        <f t="shared" ref="K32" si="48">IFERROR(VALUE(DAY(J32)&amp;" "&amp;TEXT(EOMONTH(J32,L32)-29,"mmm")&amp;" "&amp;YEAR(EOMONTH(J32,L32)-29)),"-")</f>
        <v>45374</v>
      </c>
      <c r="L32" s="107">
        <v>36</v>
      </c>
      <c r="M32" s="99">
        <v>31.16</v>
      </c>
      <c r="N32" s="81">
        <f t="shared" ref="N32" si="49">M32*H32/1000</f>
        <v>1090600</v>
      </c>
      <c r="O32" s="81"/>
      <c r="P32" s="81"/>
      <c r="Q32" s="81">
        <f t="shared" ref="Q32" si="50">N32+O32+P32</f>
        <v>1090600</v>
      </c>
      <c r="R32" s="81">
        <f t="shared" ref="R32" si="51">10%*N32</f>
        <v>109060</v>
      </c>
      <c r="S32" s="81">
        <f t="shared" ref="S32" si="52">Q32-R32</f>
        <v>981540</v>
      </c>
      <c r="T32" s="42">
        <f>R32*10%+(Y32*3)</f>
        <v>19319.2</v>
      </c>
      <c r="U32" s="1">
        <f t="shared" si="45"/>
        <v>33652.800000000003</v>
      </c>
      <c r="V32" s="34">
        <f t="shared" si="41"/>
        <v>56088</v>
      </c>
      <c r="W32" s="35">
        <f t="shared" si="42"/>
        <v>109060</v>
      </c>
      <c r="X32" s="35">
        <f t="shared" si="43"/>
        <v>0</v>
      </c>
      <c r="Y32" s="35">
        <v>2804.4</v>
      </c>
      <c r="Z32" s="41">
        <f t="shared" si="46"/>
        <v>2564.0228571428574</v>
      </c>
    </row>
    <row r="33" spans="1:26" x14ac:dyDescent="0.2">
      <c r="A33" s="88"/>
      <c r="B33" s="84"/>
      <c r="C33" s="84"/>
      <c r="D33" s="84"/>
      <c r="E33" s="88">
        <f>SUM(E32:E32)</f>
        <v>1</v>
      </c>
      <c r="F33" s="84"/>
      <c r="G33" s="115"/>
      <c r="H33" s="59">
        <f>SUM(H32:H32)</f>
        <v>35000000</v>
      </c>
      <c r="I33" s="59">
        <f>SUM(I32:I32)</f>
        <v>35000000</v>
      </c>
      <c r="J33" s="59"/>
      <c r="K33" s="59"/>
      <c r="L33" s="59"/>
      <c r="M33" s="59"/>
      <c r="N33" s="59">
        <f t="shared" ref="N33:Z33" si="53">SUM(N32:N32)</f>
        <v>1090600</v>
      </c>
      <c r="O33" s="59">
        <f t="shared" si="53"/>
        <v>0</v>
      </c>
      <c r="P33" s="59">
        <f t="shared" si="53"/>
        <v>0</v>
      </c>
      <c r="Q33" s="59">
        <f t="shared" si="53"/>
        <v>1090600</v>
      </c>
      <c r="R33" s="59">
        <f t="shared" si="53"/>
        <v>109060</v>
      </c>
      <c r="S33" s="59">
        <f t="shared" si="53"/>
        <v>981540</v>
      </c>
      <c r="T33" s="59">
        <f t="shared" si="53"/>
        <v>19319.2</v>
      </c>
      <c r="U33" s="59">
        <f t="shared" si="53"/>
        <v>33652.800000000003</v>
      </c>
      <c r="V33" s="59">
        <f t="shared" si="53"/>
        <v>56088</v>
      </c>
      <c r="W33" s="59">
        <f t="shared" si="53"/>
        <v>109060</v>
      </c>
      <c r="X33" s="59">
        <f t="shared" si="53"/>
        <v>0</v>
      </c>
      <c r="Y33" s="59">
        <f t="shared" si="53"/>
        <v>2804.4</v>
      </c>
      <c r="Z33" s="59">
        <f t="shared" si="53"/>
        <v>2564.0228571428574</v>
      </c>
    </row>
    <row r="34" spans="1:26" x14ac:dyDescent="0.2">
      <c r="A34" s="74">
        <v>7</v>
      </c>
      <c r="B34" s="107" t="s">
        <v>49</v>
      </c>
      <c r="C34" s="107" t="s">
        <v>103</v>
      </c>
      <c r="D34" s="110">
        <v>44316</v>
      </c>
      <c r="E34" s="74">
        <v>1</v>
      </c>
      <c r="F34" s="107" t="s">
        <v>104</v>
      </c>
      <c r="G34" s="111">
        <v>1</v>
      </c>
      <c r="H34" s="112">
        <v>83000000</v>
      </c>
      <c r="I34" s="112">
        <f>H34*G34</f>
        <v>83000000</v>
      </c>
      <c r="J34" s="110">
        <v>44315</v>
      </c>
      <c r="K34" s="77">
        <f>IFERROR(VALUE(DAY(J34)&amp;" "&amp;TEXT(EOMONTH(J34,L34)-29,"mmm")&amp;" "&amp;YEAR(EOMONTH(J34,L34)-29)),"-")</f>
        <v>46506</v>
      </c>
      <c r="L34" s="107">
        <v>72</v>
      </c>
      <c r="M34" s="99">
        <v>50.64</v>
      </c>
      <c r="N34" s="81">
        <f t="shared" ref="N34" si="54">M34*H34/1000</f>
        <v>4203120</v>
      </c>
      <c r="O34" s="81"/>
      <c r="P34" s="81"/>
      <c r="Q34" s="81">
        <f t="shared" ref="Q34" si="55">N34+O34+P34</f>
        <v>4203120</v>
      </c>
      <c r="R34" s="81">
        <f t="shared" ref="R34" si="56">10%*N34</f>
        <v>420312</v>
      </c>
      <c r="S34" s="81">
        <f t="shared" ref="S34" si="57">Q34-R34</f>
        <v>3782808</v>
      </c>
      <c r="T34" s="42">
        <f>R34*10%+(Y34*3)</f>
        <v>58014.895774647892</v>
      </c>
      <c r="U34" s="1">
        <f t="shared" si="45"/>
        <v>63934.78309859155</v>
      </c>
      <c r="V34" s="34">
        <f t="shared" si="41"/>
        <v>298362.32112676057</v>
      </c>
      <c r="W34" s="35">
        <f t="shared" si="42"/>
        <v>420312</v>
      </c>
      <c r="X34" s="35">
        <f t="shared" si="43"/>
        <v>0</v>
      </c>
      <c r="Y34" s="35">
        <v>5327.8985915492958</v>
      </c>
      <c r="Z34" s="41">
        <f t="shared" si="46"/>
        <v>5102.7761158500298</v>
      </c>
    </row>
    <row r="35" spans="1:26" x14ac:dyDescent="0.2">
      <c r="A35" s="150"/>
      <c r="B35" s="90"/>
      <c r="C35" s="90"/>
      <c r="D35" s="90"/>
      <c r="E35" s="150">
        <f>SUM(E34:E34)</f>
        <v>1</v>
      </c>
      <c r="F35" s="90"/>
      <c r="G35" s="151"/>
      <c r="H35" s="152">
        <f>SUM(H34:H34)</f>
        <v>83000000</v>
      </c>
      <c r="I35" s="152">
        <f>SUM(I34:I34)</f>
        <v>83000000</v>
      </c>
      <c r="J35" s="152"/>
      <c r="K35" s="152"/>
      <c r="L35" s="152"/>
      <c r="M35" s="152"/>
      <c r="N35" s="152">
        <f t="shared" ref="N35:Z35" si="58">SUM(N34:N34)</f>
        <v>4203120</v>
      </c>
      <c r="O35" s="152">
        <f t="shared" si="58"/>
        <v>0</v>
      </c>
      <c r="P35" s="152">
        <f t="shared" si="58"/>
        <v>0</v>
      </c>
      <c r="Q35" s="152">
        <f t="shared" si="58"/>
        <v>4203120</v>
      </c>
      <c r="R35" s="152">
        <f t="shared" si="58"/>
        <v>420312</v>
      </c>
      <c r="S35" s="152">
        <f t="shared" si="58"/>
        <v>3782808</v>
      </c>
      <c r="T35" s="152">
        <f t="shared" si="58"/>
        <v>58014.895774647892</v>
      </c>
      <c r="U35" s="152">
        <f t="shared" si="58"/>
        <v>63934.78309859155</v>
      </c>
      <c r="V35" s="152">
        <f t="shared" si="58"/>
        <v>298362.32112676057</v>
      </c>
      <c r="W35" s="152">
        <f t="shared" si="58"/>
        <v>420312</v>
      </c>
      <c r="X35" s="152">
        <f t="shared" si="58"/>
        <v>0</v>
      </c>
      <c r="Y35" s="152">
        <f t="shared" si="58"/>
        <v>5327.8985915492958</v>
      </c>
      <c r="Z35" s="152">
        <f t="shared" si="58"/>
        <v>5102.7761158500298</v>
      </c>
    </row>
    <row r="36" spans="1:26" x14ac:dyDescent="0.2">
      <c r="A36" s="74">
        <v>8</v>
      </c>
      <c r="B36" s="107" t="s">
        <v>49</v>
      </c>
      <c r="C36" s="107" t="s">
        <v>105</v>
      </c>
      <c r="D36" s="110">
        <v>44316</v>
      </c>
      <c r="E36" s="74">
        <v>1</v>
      </c>
      <c r="F36" s="107" t="s">
        <v>106</v>
      </c>
      <c r="G36" s="111">
        <v>1</v>
      </c>
      <c r="H36" s="112">
        <v>35000000</v>
      </c>
      <c r="I36" s="112">
        <f>H36*G36</f>
        <v>35000000</v>
      </c>
      <c r="J36" s="110">
        <v>44313</v>
      </c>
      <c r="K36" s="77">
        <f>IFERROR(VALUE(DAY(J36)&amp;" "&amp;TEXT(EOMONTH(J36,L36)-29,"mmm")&amp;" "&amp;YEAR(EOMONTH(J36,L36)-29)),"-")</f>
        <v>45409</v>
      </c>
      <c r="L36" s="107">
        <v>36</v>
      </c>
      <c r="M36" s="99">
        <v>30.71</v>
      </c>
      <c r="N36" s="81">
        <f t="shared" ref="N36" si="59">M36*H36/1000</f>
        <v>1074850</v>
      </c>
      <c r="O36" s="81"/>
      <c r="P36" s="81"/>
      <c r="Q36" s="81">
        <f t="shared" ref="Q36" si="60">N36+O36+P36</f>
        <v>1074850</v>
      </c>
      <c r="R36" s="81">
        <f t="shared" ref="R36" si="61">10%*N36</f>
        <v>107485</v>
      </c>
      <c r="S36" s="81">
        <f t="shared" ref="S36" si="62">Q36-R36</f>
        <v>967365</v>
      </c>
      <c r="T36" s="42">
        <f>R36*10%+(Y36*3)</f>
        <v>19040.2</v>
      </c>
      <c r="U36" s="1">
        <f t="shared" si="45"/>
        <v>33166.800000000003</v>
      </c>
      <c r="V36" s="34">
        <f t="shared" si="41"/>
        <v>55278</v>
      </c>
      <c r="W36" s="35">
        <f t="shared" si="42"/>
        <v>107485</v>
      </c>
      <c r="X36" s="35">
        <f t="shared" si="43"/>
        <v>0</v>
      </c>
      <c r="Y36" s="35">
        <v>2763.9</v>
      </c>
      <c r="Z36" s="41">
        <f t="shared" si="46"/>
        <v>2526.994285714286</v>
      </c>
    </row>
    <row r="37" spans="1:26" x14ac:dyDescent="0.2">
      <c r="A37" s="150"/>
      <c r="B37" s="90"/>
      <c r="C37" s="90"/>
      <c r="D37" s="90"/>
      <c r="E37" s="150">
        <f>SUM(E36:E36)</f>
        <v>1</v>
      </c>
      <c r="F37" s="90"/>
      <c r="G37" s="151"/>
      <c r="H37" s="152">
        <f>SUM(H36:H36)</f>
        <v>35000000</v>
      </c>
      <c r="I37" s="152">
        <f>SUM(I36:I36)</f>
        <v>35000000</v>
      </c>
      <c r="J37" s="152"/>
      <c r="K37" s="152"/>
      <c r="L37" s="152"/>
      <c r="M37" s="152"/>
      <c r="N37" s="152">
        <f t="shared" ref="N37:Z37" si="63">SUM(N36:N36)</f>
        <v>1074850</v>
      </c>
      <c r="O37" s="152">
        <f t="shared" si="63"/>
        <v>0</v>
      </c>
      <c r="P37" s="152">
        <f t="shared" si="63"/>
        <v>0</v>
      </c>
      <c r="Q37" s="152">
        <f t="shared" si="63"/>
        <v>1074850</v>
      </c>
      <c r="R37" s="152">
        <f t="shared" si="63"/>
        <v>107485</v>
      </c>
      <c r="S37" s="152">
        <f t="shared" si="63"/>
        <v>967365</v>
      </c>
      <c r="T37" s="152">
        <f t="shared" si="63"/>
        <v>19040.2</v>
      </c>
      <c r="U37" s="152">
        <f t="shared" si="63"/>
        <v>33166.800000000003</v>
      </c>
      <c r="V37" s="152">
        <f t="shared" si="63"/>
        <v>55278</v>
      </c>
      <c r="W37" s="152">
        <f t="shared" si="63"/>
        <v>107485</v>
      </c>
      <c r="X37" s="152">
        <f t="shared" si="63"/>
        <v>0</v>
      </c>
      <c r="Y37" s="152">
        <f t="shared" si="63"/>
        <v>2763.9</v>
      </c>
      <c r="Z37" s="152">
        <f t="shared" si="63"/>
        <v>2526.994285714286</v>
      </c>
    </row>
    <row r="38" spans="1:26" x14ac:dyDescent="0.2">
      <c r="A38" s="74">
        <v>9</v>
      </c>
      <c r="B38" s="107" t="s">
        <v>49</v>
      </c>
      <c r="C38" s="107" t="s">
        <v>108</v>
      </c>
      <c r="D38" s="110">
        <v>44316</v>
      </c>
      <c r="E38" s="74">
        <v>1</v>
      </c>
      <c r="F38" s="107" t="s">
        <v>109</v>
      </c>
      <c r="G38" s="111">
        <v>1</v>
      </c>
      <c r="H38" s="112">
        <v>220000000</v>
      </c>
      <c r="I38" s="112">
        <f>H38*G38</f>
        <v>220000000</v>
      </c>
      <c r="J38" s="110">
        <v>44300</v>
      </c>
      <c r="K38" s="77">
        <f>IFERROR(VALUE(DAY(J38)&amp;" "&amp;TEXT(EOMONTH(J38,L38)-29,"mmm")&amp;" "&amp;YEAR(EOMONTH(J38,L38)-29)),"-")</f>
        <v>47952</v>
      </c>
      <c r="L38" s="107">
        <v>120</v>
      </c>
      <c r="M38" s="99">
        <v>25.48</v>
      </c>
      <c r="N38" s="81">
        <f t="shared" ref="N38:N39" si="64">M38*H38/1000</f>
        <v>5605600</v>
      </c>
      <c r="O38" s="81"/>
      <c r="P38" s="81"/>
      <c r="Q38" s="81">
        <f t="shared" ref="Q38:Q39" si="65">N38+O38+P38</f>
        <v>5605600</v>
      </c>
      <c r="R38" s="81">
        <f t="shared" ref="R38:R39" si="66">10%*N38</f>
        <v>560560</v>
      </c>
      <c r="S38" s="81">
        <f t="shared" ref="S38:S39" si="67">Q38-R38</f>
        <v>5045040</v>
      </c>
      <c r="T38" s="42">
        <f t="shared" ref="T38:T39" si="68">R38*10%+(Y38*3)</f>
        <v>68774.588235294126</v>
      </c>
      <c r="U38" s="1">
        <f t="shared" si="45"/>
        <v>50874.352941176476</v>
      </c>
      <c r="V38" s="34">
        <f t="shared" si="41"/>
        <v>440911.0588235294</v>
      </c>
      <c r="W38" s="35">
        <f t="shared" si="42"/>
        <v>560560</v>
      </c>
      <c r="X38" s="35">
        <f t="shared" si="43"/>
        <v>0</v>
      </c>
      <c r="Y38" s="35">
        <v>4239.5294117647063</v>
      </c>
      <c r="Z38" s="41">
        <f t="shared" si="46"/>
        <v>4132.6505190311418</v>
      </c>
    </row>
    <row r="39" spans="1:26" x14ac:dyDescent="0.2">
      <c r="A39" s="74"/>
      <c r="B39" s="107"/>
      <c r="C39" s="107"/>
      <c r="D39" s="110"/>
      <c r="E39" s="74">
        <v>1</v>
      </c>
      <c r="F39" s="107" t="s">
        <v>110</v>
      </c>
      <c r="G39" s="111">
        <v>1</v>
      </c>
      <c r="H39" s="112">
        <v>160000000</v>
      </c>
      <c r="I39" s="112">
        <f>H39*G39</f>
        <v>160000000</v>
      </c>
      <c r="J39" s="110">
        <v>44305</v>
      </c>
      <c r="K39" s="77">
        <f>IFERROR(VALUE(DAY(J39)&amp;" "&amp;TEXT(EOMONTH(J39,L39)-29,"mmm")&amp;" "&amp;YEAR(EOMONTH(J39,L39)-29)),"-")</f>
        <v>45554</v>
      </c>
      <c r="L39" s="107">
        <v>41</v>
      </c>
      <c r="M39" s="99">
        <v>11.38</v>
      </c>
      <c r="N39" s="81">
        <f t="shared" si="64"/>
        <v>1820800.0000000002</v>
      </c>
      <c r="O39" s="81"/>
      <c r="P39" s="81"/>
      <c r="Q39" s="81">
        <f t="shared" si="65"/>
        <v>1820800.0000000002</v>
      </c>
      <c r="R39" s="81">
        <f t="shared" si="66"/>
        <v>182080.00000000003</v>
      </c>
      <c r="S39" s="81">
        <f t="shared" si="67"/>
        <v>1638720.0000000002</v>
      </c>
      <c r="T39" s="42">
        <f t="shared" si="68"/>
        <v>30498.400000000009</v>
      </c>
      <c r="U39" s="1">
        <f t="shared" si="45"/>
        <v>49161.600000000013</v>
      </c>
      <c r="V39" s="34">
        <f t="shared" si="41"/>
        <v>102420.00000000003</v>
      </c>
      <c r="W39" s="35">
        <f t="shared" si="42"/>
        <v>182080.00000000006</v>
      </c>
      <c r="X39" s="35">
        <f t="shared" si="43"/>
        <v>0</v>
      </c>
      <c r="Y39" s="35">
        <v>4096.8000000000011</v>
      </c>
      <c r="Z39" s="41">
        <f t="shared" si="46"/>
        <v>3789.5400000000009</v>
      </c>
    </row>
    <row r="40" spans="1:26" x14ac:dyDescent="0.2">
      <c r="A40" s="88"/>
      <c r="B40" s="84"/>
      <c r="C40" s="84"/>
      <c r="D40" s="84"/>
      <c r="E40" s="88">
        <f>SUM(E38:E39)</f>
        <v>2</v>
      </c>
      <c r="F40" s="84"/>
      <c r="G40" s="115"/>
      <c r="H40" s="79">
        <f t="shared" ref="H40:I40" si="69">SUM(H38:H39)</f>
        <v>380000000</v>
      </c>
      <c r="I40" s="79">
        <f t="shared" si="69"/>
        <v>380000000</v>
      </c>
      <c r="J40" s="59"/>
      <c r="K40" s="59"/>
      <c r="L40" s="59"/>
      <c r="M40" s="59"/>
      <c r="N40" s="79">
        <f t="shared" ref="N40:Z40" si="70">SUM(N38:N39)</f>
        <v>7426400</v>
      </c>
      <c r="O40" s="79">
        <f t="shared" si="70"/>
        <v>0</v>
      </c>
      <c r="P40" s="79">
        <f t="shared" si="70"/>
        <v>0</v>
      </c>
      <c r="Q40" s="79">
        <f t="shared" si="70"/>
        <v>7426400</v>
      </c>
      <c r="R40" s="79">
        <f t="shared" si="70"/>
        <v>742640</v>
      </c>
      <c r="S40" s="79">
        <f t="shared" si="70"/>
        <v>6683760</v>
      </c>
      <c r="T40" s="79">
        <f t="shared" si="70"/>
        <v>99272.988235294135</v>
      </c>
      <c r="U40" s="79">
        <f t="shared" si="70"/>
        <v>100035.95294117648</v>
      </c>
      <c r="V40" s="79">
        <f t="shared" si="70"/>
        <v>543331.0588235294</v>
      </c>
      <c r="W40" s="79">
        <f t="shared" si="70"/>
        <v>742640</v>
      </c>
      <c r="X40" s="79">
        <f t="shared" si="70"/>
        <v>0</v>
      </c>
      <c r="Y40" s="79">
        <f t="shared" si="70"/>
        <v>8336.3294117647074</v>
      </c>
      <c r="Z40" s="79">
        <f t="shared" si="70"/>
        <v>7922.1905190311427</v>
      </c>
    </row>
    <row r="41" spans="1:26" x14ac:dyDescent="0.2">
      <c r="A41" s="74">
        <v>10</v>
      </c>
      <c r="B41" s="107" t="s">
        <v>111</v>
      </c>
      <c r="C41" s="107" t="s">
        <v>112</v>
      </c>
      <c r="D41" s="110">
        <v>44316</v>
      </c>
      <c r="E41" s="74">
        <v>1</v>
      </c>
      <c r="F41" s="107" t="s">
        <v>113</v>
      </c>
      <c r="G41" s="111">
        <v>1</v>
      </c>
      <c r="H41" s="112">
        <v>45323679</v>
      </c>
      <c r="I41" s="112">
        <f>H41*G41</f>
        <v>45323679</v>
      </c>
      <c r="J41" s="110">
        <v>45784</v>
      </c>
      <c r="K41" s="77">
        <v>46302</v>
      </c>
      <c r="L41" s="107">
        <v>17</v>
      </c>
      <c r="M41" s="99">
        <v>9.1</v>
      </c>
      <c r="N41" s="81">
        <f t="shared" ref="N41" si="71">M41*H41/1000</f>
        <v>412445.47889999999</v>
      </c>
      <c r="O41" s="81">
        <v>100000</v>
      </c>
      <c r="P41" s="81"/>
      <c r="Q41" s="81">
        <f t="shared" ref="Q41" si="72">N41+O41+P41</f>
        <v>512445.47889999999</v>
      </c>
      <c r="R41" s="81"/>
      <c r="S41" s="81">
        <f t="shared" ref="S41" si="73">Q41-R41</f>
        <v>512445.47889999999</v>
      </c>
      <c r="T41" s="42">
        <f t="shared" si="44"/>
        <v>0</v>
      </c>
      <c r="U41" s="1">
        <f t="shared" si="45"/>
        <v>0</v>
      </c>
      <c r="V41" s="34">
        <f t="shared" si="41"/>
        <v>0</v>
      </c>
      <c r="W41" s="35">
        <f t="shared" si="42"/>
        <v>0</v>
      </c>
      <c r="X41" s="35">
        <f t="shared" si="43"/>
        <v>0</v>
      </c>
      <c r="Y41" s="35">
        <v>0</v>
      </c>
      <c r="Z41" s="41">
        <f t="shared" si="46"/>
        <v>0</v>
      </c>
    </row>
    <row r="42" spans="1:26" x14ac:dyDescent="0.2">
      <c r="A42" s="150"/>
      <c r="B42" s="90"/>
      <c r="C42" s="90"/>
      <c r="D42" s="90"/>
      <c r="E42" s="150"/>
      <c r="F42" s="90"/>
      <c r="G42" s="151"/>
      <c r="H42" s="152"/>
      <c r="I42" s="152"/>
      <c r="J42" s="152"/>
      <c r="K42" s="152"/>
      <c r="L42" s="152"/>
      <c r="M42" s="152"/>
      <c r="N42" s="152">
        <f t="shared" ref="N42:Z42" si="74">SUM(N41:N41)</f>
        <v>412445.47889999999</v>
      </c>
      <c r="O42" s="152">
        <f t="shared" si="74"/>
        <v>100000</v>
      </c>
      <c r="P42" s="152">
        <f t="shared" si="74"/>
        <v>0</v>
      </c>
      <c r="Q42" s="152">
        <f t="shared" si="74"/>
        <v>512445.47889999999</v>
      </c>
      <c r="R42" s="152">
        <f t="shared" si="74"/>
        <v>0</v>
      </c>
      <c r="S42" s="152">
        <f t="shared" si="74"/>
        <v>512445.47889999999</v>
      </c>
      <c r="T42" s="152">
        <f t="shared" si="74"/>
        <v>0</v>
      </c>
      <c r="U42" s="152">
        <f t="shared" si="74"/>
        <v>0</v>
      </c>
      <c r="V42" s="152">
        <f t="shared" si="74"/>
        <v>0</v>
      </c>
      <c r="W42" s="152">
        <f t="shared" si="74"/>
        <v>0</v>
      </c>
      <c r="X42" s="152">
        <f t="shared" si="74"/>
        <v>0</v>
      </c>
      <c r="Y42" s="152">
        <f t="shared" si="74"/>
        <v>0</v>
      </c>
      <c r="Z42" s="152">
        <f t="shared" si="74"/>
        <v>0</v>
      </c>
    </row>
    <row r="43" spans="1:26" x14ac:dyDescent="0.2">
      <c r="A43" s="83"/>
      <c r="B43" s="83"/>
      <c r="C43" s="83" t="s">
        <v>115</v>
      </c>
      <c r="D43" s="84"/>
      <c r="E43" s="85">
        <f>E42+E40+E37+E35+E33+E31</f>
        <v>5</v>
      </c>
      <c r="F43" s="87"/>
      <c r="G43" s="87"/>
      <c r="H43" s="87">
        <f t="shared" ref="H43:Z43" si="75">H42+H40+H37+H35+H33+H31</f>
        <v>533000000</v>
      </c>
      <c r="I43" s="87">
        <f t="shared" si="75"/>
        <v>533000000</v>
      </c>
      <c r="J43" s="87">
        <f t="shared" si="75"/>
        <v>0</v>
      </c>
      <c r="K43" s="87">
        <f t="shared" si="75"/>
        <v>0</v>
      </c>
      <c r="L43" s="87"/>
      <c r="M43" s="87"/>
      <c r="N43" s="87">
        <f t="shared" si="75"/>
        <v>14796238.633820001</v>
      </c>
      <c r="O43" s="87">
        <f t="shared" si="75"/>
        <v>300000</v>
      </c>
      <c r="P43" s="87">
        <f t="shared" si="75"/>
        <v>0</v>
      </c>
      <c r="Q43" s="87">
        <f t="shared" si="75"/>
        <v>15096238.633820001</v>
      </c>
      <c r="R43" s="87">
        <f t="shared" si="75"/>
        <v>1379497</v>
      </c>
      <c r="S43" s="87">
        <f t="shared" si="75"/>
        <v>13716741.633820001</v>
      </c>
      <c r="T43" s="87">
        <f t="shared" si="75"/>
        <v>195647.28400994203</v>
      </c>
      <c r="U43" s="87">
        <f t="shared" si="75"/>
        <v>230790.33603976801</v>
      </c>
      <c r="V43" s="87">
        <f t="shared" si="75"/>
        <v>953059.37995028996</v>
      </c>
      <c r="W43" s="87">
        <f t="shared" si="75"/>
        <v>1379497</v>
      </c>
      <c r="X43" s="87">
        <f t="shared" si="75"/>
        <v>0</v>
      </c>
      <c r="Y43" s="87">
        <f t="shared" si="75"/>
        <v>19232.528003314004</v>
      </c>
      <c r="Z43" s="87">
        <f t="shared" si="75"/>
        <v>18115.983777738315</v>
      </c>
    </row>
    <row r="44" spans="1:26" x14ac:dyDescent="0.2">
      <c r="A44" s="83"/>
      <c r="B44" s="83"/>
      <c r="C44" s="83" t="s">
        <v>116</v>
      </c>
      <c r="D44" s="84"/>
      <c r="E44" s="93">
        <f>E43+E24</f>
        <v>8</v>
      </c>
      <c r="F44" s="95"/>
      <c r="G44" s="95"/>
      <c r="H44" s="95">
        <f t="shared" ref="H44:Q44" si="76">H43+H24</f>
        <v>1073000000</v>
      </c>
      <c r="I44" s="95">
        <f t="shared" si="76"/>
        <v>1073000000</v>
      </c>
      <c r="J44" s="95">
        <f t="shared" si="76"/>
        <v>0</v>
      </c>
      <c r="K44" s="95">
        <f t="shared" si="76"/>
        <v>0</v>
      </c>
      <c r="L44" s="95"/>
      <c r="M44" s="95"/>
      <c r="N44" s="95">
        <f t="shared" si="76"/>
        <v>31538238.633820001</v>
      </c>
      <c r="O44" s="95">
        <f t="shared" si="76"/>
        <v>300000</v>
      </c>
      <c r="P44" s="95">
        <f t="shared" si="76"/>
        <v>0</v>
      </c>
      <c r="Q44" s="95">
        <f t="shared" si="76"/>
        <v>31838238.633820001</v>
      </c>
      <c r="R44" s="95">
        <f>R43+R24</f>
        <v>3053697</v>
      </c>
      <c r="S44" s="95">
        <f t="shared" ref="S44:Z44" si="77">S43+S24</f>
        <v>42586941.633819997</v>
      </c>
      <c r="T44" s="95">
        <f t="shared" si="77"/>
        <v>428001.84138431179</v>
      </c>
      <c r="U44" s="95">
        <f t="shared" si="77"/>
        <v>385188.76825268054</v>
      </c>
      <c r="V44" s="95">
        <f t="shared" si="77"/>
        <v>2240506.3903630078</v>
      </c>
      <c r="W44" s="95">
        <f t="shared" si="77"/>
        <v>3053697</v>
      </c>
      <c r="X44" s="95">
        <f t="shared" si="77"/>
        <v>0</v>
      </c>
      <c r="Y44" s="95">
        <f t="shared" si="77"/>
        <v>32099.064021056714</v>
      </c>
      <c r="Z44" s="95">
        <f t="shared" si="77"/>
        <v>30031.124973010461</v>
      </c>
    </row>
    <row r="46" spans="1:26" ht="23.25" x14ac:dyDescent="0.2">
      <c r="A46" s="86" t="s">
        <v>159</v>
      </c>
      <c r="B46" s="62"/>
      <c r="C46" s="62"/>
      <c r="D46" s="57"/>
      <c r="E46" s="63"/>
      <c r="F46" s="64"/>
      <c r="G46" s="65"/>
      <c r="H46" s="66"/>
      <c r="I46" s="66"/>
      <c r="J46" s="67"/>
      <c r="K46" s="67"/>
      <c r="L46" s="68"/>
      <c r="M46" s="68"/>
      <c r="N46" s="69"/>
      <c r="O46" s="69"/>
      <c r="P46" s="69"/>
      <c r="Q46" s="69"/>
      <c r="R46" s="69"/>
      <c r="S46" s="69"/>
      <c r="T46" s="70"/>
      <c r="U46" s="71"/>
      <c r="V46" s="71"/>
    </row>
    <row r="47" spans="1:26" x14ac:dyDescent="0.2">
      <c r="A47" s="231" t="s">
        <v>0</v>
      </c>
      <c r="B47" s="232" t="s">
        <v>1</v>
      </c>
      <c r="C47" s="229" t="s">
        <v>2</v>
      </c>
      <c r="D47" s="233" t="s">
        <v>3</v>
      </c>
      <c r="E47" s="234" t="s">
        <v>4</v>
      </c>
      <c r="F47" s="232" t="s">
        <v>5</v>
      </c>
      <c r="G47" s="235" t="s">
        <v>6</v>
      </c>
      <c r="H47" s="236" t="s">
        <v>7</v>
      </c>
      <c r="I47" s="236" t="s">
        <v>8</v>
      </c>
      <c r="J47" s="227" t="s">
        <v>9</v>
      </c>
      <c r="K47" s="227"/>
      <c r="L47" s="228" t="s">
        <v>10</v>
      </c>
      <c r="M47" s="229" t="s">
        <v>11</v>
      </c>
      <c r="N47" s="230" t="s">
        <v>12</v>
      </c>
      <c r="O47" s="230"/>
      <c r="P47" s="230"/>
      <c r="Q47" s="229" t="s">
        <v>13</v>
      </c>
      <c r="R47" s="229" t="s">
        <v>14</v>
      </c>
      <c r="S47" s="229" t="s">
        <v>15</v>
      </c>
      <c r="T47" s="36">
        <v>2021</v>
      </c>
      <c r="U47" s="37"/>
      <c r="V47" s="38" t="s">
        <v>44</v>
      </c>
    </row>
    <row r="48" spans="1:26" x14ac:dyDescent="0.2">
      <c r="A48" s="231"/>
      <c r="B48" s="232"/>
      <c r="C48" s="229"/>
      <c r="D48" s="233"/>
      <c r="E48" s="234"/>
      <c r="F48" s="232"/>
      <c r="G48" s="235"/>
      <c r="H48" s="236"/>
      <c r="I48" s="236"/>
      <c r="J48" s="227"/>
      <c r="K48" s="227"/>
      <c r="L48" s="228"/>
      <c r="M48" s="229"/>
      <c r="N48" s="186" t="s">
        <v>16</v>
      </c>
      <c r="O48" s="186" t="s">
        <v>17</v>
      </c>
      <c r="P48" s="186" t="s">
        <v>18</v>
      </c>
      <c r="Q48" s="229"/>
      <c r="R48" s="229"/>
      <c r="S48" s="229"/>
      <c r="T48" s="96" t="s">
        <v>200</v>
      </c>
      <c r="U48" s="39" t="s">
        <v>204</v>
      </c>
      <c r="V48" s="40"/>
    </row>
    <row r="49" spans="1:26" ht="12.75" x14ac:dyDescent="0.2">
      <c r="A49" s="154">
        <v>11</v>
      </c>
      <c r="B49" s="155" t="s">
        <v>122</v>
      </c>
      <c r="C49" s="155" t="s">
        <v>123</v>
      </c>
      <c r="D49" s="156">
        <v>44334</v>
      </c>
      <c r="E49" s="154">
        <v>1</v>
      </c>
      <c r="F49" s="155" t="s">
        <v>124</v>
      </c>
      <c r="G49" s="111">
        <v>1</v>
      </c>
      <c r="H49" s="112">
        <v>30000000</v>
      </c>
      <c r="I49" s="112">
        <f>H49*G49</f>
        <v>30000000</v>
      </c>
      <c r="J49" s="110">
        <v>44257</v>
      </c>
      <c r="K49" s="77">
        <f>IFERROR(VALUE(DAY(J49)&amp;" "&amp;TEXT(EOMONTH(J49,L49)-29,"mmm")&amp;" "&amp;YEAR(EOMONTH(J49,L49)-29)),"-")</f>
        <v>44987</v>
      </c>
      <c r="L49" s="107">
        <v>24</v>
      </c>
      <c r="M49" s="99">
        <v>10.57</v>
      </c>
      <c r="N49" s="81">
        <f t="shared" ref="N49" si="78">M49*H49/1000</f>
        <v>317100</v>
      </c>
      <c r="O49" s="81"/>
      <c r="P49" s="81"/>
      <c r="Q49" s="81">
        <f t="shared" ref="Q49" si="79">N49+O49+P49</f>
        <v>317100</v>
      </c>
      <c r="R49" s="81">
        <f t="shared" ref="R49" si="80">10%*N49</f>
        <v>31710</v>
      </c>
      <c r="S49" s="81">
        <f t="shared" ref="S49" si="81">Q49-R49</f>
        <v>285390</v>
      </c>
      <c r="T49" s="42">
        <f>R49*10%+(Y49*2)</f>
        <v>5652.652173913044</v>
      </c>
      <c r="U49" s="1">
        <f t="shared" ref="U49" si="82">Y49*12</f>
        <v>14889.91304347826</v>
      </c>
      <c r="V49" s="34">
        <f t="shared" ref="V49" si="83">R49-T49-U49</f>
        <v>11167.434782608696</v>
      </c>
      <c r="W49" s="35">
        <f t="shared" ref="W49" si="84">T49+U49+V49</f>
        <v>31710</v>
      </c>
      <c r="X49" s="35">
        <f t="shared" ref="X49" si="85">R49-W49</f>
        <v>0</v>
      </c>
      <c r="Y49" s="35">
        <v>1240.8260869565217</v>
      </c>
      <c r="Z49" s="41">
        <f t="shared" ref="Z49" si="86">(R49-T49)/(L49-1)</f>
        <v>1132.9281663516067</v>
      </c>
    </row>
    <row r="50" spans="1:26" ht="12.75" x14ac:dyDescent="0.2">
      <c r="A50" s="159"/>
      <c r="B50" s="160"/>
      <c r="C50" s="160"/>
      <c r="D50" s="160"/>
      <c r="E50" s="159">
        <f>SUM(E49)</f>
        <v>1</v>
      </c>
      <c r="F50" s="160"/>
      <c r="G50" s="161"/>
      <c r="H50" s="162">
        <f>SUM(H49)</f>
        <v>30000000</v>
      </c>
      <c r="I50" s="162">
        <f>SUM(I49)</f>
        <v>30000000</v>
      </c>
      <c r="J50" s="162"/>
      <c r="K50" s="162"/>
      <c r="L50" s="162"/>
      <c r="M50" s="162"/>
      <c r="N50" s="162">
        <f t="shared" ref="N50:Z50" si="87">SUM(N49)</f>
        <v>317100</v>
      </c>
      <c r="O50" s="162">
        <f t="shared" si="87"/>
        <v>0</v>
      </c>
      <c r="P50" s="162">
        <f t="shared" si="87"/>
        <v>0</v>
      </c>
      <c r="Q50" s="162">
        <f t="shared" si="87"/>
        <v>317100</v>
      </c>
      <c r="R50" s="162">
        <f t="shared" si="87"/>
        <v>31710</v>
      </c>
      <c r="S50" s="162">
        <f t="shared" si="87"/>
        <v>285390</v>
      </c>
      <c r="T50" s="162">
        <f t="shared" si="87"/>
        <v>5652.652173913044</v>
      </c>
      <c r="U50" s="162">
        <f t="shared" si="87"/>
        <v>14889.91304347826</v>
      </c>
      <c r="V50" s="162">
        <f t="shared" si="87"/>
        <v>11167.434782608696</v>
      </c>
      <c r="W50" s="162">
        <f t="shared" si="87"/>
        <v>31710</v>
      </c>
      <c r="X50" s="162">
        <f t="shared" si="87"/>
        <v>0</v>
      </c>
      <c r="Y50" s="162">
        <f t="shared" si="87"/>
        <v>1240.8260869565217</v>
      </c>
      <c r="Z50" s="162">
        <f t="shared" si="87"/>
        <v>1132.9281663516067</v>
      </c>
    </row>
    <row r="51" spans="1:26" x14ac:dyDescent="0.2">
      <c r="A51" s="74">
        <v>12</v>
      </c>
      <c r="B51" s="107" t="s">
        <v>111</v>
      </c>
      <c r="C51" s="107" t="s">
        <v>125</v>
      </c>
      <c r="D51" s="110">
        <v>44336</v>
      </c>
      <c r="E51" s="74">
        <v>1</v>
      </c>
      <c r="F51" s="107" t="s">
        <v>126</v>
      </c>
      <c r="G51" s="111">
        <v>1</v>
      </c>
      <c r="H51" s="112">
        <v>69230850</v>
      </c>
      <c r="I51" s="112">
        <f>H51*G51</f>
        <v>69230850</v>
      </c>
      <c r="J51" s="110">
        <v>44315</v>
      </c>
      <c r="K51" s="77">
        <f>IFERROR(VALUE(DAY(J51)&amp;" "&amp;TEXT(EOMONTH(J51,L51)-29,"mmm")&amp;" "&amp;YEAR(EOMONTH(J51,L51)-29)),"-")</f>
        <v>45686</v>
      </c>
      <c r="L51" s="107">
        <v>45</v>
      </c>
      <c r="M51" s="99">
        <v>15.93</v>
      </c>
      <c r="N51" s="81">
        <f t="shared" ref="N51:N52" si="88">M51*H51/1000</f>
        <v>1102847.4405</v>
      </c>
      <c r="O51" s="81"/>
      <c r="P51" s="81"/>
      <c r="Q51" s="81">
        <f t="shared" ref="Q51:Q52" si="89">N51+O51+P51</f>
        <v>1102847.4405</v>
      </c>
      <c r="R51" s="81">
        <f t="shared" ref="R51:R52" si="90">10%*N51</f>
        <v>110284.74405000001</v>
      </c>
      <c r="S51" s="81">
        <f t="shared" ref="S51:S52" si="91">Q51-R51</f>
        <v>992562.69645000005</v>
      </c>
      <c r="T51" s="42"/>
      <c r="U51" s="1"/>
      <c r="V51" s="34"/>
      <c r="W51" s="35"/>
      <c r="X51" s="35"/>
      <c r="Y51" s="35"/>
      <c r="Z51" s="41"/>
    </row>
    <row r="52" spans="1:26" x14ac:dyDescent="0.2">
      <c r="A52" s="74"/>
      <c r="B52" s="107"/>
      <c r="C52" s="107"/>
      <c r="D52" s="110"/>
      <c r="E52" s="74">
        <v>1</v>
      </c>
      <c r="F52" s="107" t="s">
        <v>127</v>
      </c>
      <c r="G52" s="111">
        <v>1</v>
      </c>
      <c r="H52" s="112">
        <v>82219772</v>
      </c>
      <c r="I52" s="112">
        <f>H52*G52</f>
        <v>82219772</v>
      </c>
      <c r="J52" s="110">
        <v>44307</v>
      </c>
      <c r="K52" s="77">
        <f>IFERROR(VALUE(DAY(J52)&amp;" "&amp;TEXT(EOMONTH(J52,L52)-29,"mmm")&amp;" "&amp;YEAR(EOMONTH(J52,L52)-29)),"-")</f>
        <v>46742</v>
      </c>
      <c r="L52" s="107">
        <v>80</v>
      </c>
      <c r="M52" s="99">
        <v>25.48</v>
      </c>
      <c r="N52" s="81">
        <f t="shared" si="88"/>
        <v>2094959.7905599999</v>
      </c>
      <c r="O52" s="81"/>
      <c r="P52" s="81"/>
      <c r="Q52" s="81">
        <f t="shared" si="89"/>
        <v>2094959.7905599999</v>
      </c>
      <c r="R52" s="81">
        <f t="shared" si="90"/>
        <v>209495.97905600001</v>
      </c>
      <c r="S52" s="81">
        <f t="shared" si="91"/>
        <v>1885463.8115039999</v>
      </c>
      <c r="T52" s="42"/>
      <c r="U52" s="1"/>
      <c r="V52" s="34"/>
      <c r="W52" s="35"/>
      <c r="X52" s="35"/>
      <c r="Y52" s="35"/>
      <c r="Z52" s="41"/>
    </row>
    <row r="53" spans="1:26" x14ac:dyDescent="0.2">
      <c r="A53" s="88"/>
      <c r="B53" s="84"/>
      <c r="C53" s="84"/>
      <c r="D53" s="84"/>
      <c r="E53" s="88">
        <f>SUM(E51:E52)</f>
        <v>2</v>
      </c>
      <c r="F53" s="84"/>
      <c r="G53" s="115"/>
      <c r="H53" s="79">
        <f t="shared" ref="H53:I53" si="92">SUM(H51:H52)</f>
        <v>151450622</v>
      </c>
      <c r="I53" s="79">
        <f t="shared" si="92"/>
        <v>151450622</v>
      </c>
      <c r="J53" s="59"/>
      <c r="K53" s="59"/>
      <c r="L53" s="59"/>
      <c r="M53" s="59"/>
      <c r="N53" s="79">
        <f t="shared" ref="N53:Z53" si="93">SUM(N51:N52)</f>
        <v>3197807.2310600001</v>
      </c>
      <c r="O53" s="79">
        <f t="shared" si="93"/>
        <v>0</v>
      </c>
      <c r="P53" s="79">
        <f t="shared" si="93"/>
        <v>0</v>
      </c>
      <c r="Q53" s="79">
        <f t="shared" si="93"/>
        <v>3197807.2310600001</v>
      </c>
      <c r="R53" s="79"/>
      <c r="S53" s="79">
        <f t="shared" si="93"/>
        <v>2878026.507954</v>
      </c>
      <c r="T53" s="79">
        <f t="shared" si="93"/>
        <v>0</v>
      </c>
      <c r="U53" s="79">
        <f t="shared" si="93"/>
        <v>0</v>
      </c>
      <c r="V53" s="79">
        <f t="shared" si="93"/>
        <v>0</v>
      </c>
      <c r="W53" s="79">
        <f t="shared" si="93"/>
        <v>0</v>
      </c>
      <c r="X53" s="79">
        <f t="shared" si="93"/>
        <v>0</v>
      </c>
      <c r="Y53" s="79">
        <f t="shared" si="93"/>
        <v>0</v>
      </c>
      <c r="Z53" s="79">
        <f t="shared" si="93"/>
        <v>0</v>
      </c>
    </row>
    <row r="54" spans="1:26" ht="12.75" x14ac:dyDescent="0.2">
      <c r="A54" s="154">
        <v>13</v>
      </c>
      <c r="B54" s="155" t="s">
        <v>128</v>
      </c>
      <c r="C54" s="155" t="s">
        <v>129</v>
      </c>
      <c r="D54" s="156">
        <v>44347</v>
      </c>
      <c r="E54" s="154">
        <v>1</v>
      </c>
      <c r="F54" s="155" t="s">
        <v>130</v>
      </c>
      <c r="G54" s="111">
        <v>1</v>
      </c>
      <c r="H54" s="112">
        <v>1000000000</v>
      </c>
      <c r="I54" s="112">
        <f>H54*G54</f>
        <v>1000000000</v>
      </c>
      <c r="J54" s="110">
        <v>44327</v>
      </c>
      <c r="K54" s="77">
        <f>IFERROR(VALUE(DAY(J54)&amp;" "&amp;TEXT(EOMONTH(J54,L54)-29,"mmm")&amp;" "&amp;YEAR(EOMONTH(J54,L54)-29)),"-")</f>
        <v>45241</v>
      </c>
      <c r="L54" s="107">
        <v>30</v>
      </c>
      <c r="M54" s="99">
        <v>30.71</v>
      </c>
      <c r="N54" s="81">
        <f t="shared" ref="N54" si="94">M54*H54/1000</f>
        <v>30710000</v>
      </c>
      <c r="O54" s="81"/>
      <c r="P54" s="81"/>
      <c r="Q54" s="81">
        <f t="shared" ref="Q54" si="95">N54+O54+P54</f>
        <v>30710000</v>
      </c>
      <c r="R54" s="81">
        <f t="shared" ref="R54" si="96">10%*N54</f>
        <v>3071000</v>
      </c>
      <c r="S54" s="81">
        <f t="shared" ref="S54" si="97">Q54-R54</f>
        <v>27639000</v>
      </c>
      <c r="T54" s="42">
        <f>R54*10%+(Y54*2)</f>
        <v>497713.79310344829</v>
      </c>
      <c r="U54" s="1">
        <f t="shared" ref="U54:U72" si="98">Y54*12</f>
        <v>1143682.7586206896</v>
      </c>
      <c r="V54" s="34">
        <f t="shared" ref="V54:V72" si="99">R54-T54-U54</f>
        <v>1429603.4482758623</v>
      </c>
      <c r="W54" s="35">
        <f t="shared" ref="W54:W72" si="100">T54+U54+V54</f>
        <v>3071000</v>
      </c>
      <c r="X54" s="35">
        <f t="shared" ref="X54:X72" si="101">R54-W54</f>
        <v>0</v>
      </c>
      <c r="Y54" s="35">
        <v>95306.896551724145</v>
      </c>
      <c r="Z54" s="41">
        <f t="shared" ref="Z54:Z72" si="102">(R54-T54)/(L54-1)</f>
        <v>88734.007134363856</v>
      </c>
    </row>
    <row r="55" spans="1:26" ht="12.75" x14ac:dyDescent="0.2">
      <c r="A55" s="159"/>
      <c r="B55" s="160"/>
      <c r="C55" s="160"/>
      <c r="D55" s="160"/>
      <c r="E55" s="159">
        <f>SUM(E54)</f>
        <v>1</v>
      </c>
      <c r="F55" s="160"/>
      <c r="G55" s="161"/>
      <c r="H55" s="162">
        <f>SUM(H54)</f>
        <v>1000000000</v>
      </c>
      <c r="I55" s="162">
        <f>SUM(I54)</f>
        <v>1000000000</v>
      </c>
      <c r="J55" s="162"/>
      <c r="K55" s="162"/>
      <c r="L55" s="162"/>
      <c r="M55" s="162"/>
      <c r="N55" s="162">
        <f t="shared" ref="N55:Z55" si="103">SUM(N54)</f>
        <v>30710000</v>
      </c>
      <c r="O55" s="162">
        <f t="shared" si="103"/>
        <v>0</v>
      </c>
      <c r="P55" s="162">
        <f t="shared" si="103"/>
        <v>0</v>
      </c>
      <c r="Q55" s="162">
        <f t="shared" si="103"/>
        <v>30710000</v>
      </c>
      <c r="R55" s="162">
        <f t="shared" si="103"/>
        <v>3071000</v>
      </c>
      <c r="S55" s="162">
        <f t="shared" si="103"/>
        <v>27639000</v>
      </c>
      <c r="T55" s="162">
        <f t="shared" si="103"/>
        <v>497713.79310344829</v>
      </c>
      <c r="U55" s="162">
        <f t="shared" si="103"/>
        <v>1143682.7586206896</v>
      </c>
      <c r="V55" s="162">
        <f t="shared" si="103"/>
        <v>1429603.4482758623</v>
      </c>
      <c r="W55" s="162">
        <f t="shared" si="103"/>
        <v>3071000</v>
      </c>
      <c r="X55" s="162">
        <f t="shared" si="103"/>
        <v>0</v>
      </c>
      <c r="Y55" s="162">
        <f t="shared" si="103"/>
        <v>95306.896551724145</v>
      </c>
      <c r="Z55" s="162">
        <f t="shared" si="103"/>
        <v>88734.007134363856</v>
      </c>
    </row>
    <row r="56" spans="1:26" ht="12.75" x14ac:dyDescent="0.2">
      <c r="A56" s="154">
        <v>14</v>
      </c>
      <c r="B56" s="155" t="s">
        <v>128</v>
      </c>
      <c r="C56" s="155" t="s">
        <v>131</v>
      </c>
      <c r="D56" s="156">
        <v>44347</v>
      </c>
      <c r="E56" s="154">
        <v>1</v>
      </c>
      <c r="F56" s="155" t="s">
        <v>132</v>
      </c>
      <c r="G56" s="111">
        <v>1</v>
      </c>
      <c r="H56" s="112">
        <v>170000000</v>
      </c>
      <c r="I56" s="112">
        <f>H56*G56</f>
        <v>170000000</v>
      </c>
      <c r="J56" s="110">
        <v>44319</v>
      </c>
      <c r="K56" s="77">
        <f>IFERROR(VALUE(DAY(J56)&amp;" "&amp;TEXT(EOMONTH(J56,L56)-29,"mmm")&amp;" "&amp;YEAR(EOMONTH(J56,L56)-29)),"-")</f>
        <v>46145</v>
      </c>
      <c r="L56" s="107">
        <v>60</v>
      </c>
      <c r="M56" s="169">
        <v>13.65</v>
      </c>
      <c r="N56" s="81">
        <f t="shared" ref="N56:N69" si="104">M56*H56/1000</f>
        <v>2320500</v>
      </c>
      <c r="O56" s="81"/>
      <c r="P56" s="81"/>
      <c r="Q56" s="81">
        <f t="shared" ref="Q56:Q69" si="105">N56+O56+P56</f>
        <v>2320500</v>
      </c>
      <c r="R56" s="81">
        <f t="shared" ref="R56:R69" si="106">10%*N56</f>
        <v>232050</v>
      </c>
      <c r="S56" s="81">
        <f t="shared" ref="S56:S69" si="107">Q56-R56</f>
        <v>2088450</v>
      </c>
      <c r="T56" s="42">
        <f t="shared" ref="T56:T69" si="108">R56*10%+(Y56*2)</f>
        <v>30284.491525423728</v>
      </c>
      <c r="U56" s="1">
        <f t="shared" si="98"/>
        <v>42476.949152542373</v>
      </c>
      <c r="V56" s="34">
        <f t="shared" si="99"/>
        <v>159288.55932203392</v>
      </c>
      <c r="W56" s="35">
        <f t="shared" si="100"/>
        <v>232050.00000000003</v>
      </c>
      <c r="X56" s="35">
        <f t="shared" si="101"/>
        <v>0</v>
      </c>
      <c r="Y56" s="35">
        <v>3539.7457627118642</v>
      </c>
      <c r="Z56" s="41">
        <f t="shared" si="102"/>
        <v>3419.7543809250219</v>
      </c>
    </row>
    <row r="57" spans="1:26" ht="12.75" x14ac:dyDescent="0.2">
      <c r="A57" s="164"/>
      <c r="B57" s="165"/>
      <c r="C57" s="165"/>
      <c r="D57" s="165"/>
      <c r="E57" s="154">
        <v>1</v>
      </c>
      <c r="F57" s="155" t="s">
        <v>133</v>
      </c>
      <c r="G57" s="111">
        <v>1</v>
      </c>
      <c r="H57" s="112">
        <v>250000000</v>
      </c>
      <c r="I57" s="112">
        <f t="shared" ref="I57:I69" si="109">H57*G57</f>
        <v>250000000</v>
      </c>
      <c r="J57" s="110">
        <v>44320</v>
      </c>
      <c r="K57" s="77">
        <f t="shared" ref="K57:K69" si="110">IFERROR(VALUE(DAY(J57)&amp;" "&amp;TEXT(EOMONTH(J57,L57)-29,"mmm")&amp;" "&amp;YEAR(EOMONTH(J57,L57)-29)),"-")</f>
        <v>45781</v>
      </c>
      <c r="L57" s="107">
        <v>48</v>
      </c>
      <c r="M57" s="169">
        <v>11.38</v>
      </c>
      <c r="N57" s="81">
        <f t="shared" si="104"/>
        <v>2845000</v>
      </c>
      <c r="O57" s="81"/>
      <c r="P57" s="81"/>
      <c r="Q57" s="81">
        <f t="shared" si="105"/>
        <v>2845000</v>
      </c>
      <c r="R57" s="81">
        <f t="shared" si="106"/>
        <v>284500</v>
      </c>
      <c r="S57" s="81">
        <f t="shared" si="107"/>
        <v>2560500</v>
      </c>
      <c r="T57" s="42">
        <f t="shared" si="108"/>
        <v>39345.744680851065</v>
      </c>
      <c r="U57" s="1">
        <f t="shared" si="98"/>
        <v>65374.468085106375</v>
      </c>
      <c r="V57" s="34">
        <f t="shared" si="99"/>
        <v>179779.78723404257</v>
      </c>
      <c r="W57" s="35">
        <f t="shared" si="100"/>
        <v>284500</v>
      </c>
      <c r="X57" s="35">
        <f t="shared" si="101"/>
        <v>0</v>
      </c>
      <c r="Y57" s="35">
        <v>5447.8723404255315</v>
      </c>
      <c r="Z57" s="41">
        <f t="shared" si="102"/>
        <v>5216.0479855138074</v>
      </c>
    </row>
    <row r="58" spans="1:26" ht="12.75" x14ac:dyDescent="0.2">
      <c r="A58" s="166"/>
      <c r="B58" s="166"/>
      <c r="C58" s="166"/>
      <c r="D58" s="167"/>
      <c r="E58" s="154">
        <v>1</v>
      </c>
      <c r="F58" s="155" t="s">
        <v>134</v>
      </c>
      <c r="G58" s="111">
        <v>1</v>
      </c>
      <c r="H58" s="112">
        <v>315000000</v>
      </c>
      <c r="I58" s="112">
        <f t="shared" si="109"/>
        <v>315000000</v>
      </c>
      <c r="J58" s="110">
        <v>44319</v>
      </c>
      <c r="K58" s="77">
        <f t="shared" si="110"/>
        <v>49798</v>
      </c>
      <c r="L58" s="107">
        <v>180</v>
      </c>
      <c r="M58" s="169">
        <v>37.520000000000003</v>
      </c>
      <c r="N58" s="81">
        <f t="shared" si="104"/>
        <v>11818800.000000002</v>
      </c>
      <c r="O58" s="81"/>
      <c r="P58" s="81"/>
      <c r="Q58" s="81">
        <f t="shared" si="105"/>
        <v>11818800.000000002</v>
      </c>
      <c r="R58" s="81">
        <f t="shared" si="106"/>
        <v>1181880.0000000002</v>
      </c>
      <c r="S58" s="81">
        <f t="shared" si="107"/>
        <v>10636920.000000002</v>
      </c>
      <c r="T58" s="42">
        <f t="shared" si="108"/>
        <v>130072.82681564249</v>
      </c>
      <c r="U58" s="1">
        <f t="shared" si="98"/>
        <v>71308.960893854761</v>
      </c>
      <c r="V58" s="34">
        <f t="shared" si="99"/>
        <v>980498.21229050308</v>
      </c>
      <c r="W58" s="35">
        <f t="shared" si="100"/>
        <v>1181880.0000000005</v>
      </c>
      <c r="X58" s="35">
        <f t="shared" si="101"/>
        <v>0</v>
      </c>
      <c r="Y58" s="35">
        <v>5942.4134078212301</v>
      </c>
      <c r="Z58" s="41">
        <f t="shared" si="102"/>
        <v>5876.017727286915</v>
      </c>
    </row>
    <row r="59" spans="1:26" ht="12.75" x14ac:dyDescent="0.2">
      <c r="A59" s="168"/>
      <c r="B59" s="168"/>
      <c r="C59" s="168"/>
      <c r="D59" s="107"/>
      <c r="E59" s="154">
        <v>1</v>
      </c>
      <c r="F59" s="155" t="s">
        <v>135</v>
      </c>
      <c r="G59" s="111">
        <v>1</v>
      </c>
      <c r="H59" s="112">
        <v>315000000</v>
      </c>
      <c r="I59" s="112">
        <f t="shared" si="109"/>
        <v>315000000</v>
      </c>
      <c r="J59" s="110">
        <v>44320</v>
      </c>
      <c r="K59" s="77">
        <f t="shared" si="110"/>
        <v>49799</v>
      </c>
      <c r="L59" s="107">
        <v>180</v>
      </c>
      <c r="M59" s="169">
        <v>37.520000000000003</v>
      </c>
      <c r="N59" s="81">
        <f t="shared" si="104"/>
        <v>11818800.000000002</v>
      </c>
      <c r="O59" s="81"/>
      <c r="P59" s="81"/>
      <c r="Q59" s="81">
        <f t="shared" si="105"/>
        <v>11818800.000000002</v>
      </c>
      <c r="R59" s="81">
        <f t="shared" si="106"/>
        <v>1181880.0000000002</v>
      </c>
      <c r="S59" s="81">
        <f t="shared" si="107"/>
        <v>10636920.000000002</v>
      </c>
      <c r="T59" s="42">
        <f t="shared" si="108"/>
        <v>130072.82681564249</v>
      </c>
      <c r="U59" s="1">
        <f t="shared" si="98"/>
        <v>71308.960893854761</v>
      </c>
      <c r="V59" s="34">
        <f t="shared" si="99"/>
        <v>980498.21229050308</v>
      </c>
      <c r="W59" s="35">
        <f t="shared" si="100"/>
        <v>1181880.0000000005</v>
      </c>
      <c r="X59" s="35">
        <f t="shared" si="101"/>
        <v>0</v>
      </c>
      <c r="Y59" s="35">
        <v>5942.4134078212301</v>
      </c>
      <c r="Z59" s="41">
        <f t="shared" si="102"/>
        <v>5876.017727286915</v>
      </c>
    </row>
    <row r="60" spans="1:26" ht="12.75" x14ac:dyDescent="0.2">
      <c r="A60" s="168"/>
      <c r="B60" s="168"/>
      <c r="C60" s="168"/>
      <c r="D60" s="107"/>
      <c r="E60" s="154">
        <v>1</v>
      </c>
      <c r="F60" s="155" t="s">
        <v>136</v>
      </c>
      <c r="G60" s="111">
        <v>1</v>
      </c>
      <c r="H60" s="112">
        <v>250000000</v>
      </c>
      <c r="I60" s="112">
        <f t="shared" si="109"/>
        <v>250000000</v>
      </c>
      <c r="J60" s="110">
        <v>44320</v>
      </c>
      <c r="K60" s="77">
        <f t="shared" si="110"/>
        <v>47972</v>
      </c>
      <c r="L60" s="107">
        <v>120</v>
      </c>
      <c r="M60" s="169">
        <v>25.48</v>
      </c>
      <c r="N60" s="81">
        <f t="shared" si="104"/>
        <v>6370000</v>
      </c>
      <c r="O60" s="81"/>
      <c r="P60" s="81"/>
      <c r="Q60" s="81">
        <f t="shared" si="105"/>
        <v>6370000</v>
      </c>
      <c r="R60" s="81">
        <f t="shared" si="106"/>
        <v>637000</v>
      </c>
      <c r="S60" s="81">
        <f t="shared" si="107"/>
        <v>5733000</v>
      </c>
      <c r="T60" s="42">
        <f t="shared" si="108"/>
        <v>73335.294117647063</v>
      </c>
      <c r="U60" s="1">
        <f t="shared" si="98"/>
        <v>57811.764705882357</v>
      </c>
      <c r="V60" s="34">
        <f t="shared" si="99"/>
        <v>505852.94117647054</v>
      </c>
      <c r="W60" s="35">
        <f t="shared" si="100"/>
        <v>637000</v>
      </c>
      <c r="X60" s="35">
        <f t="shared" si="101"/>
        <v>0</v>
      </c>
      <c r="Y60" s="35">
        <v>4817.6470588235297</v>
      </c>
      <c r="Z60" s="41">
        <f t="shared" si="102"/>
        <v>4736.6782006920412</v>
      </c>
    </row>
    <row r="61" spans="1:26" ht="12.75" x14ac:dyDescent="0.2">
      <c r="A61" s="168"/>
      <c r="B61" s="168"/>
      <c r="C61" s="168"/>
      <c r="D61" s="107"/>
      <c r="E61" s="154">
        <v>1</v>
      </c>
      <c r="F61" s="155" t="s">
        <v>137</v>
      </c>
      <c r="G61" s="111">
        <v>1</v>
      </c>
      <c r="H61" s="112">
        <v>450000000</v>
      </c>
      <c r="I61" s="112">
        <f t="shared" si="109"/>
        <v>450000000</v>
      </c>
      <c r="J61" s="110">
        <v>44320</v>
      </c>
      <c r="K61" s="77">
        <f t="shared" si="110"/>
        <v>49799</v>
      </c>
      <c r="L61" s="107">
        <v>180</v>
      </c>
      <c r="M61" s="169">
        <v>37.520000000000003</v>
      </c>
      <c r="N61" s="81">
        <f t="shared" si="104"/>
        <v>16884000.000000004</v>
      </c>
      <c r="O61" s="81"/>
      <c r="P61" s="81"/>
      <c r="Q61" s="81">
        <f t="shared" si="105"/>
        <v>16884000.000000004</v>
      </c>
      <c r="R61" s="81">
        <f t="shared" si="106"/>
        <v>1688400.0000000005</v>
      </c>
      <c r="S61" s="81">
        <f t="shared" si="107"/>
        <v>15195600.000000004</v>
      </c>
      <c r="T61" s="42">
        <f t="shared" si="108"/>
        <v>185818.32402234644</v>
      </c>
      <c r="U61" s="1">
        <f t="shared" si="98"/>
        <v>101869.94413407824</v>
      </c>
      <c r="V61" s="34">
        <f t="shared" si="99"/>
        <v>1400711.7318435758</v>
      </c>
      <c r="W61" s="35">
        <f t="shared" si="100"/>
        <v>1688400.0000000005</v>
      </c>
      <c r="X61" s="35">
        <f t="shared" si="101"/>
        <v>0</v>
      </c>
      <c r="Y61" s="35">
        <v>8489.1620111731863</v>
      </c>
      <c r="Z61" s="41">
        <f t="shared" si="102"/>
        <v>8394.3110389813082</v>
      </c>
    </row>
    <row r="62" spans="1:26" ht="12.75" x14ac:dyDescent="0.2">
      <c r="A62" s="168"/>
      <c r="B62" s="168"/>
      <c r="C62" s="168"/>
      <c r="D62" s="107"/>
      <c r="E62" s="154">
        <v>1</v>
      </c>
      <c r="F62" s="155" t="s">
        <v>138</v>
      </c>
      <c r="G62" s="111">
        <v>1</v>
      </c>
      <c r="H62" s="112">
        <v>340000000</v>
      </c>
      <c r="I62" s="112">
        <f t="shared" si="109"/>
        <v>340000000</v>
      </c>
      <c r="J62" s="110">
        <v>44320</v>
      </c>
      <c r="K62" s="77">
        <f t="shared" si="110"/>
        <v>49799</v>
      </c>
      <c r="L62" s="107">
        <v>180</v>
      </c>
      <c r="M62" s="169">
        <v>37.520000000000003</v>
      </c>
      <c r="N62" s="81">
        <f t="shared" si="104"/>
        <v>12756800.000000002</v>
      </c>
      <c r="O62" s="81"/>
      <c r="P62" s="81"/>
      <c r="Q62" s="81">
        <f t="shared" si="105"/>
        <v>12756800.000000002</v>
      </c>
      <c r="R62" s="81">
        <f t="shared" si="106"/>
        <v>1275680.0000000002</v>
      </c>
      <c r="S62" s="81">
        <f t="shared" si="107"/>
        <v>11481120.000000002</v>
      </c>
      <c r="T62" s="42">
        <f t="shared" si="108"/>
        <v>140396.06703910619</v>
      </c>
      <c r="U62" s="1">
        <f t="shared" si="98"/>
        <v>76968.402234636887</v>
      </c>
      <c r="V62" s="34">
        <f t="shared" si="99"/>
        <v>1058315.530726257</v>
      </c>
      <c r="W62" s="35">
        <f t="shared" si="100"/>
        <v>1275680</v>
      </c>
      <c r="X62" s="35">
        <f t="shared" si="101"/>
        <v>0</v>
      </c>
      <c r="Y62" s="35">
        <v>6414.0335195530743</v>
      </c>
      <c r="Z62" s="41">
        <f t="shared" si="102"/>
        <v>6342.368340563653</v>
      </c>
    </row>
    <row r="63" spans="1:26" ht="12.75" x14ac:dyDescent="0.2">
      <c r="A63" s="168"/>
      <c r="B63" s="168"/>
      <c r="C63" s="168"/>
      <c r="D63" s="107"/>
      <c r="E63" s="154">
        <v>1</v>
      </c>
      <c r="F63" s="155" t="s">
        <v>139</v>
      </c>
      <c r="G63" s="111">
        <v>1</v>
      </c>
      <c r="H63" s="112">
        <v>30000000</v>
      </c>
      <c r="I63" s="112">
        <f t="shared" si="109"/>
        <v>30000000</v>
      </c>
      <c r="J63" s="110">
        <v>44321</v>
      </c>
      <c r="K63" s="77">
        <f t="shared" si="110"/>
        <v>45417</v>
      </c>
      <c r="L63" s="107">
        <v>36</v>
      </c>
      <c r="M63" s="169">
        <v>17.88</v>
      </c>
      <c r="N63" s="81">
        <f t="shared" si="104"/>
        <v>536399.99999999988</v>
      </c>
      <c r="O63" s="81"/>
      <c r="P63" s="81"/>
      <c r="Q63" s="81">
        <f t="shared" si="105"/>
        <v>536399.99999999988</v>
      </c>
      <c r="R63" s="81">
        <f t="shared" si="106"/>
        <v>53639.999999999993</v>
      </c>
      <c r="S63" s="81">
        <f t="shared" si="107"/>
        <v>482759.99999999988</v>
      </c>
      <c r="T63" s="42">
        <f t="shared" si="108"/>
        <v>8122.6285714285714</v>
      </c>
      <c r="U63" s="1">
        <f t="shared" si="98"/>
        <v>16551.771428571425</v>
      </c>
      <c r="V63" s="34">
        <f t="shared" si="99"/>
        <v>28965.599999999999</v>
      </c>
      <c r="W63" s="35">
        <f t="shared" si="100"/>
        <v>53639.999999999993</v>
      </c>
      <c r="X63" s="35">
        <f t="shared" si="101"/>
        <v>0</v>
      </c>
      <c r="Y63" s="35">
        <v>1379.3142857142855</v>
      </c>
      <c r="Z63" s="41">
        <f t="shared" si="102"/>
        <v>1300.4963265306121</v>
      </c>
    </row>
    <row r="64" spans="1:26" ht="12.75" x14ac:dyDescent="0.2">
      <c r="A64" s="168"/>
      <c r="B64" s="168"/>
      <c r="C64" s="168"/>
      <c r="D64" s="107"/>
      <c r="E64" s="154">
        <v>1</v>
      </c>
      <c r="F64" s="155" t="s">
        <v>140</v>
      </c>
      <c r="G64" s="111">
        <v>1</v>
      </c>
      <c r="H64" s="112">
        <v>170000000</v>
      </c>
      <c r="I64" s="112">
        <f t="shared" si="109"/>
        <v>170000000</v>
      </c>
      <c r="J64" s="110">
        <v>44321</v>
      </c>
      <c r="K64" s="77">
        <f t="shared" si="110"/>
        <v>49800</v>
      </c>
      <c r="L64" s="107">
        <v>180</v>
      </c>
      <c r="M64" s="169">
        <v>37.520000000000003</v>
      </c>
      <c r="N64" s="81">
        <f t="shared" si="104"/>
        <v>6378400.0000000009</v>
      </c>
      <c r="O64" s="81"/>
      <c r="P64" s="81"/>
      <c r="Q64" s="81">
        <f t="shared" si="105"/>
        <v>6378400.0000000009</v>
      </c>
      <c r="R64" s="81">
        <f t="shared" si="106"/>
        <v>637840.00000000012</v>
      </c>
      <c r="S64" s="81">
        <f t="shared" si="107"/>
        <v>5740560.0000000009</v>
      </c>
      <c r="T64" s="42">
        <f t="shared" si="108"/>
        <v>70198.033519553093</v>
      </c>
      <c r="U64" s="1">
        <f t="shared" si="98"/>
        <v>38484.201117318444</v>
      </c>
      <c r="V64" s="34">
        <f t="shared" si="99"/>
        <v>529157.76536312851</v>
      </c>
      <c r="W64" s="35">
        <f t="shared" si="100"/>
        <v>637840</v>
      </c>
      <c r="X64" s="35">
        <f t="shared" si="101"/>
        <v>0</v>
      </c>
      <c r="Y64" s="35">
        <v>3207.0167597765371</v>
      </c>
      <c r="Z64" s="41">
        <f t="shared" si="102"/>
        <v>3171.1841702818265</v>
      </c>
    </row>
    <row r="65" spans="1:26" ht="12.75" x14ac:dyDescent="0.2">
      <c r="A65" s="168"/>
      <c r="B65" s="168"/>
      <c r="C65" s="168"/>
      <c r="D65" s="107"/>
      <c r="E65" s="154">
        <v>1</v>
      </c>
      <c r="F65" s="155" t="s">
        <v>141</v>
      </c>
      <c r="G65" s="111">
        <v>1</v>
      </c>
      <c r="H65" s="112">
        <v>40000000</v>
      </c>
      <c r="I65" s="112">
        <f t="shared" si="109"/>
        <v>40000000</v>
      </c>
      <c r="J65" s="110">
        <v>44322</v>
      </c>
      <c r="K65" s="77">
        <f t="shared" si="110"/>
        <v>45418</v>
      </c>
      <c r="L65" s="107">
        <v>36</v>
      </c>
      <c r="M65" s="169">
        <v>9.1</v>
      </c>
      <c r="N65" s="81">
        <f t="shared" si="104"/>
        <v>364000</v>
      </c>
      <c r="O65" s="81"/>
      <c r="P65" s="81"/>
      <c r="Q65" s="81">
        <f t="shared" si="105"/>
        <v>364000</v>
      </c>
      <c r="R65" s="81">
        <f t="shared" si="106"/>
        <v>36400</v>
      </c>
      <c r="S65" s="81">
        <f t="shared" si="107"/>
        <v>327600</v>
      </c>
      <c r="T65" s="42">
        <f t="shared" si="108"/>
        <v>5512</v>
      </c>
      <c r="U65" s="1">
        <f t="shared" si="98"/>
        <v>11232</v>
      </c>
      <c r="V65" s="34">
        <f t="shared" si="99"/>
        <v>19656</v>
      </c>
      <c r="W65" s="35">
        <f t="shared" si="100"/>
        <v>36400</v>
      </c>
      <c r="X65" s="35">
        <f t="shared" si="101"/>
        <v>0</v>
      </c>
      <c r="Y65" s="35">
        <v>936</v>
      </c>
      <c r="Z65" s="41">
        <f t="shared" si="102"/>
        <v>882.51428571428573</v>
      </c>
    </row>
    <row r="66" spans="1:26" ht="12.75" x14ac:dyDescent="0.2">
      <c r="A66" s="168"/>
      <c r="B66" s="168"/>
      <c r="C66" s="168"/>
      <c r="D66" s="107"/>
      <c r="E66" s="154">
        <v>1</v>
      </c>
      <c r="F66" s="155" t="s">
        <v>142</v>
      </c>
      <c r="G66" s="111">
        <v>1</v>
      </c>
      <c r="H66" s="112">
        <v>440000000</v>
      </c>
      <c r="I66" s="112">
        <f t="shared" si="109"/>
        <v>440000000</v>
      </c>
      <c r="J66" s="110">
        <v>44323</v>
      </c>
      <c r="K66" s="77">
        <f t="shared" si="110"/>
        <v>49802</v>
      </c>
      <c r="L66" s="107">
        <v>180</v>
      </c>
      <c r="M66" s="169">
        <v>37.520000000000003</v>
      </c>
      <c r="N66" s="81">
        <f t="shared" si="104"/>
        <v>16508800.000000002</v>
      </c>
      <c r="O66" s="81"/>
      <c r="P66" s="81"/>
      <c r="Q66" s="81">
        <f t="shared" si="105"/>
        <v>16508800.000000002</v>
      </c>
      <c r="R66" s="81">
        <f t="shared" si="106"/>
        <v>1650880.0000000002</v>
      </c>
      <c r="S66" s="81">
        <f t="shared" si="107"/>
        <v>14857920.000000002</v>
      </c>
      <c r="T66" s="42">
        <f t="shared" si="108"/>
        <v>181689.02793296092</v>
      </c>
      <c r="U66" s="1">
        <f t="shared" si="98"/>
        <v>99606.167597765379</v>
      </c>
      <c r="V66" s="34">
        <f t="shared" si="99"/>
        <v>1369584.8044692739</v>
      </c>
      <c r="W66" s="35">
        <f t="shared" si="100"/>
        <v>1650880.0000000002</v>
      </c>
      <c r="X66" s="35">
        <f t="shared" si="101"/>
        <v>0</v>
      </c>
      <c r="Y66" s="35">
        <v>8300.5139664804483</v>
      </c>
      <c r="Z66" s="41">
        <f t="shared" si="102"/>
        <v>8207.7707936706101</v>
      </c>
    </row>
    <row r="67" spans="1:26" ht="12.75" x14ac:dyDescent="0.2">
      <c r="A67" s="168"/>
      <c r="B67" s="168"/>
      <c r="C67" s="168"/>
      <c r="D67" s="107"/>
      <c r="E67" s="154">
        <v>1</v>
      </c>
      <c r="F67" s="155" t="s">
        <v>144</v>
      </c>
      <c r="G67" s="111">
        <v>1</v>
      </c>
      <c r="H67" s="112">
        <v>30000000</v>
      </c>
      <c r="I67" s="112">
        <f t="shared" si="109"/>
        <v>30000000</v>
      </c>
      <c r="J67" s="110">
        <v>44323</v>
      </c>
      <c r="K67" s="77">
        <f t="shared" si="110"/>
        <v>45053</v>
      </c>
      <c r="L67" s="107">
        <v>24</v>
      </c>
      <c r="M67" s="169">
        <v>9.1</v>
      </c>
      <c r="N67" s="81">
        <f t="shared" si="104"/>
        <v>273000</v>
      </c>
      <c r="O67" s="81"/>
      <c r="P67" s="81"/>
      <c r="Q67" s="81">
        <f t="shared" si="105"/>
        <v>273000</v>
      </c>
      <c r="R67" s="81">
        <f t="shared" si="106"/>
        <v>27300</v>
      </c>
      <c r="S67" s="81">
        <f t="shared" si="107"/>
        <v>245700</v>
      </c>
      <c r="T67" s="42">
        <f t="shared" si="108"/>
        <v>4866.521739130435</v>
      </c>
      <c r="U67" s="1">
        <f t="shared" si="98"/>
        <v>12819.13043478261</v>
      </c>
      <c r="V67" s="34">
        <f t="shared" si="99"/>
        <v>9614.3478260869542</v>
      </c>
      <c r="W67" s="35">
        <f t="shared" si="100"/>
        <v>27300</v>
      </c>
      <c r="X67" s="35">
        <f t="shared" si="101"/>
        <v>0</v>
      </c>
      <c r="Y67" s="35">
        <v>1068.2608695652175</v>
      </c>
      <c r="Z67" s="41">
        <f t="shared" si="102"/>
        <v>975.36862003780709</v>
      </c>
    </row>
    <row r="68" spans="1:26" ht="12.75" x14ac:dyDescent="0.2">
      <c r="A68" s="168"/>
      <c r="B68" s="168"/>
      <c r="C68" s="168"/>
      <c r="D68" s="107"/>
      <c r="E68" s="154">
        <v>1</v>
      </c>
      <c r="F68" s="155" t="s">
        <v>143</v>
      </c>
      <c r="G68" s="111">
        <v>1</v>
      </c>
      <c r="H68" s="112">
        <v>200000000</v>
      </c>
      <c r="I68" s="112">
        <f t="shared" si="109"/>
        <v>200000000</v>
      </c>
      <c r="J68" s="110">
        <v>44326</v>
      </c>
      <c r="K68" s="77">
        <f t="shared" si="110"/>
        <v>47978</v>
      </c>
      <c r="L68" s="107">
        <v>120</v>
      </c>
      <c r="M68" s="169">
        <v>25.48</v>
      </c>
      <c r="N68" s="81">
        <f t="shared" si="104"/>
        <v>5096000</v>
      </c>
      <c r="O68" s="81"/>
      <c r="P68" s="81"/>
      <c r="Q68" s="81">
        <f t="shared" si="105"/>
        <v>5096000</v>
      </c>
      <c r="R68" s="81">
        <f t="shared" si="106"/>
        <v>509600</v>
      </c>
      <c r="S68" s="81">
        <f t="shared" si="107"/>
        <v>4586400</v>
      </c>
      <c r="T68" s="42">
        <f t="shared" si="108"/>
        <v>58668.23529411765</v>
      </c>
      <c r="U68" s="1">
        <f t="shared" si="98"/>
        <v>46249.411764705881</v>
      </c>
      <c r="V68" s="34">
        <f t="shared" si="99"/>
        <v>404682.35294117645</v>
      </c>
      <c r="W68" s="35">
        <f t="shared" si="100"/>
        <v>509600</v>
      </c>
      <c r="X68" s="35">
        <f t="shared" si="101"/>
        <v>0</v>
      </c>
      <c r="Y68" s="35">
        <v>3854.1176470588234</v>
      </c>
      <c r="Z68" s="41">
        <f t="shared" si="102"/>
        <v>3789.3425605536331</v>
      </c>
    </row>
    <row r="69" spans="1:26" ht="12.75" x14ac:dyDescent="0.2">
      <c r="A69" s="168"/>
      <c r="B69" s="168"/>
      <c r="C69" s="168"/>
      <c r="D69" s="107"/>
      <c r="E69" s="154">
        <v>1</v>
      </c>
      <c r="F69" s="155" t="s">
        <v>145</v>
      </c>
      <c r="G69" s="111">
        <v>1</v>
      </c>
      <c r="H69" s="112">
        <v>265000000</v>
      </c>
      <c r="I69" s="112">
        <f t="shared" si="109"/>
        <v>265000000</v>
      </c>
      <c r="J69" s="110">
        <v>44326</v>
      </c>
      <c r="K69" s="77">
        <f t="shared" si="110"/>
        <v>48497</v>
      </c>
      <c r="L69" s="107">
        <v>137</v>
      </c>
      <c r="M69" s="169">
        <v>30.46</v>
      </c>
      <c r="N69" s="81">
        <f t="shared" si="104"/>
        <v>8071900</v>
      </c>
      <c r="O69" s="81"/>
      <c r="P69" s="81"/>
      <c r="Q69" s="81">
        <f t="shared" si="105"/>
        <v>8071900</v>
      </c>
      <c r="R69" s="81">
        <f t="shared" si="106"/>
        <v>807190</v>
      </c>
      <c r="S69" s="81">
        <f t="shared" si="107"/>
        <v>7264710</v>
      </c>
      <c r="T69" s="42">
        <f t="shared" si="108"/>
        <v>91402.397058823524</v>
      </c>
      <c r="U69" s="1">
        <f t="shared" si="98"/>
        <v>64100.382352941175</v>
      </c>
      <c r="V69" s="34">
        <f t="shared" si="99"/>
        <v>651687.2205882353</v>
      </c>
      <c r="W69" s="35">
        <f t="shared" si="100"/>
        <v>807190</v>
      </c>
      <c r="X69" s="35">
        <f t="shared" si="101"/>
        <v>0</v>
      </c>
      <c r="Y69" s="35">
        <v>5341.6985294117649</v>
      </c>
      <c r="Z69" s="41">
        <f t="shared" si="102"/>
        <v>5263.1441392733568</v>
      </c>
    </row>
    <row r="70" spans="1:26" x14ac:dyDescent="0.2">
      <c r="A70" s="83"/>
      <c r="B70" s="83"/>
      <c r="C70" s="83"/>
      <c r="D70" s="84"/>
      <c r="E70" s="93">
        <f>SUM(E56:E69)</f>
        <v>14</v>
      </c>
      <c r="F70" s="83"/>
      <c r="G70" s="83"/>
      <c r="H70" s="92">
        <f>SUM(H56:H69)</f>
        <v>3265000000</v>
      </c>
      <c r="I70" s="92">
        <f t="shared" ref="I70:Z70" si="111">SUM(I56:I69)</f>
        <v>3265000000</v>
      </c>
      <c r="J70" s="92"/>
      <c r="K70" s="92"/>
      <c r="L70" s="92"/>
      <c r="M70" s="92"/>
      <c r="N70" s="92">
        <f t="shared" si="111"/>
        <v>102042400</v>
      </c>
      <c r="O70" s="92">
        <f t="shared" si="111"/>
        <v>0</v>
      </c>
      <c r="P70" s="92">
        <f t="shared" si="111"/>
        <v>0</v>
      </c>
      <c r="Q70" s="92">
        <f t="shared" si="111"/>
        <v>102042400</v>
      </c>
      <c r="R70" s="92">
        <f t="shared" si="111"/>
        <v>10204240.000000002</v>
      </c>
      <c r="S70" s="92">
        <f t="shared" si="111"/>
        <v>91838160.000000015</v>
      </c>
      <c r="T70" s="92">
        <f t="shared" si="111"/>
        <v>1149784.4191326739</v>
      </c>
      <c r="U70" s="92">
        <f t="shared" si="111"/>
        <v>776162.5147960406</v>
      </c>
      <c r="V70" s="92">
        <f t="shared" si="111"/>
        <v>8278293.0660712868</v>
      </c>
      <c r="W70" s="92">
        <f t="shared" si="111"/>
        <v>10204240.000000002</v>
      </c>
      <c r="X70" s="92">
        <f t="shared" si="111"/>
        <v>0</v>
      </c>
      <c r="Y70" s="92">
        <f t="shared" si="111"/>
        <v>64680.209566336722</v>
      </c>
      <c r="Z70" s="92">
        <f t="shared" si="111"/>
        <v>63451.016297311791</v>
      </c>
    </row>
    <row r="71" spans="1:26" x14ac:dyDescent="0.2">
      <c r="A71" s="74">
        <v>15</v>
      </c>
      <c r="B71" s="107" t="s">
        <v>49</v>
      </c>
      <c r="C71" s="107" t="s">
        <v>156</v>
      </c>
      <c r="D71" s="110">
        <v>44347</v>
      </c>
      <c r="E71" s="74">
        <v>1</v>
      </c>
      <c r="F71" s="107" t="s">
        <v>157</v>
      </c>
      <c r="G71" s="111">
        <v>1</v>
      </c>
      <c r="H71" s="112">
        <v>250000000</v>
      </c>
      <c r="I71" s="112">
        <f>H71*G71</f>
        <v>250000000</v>
      </c>
      <c r="J71" s="110">
        <v>44320</v>
      </c>
      <c r="K71" s="77">
        <f>IFERROR(VALUE(DAY(J71)&amp;" "&amp;TEXT(EOMONTH(J71,L71)-29,"mmm")&amp;" "&amp;YEAR(EOMONTH(J71,L71)-29)),"-")</f>
        <v>48338</v>
      </c>
      <c r="L71" s="107">
        <v>132</v>
      </c>
      <c r="M71" s="99">
        <v>27.98</v>
      </c>
      <c r="N71" s="81">
        <f t="shared" ref="N71:N72" si="112">M71*H71/1000</f>
        <v>6995000</v>
      </c>
      <c r="O71" s="81"/>
      <c r="P71" s="81"/>
      <c r="Q71" s="81">
        <f t="shared" ref="Q71:Q72" si="113">N71+O71+P71</f>
        <v>6995000</v>
      </c>
      <c r="R71" s="81">
        <f t="shared" ref="R71:R72" si="114">10%*N71</f>
        <v>699500</v>
      </c>
      <c r="S71" s="81">
        <f t="shared" ref="S71:S72" si="115">Q71-R71</f>
        <v>6295500</v>
      </c>
      <c r="T71" s="42">
        <f t="shared" ref="T71:T72" si="116">R71*10%+(Y71*2)</f>
        <v>79561.450381679388</v>
      </c>
      <c r="U71" s="1">
        <f t="shared" si="98"/>
        <v>57668.70229007634</v>
      </c>
      <c r="V71" s="34">
        <f t="shared" si="99"/>
        <v>562269.84732824436</v>
      </c>
      <c r="W71" s="35">
        <f t="shared" si="100"/>
        <v>699500.00000000012</v>
      </c>
      <c r="X71" s="35">
        <f t="shared" si="101"/>
        <v>0</v>
      </c>
      <c r="Y71" s="35">
        <v>4805.7251908396947</v>
      </c>
      <c r="Z71" s="41">
        <f t="shared" si="102"/>
        <v>4732.3553405978673</v>
      </c>
    </row>
    <row r="72" spans="1:26" x14ac:dyDescent="0.2">
      <c r="A72" s="74"/>
      <c r="B72" s="107"/>
      <c r="C72" s="107"/>
      <c r="D72" s="110"/>
      <c r="E72" s="74">
        <v>1</v>
      </c>
      <c r="F72" s="107" t="s">
        <v>158</v>
      </c>
      <c r="G72" s="111">
        <v>1</v>
      </c>
      <c r="H72" s="112">
        <v>60000000</v>
      </c>
      <c r="I72" s="112">
        <f>H72*G72</f>
        <v>60000000</v>
      </c>
      <c r="J72" s="110">
        <v>44320</v>
      </c>
      <c r="K72" s="77">
        <f>IFERROR(VALUE(DAY(J72)&amp;" "&amp;TEXT(EOMONTH(J72,L72)-29,"mmm")&amp;" "&amp;YEAR(EOMONTH(J72,L72)-29)),"-")</f>
        <v>46146</v>
      </c>
      <c r="L72" s="107">
        <v>60</v>
      </c>
      <c r="M72" s="99">
        <v>13.65</v>
      </c>
      <c r="N72" s="81">
        <f t="shared" si="112"/>
        <v>819000</v>
      </c>
      <c r="O72" s="81"/>
      <c r="P72" s="81"/>
      <c r="Q72" s="81">
        <f t="shared" si="113"/>
        <v>819000</v>
      </c>
      <c r="R72" s="81">
        <f t="shared" si="114"/>
        <v>81900</v>
      </c>
      <c r="S72" s="81">
        <f t="shared" si="115"/>
        <v>737100</v>
      </c>
      <c r="T72" s="42">
        <f t="shared" si="116"/>
        <v>10688.644067796609</v>
      </c>
      <c r="U72" s="1">
        <f t="shared" si="98"/>
        <v>14991.864406779661</v>
      </c>
      <c r="V72" s="34">
        <f t="shared" si="99"/>
        <v>56219.49152542372</v>
      </c>
      <c r="W72" s="35">
        <f t="shared" si="100"/>
        <v>81900</v>
      </c>
      <c r="X72" s="35">
        <f t="shared" si="101"/>
        <v>0</v>
      </c>
      <c r="Y72" s="35">
        <v>1249.3220338983051</v>
      </c>
      <c r="Z72" s="41">
        <f t="shared" si="102"/>
        <v>1206.9721344441252</v>
      </c>
    </row>
    <row r="73" spans="1:26" x14ac:dyDescent="0.2">
      <c r="A73" s="88"/>
      <c r="B73" s="84"/>
      <c r="C73" s="84"/>
      <c r="D73" s="84"/>
      <c r="E73" s="88">
        <f>SUM(E71:E72)</f>
        <v>2</v>
      </c>
      <c r="F73" s="84"/>
      <c r="G73" s="115"/>
      <c r="H73" s="79">
        <f t="shared" ref="H73:I73" si="117">SUM(H71:H72)</f>
        <v>310000000</v>
      </c>
      <c r="I73" s="79">
        <f t="shared" si="117"/>
        <v>310000000</v>
      </c>
      <c r="J73" s="59"/>
      <c r="K73" s="59"/>
      <c r="L73" s="59"/>
      <c r="M73" s="59"/>
      <c r="N73" s="79">
        <f t="shared" ref="N73:Z73" si="118">SUM(N71:N72)</f>
        <v>7814000</v>
      </c>
      <c r="O73" s="79">
        <f t="shared" si="118"/>
        <v>0</v>
      </c>
      <c r="P73" s="79">
        <f t="shared" si="118"/>
        <v>0</v>
      </c>
      <c r="Q73" s="79">
        <f t="shared" si="118"/>
        <v>7814000</v>
      </c>
      <c r="R73" s="79">
        <f t="shared" si="118"/>
        <v>781400</v>
      </c>
      <c r="S73" s="79">
        <f t="shared" si="118"/>
        <v>7032600</v>
      </c>
      <c r="T73" s="79">
        <f t="shared" si="118"/>
        <v>90250.09444947599</v>
      </c>
      <c r="U73" s="79">
        <f t="shared" si="118"/>
        <v>72660.566696855996</v>
      </c>
      <c r="V73" s="79">
        <f t="shared" si="118"/>
        <v>618489.33885366807</v>
      </c>
      <c r="W73" s="79">
        <f t="shared" si="118"/>
        <v>781400.00000000012</v>
      </c>
      <c r="X73" s="79">
        <f t="shared" si="118"/>
        <v>0</v>
      </c>
      <c r="Y73" s="79">
        <f t="shared" si="118"/>
        <v>6055.0472247380003</v>
      </c>
      <c r="Z73" s="79">
        <f t="shared" si="118"/>
        <v>5939.3274750419923</v>
      </c>
    </row>
    <row r="74" spans="1:26" x14ac:dyDescent="0.2">
      <c r="A74" s="83"/>
      <c r="B74" s="83"/>
      <c r="C74" s="83" t="s">
        <v>147</v>
      </c>
      <c r="D74" s="84"/>
      <c r="E74" s="85">
        <f>E70+E55+E53+E50+E73</f>
        <v>20</v>
      </c>
      <c r="F74" s="87">
        <f t="shared" ref="F74:S74" si="119">F70+F55+F53+F50+F73</f>
        <v>0</v>
      </c>
      <c r="G74" s="87">
        <f t="shared" si="119"/>
        <v>0</v>
      </c>
      <c r="H74" s="87">
        <f t="shared" si="119"/>
        <v>4756450622</v>
      </c>
      <c r="I74" s="87">
        <f t="shared" si="119"/>
        <v>4756450622</v>
      </c>
      <c r="J74" s="87">
        <f t="shared" si="119"/>
        <v>0</v>
      </c>
      <c r="K74" s="87">
        <f t="shared" si="119"/>
        <v>0</v>
      </c>
      <c r="L74" s="87">
        <f t="shared" si="119"/>
        <v>0</v>
      </c>
      <c r="M74" s="87">
        <f t="shared" si="119"/>
        <v>0</v>
      </c>
      <c r="N74" s="87">
        <f t="shared" si="119"/>
        <v>144081307.23106</v>
      </c>
      <c r="O74" s="87">
        <f t="shared" si="119"/>
        <v>0</v>
      </c>
      <c r="P74" s="87">
        <f t="shared" si="119"/>
        <v>0</v>
      </c>
      <c r="Q74" s="87">
        <f t="shared" si="119"/>
        <v>144081307.23106</v>
      </c>
      <c r="R74" s="87">
        <f t="shared" si="119"/>
        <v>14088350.000000002</v>
      </c>
      <c r="S74" s="87">
        <f t="shared" si="119"/>
        <v>129673176.50795402</v>
      </c>
      <c r="T74" s="87">
        <f>T70+T55+T53+T50+T73</f>
        <v>1743400.9588595112</v>
      </c>
      <c r="U74" s="87">
        <f t="shared" ref="U74:Z74" si="120">U70+U55+U53+U50+U73</f>
        <v>2007395.7531570643</v>
      </c>
      <c r="V74" s="87">
        <f t="shared" si="120"/>
        <v>10337553.287983427</v>
      </c>
      <c r="W74" s="87">
        <f t="shared" si="120"/>
        <v>14088350.000000002</v>
      </c>
      <c r="X74" s="87">
        <f t="shared" si="120"/>
        <v>0</v>
      </c>
      <c r="Y74" s="87">
        <f t="shared" si="120"/>
        <v>167282.97942975539</v>
      </c>
      <c r="Z74" s="87">
        <f t="shared" si="120"/>
        <v>159257.27907306925</v>
      </c>
    </row>
    <row r="75" spans="1:26" x14ac:dyDescent="0.2">
      <c r="A75" s="83"/>
      <c r="B75" s="83"/>
      <c r="C75" s="83" t="s">
        <v>148</v>
      </c>
      <c r="D75" s="84"/>
      <c r="E75" s="93">
        <f>E74+E43</f>
        <v>25</v>
      </c>
      <c r="F75" s="95">
        <f t="shared" ref="F75:Z75" si="121">F74+F43</f>
        <v>0</v>
      </c>
      <c r="G75" s="95">
        <f t="shared" si="121"/>
        <v>0</v>
      </c>
      <c r="H75" s="95">
        <f t="shared" si="121"/>
        <v>5289450622</v>
      </c>
      <c r="I75" s="95">
        <f t="shared" si="121"/>
        <v>5289450622</v>
      </c>
      <c r="J75" s="95"/>
      <c r="K75" s="95"/>
      <c r="L75" s="95"/>
      <c r="M75" s="95"/>
      <c r="N75" s="95">
        <f t="shared" si="121"/>
        <v>158877545.86488</v>
      </c>
      <c r="O75" s="95">
        <f t="shared" si="121"/>
        <v>300000</v>
      </c>
      <c r="P75" s="95">
        <f t="shared" si="121"/>
        <v>0</v>
      </c>
      <c r="Q75" s="95">
        <f t="shared" si="121"/>
        <v>159177545.86488</v>
      </c>
      <c r="R75" s="95">
        <f t="shared" si="121"/>
        <v>15467847.000000002</v>
      </c>
      <c r="S75" s="95">
        <f t="shared" si="121"/>
        <v>143389918.14177403</v>
      </c>
      <c r="T75" s="95">
        <f t="shared" si="121"/>
        <v>1939048.2428694533</v>
      </c>
      <c r="U75" s="95">
        <f t="shared" si="121"/>
        <v>2238186.0891968324</v>
      </c>
      <c r="V75" s="95">
        <f t="shared" si="121"/>
        <v>11290612.667933717</v>
      </c>
      <c r="W75" s="95">
        <f t="shared" si="121"/>
        <v>15467847.000000002</v>
      </c>
      <c r="X75" s="95">
        <f t="shared" si="121"/>
        <v>0</v>
      </c>
      <c r="Y75" s="95">
        <f t="shared" si="121"/>
        <v>186515.5074330694</v>
      </c>
      <c r="Z75" s="95">
        <f t="shared" si="121"/>
        <v>177373.26285080757</v>
      </c>
    </row>
    <row r="77" spans="1:26" ht="23.25" x14ac:dyDescent="0.2">
      <c r="A77" s="86" t="s">
        <v>176</v>
      </c>
      <c r="B77" s="62"/>
      <c r="C77" s="62"/>
      <c r="D77" s="57"/>
      <c r="E77" s="63"/>
      <c r="F77" s="64"/>
      <c r="G77" s="65"/>
      <c r="H77" s="66"/>
      <c r="I77" s="66"/>
      <c r="J77" s="67"/>
      <c r="K77" s="67"/>
      <c r="L77" s="68"/>
      <c r="M77" s="68"/>
      <c r="N77" s="69"/>
      <c r="O77" s="69"/>
      <c r="P77" s="69"/>
      <c r="Q77" s="69"/>
      <c r="R77" s="69"/>
      <c r="S77" s="69"/>
      <c r="T77" s="70"/>
      <c r="U77" s="71"/>
      <c r="V77" s="71"/>
    </row>
    <row r="78" spans="1:26" x14ac:dyDescent="0.2">
      <c r="A78" s="231" t="s">
        <v>0</v>
      </c>
      <c r="B78" s="232" t="s">
        <v>1</v>
      </c>
      <c r="C78" s="229" t="s">
        <v>2</v>
      </c>
      <c r="D78" s="233" t="s">
        <v>3</v>
      </c>
      <c r="E78" s="234" t="s">
        <v>4</v>
      </c>
      <c r="F78" s="232" t="s">
        <v>5</v>
      </c>
      <c r="G78" s="235" t="s">
        <v>6</v>
      </c>
      <c r="H78" s="236" t="s">
        <v>7</v>
      </c>
      <c r="I78" s="236" t="s">
        <v>8</v>
      </c>
      <c r="J78" s="227" t="s">
        <v>9</v>
      </c>
      <c r="K78" s="227"/>
      <c r="L78" s="228" t="s">
        <v>10</v>
      </c>
      <c r="M78" s="229" t="s">
        <v>11</v>
      </c>
      <c r="N78" s="230" t="s">
        <v>12</v>
      </c>
      <c r="O78" s="230"/>
      <c r="P78" s="230"/>
      <c r="Q78" s="229" t="s">
        <v>13</v>
      </c>
      <c r="R78" s="229" t="s">
        <v>14</v>
      </c>
      <c r="S78" s="229" t="s">
        <v>15</v>
      </c>
      <c r="T78" s="36">
        <v>2021</v>
      </c>
      <c r="U78" s="37"/>
      <c r="V78" s="38" t="s">
        <v>44</v>
      </c>
    </row>
    <row r="79" spans="1:26" x14ac:dyDescent="0.2">
      <c r="A79" s="231"/>
      <c r="B79" s="232"/>
      <c r="C79" s="229"/>
      <c r="D79" s="233"/>
      <c r="E79" s="234"/>
      <c r="F79" s="232"/>
      <c r="G79" s="235"/>
      <c r="H79" s="236"/>
      <c r="I79" s="236"/>
      <c r="J79" s="227"/>
      <c r="K79" s="227"/>
      <c r="L79" s="228"/>
      <c r="M79" s="229"/>
      <c r="N79" s="186" t="s">
        <v>16</v>
      </c>
      <c r="O79" s="186" t="s">
        <v>17</v>
      </c>
      <c r="P79" s="186" t="s">
        <v>18</v>
      </c>
      <c r="Q79" s="229"/>
      <c r="R79" s="229"/>
      <c r="S79" s="229"/>
      <c r="T79" s="96" t="s">
        <v>203</v>
      </c>
      <c r="U79" s="39" t="s">
        <v>204</v>
      </c>
      <c r="V79" s="40"/>
    </row>
    <row r="80" spans="1:26" ht="12.75" x14ac:dyDescent="0.2">
      <c r="A80" s="154">
        <v>16</v>
      </c>
      <c r="B80" s="155" t="s">
        <v>111</v>
      </c>
      <c r="C80" s="155" t="s">
        <v>160</v>
      </c>
      <c r="D80" s="156">
        <v>44361</v>
      </c>
      <c r="E80" s="154">
        <v>1</v>
      </c>
      <c r="F80" s="155" t="s">
        <v>161</v>
      </c>
      <c r="G80" s="175">
        <v>1</v>
      </c>
      <c r="H80" s="176">
        <v>64397514</v>
      </c>
      <c r="I80" s="176">
        <f>H80*G80</f>
        <v>64397514</v>
      </c>
      <c r="J80" s="156">
        <v>44822</v>
      </c>
      <c r="K80" s="177">
        <v>44990</v>
      </c>
      <c r="L80" s="155">
        <v>6</v>
      </c>
      <c r="M80" s="99">
        <v>5.46</v>
      </c>
      <c r="N80" s="81">
        <f t="shared" ref="N80" si="122">M80*H80/1000</f>
        <v>351610.42644000001</v>
      </c>
      <c r="O80" s="81">
        <v>100000</v>
      </c>
      <c r="P80" s="81"/>
      <c r="Q80" s="81">
        <f t="shared" ref="Q80" si="123">N80+O80+P80</f>
        <v>451610.42644000001</v>
      </c>
      <c r="R80" s="81"/>
      <c r="S80" s="81">
        <f t="shared" ref="S80" si="124">Q80-R80</f>
        <v>451610.42644000001</v>
      </c>
      <c r="T80" s="42"/>
      <c r="U80" s="1"/>
      <c r="V80" s="34"/>
      <c r="W80" s="35"/>
      <c r="X80" s="35"/>
    </row>
    <row r="81" spans="1:24" ht="12.75" x14ac:dyDescent="0.2">
      <c r="A81" s="159"/>
      <c r="B81" s="160"/>
      <c r="C81" s="160"/>
      <c r="D81" s="160"/>
      <c r="E81" s="178"/>
      <c r="F81" s="179"/>
      <c r="G81" s="179"/>
      <c r="H81" s="179"/>
      <c r="I81" s="179"/>
      <c r="J81" s="179"/>
      <c r="K81" s="179"/>
      <c r="L81" s="179"/>
      <c r="M81" s="179"/>
      <c r="N81" s="179">
        <f t="shared" ref="N81:X81" si="125">SUM(N80)</f>
        <v>351610.42644000001</v>
      </c>
      <c r="O81" s="179">
        <f t="shared" si="125"/>
        <v>100000</v>
      </c>
      <c r="P81" s="179">
        <f t="shared" si="125"/>
        <v>0</v>
      </c>
      <c r="Q81" s="179">
        <f t="shared" si="125"/>
        <v>451610.42644000001</v>
      </c>
      <c r="R81" s="179">
        <f t="shared" si="125"/>
        <v>0</v>
      </c>
      <c r="S81" s="179">
        <f t="shared" si="125"/>
        <v>451610.42644000001</v>
      </c>
      <c r="T81" s="179">
        <f t="shared" si="125"/>
        <v>0</v>
      </c>
      <c r="U81" s="179">
        <f t="shared" si="125"/>
        <v>0</v>
      </c>
      <c r="V81" s="179">
        <f t="shared" si="125"/>
        <v>0</v>
      </c>
      <c r="W81" s="179">
        <f t="shared" si="125"/>
        <v>0</v>
      </c>
      <c r="X81" s="179">
        <f t="shared" si="125"/>
        <v>0</v>
      </c>
    </row>
    <row r="82" spans="1:24" ht="12.75" x14ac:dyDescent="0.2">
      <c r="A82" s="154">
        <v>17</v>
      </c>
      <c r="B82" s="155" t="s">
        <v>49</v>
      </c>
      <c r="C82" s="155" t="s">
        <v>163</v>
      </c>
      <c r="D82" s="156">
        <v>44377</v>
      </c>
      <c r="E82" s="154">
        <v>1</v>
      </c>
      <c r="F82" s="155" t="s">
        <v>164</v>
      </c>
      <c r="G82" s="175">
        <v>1</v>
      </c>
      <c r="H82" s="176">
        <v>179133550</v>
      </c>
      <c r="I82" s="176">
        <f>H82*G82</f>
        <v>179133550</v>
      </c>
      <c r="J82" s="156">
        <v>44373</v>
      </c>
      <c r="K82" s="177">
        <v>46280</v>
      </c>
      <c r="L82" s="155">
        <v>63</v>
      </c>
      <c r="M82" s="99">
        <v>25.48</v>
      </c>
      <c r="N82" s="81">
        <f t="shared" ref="N82" si="126">M82*H82/1000</f>
        <v>4564322.8540000003</v>
      </c>
      <c r="O82" s="81"/>
      <c r="P82" s="81"/>
      <c r="Q82" s="81">
        <f t="shared" ref="Q82" si="127">N82+O82+P82</f>
        <v>4564322.8540000003</v>
      </c>
      <c r="R82" s="81">
        <f t="shared" ref="R82" si="128">10%*N82</f>
        <v>456432.28540000005</v>
      </c>
      <c r="S82" s="81">
        <f t="shared" ref="S82" si="129">Q82-R82</f>
        <v>4107890.5686000003</v>
      </c>
      <c r="T82" s="42">
        <f>R82/L82*2</f>
        <v>14489.913822222225</v>
      </c>
      <c r="U82" s="1">
        <f>R82/L82*12</f>
        <v>86939.482933333347</v>
      </c>
      <c r="V82" s="34">
        <f>R82-T82-U82</f>
        <v>355002.88864444452</v>
      </c>
      <c r="W82" s="35">
        <f t="shared" ref="W82" si="130">T82+U82+V82</f>
        <v>456432.28540000011</v>
      </c>
      <c r="X82" s="35">
        <f t="shared" ref="X82" si="131">R82-W82</f>
        <v>0</v>
      </c>
    </row>
    <row r="83" spans="1:24" ht="12.75" x14ac:dyDescent="0.2">
      <c r="A83" s="159"/>
      <c r="B83" s="160"/>
      <c r="C83" s="160"/>
      <c r="D83" s="160"/>
      <c r="E83" s="179">
        <f>SUM(E82)</f>
        <v>1</v>
      </c>
      <c r="F83" s="179">
        <f t="shared" ref="F83:X83" si="132">SUM(F82)</f>
        <v>0</v>
      </c>
      <c r="G83" s="179">
        <f t="shared" si="132"/>
        <v>1</v>
      </c>
      <c r="H83" s="179">
        <f t="shared" si="132"/>
        <v>179133550</v>
      </c>
      <c r="I83" s="179">
        <f t="shared" si="132"/>
        <v>179133550</v>
      </c>
      <c r="J83" s="179">
        <f t="shared" si="132"/>
        <v>44373</v>
      </c>
      <c r="K83" s="179">
        <f t="shared" si="132"/>
        <v>46280</v>
      </c>
      <c r="L83" s="179"/>
      <c r="M83" s="179"/>
      <c r="N83" s="179">
        <f t="shared" si="132"/>
        <v>4564322.8540000003</v>
      </c>
      <c r="O83" s="179">
        <f t="shared" si="132"/>
        <v>0</v>
      </c>
      <c r="P83" s="179">
        <f t="shared" si="132"/>
        <v>0</v>
      </c>
      <c r="Q83" s="179">
        <f t="shared" si="132"/>
        <v>4564322.8540000003</v>
      </c>
      <c r="R83" s="179">
        <f t="shared" si="132"/>
        <v>456432.28540000005</v>
      </c>
      <c r="S83" s="179">
        <f t="shared" si="132"/>
        <v>4107890.5686000003</v>
      </c>
      <c r="T83" s="179">
        <f t="shared" si="132"/>
        <v>14489.913822222225</v>
      </c>
      <c r="U83" s="179">
        <f t="shared" si="132"/>
        <v>86939.482933333347</v>
      </c>
      <c r="V83" s="179">
        <f t="shared" si="132"/>
        <v>355002.88864444452</v>
      </c>
      <c r="W83" s="179">
        <f t="shared" si="132"/>
        <v>456432.28540000011</v>
      </c>
      <c r="X83" s="179">
        <f t="shared" si="132"/>
        <v>0</v>
      </c>
    </row>
    <row r="84" spans="1:24" x14ac:dyDescent="0.2">
      <c r="A84" s="83"/>
      <c r="B84" s="83"/>
      <c r="C84" s="83" t="s">
        <v>174</v>
      </c>
      <c r="D84" s="84"/>
      <c r="E84" s="185">
        <f>E83</f>
        <v>1</v>
      </c>
      <c r="F84" s="185">
        <f t="shared" ref="F84:X84" si="133">F83</f>
        <v>0</v>
      </c>
      <c r="G84" s="185">
        <f t="shared" si="133"/>
        <v>1</v>
      </c>
      <c r="H84" s="185">
        <f t="shared" si="133"/>
        <v>179133550</v>
      </c>
      <c r="I84" s="185">
        <f t="shared" si="133"/>
        <v>179133550</v>
      </c>
      <c r="J84" s="185">
        <f t="shared" si="133"/>
        <v>44373</v>
      </c>
      <c r="K84" s="185">
        <f t="shared" si="133"/>
        <v>46280</v>
      </c>
      <c r="L84" s="185"/>
      <c r="M84" s="185"/>
      <c r="N84" s="185">
        <f t="shared" si="133"/>
        <v>4564322.8540000003</v>
      </c>
      <c r="O84" s="185">
        <f t="shared" si="133"/>
        <v>0</v>
      </c>
      <c r="P84" s="185">
        <f t="shared" si="133"/>
        <v>0</v>
      </c>
      <c r="Q84" s="185">
        <f t="shared" si="133"/>
        <v>4564322.8540000003</v>
      </c>
      <c r="R84" s="185">
        <f t="shared" si="133"/>
        <v>456432.28540000005</v>
      </c>
      <c r="S84" s="185">
        <f t="shared" si="133"/>
        <v>4107890.5686000003</v>
      </c>
      <c r="T84" s="185">
        <f t="shared" si="133"/>
        <v>14489.913822222225</v>
      </c>
      <c r="U84" s="185">
        <f t="shared" si="133"/>
        <v>86939.482933333347</v>
      </c>
      <c r="V84" s="185">
        <f t="shared" si="133"/>
        <v>355002.88864444452</v>
      </c>
      <c r="W84" s="185">
        <f t="shared" si="133"/>
        <v>456432.28540000011</v>
      </c>
      <c r="X84" s="185">
        <f t="shared" si="133"/>
        <v>0</v>
      </c>
    </row>
    <row r="85" spans="1:24" x14ac:dyDescent="0.2">
      <c r="A85" s="83"/>
      <c r="B85" s="83"/>
      <c r="C85" s="83" t="s">
        <v>175</v>
      </c>
      <c r="D85" s="84"/>
      <c r="E85" s="95">
        <f>E84+E75</f>
        <v>26</v>
      </c>
      <c r="F85" s="95">
        <f t="shared" ref="F85:X85" si="134">F84+F75</f>
        <v>0</v>
      </c>
      <c r="G85" s="95">
        <f t="shared" si="134"/>
        <v>1</v>
      </c>
      <c r="H85" s="95">
        <f t="shared" si="134"/>
        <v>5468584172</v>
      </c>
      <c r="I85" s="95">
        <f t="shared" si="134"/>
        <v>5468584172</v>
      </c>
      <c r="J85" s="95">
        <f t="shared" si="134"/>
        <v>44373</v>
      </c>
      <c r="K85" s="95">
        <f t="shared" si="134"/>
        <v>46280</v>
      </c>
      <c r="L85" s="95"/>
      <c r="M85" s="95"/>
      <c r="N85" s="95">
        <f t="shared" si="134"/>
        <v>163441868.71888</v>
      </c>
      <c r="O85" s="95">
        <f t="shared" si="134"/>
        <v>300000</v>
      </c>
      <c r="P85" s="95">
        <f t="shared" si="134"/>
        <v>0</v>
      </c>
      <c r="Q85" s="95">
        <f t="shared" si="134"/>
        <v>163741868.71888</v>
      </c>
      <c r="R85" s="95">
        <f t="shared" si="134"/>
        <v>15924279.285400001</v>
      </c>
      <c r="S85" s="95">
        <f t="shared" si="134"/>
        <v>147497808.71037403</v>
      </c>
      <c r="T85" s="95">
        <f t="shared" si="134"/>
        <v>1953538.1566916755</v>
      </c>
      <c r="U85" s="95">
        <f t="shared" si="134"/>
        <v>2325125.5721301655</v>
      </c>
      <c r="V85" s="95">
        <f t="shared" si="134"/>
        <v>11645615.556578161</v>
      </c>
      <c r="W85" s="95">
        <f t="shared" si="134"/>
        <v>15924279.285400001</v>
      </c>
      <c r="X85" s="95">
        <f t="shared" si="134"/>
        <v>0</v>
      </c>
    </row>
    <row r="87" spans="1:24" ht="23.25" x14ac:dyDescent="0.2">
      <c r="A87" s="86" t="s">
        <v>205</v>
      </c>
      <c r="B87" s="62"/>
      <c r="C87" s="62"/>
      <c r="D87" s="57"/>
      <c r="E87" s="63"/>
      <c r="F87" s="64"/>
      <c r="G87" s="65"/>
      <c r="H87" s="66"/>
      <c r="I87" s="66"/>
      <c r="J87" s="67"/>
      <c r="K87" s="67"/>
      <c r="L87" s="68"/>
      <c r="M87" s="68"/>
      <c r="N87" s="69"/>
      <c r="O87" s="69"/>
      <c r="P87" s="69"/>
      <c r="Q87" s="69"/>
      <c r="R87" s="69"/>
      <c r="S87" s="69"/>
      <c r="T87" s="70"/>
      <c r="U87" s="71"/>
      <c r="V87" s="71"/>
    </row>
    <row r="88" spans="1:24" x14ac:dyDescent="0.2">
      <c r="A88" s="231" t="s">
        <v>0</v>
      </c>
      <c r="B88" s="232" t="s">
        <v>1</v>
      </c>
      <c r="C88" s="229" t="s">
        <v>2</v>
      </c>
      <c r="D88" s="233" t="s">
        <v>3</v>
      </c>
      <c r="E88" s="234" t="s">
        <v>4</v>
      </c>
      <c r="F88" s="232" t="s">
        <v>5</v>
      </c>
      <c r="G88" s="235" t="s">
        <v>6</v>
      </c>
      <c r="H88" s="236" t="s">
        <v>7</v>
      </c>
      <c r="I88" s="236" t="s">
        <v>8</v>
      </c>
      <c r="J88" s="227" t="s">
        <v>9</v>
      </c>
      <c r="K88" s="227"/>
      <c r="L88" s="228" t="s">
        <v>10</v>
      </c>
      <c r="M88" s="229" t="s">
        <v>11</v>
      </c>
      <c r="N88" s="230" t="s">
        <v>12</v>
      </c>
      <c r="O88" s="230"/>
      <c r="P88" s="230"/>
      <c r="Q88" s="229" t="s">
        <v>13</v>
      </c>
      <c r="R88" s="229" t="s">
        <v>14</v>
      </c>
      <c r="S88" s="229" t="s">
        <v>15</v>
      </c>
      <c r="T88" s="36">
        <v>2021</v>
      </c>
      <c r="U88" s="37"/>
      <c r="V88" s="38" t="s">
        <v>44</v>
      </c>
    </row>
    <row r="89" spans="1:24" x14ac:dyDescent="0.2">
      <c r="A89" s="231"/>
      <c r="B89" s="232"/>
      <c r="C89" s="229"/>
      <c r="D89" s="233"/>
      <c r="E89" s="234"/>
      <c r="F89" s="232"/>
      <c r="G89" s="235"/>
      <c r="H89" s="236"/>
      <c r="I89" s="236"/>
      <c r="J89" s="227"/>
      <c r="K89" s="227"/>
      <c r="L89" s="228"/>
      <c r="M89" s="229"/>
      <c r="N89" s="194" t="s">
        <v>16</v>
      </c>
      <c r="O89" s="194" t="s">
        <v>17</v>
      </c>
      <c r="P89" s="194" t="s">
        <v>18</v>
      </c>
      <c r="Q89" s="229"/>
      <c r="R89" s="229"/>
      <c r="S89" s="229"/>
      <c r="T89" s="96" t="s">
        <v>202</v>
      </c>
      <c r="U89" s="39" t="s">
        <v>204</v>
      </c>
      <c r="V89" s="40"/>
    </row>
    <row r="90" spans="1:24" ht="12.75" x14ac:dyDescent="0.2">
      <c r="A90" s="154">
        <v>18</v>
      </c>
      <c r="B90" s="155" t="s">
        <v>128</v>
      </c>
      <c r="C90" s="155" t="s">
        <v>178</v>
      </c>
      <c r="D90" s="156">
        <v>44391</v>
      </c>
      <c r="E90" s="154">
        <v>1</v>
      </c>
      <c r="F90" s="155" t="s">
        <v>179</v>
      </c>
      <c r="G90" s="175">
        <v>1</v>
      </c>
      <c r="H90" s="176">
        <v>380000000</v>
      </c>
      <c r="I90" s="176">
        <f>H90*G90</f>
        <v>380000000</v>
      </c>
      <c r="J90" s="156">
        <v>44350</v>
      </c>
      <c r="K90" s="77">
        <f t="shared" ref="K90:K105" si="135">IFERROR(VALUE(DAY(J90)&amp;" "&amp;TEXT(EOMONTH(J90,L90)-29,"mmm")&amp;" "&amp;YEAR(EOMONTH(J90,L90)-29)),"-")</f>
        <v>48002</v>
      </c>
      <c r="L90" s="155">
        <v>120</v>
      </c>
      <c r="M90" s="99">
        <v>25.48</v>
      </c>
      <c r="N90" s="81">
        <f t="shared" ref="N90:N105" si="136">M90*H90/1000</f>
        <v>9682400</v>
      </c>
      <c r="O90" s="81"/>
      <c r="P90" s="81"/>
      <c r="Q90" s="81">
        <f t="shared" ref="Q90:Q105" si="137">N90+O90+P90</f>
        <v>9682400</v>
      </c>
      <c r="R90" s="81">
        <f t="shared" ref="R90:R105" si="138">10%*N90</f>
        <v>968240</v>
      </c>
      <c r="S90" s="81">
        <f t="shared" ref="S90:S105" si="139">Q90-R90</f>
        <v>8714160</v>
      </c>
      <c r="T90" s="42">
        <f>R90/L90*2</f>
        <v>16137.333333333334</v>
      </c>
      <c r="U90" s="1">
        <f>R90/L90*12</f>
        <v>96824</v>
      </c>
      <c r="V90" s="34">
        <f>R90-T90-U90</f>
        <v>855278.66666666663</v>
      </c>
      <c r="W90" s="35">
        <f t="shared" ref="W90" si="140">T90+U90+V90</f>
        <v>968240</v>
      </c>
      <c r="X90" s="35">
        <f t="shared" ref="X90" si="141">R90-W90</f>
        <v>0</v>
      </c>
    </row>
    <row r="91" spans="1:24" ht="12.75" x14ac:dyDescent="0.2">
      <c r="A91" s="168"/>
      <c r="B91" s="168"/>
      <c r="C91" s="168"/>
      <c r="D91" s="107"/>
      <c r="E91" s="154">
        <v>1</v>
      </c>
      <c r="F91" s="155" t="s">
        <v>180</v>
      </c>
      <c r="G91" s="175">
        <v>1</v>
      </c>
      <c r="H91" s="176">
        <v>445000000</v>
      </c>
      <c r="I91" s="176">
        <f t="shared" ref="I91:I105" si="142">H91*G91</f>
        <v>445000000</v>
      </c>
      <c r="J91" s="156">
        <v>44350</v>
      </c>
      <c r="K91" s="77">
        <f t="shared" si="135"/>
        <v>49312</v>
      </c>
      <c r="L91" s="155">
        <v>164</v>
      </c>
      <c r="M91" s="99">
        <v>35.409999999999997</v>
      </c>
      <c r="N91" s="81">
        <f t="shared" si="136"/>
        <v>15757449.999999998</v>
      </c>
      <c r="O91" s="81"/>
      <c r="P91" s="81"/>
      <c r="Q91" s="81">
        <f t="shared" si="137"/>
        <v>15757449.999999998</v>
      </c>
      <c r="R91" s="81">
        <f t="shared" si="138"/>
        <v>1575745</v>
      </c>
      <c r="S91" s="81">
        <f t="shared" si="139"/>
        <v>14181704.999999998</v>
      </c>
      <c r="T91" s="42">
        <f t="shared" ref="T91:T105" si="143">R91/L91*2</f>
        <v>19216.40243902439</v>
      </c>
      <c r="U91" s="1">
        <f t="shared" ref="U91:U105" si="144">R91/L91*12</f>
        <v>115298.41463414635</v>
      </c>
      <c r="V91" s="34">
        <f t="shared" ref="V91:V105" si="145">R91-T91-U91</f>
        <v>1441230.1829268294</v>
      </c>
      <c r="W91" s="35">
        <f t="shared" ref="W91:W105" si="146">T91+U91+V91</f>
        <v>1575745.0000000002</v>
      </c>
      <c r="X91" s="35">
        <f t="shared" ref="X91:X105" si="147">R91-W91</f>
        <v>0</v>
      </c>
    </row>
    <row r="92" spans="1:24" ht="12.75" x14ac:dyDescent="0.2">
      <c r="A92" s="168"/>
      <c r="B92" s="168"/>
      <c r="C92" s="168"/>
      <c r="D92" s="107"/>
      <c r="E92" s="154">
        <v>1</v>
      </c>
      <c r="F92" s="155" t="s">
        <v>181</v>
      </c>
      <c r="G92" s="175">
        <v>1</v>
      </c>
      <c r="H92" s="176">
        <v>500000000</v>
      </c>
      <c r="I92" s="176">
        <f t="shared" si="142"/>
        <v>500000000</v>
      </c>
      <c r="J92" s="156">
        <v>44350</v>
      </c>
      <c r="K92" s="77">
        <f t="shared" si="135"/>
        <v>49463</v>
      </c>
      <c r="L92" s="155">
        <v>168</v>
      </c>
      <c r="M92" s="99">
        <v>35.409999999999997</v>
      </c>
      <c r="N92" s="81">
        <f t="shared" si="136"/>
        <v>17705000</v>
      </c>
      <c r="O92" s="81"/>
      <c r="P92" s="81"/>
      <c r="Q92" s="81">
        <f t="shared" si="137"/>
        <v>17705000</v>
      </c>
      <c r="R92" s="81">
        <f t="shared" si="138"/>
        <v>1770500</v>
      </c>
      <c r="S92" s="81">
        <f t="shared" si="139"/>
        <v>15934500</v>
      </c>
      <c r="T92" s="42">
        <f t="shared" si="143"/>
        <v>21077.380952380954</v>
      </c>
      <c r="U92" s="1">
        <f t="shared" si="144"/>
        <v>126464.28571428572</v>
      </c>
      <c r="V92" s="34">
        <f t="shared" si="145"/>
        <v>1622958.3333333333</v>
      </c>
      <c r="W92" s="35">
        <f t="shared" si="146"/>
        <v>1770500</v>
      </c>
      <c r="X92" s="35">
        <f t="shared" si="147"/>
        <v>0</v>
      </c>
    </row>
    <row r="93" spans="1:24" ht="12.75" x14ac:dyDescent="0.2">
      <c r="A93" s="168"/>
      <c r="B93" s="168"/>
      <c r="C93" s="168"/>
      <c r="D93" s="107"/>
      <c r="E93" s="154">
        <v>1</v>
      </c>
      <c r="F93" s="155" t="s">
        <v>182</v>
      </c>
      <c r="G93" s="175">
        <v>1</v>
      </c>
      <c r="H93" s="176">
        <v>330000000</v>
      </c>
      <c r="I93" s="176">
        <f t="shared" si="142"/>
        <v>330000000</v>
      </c>
      <c r="J93" s="156">
        <v>44350</v>
      </c>
      <c r="K93" s="77">
        <f t="shared" si="135"/>
        <v>49829</v>
      </c>
      <c r="L93" s="155">
        <v>180</v>
      </c>
      <c r="M93" s="99">
        <v>37.520000000000003</v>
      </c>
      <c r="N93" s="81">
        <f t="shared" si="136"/>
        <v>12381600.000000002</v>
      </c>
      <c r="O93" s="81"/>
      <c r="P93" s="81"/>
      <c r="Q93" s="81">
        <f t="shared" si="137"/>
        <v>12381600.000000002</v>
      </c>
      <c r="R93" s="81">
        <f t="shared" si="138"/>
        <v>1238160.0000000002</v>
      </c>
      <c r="S93" s="81">
        <f t="shared" si="139"/>
        <v>11143440.000000002</v>
      </c>
      <c r="T93" s="42">
        <f t="shared" si="143"/>
        <v>13757.333333333336</v>
      </c>
      <c r="U93" s="1">
        <f t="shared" si="144"/>
        <v>82544.000000000015</v>
      </c>
      <c r="V93" s="34">
        <f t="shared" si="145"/>
        <v>1141858.666666667</v>
      </c>
      <c r="W93" s="35">
        <f t="shared" si="146"/>
        <v>1238160.0000000002</v>
      </c>
      <c r="X93" s="35">
        <f t="shared" si="147"/>
        <v>0</v>
      </c>
    </row>
    <row r="94" spans="1:24" ht="12.75" x14ac:dyDescent="0.2">
      <c r="A94" s="168"/>
      <c r="B94" s="168"/>
      <c r="C94" s="168"/>
      <c r="D94" s="107"/>
      <c r="E94" s="154">
        <v>1</v>
      </c>
      <c r="F94" s="155" t="s">
        <v>193</v>
      </c>
      <c r="G94" s="175">
        <v>1</v>
      </c>
      <c r="H94" s="176">
        <v>331000000</v>
      </c>
      <c r="I94" s="176">
        <f t="shared" si="142"/>
        <v>331000000</v>
      </c>
      <c r="J94" s="156">
        <v>44350</v>
      </c>
      <c r="K94" s="77">
        <f t="shared" si="135"/>
        <v>49281</v>
      </c>
      <c r="L94" s="155">
        <v>162</v>
      </c>
      <c r="M94" s="99">
        <v>35.409999999999997</v>
      </c>
      <c r="N94" s="81">
        <f t="shared" si="136"/>
        <v>11720709.999999998</v>
      </c>
      <c r="O94" s="81"/>
      <c r="P94" s="81"/>
      <c r="Q94" s="81">
        <f t="shared" si="137"/>
        <v>11720709.999999998</v>
      </c>
      <c r="R94" s="81">
        <f t="shared" si="138"/>
        <v>1172070.9999999998</v>
      </c>
      <c r="S94" s="81">
        <f t="shared" si="139"/>
        <v>10548638.999999998</v>
      </c>
      <c r="T94" s="42">
        <f t="shared" si="143"/>
        <v>14470.01234567901</v>
      </c>
      <c r="U94" s="1">
        <f t="shared" si="144"/>
        <v>86820.074074074058</v>
      </c>
      <c r="V94" s="34">
        <f t="shared" si="145"/>
        <v>1070780.9135802465</v>
      </c>
      <c r="W94" s="35">
        <f t="shared" si="146"/>
        <v>1172070.9999999995</v>
      </c>
      <c r="X94" s="35">
        <f t="shared" si="147"/>
        <v>0</v>
      </c>
    </row>
    <row r="95" spans="1:24" ht="12.75" x14ac:dyDescent="0.2">
      <c r="A95" s="168"/>
      <c r="B95" s="168"/>
      <c r="C95" s="168"/>
      <c r="D95" s="107"/>
      <c r="E95" s="154">
        <v>1</v>
      </c>
      <c r="F95" s="155" t="s">
        <v>183</v>
      </c>
      <c r="G95" s="175">
        <v>1</v>
      </c>
      <c r="H95" s="176">
        <v>230000000</v>
      </c>
      <c r="I95" s="176">
        <f t="shared" si="142"/>
        <v>230000000</v>
      </c>
      <c r="J95" s="156">
        <v>44350</v>
      </c>
      <c r="K95" s="77">
        <f t="shared" si="135"/>
        <v>48002</v>
      </c>
      <c r="L95" s="155">
        <v>120</v>
      </c>
      <c r="M95" s="99">
        <v>25.48</v>
      </c>
      <c r="N95" s="81">
        <f t="shared" si="136"/>
        <v>5860400</v>
      </c>
      <c r="O95" s="81"/>
      <c r="P95" s="81"/>
      <c r="Q95" s="81">
        <f t="shared" si="137"/>
        <v>5860400</v>
      </c>
      <c r="R95" s="81">
        <f t="shared" si="138"/>
        <v>586040</v>
      </c>
      <c r="S95" s="81">
        <f t="shared" si="139"/>
        <v>5274360</v>
      </c>
      <c r="T95" s="42">
        <f t="shared" si="143"/>
        <v>9767.3333333333339</v>
      </c>
      <c r="U95" s="1">
        <f t="shared" si="144"/>
        <v>58604</v>
      </c>
      <c r="V95" s="34">
        <f t="shared" si="145"/>
        <v>517668.66666666663</v>
      </c>
      <c r="W95" s="35">
        <f t="shared" si="146"/>
        <v>586040</v>
      </c>
      <c r="X95" s="35">
        <f t="shared" si="147"/>
        <v>0</v>
      </c>
    </row>
    <row r="96" spans="1:24" ht="12.75" x14ac:dyDescent="0.2">
      <c r="A96" s="168"/>
      <c r="B96" s="168"/>
      <c r="C96" s="168"/>
      <c r="D96" s="107"/>
      <c r="E96" s="154">
        <v>1</v>
      </c>
      <c r="F96" s="155" t="s">
        <v>184</v>
      </c>
      <c r="G96" s="175">
        <v>1</v>
      </c>
      <c r="H96" s="176">
        <v>360000000</v>
      </c>
      <c r="I96" s="176">
        <f t="shared" si="142"/>
        <v>360000000</v>
      </c>
      <c r="J96" s="156">
        <v>44351</v>
      </c>
      <c r="K96" s="77">
        <f t="shared" si="135"/>
        <v>49647</v>
      </c>
      <c r="L96" s="155">
        <v>174</v>
      </c>
      <c r="M96" s="99">
        <v>37.520000000000003</v>
      </c>
      <c r="N96" s="81">
        <f t="shared" si="136"/>
        <v>13507200.000000002</v>
      </c>
      <c r="O96" s="81"/>
      <c r="P96" s="81"/>
      <c r="Q96" s="81">
        <f t="shared" si="137"/>
        <v>13507200.000000002</v>
      </c>
      <c r="R96" s="81">
        <f t="shared" si="138"/>
        <v>1350720.0000000002</v>
      </c>
      <c r="S96" s="81">
        <f t="shared" si="139"/>
        <v>12156480.000000002</v>
      </c>
      <c r="T96" s="42">
        <f t="shared" si="143"/>
        <v>15525.517241379313</v>
      </c>
      <c r="U96" s="1">
        <f t="shared" si="144"/>
        <v>93153.103448275884</v>
      </c>
      <c r="V96" s="34">
        <f t="shared" si="145"/>
        <v>1242041.379310345</v>
      </c>
      <c r="W96" s="35">
        <f t="shared" si="146"/>
        <v>1350720.0000000002</v>
      </c>
      <c r="X96" s="35">
        <f t="shared" si="147"/>
        <v>0</v>
      </c>
    </row>
    <row r="97" spans="1:24" ht="12.75" x14ac:dyDescent="0.2">
      <c r="A97" s="168"/>
      <c r="B97" s="168"/>
      <c r="C97" s="168"/>
      <c r="D97" s="107"/>
      <c r="E97" s="154">
        <v>1</v>
      </c>
      <c r="F97" s="155" t="s">
        <v>185</v>
      </c>
      <c r="G97" s="175">
        <v>1</v>
      </c>
      <c r="H97" s="176">
        <v>310000000</v>
      </c>
      <c r="I97" s="176">
        <f t="shared" si="142"/>
        <v>310000000</v>
      </c>
      <c r="J97" s="156">
        <v>44354</v>
      </c>
      <c r="K97" s="77">
        <f t="shared" si="135"/>
        <v>48372</v>
      </c>
      <c r="L97" s="155">
        <v>132</v>
      </c>
      <c r="M97" s="169">
        <v>27.98</v>
      </c>
      <c r="N97" s="81">
        <f t="shared" si="136"/>
        <v>8673800</v>
      </c>
      <c r="O97" s="81"/>
      <c r="P97" s="81"/>
      <c r="Q97" s="81">
        <f t="shared" si="137"/>
        <v>8673800</v>
      </c>
      <c r="R97" s="81">
        <f t="shared" si="138"/>
        <v>867380</v>
      </c>
      <c r="S97" s="81">
        <f t="shared" si="139"/>
        <v>7806420</v>
      </c>
      <c r="T97" s="42">
        <f t="shared" si="143"/>
        <v>13142.121212121212</v>
      </c>
      <c r="U97" s="1">
        <f t="shared" si="144"/>
        <v>78852.727272727265</v>
      </c>
      <c r="V97" s="34">
        <f t="shared" si="145"/>
        <v>775385.15151515149</v>
      </c>
      <c r="W97" s="35">
        <f t="shared" si="146"/>
        <v>867380</v>
      </c>
      <c r="X97" s="35">
        <f t="shared" si="147"/>
        <v>0</v>
      </c>
    </row>
    <row r="98" spans="1:24" ht="12.75" x14ac:dyDescent="0.2">
      <c r="A98" s="168"/>
      <c r="B98" s="168"/>
      <c r="C98" s="168"/>
      <c r="D98" s="107"/>
      <c r="E98" s="154">
        <v>1</v>
      </c>
      <c r="F98" s="155" t="s">
        <v>186</v>
      </c>
      <c r="G98" s="175">
        <v>1</v>
      </c>
      <c r="H98" s="176">
        <v>350000000</v>
      </c>
      <c r="I98" s="176">
        <f t="shared" si="142"/>
        <v>350000000</v>
      </c>
      <c r="J98" s="156">
        <v>44354</v>
      </c>
      <c r="K98" s="77">
        <f t="shared" si="135"/>
        <v>48737</v>
      </c>
      <c r="L98" s="155">
        <v>144</v>
      </c>
      <c r="M98" s="99">
        <v>30.46</v>
      </c>
      <c r="N98" s="81">
        <f t="shared" si="136"/>
        <v>10661000</v>
      </c>
      <c r="O98" s="81"/>
      <c r="P98" s="81"/>
      <c r="Q98" s="81">
        <f t="shared" si="137"/>
        <v>10661000</v>
      </c>
      <c r="R98" s="81">
        <f t="shared" si="138"/>
        <v>1066100</v>
      </c>
      <c r="S98" s="81">
        <f t="shared" si="139"/>
        <v>9594900</v>
      </c>
      <c r="T98" s="42">
        <f t="shared" si="143"/>
        <v>14806.944444444445</v>
      </c>
      <c r="U98" s="1">
        <f t="shared" si="144"/>
        <v>88841.666666666672</v>
      </c>
      <c r="V98" s="34">
        <f t="shared" si="145"/>
        <v>962451.38888888888</v>
      </c>
      <c r="W98" s="35">
        <f t="shared" si="146"/>
        <v>1066100</v>
      </c>
      <c r="X98" s="35">
        <f t="shared" si="147"/>
        <v>0</v>
      </c>
    </row>
    <row r="99" spans="1:24" ht="12.75" x14ac:dyDescent="0.2">
      <c r="A99" s="168"/>
      <c r="B99" s="168"/>
      <c r="C99" s="168"/>
      <c r="D99" s="107"/>
      <c r="E99" s="154">
        <v>1</v>
      </c>
      <c r="F99" s="155" t="s">
        <v>187</v>
      </c>
      <c r="G99" s="175">
        <v>1</v>
      </c>
      <c r="H99" s="176">
        <v>400000000</v>
      </c>
      <c r="I99" s="176">
        <f t="shared" si="142"/>
        <v>400000000</v>
      </c>
      <c r="J99" s="156">
        <v>44354</v>
      </c>
      <c r="K99" s="77">
        <f t="shared" si="135"/>
        <v>49833</v>
      </c>
      <c r="L99" s="155">
        <v>180</v>
      </c>
      <c r="M99" s="99">
        <v>37.520000000000003</v>
      </c>
      <c r="N99" s="81">
        <f t="shared" si="136"/>
        <v>15008000.000000002</v>
      </c>
      <c r="O99" s="81"/>
      <c r="P99" s="81"/>
      <c r="Q99" s="81">
        <f t="shared" si="137"/>
        <v>15008000.000000002</v>
      </c>
      <c r="R99" s="81">
        <f t="shared" si="138"/>
        <v>1500800.0000000002</v>
      </c>
      <c r="S99" s="81">
        <f t="shared" si="139"/>
        <v>13507200.000000002</v>
      </c>
      <c r="T99" s="42">
        <f t="shared" si="143"/>
        <v>16675.555555555558</v>
      </c>
      <c r="U99" s="1">
        <f t="shared" si="144"/>
        <v>100053.33333333334</v>
      </c>
      <c r="V99" s="34">
        <f t="shared" si="145"/>
        <v>1384071.1111111115</v>
      </c>
      <c r="W99" s="35">
        <f t="shared" si="146"/>
        <v>1500800.0000000005</v>
      </c>
      <c r="X99" s="35">
        <f t="shared" si="147"/>
        <v>0</v>
      </c>
    </row>
    <row r="100" spans="1:24" ht="12.75" x14ac:dyDescent="0.2">
      <c r="A100" s="168"/>
      <c r="B100" s="168"/>
      <c r="C100" s="168"/>
      <c r="D100" s="107"/>
      <c r="E100" s="154">
        <v>1</v>
      </c>
      <c r="F100" s="155" t="s">
        <v>188</v>
      </c>
      <c r="G100" s="175">
        <v>1</v>
      </c>
      <c r="H100" s="176">
        <v>310000000</v>
      </c>
      <c r="I100" s="176">
        <f t="shared" si="142"/>
        <v>310000000</v>
      </c>
      <c r="J100" s="156">
        <v>44355</v>
      </c>
      <c r="K100" s="77">
        <f t="shared" si="135"/>
        <v>47825</v>
      </c>
      <c r="L100" s="155">
        <v>114</v>
      </c>
      <c r="M100" s="99">
        <v>25.48</v>
      </c>
      <c r="N100" s="81">
        <f t="shared" si="136"/>
        <v>7898800</v>
      </c>
      <c r="O100" s="81"/>
      <c r="P100" s="81"/>
      <c r="Q100" s="81">
        <f t="shared" si="137"/>
        <v>7898800</v>
      </c>
      <c r="R100" s="81">
        <f t="shared" si="138"/>
        <v>789880</v>
      </c>
      <c r="S100" s="81">
        <f t="shared" si="139"/>
        <v>7108920</v>
      </c>
      <c r="T100" s="42">
        <f t="shared" si="143"/>
        <v>13857.543859649122</v>
      </c>
      <c r="U100" s="1">
        <f t="shared" si="144"/>
        <v>83145.263157894733</v>
      </c>
      <c r="V100" s="34">
        <f t="shared" si="145"/>
        <v>692877.19298245618</v>
      </c>
      <c r="W100" s="35">
        <f t="shared" si="146"/>
        <v>789880</v>
      </c>
      <c r="X100" s="35">
        <f t="shared" si="147"/>
        <v>0</v>
      </c>
    </row>
    <row r="101" spans="1:24" ht="12.75" x14ac:dyDescent="0.2">
      <c r="A101" s="168"/>
      <c r="B101" s="168"/>
      <c r="C101" s="168"/>
      <c r="D101" s="107"/>
      <c r="E101" s="154">
        <v>1</v>
      </c>
      <c r="F101" s="155" t="s">
        <v>189</v>
      </c>
      <c r="G101" s="175">
        <v>1</v>
      </c>
      <c r="H101" s="176">
        <v>165000000</v>
      </c>
      <c r="I101" s="176">
        <f t="shared" si="142"/>
        <v>165000000</v>
      </c>
      <c r="J101" s="156">
        <v>44355</v>
      </c>
      <c r="K101" s="77">
        <f t="shared" si="135"/>
        <v>47277</v>
      </c>
      <c r="L101" s="155">
        <v>96</v>
      </c>
      <c r="M101" s="99">
        <v>20.93</v>
      </c>
      <c r="N101" s="81">
        <f t="shared" si="136"/>
        <v>3453450</v>
      </c>
      <c r="O101" s="81"/>
      <c r="P101" s="81"/>
      <c r="Q101" s="81">
        <f t="shared" si="137"/>
        <v>3453450</v>
      </c>
      <c r="R101" s="81">
        <f t="shared" si="138"/>
        <v>345345</v>
      </c>
      <c r="S101" s="81">
        <f t="shared" si="139"/>
        <v>3108105</v>
      </c>
      <c r="T101" s="42">
        <f t="shared" si="143"/>
        <v>7194.6875</v>
      </c>
      <c r="U101" s="1">
        <f t="shared" si="144"/>
        <v>43168.125</v>
      </c>
      <c r="V101" s="34">
        <f t="shared" si="145"/>
        <v>294982.1875</v>
      </c>
      <c r="W101" s="35">
        <f t="shared" si="146"/>
        <v>345345</v>
      </c>
      <c r="X101" s="35">
        <f t="shared" si="147"/>
        <v>0</v>
      </c>
    </row>
    <row r="102" spans="1:24" ht="12.75" x14ac:dyDescent="0.2">
      <c r="A102" s="168"/>
      <c r="B102" s="168"/>
      <c r="C102" s="168"/>
      <c r="D102" s="107"/>
      <c r="E102" s="154">
        <v>1</v>
      </c>
      <c r="F102" s="155" t="s">
        <v>190</v>
      </c>
      <c r="G102" s="175">
        <v>1</v>
      </c>
      <c r="H102" s="176">
        <v>300000000</v>
      </c>
      <c r="I102" s="176">
        <f t="shared" si="142"/>
        <v>300000000</v>
      </c>
      <c r="J102" s="156">
        <v>44355</v>
      </c>
      <c r="K102" s="77">
        <f t="shared" si="135"/>
        <v>49834</v>
      </c>
      <c r="L102" s="155">
        <v>180</v>
      </c>
      <c r="M102" s="99">
        <v>37.520000000000003</v>
      </c>
      <c r="N102" s="81">
        <f t="shared" si="136"/>
        <v>11256000</v>
      </c>
      <c r="O102" s="81"/>
      <c r="P102" s="81"/>
      <c r="Q102" s="81">
        <f t="shared" si="137"/>
        <v>11256000</v>
      </c>
      <c r="R102" s="81">
        <f t="shared" si="138"/>
        <v>1125600</v>
      </c>
      <c r="S102" s="81">
        <f t="shared" si="139"/>
        <v>10130400</v>
      </c>
      <c r="T102" s="42">
        <f t="shared" si="143"/>
        <v>12506.666666666666</v>
      </c>
      <c r="U102" s="1">
        <f t="shared" si="144"/>
        <v>75040</v>
      </c>
      <c r="V102" s="34">
        <f t="shared" si="145"/>
        <v>1038053.3333333333</v>
      </c>
      <c r="W102" s="35">
        <f t="shared" si="146"/>
        <v>1125600</v>
      </c>
      <c r="X102" s="35">
        <f t="shared" si="147"/>
        <v>0</v>
      </c>
    </row>
    <row r="103" spans="1:24" ht="12.75" x14ac:dyDescent="0.2">
      <c r="A103" s="168"/>
      <c r="B103" s="168"/>
      <c r="C103" s="168"/>
      <c r="D103" s="107"/>
      <c r="E103" s="154">
        <v>1</v>
      </c>
      <c r="F103" s="155" t="s">
        <v>191</v>
      </c>
      <c r="G103" s="175">
        <v>1</v>
      </c>
      <c r="H103" s="176">
        <v>25000000</v>
      </c>
      <c r="I103" s="176">
        <f t="shared" si="142"/>
        <v>25000000</v>
      </c>
      <c r="J103" s="156">
        <v>44361</v>
      </c>
      <c r="K103" s="77">
        <f t="shared" si="135"/>
        <v>45274</v>
      </c>
      <c r="L103" s="155">
        <v>30</v>
      </c>
      <c r="M103" s="99">
        <v>9.1</v>
      </c>
      <c r="N103" s="81">
        <f t="shared" si="136"/>
        <v>227500</v>
      </c>
      <c r="O103" s="81"/>
      <c r="P103" s="81"/>
      <c r="Q103" s="81">
        <f t="shared" si="137"/>
        <v>227500</v>
      </c>
      <c r="R103" s="81">
        <f t="shared" si="138"/>
        <v>22750</v>
      </c>
      <c r="S103" s="81">
        <f t="shared" si="139"/>
        <v>204750</v>
      </c>
      <c r="T103" s="42">
        <f t="shared" si="143"/>
        <v>1516.6666666666667</v>
      </c>
      <c r="U103" s="1">
        <f t="shared" si="144"/>
        <v>9100</v>
      </c>
      <c r="V103" s="34">
        <f t="shared" si="145"/>
        <v>12133.333333333332</v>
      </c>
      <c r="W103" s="35">
        <f t="shared" si="146"/>
        <v>22750</v>
      </c>
      <c r="X103" s="35">
        <f t="shared" si="147"/>
        <v>0</v>
      </c>
    </row>
    <row r="104" spans="1:24" ht="12.75" x14ac:dyDescent="0.2">
      <c r="A104" s="168"/>
      <c r="B104" s="168"/>
      <c r="C104" s="168"/>
      <c r="D104" s="107"/>
      <c r="E104" s="154">
        <v>1</v>
      </c>
      <c r="F104" s="155" t="s">
        <v>192</v>
      </c>
      <c r="G104" s="175">
        <v>1</v>
      </c>
      <c r="H104" s="176">
        <v>170000000</v>
      </c>
      <c r="I104" s="176">
        <f t="shared" si="142"/>
        <v>170000000</v>
      </c>
      <c r="J104" s="156">
        <v>44362</v>
      </c>
      <c r="K104" s="77">
        <f t="shared" si="135"/>
        <v>48014</v>
      </c>
      <c r="L104" s="155">
        <v>120</v>
      </c>
      <c r="M104" s="99">
        <v>25.48</v>
      </c>
      <c r="N104" s="81">
        <f t="shared" si="136"/>
        <v>4331600</v>
      </c>
      <c r="O104" s="81"/>
      <c r="P104" s="81"/>
      <c r="Q104" s="81">
        <f t="shared" si="137"/>
        <v>4331600</v>
      </c>
      <c r="R104" s="81">
        <f t="shared" si="138"/>
        <v>433160</v>
      </c>
      <c r="S104" s="81">
        <f t="shared" si="139"/>
        <v>3898440</v>
      </c>
      <c r="T104" s="42">
        <f t="shared" si="143"/>
        <v>7219.333333333333</v>
      </c>
      <c r="U104" s="1">
        <f t="shared" si="144"/>
        <v>43316</v>
      </c>
      <c r="V104" s="34">
        <f t="shared" si="145"/>
        <v>382624.66666666669</v>
      </c>
      <c r="W104" s="35">
        <f t="shared" si="146"/>
        <v>433160</v>
      </c>
      <c r="X104" s="35">
        <f t="shared" si="147"/>
        <v>0</v>
      </c>
    </row>
    <row r="105" spans="1:24" ht="12.75" x14ac:dyDescent="0.2">
      <c r="A105" s="168"/>
      <c r="B105" s="168"/>
      <c r="C105" s="168"/>
      <c r="D105" s="107"/>
      <c r="E105" s="154">
        <v>1</v>
      </c>
      <c r="F105" s="155" t="s">
        <v>194</v>
      </c>
      <c r="G105" s="175">
        <v>1</v>
      </c>
      <c r="H105" s="188">
        <v>343000000</v>
      </c>
      <c r="I105" s="188">
        <f t="shared" si="142"/>
        <v>343000000</v>
      </c>
      <c r="J105" s="189">
        <v>44363</v>
      </c>
      <c r="K105" s="77">
        <f t="shared" si="135"/>
        <v>49476</v>
      </c>
      <c r="L105" s="187">
        <v>168</v>
      </c>
      <c r="M105" s="99">
        <v>35.409999999999997</v>
      </c>
      <c r="N105" s="190">
        <f t="shared" si="136"/>
        <v>12145629.999999998</v>
      </c>
      <c r="O105" s="190"/>
      <c r="P105" s="190"/>
      <c r="Q105" s="190">
        <f t="shared" si="137"/>
        <v>12145629.999999998</v>
      </c>
      <c r="R105" s="81">
        <f t="shared" si="138"/>
        <v>1214562.9999999998</v>
      </c>
      <c r="S105" s="190">
        <f t="shared" si="139"/>
        <v>10931066.999999998</v>
      </c>
      <c r="T105" s="42">
        <f t="shared" si="143"/>
        <v>14459.08333333333</v>
      </c>
      <c r="U105" s="1">
        <f t="shared" si="144"/>
        <v>86754.499999999985</v>
      </c>
      <c r="V105" s="34">
        <f t="shared" si="145"/>
        <v>1113349.4166666665</v>
      </c>
      <c r="W105" s="35">
        <f t="shared" si="146"/>
        <v>1214562.9999999998</v>
      </c>
      <c r="X105" s="35">
        <f t="shared" si="147"/>
        <v>0</v>
      </c>
    </row>
    <row r="106" spans="1:24" x14ac:dyDescent="0.2">
      <c r="A106" s="91"/>
      <c r="B106" s="91"/>
      <c r="C106" s="91"/>
      <c r="D106" s="59"/>
      <c r="E106" s="91">
        <f>SUM(E90:E105)</f>
        <v>16</v>
      </c>
      <c r="F106" s="91"/>
      <c r="G106" s="91"/>
      <c r="H106" s="91">
        <f>SUM(H90:H105)</f>
        <v>4949000000</v>
      </c>
      <c r="I106" s="91">
        <f>SUM(I90:I105)</f>
        <v>4949000000</v>
      </c>
      <c r="J106" s="91"/>
      <c r="K106" s="91"/>
      <c r="L106" s="91"/>
      <c r="M106" s="91"/>
      <c r="N106" s="91">
        <f t="shared" ref="N106:X106" si="148">SUM(N90:N105)</f>
        <v>160270540</v>
      </c>
      <c r="O106" s="91">
        <f t="shared" si="148"/>
        <v>0</v>
      </c>
      <c r="P106" s="91">
        <f t="shared" si="148"/>
        <v>0</v>
      </c>
      <c r="Q106" s="91">
        <f t="shared" si="148"/>
        <v>160270540</v>
      </c>
      <c r="R106" s="91">
        <f t="shared" si="148"/>
        <v>16027054</v>
      </c>
      <c r="S106" s="91">
        <f t="shared" si="148"/>
        <v>144243486</v>
      </c>
      <c r="T106" s="91">
        <f t="shared" si="148"/>
        <v>211329.91555023403</v>
      </c>
      <c r="U106" s="91">
        <f t="shared" si="148"/>
        <v>1267979.4933014042</v>
      </c>
      <c r="V106" s="91">
        <f t="shared" si="148"/>
        <v>14547744.591148362</v>
      </c>
      <c r="W106" s="91">
        <f t="shared" si="148"/>
        <v>16027054</v>
      </c>
      <c r="X106" s="91">
        <f t="shared" si="148"/>
        <v>0</v>
      </c>
    </row>
    <row r="107" spans="1:24" ht="12.75" x14ac:dyDescent="0.2">
      <c r="A107" s="154"/>
      <c r="B107" s="155" t="s">
        <v>46</v>
      </c>
      <c r="C107" s="155" t="s">
        <v>206</v>
      </c>
      <c r="D107" s="156">
        <v>44407</v>
      </c>
      <c r="E107" s="154">
        <v>1</v>
      </c>
      <c r="F107" s="155" t="s">
        <v>53</v>
      </c>
      <c r="G107" s="175">
        <v>1</v>
      </c>
      <c r="H107" s="176">
        <v>70717947</v>
      </c>
      <c r="I107" s="176">
        <f>H107*G107</f>
        <v>70717947</v>
      </c>
      <c r="J107" s="156">
        <v>46914</v>
      </c>
      <c r="K107" s="156">
        <v>47279</v>
      </c>
      <c r="L107" s="155">
        <v>12</v>
      </c>
      <c r="M107" s="195">
        <v>5.46</v>
      </c>
      <c r="N107" s="176">
        <f>M107*H107/1000</f>
        <v>386119.99062</v>
      </c>
      <c r="O107" s="176">
        <v>100000</v>
      </c>
      <c r="P107" s="176"/>
      <c r="Q107" s="176">
        <f>N107+O107+P107</f>
        <v>486119.99062</v>
      </c>
      <c r="R107" s="196"/>
      <c r="S107" s="176">
        <f>Q107-R107</f>
        <v>486119.99062</v>
      </c>
      <c r="T107" s="42">
        <f t="shared" ref="T107" si="149">R107/L107*2</f>
        <v>0</v>
      </c>
      <c r="U107" s="1">
        <f t="shared" ref="U107:U109" si="150">R107/L107*12</f>
        <v>0</v>
      </c>
      <c r="V107" s="34">
        <f t="shared" ref="V107:V109" si="151">R107-T107-U107</f>
        <v>0</v>
      </c>
      <c r="W107" s="35">
        <f t="shared" ref="W107:W109" si="152">T107+U107+V107</f>
        <v>0</v>
      </c>
      <c r="X107" s="35">
        <f t="shared" ref="X107:X109" si="153">R107-W107</f>
        <v>0</v>
      </c>
    </row>
    <row r="108" spans="1:24" ht="12.75" x14ac:dyDescent="0.2">
      <c r="A108" s="198"/>
      <c r="B108" s="199"/>
      <c r="C108" s="199"/>
      <c r="D108" s="199"/>
      <c r="E108" s="200"/>
      <c r="F108" s="201"/>
      <c r="G108" s="201"/>
      <c r="H108" s="201"/>
      <c r="I108" s="201"/>
      <c r="J108" s="201"/>
      <c r="K108" s="201"/>
      <c r="L108" s="201"/>
      <c r="M108" s="201"/>
      <c r="N108" s="201">
        <f t="shared" ref="N108:X108" si="154">SUM(N107:N107)</f>
        <v>386119.99062</v>
      </c>
      <c r="O108" s="201">
        <f t="shared" si="154"/>
        <v>100000</v>
      </c>
      <c r="P108" s="201">
        <f t="shared" si="154"/>
        <v>0</v>
      </c>
      <c r="Q108" s="201">
        <f t="shared" si="154"/>
        <v>486119.99062</v>
      </c>
      <c r="R108" s="201">
        <f t="shared" si="154"/>
        <v>0</v>
      </c>
      <c r="S108" s="201">
        <f t="shared" si="154"/>
        <v>486119.99062</v>
      </c>
      <c r="T108" s="201">
        <f t="shared" si="154"/>
        <v>0</v>
      </c>
      <c r="U108" s="201">
        <f t="shared" si="154"/>
        <v>0</v>
      </c>
      <c r="V108" s="201">
        <f t="shared" si="154"/>
        <v>0</v>
      </c>
      <c r="W108" s="201">
        <f t="shared" si="154"/>
        <v>0</v>
      </c>
      <c r="X108" s="201">
        <f t="shared" si="154"/>
        <v>0</v>
      </c>
    </row>
    <row r="109" spans="1:24" ht="12.75" x14ac:dyDescent="0.2">
      <c r="A109" s="154"/>
      <c r="B109" s="155" t="s">
        <v>122</v>
      </c>
      <c r="C109" s="155" t="s">
        <v>207</v>
      </c>
      <c r="D109" s="156">
        <v>44407</v>
      </c>
      <c r="E109" s="154">
        <v>1</v>
      </c>
      <c r="F109" s="155" t="s">
        <v>208</v>
      </c>
      <c r="G109" s="175">
        <v>1</v>
      </c>
      <c r="H109" s="176">
        <v>30000000</v>
      </c>
      <c r="I109" s="176">
        <f>H109*G109</f>
        <v>30000000</v>
      </c>
      <c r="J109" s="156">
        <v>44406</v>
      </c>
      <c r="K109" s="156">
        <v>45136</v>
      </c>
      <c r="L109" s="155">
        <v>24</v>
      </c>
      <c r="M109" s="195">
        <v>10.57</v>
      </c>
      <c r="N109" s="176">
        <f>M109*H109/1000</f>
        <v>317100</v>
      </c>
      <c r="O109" s="176"/>
      <c r="P109" s="176"/>
      <c r="Q109" s="190">
        <f t="shared" ref="Q109" si="155">N109+O109+P109</f>
        <v>317100</v>
      </c>
      <c r="R109" s="81">
        <f t="shared" ref="R109" si="156">10%*N109</f>
        <v>31710</v>
      </c>
      <c r="S109" s="190">
        <f t="shared" ref="S109" si="157">Q109-R109</f>
        <v>285390</v>
      </c>
      <c r="T109" s="42">
        <f>R109/L109</f>
        <v>1321.25</v>
      </c>
      <c r="U109" s="1">
        <f t="shared" si="150"/>
        <v>15855</v>
      </c>
      <c r="V109" s="34">
        <f t="shared" si="151"/>
        <v>14533.75</v>
      </c>
      <c r="W109" s="35">
        <f t="shared" si="152"/>
        <v>31710</v>
      </c>
      <c r="X109" s="35">
        <f t="shared" si="153"/>
        <v>0</v>
      </c>
    </row>
    <row r="110" spans="1:24" ht="12.75" x14ac:dyDescent="0.2">
      <c r="A110" s="198"/>
      <c r="B110" s="199"/>
      <c r="C110" s="199"/>
      <c r="D110" s="199"/>
      <c r="E110" s="200">
        <f>SUM(E109:E109)</f>
        <v>1</v>
      </c>
      <c r="F110" s="201">
        <f>SUM(F109:F109)</f>
        <v>0</v>
      </c>
      <c r="G110" s="201"/>
      <c r="H110" s="201">
        <f>SUM(H109:H109)</f>
        <v>30000000</v>
      </c>
      <c r="I110" s="201">
        <f>SUM(I109:I109)</f>
        <v>30000000</v>
      </c>
      <c r="J110" s="201"/>
      <c r="K110" s="201"/>
      <c r="L110" s="201"/>
      <c r="M110" s="201"/>
      <c r="N110" s="201">
        <f t="shared" ref="N110:R110" si="158">SUM(N109:N109)</f>
        <v>317100</v>
      </c>
      <c r="O110" s="201">
        <f t="shared" si="158"/>
        <v>0</v>
      </c>
      <c r="P110" s="201">
        <f t="shared" si="158"/>
        <v>0</v>
      </c>
      <c r="Q110" s="201">
        <f t="shared" si="158"/>
        <v>317100</v>
      </c>
      <c r="R110" s="201">
        <f t="shared" si="158"/>
        <v>31710</v>
      </c>
      <c r="S110" s="201">
        <f t="shared" ref="S110" si="159">SUM(S109:S109)</f>
        <v>285390</v>
      </c>
      <c r="T110" s="201">
        <f t="shared" ref="T110" si="160">SUM(T109:T109)</f>
        <v>1321.25</v>
      </c>
      <c r="U110" s="201">
        <f t="shared" ref="U110" si="161">SUM(U109:U109)</f>
        <v>15855</v>
      </c>
      <c r="V110" s="201">
        <f t="shared" ref="V110" si="162">SUM(V109:V109)</f>
        <v>14533.75</v>
      </c>
      <c r="W110" s="201">
        <f t="shared" ref="W110" si="163">SUM(W109:W109)</f>
        <v>31710</v>
      </c>
      <c r="X110" s="201">
        <f t="shared" ref="X110" si="164">SUM(X109:X109)</f>
        <v>0</v>
      </c>
    </row>
    <row r="111" spans="1:24" x14ac:dyDescent="0.2">
      <c r="A111" s="83"/>
      <c r="B111" s="83"/>
      <c r="C111" s="83" t="s">
        <v>50</v>
      </c>
      <c r="D111" s="84"/>
      <c r="E111" s="185">
        <f>E110+E106</f>
        <v>17</v>
      </c>
      <c r="F111" s="185">
        <f t="shared" ref="F111:R111" si="165">F110+F106</f>
        <v>0</v>
      </c>
      <c r="G111" s="185">
        <f t="shared" si="165"/>
        <v>0</v>
      </c>
      <c r="H111" s="185">
        <f t="shared" si="165"/>
        <v>4979000000</v>
      </c>
      <c r="I111" s="185">
        <f t="shared" si="165"/>
        <v>4979000000</v>
      </c>
      <c r="J111" s="185"/>
      <c r="K111" s="185"/>
      <c r="L111" s="185"/>
      <c r="M111" s="185"/>
      <c r="N111" s="185">
        <f t="shared" si="165"/>
        <v>160587640</v>
      </c>
      <c r="O111" s="185">
        <f t="shared" si="165"/>
        <v>0</v>
      </c>
      <c r="P111" s="185">
        <f t="shared" si="165"/>
        <v>0</v>
      </c>
      <c r="Q111" s="185">
        <f t="shared" si="165"/>
        <v>160587640</v>
      </c>
      <c r="R111" s="185">
        <f t="shared" si="165"/>
        <v>16058764</v>
      </c>
      <c r="S111" s="185">
        <f t="shared" ref="S111" si="166">S110+S106</f>
        <v>144528876</v>
      </c>
      <c r="T111" s="185">
        <f>T110+T106</f>
        <v>212651.16555023403</v>
      </c>
      <c r="U111" s="185">
        <f t="shared" ref="U111" si="167">U110+U106</f>
        <v>1283834.4933014042</v>
      </c>
      <c r="V111" s="185">
        <f t="shared" ref="V111" si="168">V110+V106</f>
        <v>14562278.341148362</v>
      </c>
      <c r="W111" s="185">
        <f t="shared" ref="W111" si="169">W110+W106</f>
        <v>16058764</v>
      </c>
      <c r="X111" s="185">
        <f t="shared" ref="X111" si="170">X110+X106</f>
        <v>0</v>
      </c>
    </row>
    <row r="112" spans="1:24" x14ac:dyDescent="0.2">
      <c r="A112" s="83"/>
      <c r="B112" s="83"/>
      <c r="C112" s="83" t="s">
        <v>209</v>
      </c>
      <c r="D112" s="84"/>
      <c r="E112" s="95">
        <f>E111+E85</f>
        <v>43</v>
      </c>
      <c r="F112" s="95">
        <f t="shared" ref="F112:R112" si="171">F111+F85</f>
        <v>0</v>
      </c>
      <c r="G112" s="95">
        <f t="shared" si="171"/>
        <v>1</v>
      </c>
      <c r="H112" s="95">
        <f t="shared" si="171"/>
        <v>10447584172</v>
      </c>
      <c r="I112" s="95">
        <f t="shared" si="171"/>
        <v>10447584172</v>
      </c>
      <c r="J112" s="95"/>
      <c r="K112" s="95"/>
      <c r="L112" s="95"/>
      <c r="M112" s="95"/>
      <c r="N112" s="95">
        <f t="shared" si="171"/>
        <v>324029508.71888</v>
      </c>
      <c r="O112" s="95">
        <f t="shared" si="171"/>
        <v>300000</v>
      </c>
      <c r="P112" s="95">
        <f t="shared" si="171"/>
        <v>0</v>
      </c>
      <c r="Q112" s="95">
        <f t="shared" si="171"/>
        <v>324329508.71888</v>
      </c>
      <c r="R112" s="95">
        <f t="shared" si="171"/>
        <v>31983043.285400003</v>
      </c>
      <c r="S112" s="95">
        <f t="shared" ref="S112" si="172">S111+S85</f>
        <v>292026684.710374</v>
      </c>
      <c r="T112" s="95">
        <f t="shared" ref="T112" si="173">T111+T85</f>
        <v>2166189.3222419098</v>
      </c>
      <c r="U112" s="95">
        <f t="shared" ref="U112" si="174">U111+U85</f>
        <v>3608960.0654315697</v>
      </c>
      <c r="V112" s="95">
        <f t="shared" ref="V112" si="175">V111+V85</f>
        <v>26207893.897726521</v>
      </c>
      <c r="W112" s="95">
        <f t="shared" ref="W112" si="176">W111+W85</f>
        <v>31983043.285400003</v>
      </c>
      <c r="X112" s="95">
        <f t="shared" ref="X112" si="177">X111+X85</f>
        <v>0</v>
      </c>
    </row>
  </sheetData>
  <mergeCells count="112">
    <mergeCell ref="S88:S89"/>
    <mergeCell ref="L88:L89"/>
    <mergeCell ref="M88:M89"/>
    <mergeCell ref="N88:P88"/>
    <mergeCell ref="Q88:Q89"/>
    <mergeCell ref="R88:R89"/>
    <mergeCell ref="F88:F89"/>
    <mergeCell ref="G88:G89"/>
    <mergeCell ref="H88:H89"/>
    <mergeCell ref="I88:I89"/>
    <mergeCell ref="J88:K89"/>
    <mergeCell ref="A88:A89"/>
    <mergeCell ref="B88:B89"/>
    <mergeCell ref="C88:C89"/>
    <mergeCell ref="D88:D89"/>
    <mergeCell ref="E88:E89"/>
    <mergeCell ref="F3:F4"/>
    <mergeCell ref="A3:A4"/>
    <mergeCell ref="B3:B4"/>
    <mergeCell ref="C3:C4"/>
    <mergeCell ref="D3:D4"/>
    <mergeCell ref="E3:E4"/>
    <mergeCell ref="A9:A10"/>
    <mergeCell ref="B9:B10"/>
    <mergeCell ref="C9:C10"/>
    <mergeCell ref="D9:D10"/>
    <mergeCell ref="E9:E10"/>
    <mergeCell ref="F9:F10"/>
    <mergeCell ref="A17:A18"/>
    <mergeCell ref="B17:B18"/>
    <mergeCell ref="C17:C18"/>
    <mergeCell ref="D17:D18"/>
    <mergeCell ref="E17:E18"/>
    <mergeCell ref="F17:F18"/>
    <mergeCell ref="A78:A79"/>
    <mergeCell ref="R9:R10"/>
    <mergeCell ref="N3:P3"/>
    <mergeCell ref="Q3:Q4"/>
    <mergeCell ref="R3:R4"/>
    <mergeCell ref="S3:S4"/>
    <mergeCell ref="G3:G4"/>
    <mergeCell ref="H3:H4"/>
    <mergeCell ref="I3:I4"/>
    <mergeCell ref="J3:K4"/>
    <mergeCell ref="L3:L4"/>
    <mergeCell ref="M3:M4"/>
    <mergeCell ref="S9:S10"/>
    <mergeCell ref="I17:I18"/>
    <mergeCell ref="J17:K18"/>
    <mergeCell ref="L17:L18"/>
    <mergeCell ref="M17:M18"/>
    <mergeCell ref="N17:P17"/>
    <mergeCell ref="Q17:Q18"/>
    <mergeCell ref="G9:G10"/>
    <mergeCell ref="H9:H10"/>
    <mergeCell ref="I9:I10"/>
    <mergeCell ref="J9:K10"/>
    <mergeCell ref="R17:R18"/>
    <mergeCell ref="L9:L10"/>
    <mergeCell ref="M9:M10"/>
    <mergeCell ref="N9:P9"/>
    <mergeCell ref="Q9:Q10"/>
    <mergeCell ref="S17:S18"/>
    <mergeCell ref="A27:A28"/>
    <mergeCell ref="B27:B28"/>
    <mergeCell ref="C27:C28"/>
    <mergeCell ref="D27:D28"/>
    <mergeCell ref="E27:E28"/>
    <mergeCell ref="F27:F28"/>
    <mergeCell ref="G27:G28"/>
    <mergeCell ref="H27:H28"/>
    <mergeCell ref="I27:I28"/>
    <mergeCell ref="J27:K28"/>
    <mergeCell ref="L27:L28"/>
    <mergeCell ref="M27:M28"/>
    <mergeCell ref="N27:P27"/>
    <mergeCell ref="Q27:Q28"/>
    <mergeCell ref="R27:R28"/>
    <mergeCell ref="S27:S28"/>
    <mergeCell ref="G17:G18"/>
    <mergeCell ref="H17:H18"/>
    <mergeCell ref="A47:A48"/>
    <mergeCell ref="B47:B48"/>
    <mergeCell ref="C47:C48"/>
    <mergeCell ref="D47:D48"/>
    <mergeCell ref="E47:E48"/>
    <mergeCell ref="F47:F48"/>
    <mergeCell ref="G47:G48"/>
    <mergeCell ref="H47:H48"/>
    <mergeCell ref="I47:I48"/>
    <mergeCell ref="L78:L79"/>
    <mergeCell ref="M78:M79"/>
    <mergeCell ref="N78:P78"/>
    <mergeCell ref="Q78:Q79"/>
    <mergeCell ref="R78:R79"/>
    <mergeCell ref="S78:S79"/>
    <mergeCell ref="S47:S48"/>
    <mergeCell ref="B78:B79"/>
    <mergeCell ref="C78:C79"/>
    <mergeCell ref="D78:D79"/>
    <mergeCell ref="E78:E79"/>
    <mergeCell ref="F78:F79"/>
    <mergeCell ref="R47:R48"/>
    <mergeCell ref="J47:K48"/>
    <mergeCell ref="L47:L48"/>
    <mergeCell ref="M47:M48"/>
    <mergeCell ref="N47:P47"/>
    <mergeCell ref="Q47:Q48"/>
    <mergeCell ref="G78:G79"/>
    <mergeCell ref="H78:H79"/>
    <mergeCell ref="I78:I79"/>
    <mergeCell ref="J78:K79"/>
  </mergeCells>
  <pageMargins left="0.35433070866141736" right="0.70866141732283472" top="0.27559055118110237" bottom="0.74803149606299213" header="0.31496062992125984" footer="0.31496062992125984"/>
  <pageSetup paperSize="5" scale="87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86"/>
  <sheetViews>
    <sheetView topLeftCell="A46" workbookViewId="0">
      <selection activeCell="A46" sqref="A1:XFD1048576"/>
    </sheetView>
  </sheetViews>
  <sheetFormatPr defaultRowHeight="12" x14ac:dyDescent="0.2"/>
  <cols>
    <col min="1" max="1" width="4.140625" style="3" customWidth="1"/>
    <col min="2" max="2" width="15" style="3" bestFit="1" customWidth="1"/>
    <col min="3" max="3" width="19" style="3" customWidth="1"/>
    <col min="4" max="4" width="10.7109375" style="82" hidden="1" customWidth="1"/>
    <col min="5" max="5" width="9" style="97" customWidth="1"/>
    <col min="6" max="6" width="15.85546875" style="3" customWidth="1"/>
    <col min="7" max="7" width="9" style="143" customWidth="1"/>
    <col min="8" max="9" width="14.140625" style="3" customWidth="1"/>
    <col min="10" max="10" width="10.7109375" style="3" hidden="1" customWidth="1"/>
    <col min="11" max="11" width="9.7109375" style="3" hidden="1" customWidth="1"/>
    <col min="12" max="12" width="4.42578125" style="3" bestFit="1" customWidth="1"/>
    <col min="13" max="13" width="5.42578125" style="3" customWidth="1"/>
    <col min="14" max="14" width="12.5703125" style="3" hidden="1" customWidth="1"/>
    <col min="15" max="16" width="9.140625" style="3" hidden="1" customWidth="1"/>
    <col min="17" max="17" width="12" style="3" customWidth="1"/>
    <col min="18" max="18" width="11.7109375" style="3" hidden="1" customWidth="1"/>
    <col min="19" max="19" width="14.28515625" style="3" hidden="1" customWidth="1"/>
    <col min="20" max="20" width="15.7109375" style="3" customWidth="1"/>
    <col min="21" max="21" width="15.85546875" style="3" customWidth="1"/>
    <col min="22" max="22" width="13.85546875" style="3" customWidth="1"/>
    <col min="23" max="23" width="12.85546875" style="3" customWidth="1"/>
    <col min="24" max="26" width="9.28515625" style="3" bestFit="1" customWidth="1"/>
    <col min="27" max="16384" width="9.140625" style="3"/>
  </cols>
  <sheetData>
    <row r="2" spans="1:26" ht="14.25" customHeight="1" x14ac:dyDescent="0.2">
      <c r="A2" s="86" t="s">
        <v>69</v>
      </c>
      <c r="B2" s="62"/>
      <c r="C2" s="62"/>
      <c r="D2" s="57"/>
      <c r="E2" s="63"/>
      <c r="F2" s="64"/>
      <c r="G2" s="139"/>
      <c r="H2" s="66"/>
      <c r="I2" s="66"/>
      <c r="J2" s="67"/>
      <c r="K2" s="67"/>
      <c r="L2" s="68"/>
      <c r="M2" s="68"/>
      <c r="N2" s="69"/>
      <c r="O2" s="69"/>
      <c r="P2" s="69"/>
      <c r="Q2" s="69"/>
      <c r="R2" s="69"/>
      <c r="S2" s="69"/>
      <c r="T2" s="70"/>
      <c r="U2" s="71"/>
      <c r="V2" s="71"/>
    </row>
    <row r="3" spans="1:26" ht="14.25" customHeight="1" x14ac:dyDescent="0.2">
      <c r="A3" s="231" t="s">
        <v>0</v>
      </c>
      <c r="B3" s="232" t="s">
        <v>1</v>
      </c>
      <c r="C3" s="229" t="s">
        <v>2</v>
      </c>
      <c r="D3" s="233" t="s">
        <v>3</v>
      </c>
      <c r="E3" s="234" t="s">
        <v>4</v>
      </c>
      <c r="F3" s="232" t="s">
        <v>5</v>
      </c>
      <c r="G3" s="237" t="s">
        <v>6</v>
      </c>
      <c r="H3" s="236" t="s">
        <v>7</v>
      </c>
      <c r="I3" s="236" t="s">
        <v>8</v>
      </c>
      <c r="J3" s="227" t="s">
        <v>9</v>
      </c>
      <c r="K3" s="227"/>
      <c r="L3" s="228" t="s">
        <v>10</v>
      </c>
      <c r="M3" s="229" t="s">
        <v>11</v>
      </c>
      <c r="N3" s="230" t="s">
        <v>12</v>
      </c>
      <c r="O3" s="230"/>
      <c r="P3" s="230"/>
      <c r="Q3" s="229" t="s">
        <v>13</v>
      </c>
      <c r="R3" s="229" t="s">
        <v>14</v>
      </c>
      <c r="S3" s="229" t="s">
        <v>15</v>
      </c>
      <c r="T3" s="36">
        <v>2021</v>
      </c>
      <c r="U3" s="37"/>
      <c r="V3" s="38" t="s">
        <v>44</v>
      </c>
    </row>
    <row r="4" spans="1:26" ht="14.25" customHeight="1" x14ac:dyDescent="0.2">
      <c r="A4" s="231"/>
      <c r="B4" s="232"/>
      <c r="C4" s="229"/>
      <c r="D4" s="233"/>
      <c r="E4" s="234"/>
      <c r="F4" s="232"/>
      <c r="G4" s="237"/>
      <c r="H4" s="236"/>
      <c r="I4" s="236"/>
      <c r="J4" s="227"/>
      <c r="K4" s="227"/>
      <c r="L4" s="228"/>
      <c r="M4" s="229"/>
      <c r="N4" s="180" t="s">
        <v>16</v>
      </c>
      <c r="O4" s="180" t="s">
        <v>17</v>
      </c>
      <c r="P4" s="180" t="s">
        <v>18</v>
      </c>
      <c r="Q4" s="229"/>
      <c r="R4" s="229"/>
      <c r="S4" s="229"/>
      <c r="T4" s="96" t="s">
        <v>166</v>
      </c>
      <c r="U4" s="39" t="s">
        <v>167</v>
      </c>
      <c r="V4" s="40"/>
    </row>
    <row r="5" spans="1:26" x14ac:dyDescent="0.2">
      <c r="A5" s="72">
        <v>1</v>
      </c>
      <c r="B5" s="73" t="s">
        <v>49</v>
      </c>
      <c r="C5" s="73" t="s">
        <v>55</v>
      </c>
      <c r="D5" s="58">
        <v>44225</v>
      </c>
      <c r="E5" s="74">
        <v>1</v>
      </c>
      <c r="F5" s="73" t="s">
        <v>56</v>
      </c>
      <c r="G5" s="140">
        <v>1</v>
      </c>
      <c r="H5" s="42">
        <v>200000000</v>
      </c>
      <c r="I5" s="42">
        <f>H5*G5</f>
        <v>200000000</v>
      </c>
      <c r="J5" s="76">
        <v>44207</v>
      </c>
      <c r="K5" s="77">
        <f>IFERROR(VALUE(DAY(J5)&amp;" "&amp;TEXT(EOMONTH(J5,L5)-29,"mmm")&amp;" "&amp;YEAR(EOMONTH(J5,L5)-29)),"-")</f>
        <v>47494</v>
      </c>
      <c r="L5" s="78">
        <v>108</v>
      </c>
      <c r="M5" s="99">
        <v>23.21</v>
      </c>
      <c r="N5" s="81">
        <f t="shared" ref="N5" si="0">M5*H5/1000</f>
        <v>4642000</v>
      </c>
      <c r="O5" s="81"/>
      <c r="P5" s="81"/>
      <c r="Q5" s="81">
        <f t="shared" ref="Q5" si="1">N5+O5+P5</f>
        <v>4642000</v>
      </c>
      <c r="R5" s="81">
        <f t="shared" ref="R5" si="2">10%*N5</f>
        <v>464200</v>
      </c>
      <c r="S5" s="81">
        <f t="shared" ref="S5" si="3">Q5-R5</f>
        <v>4177800</v>
      </c>
      <c r="T5" s="42">
        <f>Q5*10%+(Y5*5)</f>
        <v>659424.29906542064</v>
      </c>
      <c r="U5" s="42">
        <f>Y5*12</f>
        <v>468538.31775700935</v>
      </c>
      <c r="V5" s="108">
        <f t="shared" ref="V5" si="4">Q5-T5-U5</f>
        <v>3514037.3831775701</v>
      </c>
      <c r="W5" s="2">
        <f t="shared" ref="W5" si="5">T5+U5+V5</f>
        <v>4642000</v>
      </c>
      <c r="X5" s="2">
        <f t="shared" ref="X5" si="6">Q5-W5</f>
        <v>0</v>
      </c>
      <c r="Y5" s="2">
        <v>39044.859813084113</v>
      </c>
      <c r="Z5" s="109">
        <f t="shared" ref="Z5" si="7">(Q5-T5)/(L5-1)</f>
        <v>37220.3336535942</v>
      </c>
    </row>
    <row r="6" spans="1:26" x14ac:dyDescent="0.2">
      <c r="A6" s="79"/>
      <c r="B6" s="59"/>
      <c r="C6" s="59"/>
      <c r="D6" s="59"/>
      <c r="E6" s="80">
        <f>SUM(E5:E5)</f>
        <v>1</v>
      </c>
      <c r="F6" s="80"/>
      <c r="G6" s="80"/>
      <c r="H6" s="79">
        <f>SUM(H5:H5)</f>
        <v>200000000</v>
      </c>
      <c r="I6" s="79">
        <f>SUM(I5:I5)</f>
        <v>200000000</v>
      </c>
      <c r="J6" s="79"/>
      <c r="K6" s="79"/>
      <c r="L6" s="79"/>
      <c r="M6" s="79"/>
      <c r="N6" s="79">
        <f t="shared" ref="N6:Z6" si="8">SUM(N5:N5)</f>
        <v>4642000</v>
      </c>
      <c r="O6" s="79">
        <f t="shared" si="8"/>
        <v>0</v>
      </c>
      <c r="P6" s="79">
        <f t="shared" si="8"/>
        <v>0</v>
      </c>
      <c r="Q6" s="79">
        <f t="shared" si="8"/>
        <v>4642000</v>
      </c>
      <c r="R6" s="79">
        <f t="shared" si="8"/>
        <v>464200</v>
      </c>
      <c r="S6" s="79">
        <f t="shared" si="8"/>
        <v>4177800</v>
      </c>
      <c r="T6" s="79">
        <f t="shared" si="8"/>
        <v>659424.29906542064</v>
      </c>
      <c r="U6" s="79">
        <f t="shared" si="8"/>
        <v>468538.31775700935</v>
      </c>
      <c r="V6" s="79">
        <f t="shared" si="8"/>
        <v>3514037.3831775701</v>
      </c>
      <c r="W6" s="79">
        <f t="shared" si="8"/>
        <v>4642000</v>
      </c>
      <c r="X6" s="79">
        <f t="shared" si="8"/>
        <v>0</v>
      </c>
      <c r="Y6" s="79">
        <f t="shared" si="8"/>
        <v>39044.859813084113</v>
      </c>
      <c r="Z6" s="79">
        <f t="shared" si="8"/>
        <v>37220.3336535942</v>
      </c>
    </row>
    <row r="8" spans="1:26" ht="14.25" customHeight="1" x14ac:dyDescent="0.2">
      <c r="A8" s="86" t="s">
        <v>70</v>
      </c>
      <c r="B8" s="62"/>
      <c r="C8" s="62"/>
      <c r="D8" s="57"/>
      <c r="E8" s="63"/>
      <c r="F8" s="64"/>
      <c r="G8" s="139"/>
      <c r="H8" s="66"/>
      <c r="I8" s="66"/>
      <c r="J8" s="67"/>
      <c r="K8" s="67"/>
      <c r="L8" s="68"/>
      <c r="M8" s="68"/>
      <c r="N8" s="69"/>
      <c r="O8" s="69"/>
      <c r="P8" s="69"/>
      <c r="Q8" s="69"/>
      <c r="R8" s="69"/>
      <c r="S8" s="69"/>
      <c r="T8" s="70"/>
      <c r="U8" s="71"/>
      <c r="V8" s="71"/>
    </row>
    <row r="9" spans="1:26" ht="14.25" customHeight="1" x14ac:dyDescent="0.2">
      <c r="A9" s="231" t="s">
        <v>0</v>
      </c>
      <c r="B9" s="232" t="s">
        <v>1</v>
      </c>
      <c r="C9" s="229" t="s">
        <v>2</v>
      </c>
      <c r="D9" s="233" t="s">
        <v>3</v>
      </c>
      <c r="E9" s="234" t="s">
        <v>4</v>
      </c>
      <c r="F9" s="232" t="s">
        <v>5</v>
      </c>
      <c r="G9" s="237" t="s">
        <v>6</v>
      </c>
      <c r="H9" s="236" t="s">
        <v>7</v>
      </c>
      <c r="I9" s="236" t="s">
        <v>8</v>
      </c>
      <c r="J9" s="227" t="s">
        <v>9</v>
      </c>
      <c r="K9" s="227"/>
      <c r="L9" s="228" t="s">
        <v>10</v>
      </c>
      <c r="M9" s="229" t="s">
        <v>11</v>
      </c>
      <c r="N9" s="230" t="s">
        <v>12</v>
      </c>
      <c r="O9" s="230"/>
      <c r="P9" s="230"/>
      <c r="Q9" s="229" t="s">
        <v>13</v>
      </c>
      <c r="R9" s="229" t="s">
        <v>14</v>
      </c>
      <c r="S9" s="229" t="s">
        <v>15</v>
      </c>
      <c r="T9" s="36">
        <v>2021</v>
      </c>
      <c r="U9" s="37"/>
      <c r="V9" s="38" t="s">
        <v>44</v>
      </c>
    </row>
    <row r="10" spans="1:26" ht="14.25" customHeight="1" x14ac:dyDescent="0.2">
      <c r="A10" s="231"/>
      <c r="B10" s="232"/>
      <c r="C10" s="229"/>
      <c r="D10" s="233"/>
      <c r="E10" s="234"/>
      <c r="F10" s="232"/>
      <c r="G10" s="237"/>
      <c r="H10" s="236"/>
      <c r="I10" s="236"/>
      <c r="J10" s="227"/>
      <c r="K10" s="227"/>
      <c r="L10" s="228"/>
      <c r="M10" s="229"/>
      <c r="N10" s="180" t="s">
        <v>16</v>
      </c>
      <c r="O10" s="180" t="s">
        <v>17</v>
      </c>
      <c r="P10" s="180" t="s">
        <v>18</v>
      </c>
      <c r="Q10" s="229"/>
      <c r="R10" s="229"/>
      <c r="S10" s="229"/>
      <c r="T10" s="104" t="s">
        <v>168</v>
      </c>
      <c r="U10" s="39" t="s">
        <v>167</v>
      </c>
      <c r="V10" s="106"/>
    </row>
    <row r="11" spans="1:26" x14ac:dyDescent="0.2">
      <c r="A11" s="72">
        <v>2</v>
      </c>
      <c r="B11" s="107" t="s">
        <v>59</v>
      </c>
      <c r="C11" s="107" t="s">
        <v>60</v>
      </c>
      <c r="D11" s="110">
        <v>44237</v>
      </c>
      <c r="E11" s="74">
        <v>1</v>
      </c>
      <c r="F11" s="107" t="s">
        <v>61</v>
      </c>
      <c r="G11" s="141">
        <v>1</v>
      </c>
      <c r="H11" s="112">
        <v>300000000</v>
      </c>
      <c r="I11" s="112">
        <f>H11*G11</f>
        <v>300000000</v>
      </c>
      <c r="J11" s="110">
        <v>44222</v>
      </c>
      <c r="K11" s="77">
        <f>IFERROR(VALUE(DAY(J11)&amp;" "&amp;TEXT(EOMONTH(J11,L11)-29,"mmm")&amp;" "&amp;YEAR(EOMONTH(J11,L11)-29)),"-")</f>
        <v>49700</v>
      </c>
      <c r="L11" s="107">
        <v>180</v>
      </c>
      <c r="M11" s="99">
        <v>37.520000000000003</v>
      </c>
      <c r="N11" s="81">
        <f t="shared" ref="N11" si="9">M11*H11/1000</f>
        <v>11256000</v>
      </c>
      <c r="O11" s="81"/>
      <c r="P11" s="81"/>
      <c r="Q11" s="81">
        <f t="shared" ref="Q11" si="10">N11+O11+P11</f>
        <v>11256000</v>
      </c>
      <c r="R11" s="81">
        <f t="shared" ref="R11" si="11">10%*N11</f>
        <v>1125600</v>
      </c>
      <c r="S11" s="81">
        <f t="shared" ref="S11" si="12">Q11-R11</f>
        <v>10130400</v>
      </c>
      <c r="T11" s="42">
        <f>Q11*10%+(Y11*4)</f>
        <v>1351977.6536312848</v>
      </c>
      <c r="U11" s="42">
        <f t="shared" ref="U11" si="13">Y11*12</f>
        <v>679132.96089385473</v>
      </c>
      <c r="V11" s="108">
        <f t="shared" ref="V11" si="14">Q11-T11-U11</f>
        <v>9224889.3854748607</v>
      </c>
      <c r="W11" s="2">
        <f t="shared" ref="W11" si="15">T11+U11+V11</f>
        <v>11256000</v>
      </c>
      <c r="X11" s="2">
        <f t="shared" ref="X11" si="16">Q11-W11</f>
        <v>0</v>
      </c>
      <c r="Y11" s="2">
        <v>56594.41340782123</v>
      </c>
      <c r="Z11" s="109">
        <f t="shared" ref="Z11" si="17">(Q11-T11)/(L11-1)</f>
        <v>55329.733778596172</v>
      </c>
    </row>
    <row r="12" spans="1:26" x14ac:dyDescent="0.2">
      <c r="A12" s="79"/>
      <c r="B12" s="59"/>
      <c r="C12" s="59" t="s">
        <v>72</v>
      </c>
      <c r="D12" s="59"/>
      <c r="E12" s="80">
        <f>SUM(E11:E11)</f>
        <v>1</v>
      </c>
      <c r="F12" s="80"/>
      <c r="G12" s="80"/>
      <c r="H12" s="79">
        <f>SUM(H11:H11)</f>
        <v>300000000</v>
      </c>
      <c r="I12" s="79">
        <f>SUM(I11:I11)</f>
        <v>300000000</v>
      </c>
      <c r="J12" s="79"/>
      <c r="K12" s="79"/>
      <c r="L12" s="79"/>
      <c r="M12" s="79"/>
      <c r="N12" s="79">
        <f t="shared" ref="N12:Z12" si="18">SUM(N11:N11)</f>
        <v>11256000</v>
      </c>
      <c r="O12" s="79">
        <f t="shared" si="18"/>
        <v>0</v>
      </c>
      <c r="P12" s="79">
        <f t="shared" si="18"/>
        <v>0</v>
      </c>
      <c r="Q12" s="79">
        <f t="shared" si="18"/>
        <v>11256000</v>
      </c>
      <c r="R12" s="79">
        <f t="shared" si="18"/>
        <v>1125600</v>
      </c>
      <c r="S12" s="79">
        <f t="shared" si="18"/>
        <v>10130400</v>
      </c>
      <c r="T12" s="79">
        <f t="shared" si="18"/>
        <v>1351977.6536312848</v>
      </c>
      <c r="U12" s="79">
        <f t="shared" si="18"/>
        <v>679132.96089385473</v>
      </c>
      <c r="V12" s="79">
        <f t="shared" si="18"/>
        <v>9224889.3854748607</v>
      </c>
      <c r="W12" s="79">
        <f t="shared" si="18"/>
        <v>11256000</v>
      </c>
      <c r="X12" s="79">
        <f t="shared" si="18"/>
        <v>0</v>
      </c>
      <c r="Y12" s="79">
        <f t="shared" si="18"/>
        <v>56594.41340782123</v>
      </c>
      <c r="Z12" s="79">
        <f t="shared" si="18"/>
        <v>55329.733778596172</v>
      </c>
    </row>
    <row r="13" spans="1:26" s="94" customFormat="1" x14ac:dyDescent="0.2">
      <c r="A13" s="83"/>
      <c r="B13" s="83"/>
      <c r="C13" s="83" t="s">
        <v>73</v>
      </c>
      <c r="D13" s="84"/>
      <c r="E13" s="93">
        <f>E12+E6</f>
        <v>2</v>
      </c>
      <c r="F13" s="83"/>
      <c r="G13" s="142"/>
      <c r="H13" s="87">
        <f>H12+H6</f>
        <v>500000000</v>
      </c>
      <c r="I13" s="87">
        <f>I12+I6</f>
        <v>500000000</v>
      </c>
      <c r="J13" s="83"/>
      <c r="K13" s="83"/>
      <c r="L13" s="83"/>
      <c r="M13" s="83"/>
      <c r="N13" s="83"/>
      <c r="O13" s="83"/>
      <c r="P13" s="83"/>
      <c r="Q13" s="87">
        <f t="shared" ref="Q13:Z13" si="19">Q12+Q6</f>
        <v>15898000</v>
      </c>
      <c r="R13" s="87">
        <f t="shared" si="19"/>
        <v>1589800</v>
      </c>
      <c r="S13" s="87">
        <f t="shared" si="19"/>
        <v>14308200</v>
      </c>
      <c r="T13" s="87">
        <f t="shared" si="19"/>
        <v>2011401.9526967055</v>
      </c>
      <c r="U13" s="87">
        <f t="shared" si="19"/>
        <v>1147671.278650864</v>
      </c>
      <c r="V13" s="87">
        <f t="shared" si="19"/>
        <v>12738926.768652432</v>
      </c>
      <c r="W13" s="87">
        <f t="shared" si="19"/>
        <v>15898000</v>
      </c>
      <c r="X13" s="87">
        <f t="shared" si="19"/>
        <v>0</v>
      </c>
      <c r="Y13" s="87">
        <f t="shared" si="19"/>
        <v>95639.273220905336</v>
      </c>
      <c r="Z13" s="87">
        <f t="shared" si="19"/>
        <v>92550.067432190379</v>
      </c>
    </row>
    <row r="16" spans="1:26" ht="23.25" x14ac:dyDescent="0.2">
      <c r="A16" s="86" t="s">
        <v>87</v>
      </c>
      <c r="B16" s="62"/>
      <c r="C16" s="62"/>
      <c r="D16" s="57"/>
      <c r="E16" s="63"/>
      <c r="F16" s="64"/>
      <c r="G16" s="139"/>
      <c r="H16" s="66"/>
      <c r="I16" s="66"/>
      <c r="J16" s="67"/>
      <c r="K16" s="67"/>
      <c r="L16" s="68"/>
      <c r="M16" s="68"/>
      <c r="N16" s="69"/>
      <c r="O16" s="69"/>
      <c r="P16" s="69"/>
      <c r="Q16" s="69"/>
      <c r="R16" s="69"/>
      <c r="S16" s="69"/>
      <c r="T16" s="70"/>
      <c r="U16" s="71"/>
      <c r="V16" s="71"/>
    </row>
    <row r="17" spans="1:26" x14ac:dyDescent="0.2">
      <c r="A17" s="231" t="s">
        <v>0</v>
      </c>
      <c r="B17" s="232" t="s">
        <v>1</v>
      </c>
      <c r="C17" s="229" t="s">
        <v>2</v>
      </c>
      <c r="D17" s="233" t="s">
        <v>3</v>
      </c>
      <c r="E17" s="234" t="s">
        <v>4</v>
      </c>
      <c r="F17" s="232" t="s">
        <v>5</v>
      </c>
      <c r="G17" s="237" t="s">
        <v>6</v>
      </c>
      <c r="H17" s="236" t="s">
        <v>7</v>
      </c>
      <c r="I17" s="236" t="s">
        <v>8</v>
      </c>
      <c r="J17" s="227" t="s">
        <v>9</v>
      </c>
      <c r="K17" s="227"/>
      <c r="L17" s="228" t="s">
        <v>10</v>
      </c>
      <c r="M17" s="229" t="s">
        <v>11</v>
      </c>
      <c r="N17" s="230" t="s">
        <v>12</v>
      </c>
      <c r="O17" s="230"/>
      <c r="P17" s="230"/>
      <c r="Q17" s="229" t="s">
        <v>13</v>
      </c>
      <c r="R17" s="229" t="s">
        <v>14</v>
      </c>
      <c r="S17" s="229" t="s">
        <v>15</v>
      </c>
      <c r="T17" s="36">
        <v>2021</v>
      </c>
      <c r="U17" s="37"/>
      <c r="V17" s="38" t="s">
        <v>44</v>
      </c>
    </row>
    <row r="18" spans="1:26" x14ac:dyDescent="0.2">
      <c r="A18" s="231"/>
      <c r="B18" s="232"/>
      <c r="C18" s="229"/>
      <c r="D18" s="233"/>
      <c r="E18" s="234"/>
      <c r="F18" s="232"/>
      <c r="G18" s="237"/>
      <c r="H18" s="236"/>
      <c r="I18" s="236"/>
      <c r="J18" s="227"/>
      <c r="K18" s="227"/>
      <c r="L18" s="228"/>
      <c r="M18" s="229"/>
      <c r="N18" s="180" t="s">
        <v>16</v>
      </c>
      <c r="O18" s="180" t="s">
        <v>17</v>
      </c>
      <c r="P18" s="180" t="s">
        <v>18</v>
      </c>
      <c r="Q18" s="229"/>
      <c r="R18" s="229"/>
      <c r="S18" s="229"/>
      <c r="T18" s="96" t="s">
        <v>169</v>
      </c>
      <c r="U18" s="39" t="s">
        <v>167</v>
      </c>
      <c r="V18" s="40"/>
    </row>
    <row r="19" spans="1:26" x14ac:dyDescent="0.2">
      <c r="A19" s="74">
        <v>3</v>
      </c>
      <c r="B19" s="107" t="s">
        <v>49</v>
      </c>
      <c r="C19" s="107" t="s">
        <v>78</v>
      </c>
      <c r="D19" s="110">
        <v>44237</v>
      </c>
      <c r="E19" s="74">
        <v>1</v>
      </c>
      <c r="F19" s="107" t="s">
        <v>79</v>
      </c>
      <c r="G19" s="141">
        <v>1</v>
      </c>
      <c r="H19" s="112">
        <v>40000000</v>
      </c>
      <c r="I19" s="112">
        <f>H19*G19</f>
        <v>40000000</v>
      </c>
      <c r="J19" s="110">
        <v>44245</v>
      </c>
      <c r="K19" s="77">
        <f>IFERROR(VALUE(DAY(J19)&amp;" "&amp;TEXT(EOMONTH(J19,L19)-29,"mmm")&amp;" "&amp;YEAR(EOMONTH(J19,L19)-29)),"-")</f>
        <v>44944</v>
      </c>
      <c r="L19" s="107">
        <v>24</v>
      </c>
      <c r="M19" s="99">
        <v>21.1</v>
      </c>
      <c r="N19" s="81">
        <f t="shared" ref="N19" si="20">M19*H19/1000</f>
        <v>844000</v>
      </c>
      <c r="O19" s="81"/>
      <c r="P19" s="81"/>
      <c r="Q19" s="81">
        <f t="shared" ref="Q19" si="21">N19+O19+P19</f>
        <v>844000</v>
      </c>
      <c r="R19" s="81">
        <f t="shared" ref="R19" si="22">10%*N19</f>
        <v>84400</v>
      </c>
      <c r="S19" s="81">
        <f t="shared" ref="S19" si="23">Q19-R19</f>
        <v>759600</v>
      </c>
      <c r="T19" s="42">
        <f>Q19*10%+(Y19*3)</f>
        <v>183478.2608695651</v>
      </c>
      <c r="U19" s="42">
        <f>Y19*12</f>
        <v>396313.0434782604</v>
      </c>
      <c r="V19" s="108">
        <f t="shared" ref="V19" si="24">Q19-T19-U19</f>
        <v>264208.69565217453</v>
      </c>
      <c r="W19" s="2">
        <f t="shared" ref="W19" si="25">T19+U19+V19</f>
        <v>844000</v>
      </c>
      <c r="X19" s="2">
        <f t="shared" ref="X19" si="26">Q19-W19</f>
        <v>0</v>
      </c>
      <c r="Y19" s="2">
        <v>33026.0869565217</v>
      </c>
      <c r="Z19" s="109">
        <f>(Q19-T19)/(L19-1)</f>
        <v>28718.336483931955</v>
      </c>
    </row>
    <row r="20" spans="1:26" x14ac:dyDescent="0.2">
      <c r="A20" s="88"/>
      <c r="B20" s="84"/>
      <c r="C20" s="84"/>
      <c r="D20" s="84"/>
      <c r="E20" s="88">
        <f>SUM(E19:E19)</f>
        <v>1</v>
      </c>
      <c r="F20" s="84"/>
      <c r="G20" s="40"/>
      <c r="H20" s="59">
        <f>SUM(H19:H19)</f>
        <v>40000000</v>
      </c>
      <c r="I20" s="59">
        <f>SUM(I19:I19)</f>
        <v>40000000</v>
      </c>
      <c r="J20" s="59"/>
      <c r="K20" s="59"/>
      <c r="L20" s="59"/>
      <c r="M20" s="59"/>
      <c r="N20" s="59">
        <f t="shared" ref="N20:Z20" si="27">SUM(N19:N19)</f>
        <v>844000</v>
      </c>
      <c r="O20" s="59">
        <f t="shared" si="27"/>
        <v>0</v>
      </c>
      <c r="P20" s="59">
        <f t="shared" si="27"/>
        <v>0</v>
      </c>
      <c r="Q20" s="59">
        <f t="shared" si="27"/>
        <v>844000</v>
      </c>
      <c r="R20" s="59">
        <f t="shared" si="27"/>
        <v>84400</v>
      </c>
      <c r="S20" s="59">
        <f t="shared" si="27"/>
        <v>759600</v>
      </c>
      <c r="T20" s="59">
        <f t="shared" si="27"/>
        <v>183478.2608695651</v>
      </c>
      <c r="U20" s="59">
        <f t="shared" si="27"/>
        <v>396313.0434782604</v>
      </c>
      <c r="V20" s="59">
        <f t="shared" si="27"/>
        <v>264208.69565217453</v>
      </c>
      <c r="W20" s="59">
        <f t="shared" si="27"/>
        <v>844000</v>
      </c>
      <c r="X20" s="59">
        <f t="shared" si="27"/>
        <v>0</v>
      </c>
      <c r="Y20" s="59">
        <f t="shared" si="27"/>
        <v>33026.0869565217</v>
      </c>
      <c r="Z20" s="59">
        <f t="shared" si="27"/>
        <v>28718.336483931955</v>
      </c>
    </row>
    <row r="21" spans="1:26" x14ac:dyDescent="0.2">
      <c r="A21" s="74">
        <v>4</v>
      </c>
      <c r="B21" s="107" t="s">
        <v>84</v>
      </c>
      <c r="C21" s="107" t="s">
        <v>85</v>
      </c>
      <c r="D21" s="110">
        <v>44286</v>
      </c>
      <c r="E21" s="74">
        <v>1</v>
      </c>
      <c r="F21" s="107" t="s">
        <v>86</v>
      </c>
      <c r="G21" s="141">
        <v>1</v>
      </c>
      <c r="H21" s="112">
        <v>300000000</v>
      </c>
      <c r="I21" s="112">
        <f>H21*G21</f>
        <v>300000000</v>
      </c>
      <c r="J21" s="110">
        <v>44263</v>
      </c>
      <c r="K21" s="77">
        <f t="shared" ref="K21" si="28">IFERROR(VALUE(DAY(J21)&amp;" "&amp;TEXT(EOMONTH(J21,L21)-29,"mmm")&amp;" "&amp;YEAR(EOMONTH(J21,L21)-29)),"-")</f>
        <v>44993</v>
      </c>
      <c r="L21" s="107">
        <v>24</v>
      </c>
      <c r="M21" s="99">
        <v>51.12</v>
      </c>
      <c r="N21" s="81">
        <f t="shared" ref="N21" si="29">M21*H21/1000</f>
        <v>15336000</v>
      </c>
      <c r="O21" s="81"/>
      <c r="P21" s="81"/>
      <c r="Q21" s="81">
        <f t="shared" ref="Q21" si="30">N21+O21+P21</f>
        <v>15336000</v>
      </c>
      <c r="R21" s="81">
        <f t="shared" ref="R21" si="31">10%*N21</f>
        <v>1533600</v>
      </c>
      <c r="S21" s="81">
        <f t="shared" ref="S21" si="32">Q21-R21</f>
        <v>13802400</v>
      </c>
      <c r="T21" s="42">
        <f>Q21*10%+(Y21*3)</f>
        <v>1703383.2402234636</v>
      </c>
      <c r="U21" s="42">
        <f>Y21*12</f>
        <v>679132.96089385473</v>
      </c>
      <c r="V21" s="108">
        <f t="shared" ref="V21" si="33">Q21-T21-U21</f>
        <v>12953483.798882682</v>
      </c>
      <c r="W21" s="2">
        <f t="shared" ref="W21" si="34">T21+U21+V21</f>
        <v>15336000</v>
      </c>
      <c r="X21" s="2">
        <f t="shared" ref="X21" si="35">Q21-W21</f>
        <v>0</v>
      </c>
      <c r="Y21" s="2">
        <v>56594.41340782123</v>
      </c>
      <c r="Z21" s="109">
        <f>(Q21-T21)/(L21-1)</f>
        <v>592722.46781637112</v>
      </c>
    </row>
    <row r="22" spans="1:26" x14ac:dyDescent="0.2">
      <c r="A22" s="88"/>
      <c r="B22" s="84"/>
      <c r="C22" s="84"/>
      <c r="D22" s="84"/>
      <c r="E22" s="88">
        <f>SUM(E21:E21)</f>
        <v>1</v>
      </c>
      <c r="F22" s="84"/>
      <c r="G22" s="40"/>
      <c r="H22" s="59">
        <f>SUM(H21:H21)</f>
        <v>300000000</v>
      </c>
      <c r="I22" s="59">
        <f>SUM(I21:I21)</f>
        <v>300000000</v>
      </c>
      <c r="J22" s="59"/>
      <c r="K22" s="59"/>
      <c r="L22" s="59"/>
      <c r="M22" s="59"/>
      <c r="N22" s="59">
        <f t="shared" ref="N22:Z22" si="36">SUM(N21:N21)</f>
        <v>15336000</v>
      </c>
      <c r="O22" s="59">
        <f t="shared" si="36"/>
        <v>0</v>
      </c>
      <c r="P22" s="59">
        <f t="shared" si="36"/>
        <v>0</v>
      </c>
      <c r="Q22" s="59">
        <f t="shared" si="36"/>
        <v>15336000</v>
      </c>
      <c r="R22" s="59">
        <f t="shared" si="36"/>
        <v>1533600</v>
      </c>
      <c r="S22" s="59">
        <f t="shared" si="36"/>
        <v>13802400</v>
      </c>
      <c r="T22" s="59">
        <f t="shared" si="36"/>
        <v>1703383.2402234636</v>
      </c>
      <c r="U22" s="59">
        <f t="shared" si="36"/>
        <v>679132.96089385473</v>
      </c>
      <c r="V22" s="59">
        <f t="shared" si="36"/>
        <v>12953483.798882682</v>
      </c>
      <c r="W22" s="59">
        <f t="shared" si="36"/>
        <v>15336000</v>
      </c>
      <c r="X22" s="59">
        <f t="shared" si="36"/>
        <v>0</v>
      </c>
      <c r="Y22" s="59">
        <f t="shared" si="36"/>
        <v>56594.41340782123</v>
      </c>
      <c r="Z22" s="59">
        <f t="shared" si="36"/>
        <v>592722.46781637112</v>
      </c>
    </row>
    <row r="23" spans="1:26" x14ac:dyDescent="0.2">
      <c r="A23" s="83"/>
      <c r="B23" s="83"/>
      <c r="C23" s="83" t="s">
        <v>92</v>
      </c>
      <c r="D23" s="84"/>
      <c r="E23" s="93">
        <f>E22+E20</f>
        <v>2</v>
      </c>
      <c r="F23" s="87">
        <f t="shared" ref="F23:Z23" si="37">F22+F20</f>
        <v>0</v>
      </c>
      <c r="G23" s="87">
        <f t="shared" si="37"/>
        <v>0</v>
      </c>
      <c r="H23" s="87">
        <f t="shared" si="37"/>
        <v>340000000</v>
      </c>
      <c r="I23" s="87">
        <f t="shared" si="37"/>
        <v>340000000</v>
      </c>
      <c r="J23" s="87">
        <f t="shared" si="37"/>
        <v>0</v>
      </c>
      <c r="K23" s="87">
        <f t="shared" si="37"/>
        <v>0</v>
      </c>
      <c r="L23" s="87"/>
      <c r="M23" s="87"/>
      <c r="N23" s="87">
        <f t="shared" si="37"/>
        <v>16180000</v>
      </c>
      <c r="O23" s="87">
        <f t="shared" si="37"/>
        <v>0</v>
      </c>
      <c r="P23" s="87">
        <f t="shared" si="37"/>
        <v>0</v>
      </c>
      <c r="Q23" s="87">
        <f t="shared" si="37"/>
        <v>16180000</v>
      </c>
      <c r="R23" s="87">
        <f t="shared" si="37"/>
        <v>1618000</v>
      </c>
      <c r="S23" s="87">
        <f t="shared" si="37"/>
        <v>14562000</v>
      </c>
      <c r="T23" s="87">
        <f t="shared" si="37"/>
        <v>1886861.5010930288</v>
      </c>
      <c r="U23" s="87">
        <f t="shared" si="37"/>
        <v>1075446.0043721152</v>
      </c>
      <c r="V23" s="87">
        <f t="shared" si="37"/>
        <v>13217692.494534856</v>
      </c>
      <c r="W23" s="87">
        <f t="shared" si="37"/>
        <v>16180000</v>
      </c>
      <c r="X23" s="87">
        <f t="shared" si="37"/>
        <v>0</v>
      </c>
      <c r="Y23" s="87">
        <f t="shared" si="37"/>
        <v>89620.500364342937</v>
      </c>
      <c r="Z23" s="87">
        <f t="shared" si="37"/>
        <v>621440.80430030311</v>
      </c>
    </row>
    <row r="24" spans="1:26" x14ac:dyDescent="0.2">
      <c r="A24" s="89"/>
      <c r="B24" s="89"/>
      <c r="C24" s="83" t="s">
        <v>93</v>
      </c>
      <c r="D24" s="89"/>
      <c r="E24" s="91">
        <f>E23+E13</f>
        <v>4</v>
      </c>
      <c r="F24" s="91">
        <f t="shared" ref="F24:Z24" si="38">F23+F13</f>
        <v>0</v>
      </c>
      <c r="G24" s="91">
        <f t="shared" si="38"/>
        <v>0</v>
      </c>
      <c r="H24" s="91">
        <f t="shared" si="38"/>
        <v>840000000</v>
      </c>
      <c r="I24" s="91">
        <f t="shared" si="38"/>
        <v>840000000</v>
      </c>
      <c r="J24" s="91">
        <f t="shared" si="38"/>
        <v>0</v>
      </c>
      <c r="K24" s="91">
        <f t="shared" si="38"/>
        <v>0</v>
      </c>
      <c r="L24" s="91">
        <f t="shared" si="38"/>
        <v>0</v>
      </c>
      <c r="M24" s="91">
        <f t="shared" si="38"/>
        <v>0</v>
      </c>
      <c r="N24" s="91">
        <f t="shared" si="38"/>
        <v>16180000</v>
      </c>
      <c r="O24" s="91">
        <f t="shared" si="38"/>
        <v>0</v>
      </c>
      <c r="P24" s="91">
        <f t="shared" si="38"/>
        <v>0</v>
      </c>
      <c r="Q24" s="91">
        <f t="shared" si="38"/>
        <v>32078000</v>
      </c>
      <c r="R24" s="91">
        <f t="shared" si="38"/>
        <v>3207800</v>
      </c>
      <c r="S24" s="91">
        <f t="shared" si="38"/>
        <v>28870200</v>
      </c>
      <c r="T24" s="91">
        <f t="shared" si="38"/>
        <v>3898263.4537897343</v>
      </c>
      <c r="U24" s="91">
        <f t="shared" si="38"/>
        <v>2223117.2830229793</v>
      </c>
      <c r="V24" s="91">
        <f t="shared" si="38"/>
        <v>25956619.263187289</v>
      </c>
      <c r="W24" s="91">
        <f t="shared" si="38"/>
        <v>32078000</v>
      </c>
      <c r="X24" s="91">
        <f t="shared" si="38"/>
        <v>0</v>
      </c>
      <c r="Y24" s="91">
        <f t="shared" si="38"/>
        <v>185259.77358524827</v>
      </c>
      <c r="Z24" s="91">
        <f t="shared" si="38"/>
        <v>713990.87173249351</v>
      </c>
    </row>
    <row r="25" spans="1:26" x14ac:dyDescent="0.2">
      <c r="D25" s="3"/>
      <c r="E25" s="3"/>
    </row>
    <row r="26" spans="1:26" ht="23.25" x14ac:dyDescent="0.2">
      <c r="A26" s="86" t="s">
        <v>117</v>
      </c>
      <c r="B26" s="62"/>
      <c r="C26" s="62"/>
      <c r="D26" s="57"/>
      <c r="E26" s="63"/>
      <c r="F26" s="64"/>
      <c r="G26" s="139"/>
      <c r="H26" s="66"/>
      <c r="I26" s="66"/>
      <c r="J26" s="67"/>
      <c r="K26" s="67"/>
      <c r="L26" s="68"/>
      <c r="M26" s="68"/>
      <c r="N26" s="69"/>
      <c r="O26" s="69"/>
      <c r="P26" s="69"/>
      <c r="Q26" s="69"/>
      <c r="R26" s="69"/>
      <c r="S26" s="69"/>
      <c r="T26" s="70"/>
      <c r="U26" s="71"/>
      <c r="V26" s="71"/>
    </row>
    <row r="27" spans="1:26" x14ac:dyDescent="0.2">
      <c r="A27" s="231" t="s">
        <v>0</v>
      </c>
      <c r="B27" s="232" t="s">
        <v>1</v>
      </c>
      <c r="C27" s="229" t="s">
        <v>2</v>
      </c>
      <c r="D27" s="233" t="s">
        <v>3</v>
      </c>
      <c r="E27" s="234" t="s">
        <v>4</v>
      </c>
      <c r="F27" s="232" t="s">
        <v>5</v>
      </c>
      <c r="G27" s="237" t="s">
        <v>6</v>
      </c>
      <c r="H27" s="236" t="s">
        <v>7</v>
      </c>
      <c r="I27" s="236" t="s">
        <v>8</v>
      </c>
      <c r="J27" s="227" t="s">
        <v>9</v>
      </c>
      <c r="K27" s="227"/>
      <c r="L27" s="228" t="s">
        <v>10</v>
      </c>
      <c r="M27" s="229" t="s">
        <v>11</v>
      </c>
      <c r="N27" s="230" t="s">
        <v>12</v>
      </c>
      <c r="O27" s="230"/>
      <c r="P27" s="230"/>
      <c r="Q27" s="229" t="s">
        <v>13</v>
      </c>
      <c r="R27" s="229" t="s">
        <v>14</v>
      </c>
      <c r="S27" s="229" t="s">
        <v>15</v>
      </c>
      <c r="T27" s="36">
        <v>2021</v>
      </c>
      <c r="U27" s="37"/>
      <c r="V27" s="38" t="s">
        <v>44</v>
      </c>
    </row>
    <row r="28" spans="1:26" x14ac:dyDescent="0.2">
      <c r="A28" s="231"/>
      <c r="B28" s="232"/>
      <c r="C28" s="229"/>
      <c r="D28" s="233"/>
      <c r="E28" s="234"/>
      <c r="F28" s="232"/>
      <c r="G28" s="237"/>
      <c r="H28" s="236"/>
      <c r="I28" s="236"/>
      <c r="J28" s="227"/>
      <c r="K28" s="227"/>
      <c r="L28" s="228"/>
      <c r="M28" s="229"/>
      <c r="N28" s="180" t="s">
        <v>16</v>
      </c>
      <c r="O28" s="180" t="s">
        <v>17</v>
      </c>
      <c r="P28" s="180" t="s">
        <v>18</v>
      </c>
      <c r="Q28" s="229"/>
      <c r="R28" s="229"/>
      <c r="S28" s="229"/>
      <c r="T28" s="96" t="s">
        <v>170</v>
      </c>
      <c r="U28" s="39" t="s">
        <v>167</v>
      </c>
      <c r="V28" s="40"/>
    </row>
    <row r="29" spans="1:26" x14ac:dyDescent="0.2">
      <c r="A29" s="74">
        <v>5</v>
      </c>
      <c r="B29" s="107" t="s">
        <v>46</v>
      </c>
      <c r="C29" s="107" t="s">
        <v>96</v>
      </c>
      <c r="D29" s="110">
        <v>44313</v>
      </c>
      <c r="E29" s="74">
        <v>1</v>
      </c>
      <c r="F29" s="107" t="s">
        <v>47</v>
      </c>
      <c r="G29" s="111">
        <v>1</v>
      </c>
      <c r="H29" s="112">
        <v>57599206</v>
      </c>
      <c r="I29" s="112">
        <f>H29*G29</f>
        <v>57599206</v>
      </c>
      <c r="J29" s="110">
        <v>46069</v>
      </c>
      <c r="K29" s="77">
        <v>46446</v>
      </c>
      <c r="L29" s="107">
        <v>12</v>
      </c>
      <c r="M29" s="99">
        <v>9.1</v>
      </c>
      <c r="N29" s="81">
        <f t="shared" ref="N29:N30" si="39">M29*H29/1000</f>
        <v>524152.77459999995</v>
      </c>
      <c r="O29" s="81">
        <v>100000</v>
      </c>
      <c r="P29" s="81"/>
      <c r="Q29" s="81">
        <f t="shared" ref="Q29:Q30" si="40">N29+O29+P29</f>
        <v>624152.77459999989</v>
      </c>
      <c r="R29" s="81"/>
      <c r="S29" s="81">
        <f t="shared" ref="S29:S30" si="41">Q29-R29</f>
        <v>624152.77459999989</v>
      </c>
      <c r="T29" s="42">
        <f>Q29*10%+(Y29*2)</f>
        <v>164549.36784909086</v>
      </c>
      <c r="U29" s="42">
        <f>Y29*9</f>
        <v>459603.40675090894</v>
      </c>
      <c r="V29" s="108">
        <f t="shared" ref="V29:V41" si="42">Q29-T29-U29</f>
        <v>0</v>
      </c>
      <c r="W29" s="2">
        <f t="shared" ref="W29:W41" si="43">T29+U29+V29</f>
        <v>624152.77459999977</v>
      </c>
      <c r="X29" s="2">
        <f t="shared" ref="X29:X41" si="44">Q29-W29</f>
        <v>0</v>
      </c>
      <c r="Y29" s="2">
        <v>51067.045194545441</v>
      </c>
      <c r="Z29" s="109">
        <f>(Q29-T29)/(L29-1)</f>
        <v>41782.12788644628</v>
      </c>
    </row>
    <row r="30" spans="1:26" x14ac:dyDescent="0.2">
      <c r="A30" s="74"/>
      <c r="B30" s="107"/>
      <c r="C30" s="107"/>
      <c r="D30" s="110"/>
      <c r="E30" s="74">
        <v>1</v>
      </c>
      <c r="F30" s="107" t="s">
        <v>48</v>
      </c>
      <c r="G30" s="111">
        <v>1</v>
      </c>
      <c r="H30" s="112">
        <v>11844392</v>
      </c>
      <c r="I30" s="112">
        <f>H30*G30</f>
        <v>11844392</v>
      </c>
      <c r="J30" s="110">
        <v>46523</v>
      </c>
      <c r="K30" s="77">
        <v>46768</v>
      </c>
      <c r="L30" s="107">
        <v>8</v>
      </c>
      <c r="M30" s="99">
        <v>5.46</v>
      </c>
      <c r="N30" s="81">
        <f t="shared" si="39"/>
        <v>64670.380320000004</v>
      </c>
      <c r="O30" s="81">
        <v>100000</v>
      </c>
      <c r="P30" s="81"/>
      <c r="Q30" s="81">
        <f t="shared" si="40"/>
        <v>164670.38032</v>
      </c>
      <c r="R30" s="81"/>
      <c r="S30" s="81">
        <f t="shared" si="41"/>
        <v>164670.38032</v>
      </c>
      <c r="T30" s="42">
        <f>Q30*10%+(Y30*2)</f>
        <v>58810.850114285713</v>
      </c>
      <c r="U30" s="42">
        <f>Y30*5</f>
        <v>105859.53020571427</v>
      </c>
      <c r="V30" s="108">
        <f t="shared" si="42"/>
        <v>0</v>
      </c>
      <c r="W30" s="2">
        <f t="shared" si="43"/>
        <v>164670.38032</v>
      </c>
      <c r="X30" s="2">
        <f t="shared" si="44"/>
        <v>0</v>
      </c>
      <c r="Y30" s="2">
        <v>21171.906041142855</v>
      </c>
      <c r="Z30" s="109">
        <f t="shared" ref="Z30:Z41" si="45">(Q30-T30)/(L30-1)</f>
        <v>15122.790029387756</v>
      </c>
    </row>
    <row r="31" spans="1:26" x14ac:dyDescent="0.2">
      <c r="A31" s="88"/>
      <c r="B31" s="84"/>
      <c r="C31" s="84"/>
      <c r="D31" s="84"/>
      <c r="E31" s="88"/>
      <c r="F31" s="84"/>
      <c r="G31" s="115"/>
      <c r="H31" s="59"/>
      <c r="I31" s="59"/>
      <c r="J31" s="59"/>
      <c r="K31" s="59"/>
      <c r="L31" s="59"/>
      <c r="M31" s="59"/>
      <c r="N31" s="59">
        <f t="shared" ref="N31:Z31" si="46">SUM(N29:N30)</f>
        <v>588823.15492</v>
      </c>
      <c r="O31" s="59">
        <f t="shared" si="46"/>
        <v>200000</v>
      </c>
      <c r="P31" s="59">
        <f t="shared" si="46"/>
        <v>0</v>
      </c>
      <c r="Q31" s="59">
        <f t="shared" si="46"/>
        <v>788823.15491999988</v>
      </c>
      <c r="R31" s="59">
        <f t="shared" si="46"/>
        <v>0</v>
      </c>
      <c r="S31" s="59">
        <f t="shared" si="46"/>
        <v>788823.15491999988</v>
      </c>
      <c r="T31" s="59">
        <f t="shared" si="46"/>
        <v>223360.21796337658</v>
      </c>
      <c r="U31" s="59">
        <f t="shared" si="46"/>
        <v>565462.93695662322</v>
      </c>
      <c r="V31" s="59">
        <f t="shared" si="46"/>
        <v>0</v>
      </c>
      <c r="W31" s="59">
        <f t="shared" si="46"/>
        <v>788823.15491999977</v>
      </c>
      <c r="X31" s="59">
        <f t="shared" si="46"/>
        <v>0</v>
      </c>
      <c r="Y31" s="59">
        <f t="shared" si="46"/>
        <v>72238.951235688291</v>
      </c>
      <c r="Z31" s="59">
        <f t="shared" si="46"/>
        <v>56904.917915834034</v>
      </c>
    </row>
    <row r="32" spans="1:26" x14ac:dyDescent="0.2">
      <c r="A32" s="74">
        <v>6</v>
      </c>
      <c r="B32" s="107" t="s">
        <v>49</v>
      </c>
      <c r="C32" s="107" t="s">
        <v>101</v>
      </c>
      <c r="D32" s="110">
        <v>44301</v>
      </c>
      <c r="E32" s="74">
        <v>1</v>
      </c>
      <c r="F32" s="107" t="s">
        <v>102</v>
      </c>
      <c r="G32" s="111">
        <v>1</v>
      </c>
      <c r="H32" s="112">
        <v>35000000</v>
      </c>
      <c r="I32" s="112">
        <f>H32*G32</f>
        <v>35000000</v>
      </c>
      <c r="J32" s="110">
        <v>44278</v>
      </c>
      <c r="K32" s="77">
        <f t="shared" ref="K32" si="47">IFERROR(VALUE(DAY(J32)&amp;" "&amp;TEXT(EOMONTH(J32,L32)-29,"mmm")&amp;" "&amp;YEAR(EOMONTH(J32,L32)-29)),"-")</f>
        <v>45374</v>
      </c>
      <c r="L32" s="107">
        <v>36</v>
      </c>
      <c r="M32" s="99">
        <v>31.16</v>
      </c>
      <c r="N32" s="81">
        <f t="shared" ref="N32" si="48">M32*H32/1000</f>
        <v>1090600</v>
      </c>
      <c r="O32" s="81"/>
      <c r="P32" s="81"/>
      <c r="Q32" s="81">
        <f t="shared" ref="Q32" si="49">N32+O32+P32</f>
        <v>1090600</v>
      </c>
      <c r="R32" s="81">
        <f t="shared" ref="R32" si="50">10%*N32</f>
        <v>109060</v>
      </c>
      <c r="S32" s="81">
        <f t="shared" ref="S32" si="51">Q32-R32</f>
        <v>981540</v>
      </c>
      <c r="T32" s="42">
        <f>Q32*10%+(Y32*2)</f>
        <v>165148</v>
      </c>
      <c r="U32" s="42">
        <f t="shared" ref="U32:U41" si="52">Y32*12</f>
        <v>336528</v>
      </c>
      <c r="V32" s="108">
        <f t="shared" si="42"/>
        <v>588924</v>
      </c>
      <c r="W32" s="2">
        <f t="shared" si="43"/>
        <v>1090600</v>
      </c>
      <c r="X32" s="2">
        <f t="shared" si="44"/>
        <v>0</v>
      </c>
      <c r="Y32" s="2">
        <v>28044</v>
      </c>
      <c r="Z32" s="109">
        <f t="shared" si="45"/>
        <v>26441.485714285714</v>
      </c>
    </row>
    <row r="33" spans="1:26" x14ac:dyDescent="0.2">
      <c r="A33" s="88"/>
      <c r="B33" s="84"/>
      <c r="C33" s="84"/>
      <c r="D33" s="84"/>
      <c r="E33" s="88">
        <f>SUM(E32:E32)</f>
        <v>1</v>
      </c>
      <c r="F33" s="84"/>
      <c r="G33" s="115"/>
      <c r="H33" s="59">
        <f>SUM(H32:H32)</f>
        <v>35000000</v>
      </c>
      <c r="I33" s="59">
        <f>SUM(I32:I32)</f>
        <v>35000000</v>
      </c>
      <c r="J33" s="59"/>
      <c r="K33" s="59"/>
      <c r="L33" s="59"/>
      <c r="M33" s="59"/>
      <c r="N33" s="59">
        <f t="shared" ref="N33:Z33" si="53">SUM(N32:N32)</f>
        <v>1090600</v>
      </c>
      <c r="O33" s="59">
        <f t="shared" si="53"/>
        <v>0</v>
      </c>
      <c r="P33" s="59">
        <f t="shared" si="53"/>
        <v>0</v>
      </c>
      <c r="Q33" s="59">
        <f t="shared" si="53"/>
        <v>1090600</v>
      </c>
      <c r="R33" s="59">
        <f t="shared" si="53"/>
        <v>109060</v>
      </c>
      <c r="S33" s="59">
        <f t="shared" si="53"/>
        <v>981540</v>
      </c>
      <c r="T33" s="59">
        <f t="shared" si="53"/>
        <v>165148</v>
      </c>
      <c r="U33" s="59">
        <f t="shared" si="53"/>
        <v>336528</v>
      </c>
      <c r="V33" s="59">
        <f t="shared" si="53"/>
        <v>588924</v>
      </c>
      <c r="W33" s="59">
        <f t="shared" si="53"/>
        <v>1090600</v>
      </c>
      <c r="X33" s="59">
        <f t="shared" si="53"/>
        <v>0</v>
      </c>
      <c r="Y33" s="59">
        <f t="shared" si="53"/>
        <v>28044</v>
      </c>
      <c r="Z33" s="59">
        <f t="shared" si="53"/>
        <v>26441.485714285714</v>
      </c>
    </row>
    <row r="34" spans="1:26" x14ac:dyDescent="0.2">
      <c r="A34" s="74">
        <v>7</v>
      </c>
      <c r="B34" s="107" t="s">
        <v>49</v>
      </c>
      <c r="C34" s="107" t="s">
        <v>103</v>
      </c>
      <c r="D34" s="110">
        <v>44316</v>
      </c>
      <c r="E34" s="74">
        <v>1</v>
      </c>
      <c r="F34" s="107" t="s">
        <v>104</v>
      </c>
      <c r="G34" s="111">
        <v>1</v>
      </c>
      <c r="H34" s="112">
        <v>83000000</v>
      </c>
      <c r="I34" s="112">
        <f>H34*G34</f>
        <v>83000000</v>
      </c>
      <c r="J34" s="110">
        <v>44315</v>
      </c>
      <c r="K34" s="77">
        <f>IFERROR(VALUE(DAY(J34)&amp;" "&amp;TEXT(EOMONTH(J34,L34)-29,"mmm")&amp;" "&amp;YEAR(EOMONTH(J34,L34)-29)),"-")</f>
        <v>46506</v>
      </c>
      <c r="L34" s="107">
        <v>72</v>
      </c>
      <c r="M34" s="99">
        <v>50.64</v>
      </c>
      <c r="N34" s="81">
        <f t="shared" ref="N34" si="54">M34*H34/1000</f>
        <v>4203120</v>
      </c>
      <c r="O34" s="81"/>
      <c r="P34" s="81"/>
      <c r="Q34" s="81">
        <f t="shared" ref="Q34" si="55">N34+O34+P34</f>
        <v>4203120</v>
      </c>
      <c r="R34" s="81">
        <f t="shared" ref="R34" si="56">10%*N34</f>
        <v>420312</v>
      </c>
      <c r="S34" s="81">
        <f t="shared" ref="S34" si="57">Q34-R34</f>
        <v>3782808</v>
      </c>
      <c r="T34" s="42">
        <f>Q34*10%+(Y34*2)</f>
        <v>526869.97183098597</v>
      </c>
      <c r="U34" s="42">
        <f t="shared" si="52"/>
        <v>639347.8309859155</v>
      </c>
      <c r="V34" s="108">
        <f t="shared" si="42"/>
        <v>3036902.1971830986</v>
      </c>
      <c r="W34" s="2">
        <f t="shared" si="43"/>
        <v>4203120</v>
      </c>
      <c r="X34" s="2">
        <f t="shared" si="44"/>
        <v>0</v>
      </c>
      <c r="Y34" s="2">
        <v>53278.985915492958</v>
      </c>
      <c r="Z34" s="109">
        <f t="shared" si="45"/>
        <v>51778.169410831186</v>
      </c>
    </row>
    <row r="35" spans="1:26" x14ac:dyDescent="0.2">
      <c r="A35" s="150"/>
      <c r="B35" s="90"/>
      <c r="C35" s="90"/>
      <c r="D35" s="90"/>
      <c r="E35" s="150">
        <f>SUM(E34:E34)</f>
        <v>1</v>
      </c>
      <c r="F35" s="90"/>
      <c r="G35" s="151"/>
      <c r="H35" s="152">
        <f>SUM(H34:H34)</f>
        <v>83000000</v>
      </c>
      <c r="I35" s="152">
        <f>SUM(I34:I34)</f>
        <v>83000000</v>
      </c>
      <c r="J35" s="152"/>
      <c r="K35" s="152"/>
      <c r="L35" s="152"/>
      <c r="M35" s="152"/>
      <c r="N35" s="152">
        <f t="shared" ref="N35:Z35" si="58">SUM(N34:N34)</f>
        <v>4203120</v>
      </c>
      <c r="O35" s="152">
        <f t="shared" si="58"/>
        <v>0</v>
      </c>
      <c r="P35" s="152">
        <f t="shared" si="58"/>
        <v>0</v>
      </c>
      <c r="Q35" s="152">
        <f t="shared" si="58"/>
        <v>4203120</v>
      </c>
      <c r="R35" s="152">
        <f t="shared" si="58"/>
        <v>420312</v>
      </c>
      <c r="S35" s="152">
        <f t="shared" si="58"/>
        <v>3782808</v>
      </c>
      <c r="T35" s="152">
        <f t="shared" si="58"/>
        <v>526869.97183098597</v>
      </c>
      <c r="U35" s="152">
        <f t="shared" si="58"/>
        <v>639347.8309859155</v>
      </c>
      <c r="V35" s="152">
        <f t="shared" si="58"/>
        <v>3036902.1971830986</v>
      </c>
      <c r="W35" s="152">
        <f t="shared" si="58"/>
        <v>4203120</v>
      </c>
      <c r="X35" s="152">
        <f t="shared" si="58"/>
        <v>0</v>
      </c>
      <c r="Y35" s="152">
        <f t="shared" si="58"/>
        <v>53278.985915492958</v>
      </c>
      <c r="Z35" s="152">
        <f t="shared" si="58"/>
        <v>51778.169410831186</v>
      </c>
    </row>
    <row r="36" spans="1:26" x14ac:dyDescent="0.2">
      <c r="A36" s="74">
        <v>8</v>
      </c>
      <c r="B36" s="107" t="s">
        <v>49</v>
      </c>
      <c r="C36" s="107" t="s">
        <v>105</v>
      </c>
      <c r="D36" s="110">
        <v>44316</v>
      </c>
      <c r="E36" s="74">
        <v>1</v>
      </c>
      <c r="F36" s="107" t="s">
        <v>106</v>
      </c>
      <c r="G36" s="111">
        <v>1</v>
      </c>
      <c r="H36" s="112">
        <v>35000000</v>
      </c>
      <c r="I36" s="112">
        <f>H36*G36</f>
        <v>35000000</v>
      </c>
      <c r="J36" s="110">
        <v>44313</v>
      </c>
      <c r="K36" s="77">
        <f>IFERROR(VALUE(DAY(J36)&amp;" "&amp;TEXT(EOMONTH(J36,L36)-29,"mmm")&amp;" "&amp;YEAR(EOMONTH(J36,L36)-29)),"-")</f>
        <v>45409</v>
      </c>
      <c r="L36" s="107">
        <v>36</v>
      </c>
      <c r="M36" s="99">
        <v>30.71</v>
      </c>
      <c r="N36" s="81">
        <f t="shared" ref="N36" si="59">M36*H36/1000</f>
        <v>1074850</v>
      </c>
      <c r="O36" s="81"/>
      <c r="P36" s="81"/>
      <c r="Q36" s="81">
        <f t="shared" ref="Q36" si="60">N36+O36+P36</f>
        <v>1074850</v>
      </c>
      <c r="R36" s="81">
        <f t="shared" ref="R36" si="61">10%*N36</f>
        <v>107485</v>
      </c>
      <c r="S36" s="81">
        <f t="shared" ref="S36" si="62">Q36-R36</f>
        <v>967365</v>
      </c>
      <c r="T36" s="42">
        <f>Q36*10%+(Y36*2)</f>
        <v>162763</v>
      </c>
      <c r="U36" s="42">
        <f t="shared" si="52"/>
        <v>331668</v>
      </c>
      <c r="V36" s="108">
        <f t="shared" si="42"/>
        <v>580419</v>
      </c>
      <c r="W36" s="2">
        <f t="shared" si="43"/>
        <v>1074850</v>
      </c>
      <c r="X36" s="2">
        <f t="shared" si="44"/>
        <v>0</v>
      </c>
      <c r="Y36" s="2">
        <v>27639</v>
      </c>
      <c r="Z36" s="109">
        <f t="shared" si="45"/>
        <v>26059.628571428573</v>
      </c>
    </row>
    <row r="37" spans="1:26" x14ac:dyDescent="0.2">
      <c r="A37" s="150"/>
      <c r="B37" s="90"/>
      <c r="C37" s="90"/>
      <c r="D37" s="90"/>
      <c r="E37" s="150">
        <f>SUM(E36:E36)</f>
        <v>1</v>
      </c>
      <c r="F37" s="90"/>
      <c r="G37" s="151"/>
      <c r="H37" s="152">
        <f>SUM(H36:H36)</f>
        <v>35000000</v>
      </c>
      <c r="I37" s="152">
        <f>SUM(I36:I36)</f>
        <v>35000000</v>
      </c>
      <c r="J37" s="152"/>
      <c r="K37" s="152"/>
      <c r="L37" s="152"/>
      <c r="M37" s="152"/>
      <c r="N37" s="152">
        <f t="shared" ref="N37:Z37" si="63">SUM(N36:N36)</f>
        <v>1074850</v>
      </c>
      <c r="O37" s="152">
        <f t="shared" si="63"/>
        <v>0</v>
      </c>
      <c r="P37" s="152">
        <f t="shared" si="63"/>
        <v>0</v>
      </c>
      <c r="Q37" s="152">
        <f t="shared" si="63"/>
        <v>1074850</v>
      </c>
      <c r="R37" s="152">
        <f t="shared" si="63"/>
        <v>107485</v>
      </c>
      <c r="S37" s="152">
        <f t="shared" si="63"/>
        <v>967365</v>
      </c>
      <c r="T37" s="152">
        <f t="shared" si="63"/>
        <v>162763</v>
      </c>
      <c r="U37" s="152">
        <f t="shared" si="63"/>
        <v>331668</v>
      </c>
      <c r="V37" s="152">
        <f t="shared" si="63"/>
        <v>580419</v>
      </c>
      <c r="W37" s="152">
        <f t="shared" si="63"/>
        <v>1074850</v>
      </c>
      <c r="X37" s="152">
        <f t="shared" si="63"/>
        <v>0</v>
      </c>
      <c r="Y37" s="152">
        <f t="shared" si="63"/>
        <v>27639</v>
      </c>
      <c r="Z37" s="152">
        <f t="shared" si="63"/>
        <v>26059.628571428573</v>
      </c>
    </row>
    <row r="38" spans="1:26" x14ac:dyDescent="0.2">
      <c r="A38" s="74">
        <v>9</v>
      </c>
      <c r="B38" s="107" t="s">
        <v>49</v>
      </c>
      <c r="C38" s="107" t="s">
        <v>108</v>
      </c>
      <c r="D38" s="110">
        <v>44316</v>
      </c>
      <c r="E38" s="74">
        <v>1</v>
      </c>
      <c r="F38" s="107" t="s">
        <v>109</v>
      </c>
      <c r="G38" s="111">
        <v>1</v>
      </c>
      <c r="H38" s="112">
        <v>220000000</v>
      </c>
      <c r="I38" s="112">
        <f>H38*G38</f>
        <v>220000000</v>
      </c>
      <c r="J38" s="110">
        <v>44300</v>
      </c>
      <c r="K38" s="77">
        <f>IFERROR(VALUE(DAY(J38)&amp;" "&amp;TEXT(EOMONTH(J38,L38)-29,"mmm")&amp;" "&amp;YEAR(EOMONTH(J38,L38)-29)),"-")</f>
        <v>47952</v>
      </c>
      <c r="L38" s="107">
        <v>120</v>
      </c>
      <c r="M38" s="99">
        <v>25.48</v>
      </c>
      <c r="N38" s="81">
        <f t="shared" ref="N38:N39" si="64">M38*H38/1000</f>
        <v>5605600</v>
      </c>
      <c r="O38" s="81"/>
      <c r="P38" s="81"/>
      <c r="Q38" s="81">
        <f t="shared" ref="Q38:Q39" si="65">N38+O38+P38</f>
        <v>5605600</v>
      </c>
      <c r="R38" s="81">
        <f t="shared" ref="R38:R39" si="66">10%*N38</f>
        <v>560560</v>
      </c>
      <c r="S38" s="81">
        <f t="shared" ref="S38:S39" si="67">Q38-R38</f>
        <v>5045040</v>
      </c>
      <c r="T38" s="42">
        <f t="shared" ref="T38:T39" si="68">Q38*10%+(Y38*2)</f>
        <v>645350.5882352941</v>
      </c>
      <c r="U38" s="42">
        <f t="shared" si="52"/>
        <v>508743.5294117647</v>
      </c>
      <c r="V38" s="108">
        <f t="shared" si="42"/>
        <v>4451505.8823529407</v>
      </c>
      <c r="W38" s="2">
        <f t="shared" si="43"/>
        <v>5605600</v>
      </c>
      <c r="X38" s="2">
        <f t="shared" si="44"/>
        <v>0</v>
      </c>
      <c r="Y38" s="2">
        <v>42395.294117647056</v>
      </c>
      <c r="Z38" s="109">
        <f t="shared" si="45"/>
        <v>41682.768166089962</v>
      </c>
    </row>
    <row r="39" spans="1:26" x14ac:dyDescent="0.2">
      <c r="A39" s="74"/>
      <c r="B39" s="107"/>
      <c r="C39" s="107"/>
      <c r="D39" s="110"/>
      <c r="E39" s="74">
        <v>1</v>
      </c>
      <c r="F39" s="107" t="s">
        <v>110</v>
      </c>
      <c r="G39" s="111">
        <v>1</v>
      </c>
      <c r="H39" s="112">
        <v>160000000</v>
      </c>
      <c r="I39" s="112">
        <f>H39*G39</f>
        <v>160000000</v>
      </c>
      <c r="J39" s="110">
        <v>44305</v>
      </c>
      <c r="K39" s="77">
        <f>IFERROR(VALUE(DAY(J39)&amp;" "&amp;TEXT(EOMONTH(J39,L39)-29,"mmm")&amp;" "&amp;YEAR(EOMONTH(J39,L39)-29)),"-")</f>
        <v>45554</v>
      </c>
      <c r="L39" s="107">
        <v>41</v>
      </c>
      <c r="M39" s="99">
        <v>11.38</v>
      </c>
      <c r="N39" s="81">
        <f t="shared" si="64"/>
        <v>1820800.0000000002</v>
      </c>
      <c r="O39" s="81"/>
      <c r="P39" s="81"/>
      <c r="Q39" s="81">
        <f t="shared" si="65"/>
        <v>1820800.0000000002</v>
      </c>
      <c r="R39" s="81">
        <f t="shared" si="66"/>
        <v>182080.00000000003</v>
      </c>
      <c r="S39" s="81">
        <f t="shared" si="67"/>
        <v>1638720.0000000002</v>
      </c>
      <c r="T39" s="42">
        <f t="shared" si="68"/>
        <v>264016.00000000006</v>
      </c>
      <c r="U39" s="42">
        <f t="shared" si="52"/>
        <v>491616.00000000012</v>
      </c>
      <c r="V39" s="108">
        <f t="shared" si="42"/>
        <v>1065168</v>
      </c>
      <c r="W39" s="2">
        <f t="shared" si="43"/>
        <v>1820800.0000000002</v>
      </c>
      <c r="X39" s="2">
        <f t="shared" si="44"/>
        <v>0</v>
      </c>
      <c r="Y39" s="2">
        <v>40968.000000000007</v>
      </c>
      <c r="Z39" s="109">
        <f t="shared" si="45"/>
        <v>38919.600000000006</v>
      </c>
    </row>
    <row r="40" spans="1:26" x14ac:dyDescent="0.2">
      <c r="A40" s="88"/>
      <c r="B40" s="84"/>
      <c r="C40" s="84"/>
      <c r="D40" s="84"/>
      <c r="E40" s="88">
        <f>SUM(E38:E39)</f>
        <v>2</v>
      </c>
      <c r="F40" s="84"/>
      <c r="G40" s="115"/>
      <c r="H40" s="79">
        <f t="shared" ref="H40:I40" si="69">SUM(H38:H39)</f>
        <v>380000000</v>
      </c>
      <c r="I40" s="79">
        <f t="shared" si="69"/>
        <v>380000000</v>
      </c>
      <c r="J40" s="59"/>
      <c r="K40" s="59"/>
      <c r="L40" s="59"/>
      <c r="M40" s="59"/>
      <c r="N40" s="79">
        <f t="shared" ref="N40:Z40" si="70">SUM(N38:N39)</f>
        <v>7426400</v>
      </c>
      <c r="O40" s="79">
        <f t="shared" si="70"/>
        <v>0</v>
      </c>
      <c r="P40" s="79">
        <f t="shared" si="70"/>
        <v>0</v>
      </c>
      <c r="Q40" s="79">
        <f t="shared" si="70"/>
        <v>7426400</v>
      </c>
      <c r="R40" s="79">
        <f t="shared" si="70"/>
        <v>742640</v>
      </c>
      <c r="S40" s="79">
        <f t="shared" si="70"/>
        <v>6683760</v>
      </c>
      <c r="T40" s="79">
        <f t="shared" si="70"/>
        <v>909366.58823529421</v>
      </c>
      <c r="U40" s="79">
        <f t="shared" si="70"/>
        <v>1000359.5294117648</v>
      </c>
      <c r="V40" s="79">
        <f t="shared" si="70"/>
        <v>5516673.8823529407</v>
      </c>
      <c r="W40" s="79">
        <f t="shared" si="70"/>
        <v>7426400</v>
      </c>
      <c r="X40" s="79">
        <f t="shared" si="70"/>
        <v>0</v>
      </c>
      <c r="Y40" s="79">
        <f t="shared" si="70"/>
        <v>83363.294117647063</v>
      </c>
      <c r="Z40" s="79">
        <f t="shared" si="70"/>
        <v>80602.36816608996</v>
      </c>
    </row>
    <row r="41" spans="1:26" x14ac:dyDescent="0.2">
      <c r="A41" s="74">
        <v>10</v>
      </c>
      <c r="B41" s="107" t="s">
        <v>111</v>
      </c>
      <c r="C41" s="107" t="s">
        <v>112</v>
      </c>
      <c r="D41" s="110">
        <v>44316</v>
      </c>
      <c r="E41" s="74">
        <v>1</v>
      </c>
      <c r="F41" s="107" t="s">
        <v>113</v>
      </c>
      <c r="G41" s="111">
        <v>1</v>
      </c>
      <c r="H41" s="112">
        <v>45323679</v>
      </c>
      <c r="I41" s="112">
        <f>H41*G41</f>
        <v>45323679</v>
      </c>
      <c r="J41" s="110">
        <v>45784</v>
      </c>
      <c r="K41" s="77">
        <v>46302</v>
      </c>
      <c r="L41" s="107">
        <v>17</v>
      </c>
      <c r="M41" s="99">
        <v>9.1</v>
      </c>
      <c r="N41" s="81">
        <f t="shared" ref="N41" si="71">M41*H41/1000</f>
        <v>412445.47889999999</v>
      </c>
      <c r="O41" s="81">
        <v>100000</v>
      </c>
      <c r="P41" s="81"/>
      <c r="Q41" s="81">
        <f t="shared" ref="Q41" si="72">N41+O41+P41</f>
        <v>512445.47889999999</v>
      </c>
      <c r="R41" s="81"/>
      <c r="S41" s="81">
        <f t="shared" ref="S41" si="73">Q41-R41</f>
        <v>512445.47889999999</v>
      </c>
      <c r="T41" s="42">
        <f>Q41*10%+(Y41*2)</f>
        <v>108894.66426625001</v>
      </c>
      <c r="U41" s="42">
        <f t="shared" si="52"/>
        <v>345900.69825750001</v>
      </c>
      <c r="V41" s="108">
        <f t="shared" si="42"/>
        <v>57650.116376249993</v>
      </c>
      <c r="W41" s="2">
        <f t="shared" si="43"/>
        <v>512445.47890000005</v>
      </c>
      <c r="X41" s="2">
        <f t="shared" si="44"/>
        <v>0</v>
      </c>
      <c r="Y41" s="2">
        <v>28825.058188125</v>
      </c>
      <c r="Z41" s="109">
        <f t="shared" si="45"/>
        <v>25221.925914609375</v>
      </c>
    </row>
    <row r="42" spans="1:26" x14ac:dyDescent="0.2">
      <c r="A42" s="150"/>
      <c r="B42" s="90"/>
      <c r="C42" s="90"/>
      <c r="D42" s="90"/>
      <c r="E42" s="150"/>
      <c r="F42" s="90"/>
      <c r="G42" s="151"/>
      <c r="H42" s="152"/>
      <c r="I42" s="152"/>
      <c r="J42" s="152"/>
      <c r="K42" s="152"/>
      <c r="L42" s="152"/>
      <c r="M42" s="152"/>
      <c r="N42" s="152">
        <f t="shared" ref="N42:Z42" si="74">SUM(N41:N41)</f>
        <v>412445.47889999999</v>
      </c>
      <c r="O42" s="152">
        <f t="shared" si="74"/>
        <v>100000</v>
      </c>
      <c r="P42" s="152">
        <f t="shared" si="74"/>
        <v>0</v>
      </c>
      <c r="Q42" s="152">
        <f t="shared" si="74"/>
        <v>512445.47889999999</v>
      </c>
      <c r="R42" s="152">
        <f t="shared" si="74"/>
        <v>0</v>
      </c>
      <c r="S42" s="152">
        <f t="shared" si="74"/>
        <v>512445.47889999999</v>
      </c>
      <c r="T42" s="152">
        <f t="shared" si="74"/>
        <v>108894.66426625001</v>
      </c>
      <c r="U42" s="152">
        <f t="shared" si="74"/>
        <v>345900.69825750001</v>
      </c>
      <c r="V42" s="152">
        <f t="shared" si="74"/>
        <v>57650.116376249993</v>
      </c>
      <c r="W42" s="152">
        <f t="shared" si="74"/>
        <v>512445.47890000005</v>
      </c>
      <c r="X42" s="152">
        <f t="shared" si="74"/>
        <v>0</v>
      </c>
      <c r="Y42" s="152">
        <f t="shared" si="74"/>
        <v>28825.058188125</v>
      </c>
      <c r="Z42" s="152">
        <f t="shared" si="74"/>
        <v>25221.925914609375</v>
      </c>
    </row>
    <row r="43" spans="1:26" x14ac:dyDescent="0.2">
      <c r="A43" s="83"/>
      <c r="B43" s="83"/>
      <c r="C43" s="83" t="s">
        <v>115</v>
      </c>
      <c r="D43" s="84"/>
      <c r="E43" s="85">
        <f>E42+E40+E37+E35+E33+E31</f>
        <v>5</v>
      </c>
      <c r="F43" s="87"/>
      <c r="G43" s="87"/>
      <c r="H43" s="87">
        <f t="shared" ref="H43:Z43" si="75">H42+H40+H37+H35+H33+H31</f>
        <v>533000000</v>
      </c>
      <c r="I43" s="87">
        <f t="shared" si="75"/>
        <v>533000000</v>
      </c>
      <c r="J43" s="87">
        <f t="shared" si="75"/>
        <v>0</v>
      </c>
      <c r="K43" s="87">
        <f t="shared" si="75"/>
        <v>0</v>
      </c>
      <c r="L43" s="87">
        <f t="shared" si="75"/>
        <v>0</v>
      </c>
      <c r="M43" s="87">
        <f t="shared" si="75"/>
        <v>0</v>
      </c>
      <c r="N43" s="87">
        <f t="shared" si="75"/>
        <v>14796238.633820001</v>
      </c>
      <c r="O43" s="87">
        <f t="shared" si="75"/>
        <v>300000</v>
      </c>
      <c r="P43" s="87">
        <f t="shared" si="75"/>
        <v>0</v>
      </c>
      <c r="Q43" s="87">
        <f t="shared" si="75"/>
        <v>15096238.633820001</v>
      </c>
      <c r="R43" s="87">
        <f t="shared" si="75"/>
        <v>1379497</v>
      </c>
      <c r="S43" s="87">
        <f t="shared" si="75"/>
        <v>13716741.633820001</v>
      </c>
      <c r="T43" s="87">
        <f t="shared" si="75"/>
        <v>2096402.4422959066</v>
      </c>
      <c r="U43" s="87">
        <f t="shared" si="75"/>
        <v>3219266.9956118036</v>
      </c>
      <c r="V43" s="87">
        <f t="shared" si="75"/>
        <v>9780569.1959122904</v>
      </c>
      <c r="W43" s="87">
        <f t="shared" si="75"/>
        <v>15096238.633820001</v>
      </c>
      <c r="X43" s="87">
        <f t="shared" si="75"/>
        <v>0</v>
      </c>
      <c r="Y43" s="87">
        <f t="shared" si="75"/>
        <v>293389.28945695329</v>
      </c>
      <c r="Z43" s="87">
        <f t="shared" si="75"/>
        <v>267008.49569307885</v>
      </c>
    </row>
    <row r="44" spans="1:26" x14ac:dyDescent="0.2">
      <c r="A44" s="83"/>
      <c r="B44" s="83"/>
      <c r="C44" s="83" t="s">
        <v>116</v>
      </c>
      <c r="D44" s="84"/>
      <c r="E44" s="93">
        <f>E43+E24</f>
        <v>9</v>
      </c>
      <c r="F44" s="95"/>
      <c r="G44" s="95"/>
      <c r="H44" s="95">
        <f t="shared" ref="H44:Z44" si="76">H43+H24</f>
        <v>1373000000</v>
      </c>
      <c r="I44" s="95">
        <f t="shared" si="76"/>
        <v>1373000000</v>
      </c>
      <c r="J44" s="95">
        <f t="shared" si="76"/>
        <v>0</v>
      </c>
      <c r="K44" s="95">
        <f t="shared" si="76"/>
        <v>0</v>
      </c>
      <c r="L44" s="95">
        <f t="shared" si="76"/>
        <v>0</v>
      </c>
      <c r="M44" s="95">
        <f t="shared" si="76"/>
        <v>0</v>
      </c>
      <c r="N44" s="95">
        <f t="shared" si="76"/>
        <v>30976238.633820001</v>
      </c>
      <c r="O44" s="95">
        <f t="shared" si="76"/>
        <v>300000</v>
      </c>
      <c r="P44" s="95">
        <f t="shared" si="76"/>
        <v>0</v>
      </c>
      <c r="Q44" s="95">
        <f t="shared" si="76"/>
        <v>47174238.633819997</v>
      </c>
      <c r="R44" s="95">
        <f t="shared" si="76"/>
        <v>4587297</v>
      </c>
      <c r="S44" s="95">
        <f t="shared" si="76"/>
        <v>42586941.633819997</v>
      </c>
      <c r="T44" s="95">
        <f t="shared" si="76"/>
        <v>5994665.8960856404</v>
      </c>
      <c r="U44" s="95">
        <f t="shared" si="76"/>
        <v>5442384.2786347829</v>
      </c>
      <c r="V44" s="95">
        <f t="shared" si="76"/>
        <v>35737188.459099576</v>
      </c>
      <c r="W44" s="95">
        <f t="shared" si="76"/>
        <v>47174238.633819997</v>
      </c>
      <c r="X44" s="95">
        <f t="shared" si="76"/>
        <v>0</v>
      </c>
      <c r="Y44" s="95">
        <f t="shared" si="76"/>
        <v>478649.06304220157</v>
      </c>
      <c r="Z44" s="95">
        <f t="shared" si="76"/>
        <v>980999.36742557236</v>
      </c>
    </row>
    <row r="46" spans="1:26" ht="23.25" x14ac:dyDescent="0.2">
      <c r="A46" s="86" t="s">
        <v>154</v>
      </c>
      <c r="B46" s="62"/>
      <c r="C46" s="62"/>
      <c r="D46" s="57"/>
      <c r="E46" s="63"/>
      <c r="F46" s="64"/>
      <c r="G46" s="139"/>
      <c r="H46" s="66"/>
      <c r="I46" s="66"/>
      <c r="J46" s="67"/>
      <c r="K46" s="67"/>
      <c r="L46" s="68"/>
      <c r="M46" s="68"/>
      <c r="N46" s="69"/>
      <c r="O46" s="69"/>
      <c r="P46" s="69"/>
      <c r="Q46" s="69"/>
      <c r="R46" s="69"/>
      <c r="S46" s="69"/>
      <c r="T46" s="70"/>
      <c r="U46" s="71"/>
      <c r="V46" s="71"/>
    </row>
    <row r="47" spans="1:26" x14ac:dyDescent="0.2">
      <c r="A47" s="231" t="s">
        <v>0</v>
      </c>
      <c r="B47" s="232" t="s">
        <v>1</v>
      </c>
      <c r="C47" s="229" t="s">
        <v>2</v>
      </c>
      <c r="D47" s="233" t="s">
        <v>3</v>
      </c>
      <c r="E47" s="234" t="s">
        <v>4</v>
      </c>
      <c r="F47" s="232" t="s">
        <v>5</v>
      </c>
      <c r="G47" s="237" t="s">
        <v>6</v>
      </c>
      <c r="H47" s="236" t="s">
        <v>7</v>
      </c>
      <c r="I47" s="236" t="s">
        <v>8</v>
      </c>
      <c r="J47" s="227" t="s">
        <v>9</v>
      </c>
      <c r="K47" s="227"/>
      <c r="L47" s="228" t="s">
        <v>10</v>
      </c>
      <c r="M47" s="229" t="s">
        <v>11</v>
      </c>
      <c r="N47" s="230" t="s">
        <v>12</v>
      </c>
      <c r="O47" s="230"/>
      <c r="P47" s="230"/>
      <c r="Q47" s="229" t="s">
        <v>13</v>
      </c>
      <c r="R47" s="229" t="s">
        <v>14</v>
      </c>
      <c r="S47" s="229" t="s">
        <v>15</v>
      </c>
      <c r="T47" s="36">
        <v>2021</v>
      </c>
      <c r="U47" s="37"/>
      <c r="V47" s="38" t="s">
        <v>44</v>
      </c>
    </row>
    <row r="48" spans="1:26" x14ac:dyDescent="0.2">
      <c r="A48" s="231"/>
      <c r="B48" s="232"/>
      <c r="C48" s="229"/>
      <c r="D48" s="233"/>
      <c r="E48" s="234"/>
      <c r="F48" s="232"/>
      <c r="G48" s="237"/>
      <c r="H48" s="236"/>
      <c r="I48" s="236"/>
      <c r="J48" s="227"/>
      <c r="K48" s="227"/>
      <c r="L48" s="228"/>
      <c r="M48" s="229"/>
      <c r="N48" s="180" t="s">
        <v>16</v>
      </c>
      <c r="O48" s="180" t="s">
        <v>17</v>
      </c>
      <c r="P48" s="180" t="s">
        <v>18</v>
      </c>
      <c r="Q48" s="229"/>
      <c r="R48" s="229"/>
      <c r="S48" s="229"/>
      <c r="T48" s="96" t="s">
        <v>171</v>
      </c>
      <c r="U48" s="39" t="s">
        <v>167</v>
      </c>
      <c r="V48" s="40"/>
    </row>
    <row r="49" spans="1:26" ht="12.75" x14ac:dyDescent="0.2">
      <c r="A49" s="154">
        <v>11</v>
      </c>
      <c r="B49" s="155" t="s">
        <v>122</v>
      </c>
      <c r="C49" s="155" t="s">
        <v>123</v>
      </c>
      <c r="D49" s="156">
        <v>44334</v>
      </c>
      <c r="E49" s="154">
        <v>1</v>
      </c>
      <c r="F49" s="155" t="s">
        <v>124</v>
      </c>
      <c r="G49" s="111">
        <v>1</v>
      </c>
      <c r="H49" s="112">
        <v>30000000</v>
      </c>
      <c r="I49" s="112">
        <f>H49*G49</f>
        <v>30000000</v>
      </c>
      <c r="J49" s="110">
        <v>44257</v>
      </c>
      <c r="K49" s="77">
        <f>IFERROR(VALUE(DAY(J49)&amp;" "&amp;TEXT(EOMONTH(J49,L49)-29,"mmm")&amp;" "&amp;YEAR(EOMONTH(J49,L49)-29)),"-")</f>
        <v>44987</v>
      </c>
      <c r="L49" s="107">
        <v>24</v>
      </c>
      <c r="M49" s="99">
        <v>10.57</v>
      </c>
      <c r="N49" s="81">
        <f t="shared" ref="N49" si="77">M49*H49/1000</f>
        <v>317100</v>
      </c>
      <c r="O49" s="81"/>
      <c r="P49" s="81"/>
      <c r="Q49" s="81">
        <f t="shared" ref="Q49" si="78">N49+O49+P49</f>
        <v>317100</v>
      </c>
      <c r="R49" s="81">
        <f t="shared" ref="R49" si="79">10%*N49</f>
        <v>31710</v>
      </c>
      <c r="S49" s="81">
        <f t="shared" ref="S49" si="80">Q49-R49</f>
        <v>285390</v>
      </c>
      <c r="T49" s="42">
        <f>Q49*10%+Y49</f>
        <v>44118.260869565216</v>
      </c>
      <c r="U49" s="42">
        <f t="shared" ref="U49" si="81">Y49*12</f>
        <v>148899.13043478262</v>
      </c>
      <c r="V49" s="108">
        <f t="shared" ref="V49" si="82">Q49-T49-U49</f>
        <v>124082.60869565219</v>
      </c>
      <c r="W49" s="2">
        <f t="shared" ref="W49" si="83">T49+U49+V49</f>
        <v>317100</v>
      </c>
      <c r="X49" s="2">
        <f t="shared" ref="X49" si="84">Q49-W49</f>
        <v>0</v>
      </c>
      <c r="Y49" s="2">
        <v>12408.260869565218</v>
      </c>
      <c r="Z49" s="109">
        <f t="shared" ref="Z49" si="85">(Q49-T49)/(L49-1)</f>
        <v>11868.771266540643</v>
      </c>
    </row>
    <row r="50" spans="1:26" ht="12.75" x14ac:dyDescent="0.2">
      <c r="A50" s="159"/>
      <c r="B50" s="160"/>
      <c r="C50" s="160"/>
      <c r="D50" s="160"/>
      <c r="E50" s="159">
        <f>SUM(E49)</f>
        <v>1</v>
      </c>
      <c r="F50" s="160"/>
      <c r="G50" s="161"/>
      <c r="H50" s="162">
        <f>SUM(H49)</f>
        <v>30000000</v>
      </c>
      <c r="I50" s="162">
        <f>SUM(I49)</f>
        <v>30000000</v>
      </c>
      <c r="J50" s="162"/>
      <c r="K50" s="162"/>
      <c r="L50" s="162"/>
      <c r="M50" s="162"/>
      <c r="N50" s="162">
        <f t="shared" ref="N50:Z50" si="86">SUM(N49)</f>
        <v>317100</v>
      </c>
      <c r="O50" s="162">
        <f t="shared" si="86"/>
        <v>0</v>
      </c>
      <c r="P50" s="162">
        <f t="shared" si="86"/>
        <v>0</v>
      </c>
      <c r="Q50" s="162">
        <f t="shared" si="86"/>
        <v>317100</v>
      </c>
      <c r="R50" s="162">
        <f t="shared" si="86"/>
        <v>31710</v>
      </c>
      <c r="S50" s="162">
        <f t="shared" si="86"/>
        <v>285390</v>
      </c>
      <c r="T50" s="162">
        <f t="shared" si="86"/>
        <v>44118.260869565216</v>
      </c>
      <c r="U50" s="162">
        <f t="shared" si="86"/>
        <v>148899.13043478262</v>
      </c>
      <c r="V50" s="162">
        <f t="shared" si="86"/>
        <v>124082.60869565219</v>
      </c>
      <c r="W50" s="162">
        <f t="shared" si="86"/>
        <v>317100</v>
      </c>
      <c r="X50" s="162">
        <f t="shared" si="86"/>
        <v>0</v>
      </c>
      <c r="Y50" s="162">
        <f t="shared" si="86"/>
        <v>12408.260869565218</v>
      </c>
      <c r="Z50" s="162">
        <f t="shared" si="86"/>
        <v>11868.771266540643</v>
      </c>
    </row>
    <row r="51" spans="1:26" x14ac:dyDescent="0.2">
      <c r="A51" s="74">
        <v>12</v>
      </c>
      <c r="B51" s="107" t="s">
        <v>111</v>
      </c>
      <c r="C51" s="107" t="s">
        <v>125</v>
      </c>
      <c r="D51" s="110">
        <v>44336</v>
      </c>
      <c r="E51" s="74">
        <v>1</v>
      </c>
      <c r="F51" s="107" t="s">
        <v>126</v>
      </c>
      <c r="G51" s="111">
        <v>1</v>
      </c>
      <c r="H51" s="112">
        <v>69230850</v>
      </c>
      <c r="I51" s="112">
        <f>H51*G51</f>
        <v>69230850</v>
      </c>
      <c r="J51" s="110">
        <v>44315</v>
      </c>
      <c r="K51" s="77">
        <f>IFERROR(VALUE(DAY(J51)&amp;" "&amp;TEXT(EOMONTH(J51,L51)-29,"mmm")&amp;" "&amp;YEAR(EOMONTH(J51,L51)-29)),"-")</f>
        <v>45686</v>
      </c>
      <c r="L51" s="107">
        <v>45</v>
      </c>
      <c r="M51" s="99">
        <v>15.93</v>
      </c>
      <c r="N51" s="81">
        <f t="shared" ref="N51:N52" si="87">M51*H51/1000</f>
        <v>1102847.4405</v>
      </c>
      <c r="O51" s="81"/>
      <c r="P51" s="81"/>
      <c r="Q51" s="81">
        <f t="shared" ref="Q51:Q52" si="88">N51+O51+P51</f>
        <v>1102847.4405</v>
      </c>
      <c r="R51" s="81">
        <f t="shared" ref="R51:R52" si="89">10%*N51</f>
        <v>110284.74405000001</v>
      </c>
      <c r="S51" s="81">
        <f t="shared" ref="S51:S52" si="90">Q51-R51</f>
        <v>992562.69645000005</v>
      </c>
      <c r="T51" s="42">
        <f t="shared" ref="T51:T52" si="91">Q51*10%+Y51</f>
        <v>132842.98715113639</v>
      </c>
      <c r="U51" s="42">
        <f t="shared" ref="U51:U69" si="92">Y51*12</f>
        <v>270698.91721363639</v>
      </c>
      <c r="V51" s="108">
        <f t="shared" ref="V51:V69" si="93">Q51-T51-U51</f>
        <v>699305.53613522719</v>
      </c>
      <c r="W51" s="2">
        <f t="shared" ref="W51:W69" si="94">T51+U51+V51</f>
        <v>1102847.4405</v>
      </c>
      <c r="X51" s="2">
        <f t="shared" ref="X51:X69" si="95">Q51-W51</f>
        <v>0</v>
      </c>
      <c r="Y51" s="2">
        <v>22558.243101136366</v>
      </c>
      <c r="Z51" s="109">
        <f t="shared" ref="Z51:Z69" si="96">(Q51-T51)/(L51-1)</f>
        <v>22045.55575792872</v>
      </c>
    </row>
    <row r="52" spans="1:26" x14ac:dyDescent="0.2">
      <c r="A52" s="74"/>
      <c r="B52" s="107"/>
      <c r="C52" s="107"/>
      <c r="D52" s="110"/>
      <c r="E52" s="74">
        <v>1</v>
      </c>
      <c r="F52" s="107" t="s">
        <v>127</v>
      </c>
      <c r="G52" s="111">
        <v>1</v>
      </c>
      <c r="H52" s="112">
        <v>82219772</v>
      </c>
      <c r="I52" s="112">
        <f>H52*G52</f>
        <v>82219772</v>
      </c>
      <c r="J52" s="110">
        <v>44307</v>
      </c>
      <c r="K52" s="77">
        <f>IFERROR(VALUE(DAY(J52)&amp;" "&amp;TEXT(EOMONTH(J52,L52)-29,"mmm")&amp;" "&amp;YEAR(EOMONTH(J52,L52)-29)),"-")</f>
        <v>46742</v>
      </c>
      <c r="L52" s="107">
        <v>80</v>
      </c>
      <c r="M52" s="99">
        <v>25.48</v>
      </c>
      <c r="N52" s="81">
        <f t="shared" si="87"/>
        <v>2094959.7905599999</v>
      </c>
      <c r="O52" s="81"/>
      <c r="P52" s="81"/>
      <c r="Q52" s="81">
        <f t="shared" si="88"/>
        <v>2094959.7905599999</v>
      </c>
      <c r="R52" s="81">
        <f t="shared" si="89"/>
        <v>209495.97905600001</v>
      </c>
      <c r="S52" s="81">
        <f t="shared" si="90"/>
        <v>1885463.8115039999</v>
      </c>
      <c r="T52" s="42">
        <f t="shared" si="91"/>
        <v>233362.60958136711</v>
      </c>
      <c r="U52" s="42">
        <f t="shared" si="92"/>
        <v>286399.56630440505</v>
      </c>
      <c r="V52" s="108">
        <f t="shared" si="93"/>
        <v>1575197.6146742278</v>
      </c>
      <c r="W52" s="2">
        <f t="shared" si="94"/>
        <v>2094959.7905599999</v>
      </c>
      <c r="X52" s="2">
        <f t="shared" si="95"/>
        <v>0</v>
      </c>
      <c r="Y52" s="2">
        <v>23866.630525367087</v>
      </c>
      <c r="Z52" s="109">
        <f t="shared" si="96"/>
        <v>23564.521278210541</v>
      </c>
    </row>
    <row r="53" spans="1:26" x14ac:dyDescent="0.2">
      <c r="A53" s="88"/>
      <c r="B53" s="84"/>
      <c r="C53" s="84"/>
      <c r="D53" s="84"/>
      <c r="E53" s="88">
        <f>SUM(E51:E52)</f>
        <v>2</v>
      </c>
      <c r="F53" s="84"/>
      <c r="G53" s="115"/>
      <c r="H53" s="79">
        <f t="shared" ref="H53:I53" si="97">SUM(H51:H52)</f>
        <v>151450622</v>
      </c>
      <c r="I53" s="79">
        <f t="shared" si="97"/>
        <v>151450622</v>
      </c>
      <c r="J53" s="59"/>
      <c r="K53" s="59"/>
      <c r="L53" s="59"/>
      <c r="M53" s="59"/>
      <c r="N53" s="79">
        <f t="shared" ref="N53:Z53" si="98">SUM(N51:N52)</f>
        <v>3197807.2310600001</v>
      </c>
      <c r="O53" s="79">
        <f t="shared" si="98"/>
        <v>0</v>
      </c>
      <c r="P53" s="79">
        <f t="shared" si="98"/>
        <v>0</v>
      </c>
      <c r="Q53" s="79">
        <f t="shared" si="98"/>
        <v>3197807.2310600001</v>
      </c>
      <c r="R53" s="79">
        <f t="shared" si="98"/>
        <v>319780.72310599999</v>
      </c>
      <c r="S53" s="79">
        <f t="shared" si="98"/>
        <v>2878026.507954</v>
      </c>
      <c r="T53" s="79">
        <f t="shared" si="98"/>
        <v>366205.5967325035</v>
      </c>
      <c r="U53" s="79">
        <f t="shared" si="98"/>
        <v>557098.48351804144</v>
      </c>
      <c r="V53" s="79">
        <f t="shared" si="98"/>
        <v>2274503.1508094547</v>
      </c>
      <c r="W53" s="79">
        <f t="shared" si="98"/>
        <v>3197807.2310600001</v>
      </c>
      <c r="X53" s="79">
        <f t="shared" si="98"/>
        <v>0</v>
      </c>
      <c r="Y53" s="79">
        <f t="shared" si="98"/>
        <v>46424.873626503453</v>
      </c>
      <c r="Z53" s="79">
        <f t="shared" si="98"/>
        <v>45610.077036139264</v>
      </c>
    </row>
    <row r="54" spans="1:26" ht="12.75" x14ac:dyDescent="0.2">
      <c r="A54" s="154">
        <v>13</v>
      </c>
      <c r="B54" s="155" t="s">
        <v>128</v>
      </c>
      <c r="C54" s="155" t="s">
        <v>129</v>
      </c>
      <c r="D54" s="156">
        <v>44347</v>
      </c>
      <c r="E54" s="154">
        <v>1</v>
      </c>
      <c r="F54" s="155" t="s">
        <v>130</v>
      </c>
      <c r="G54" s="111">
        <v>1</v>
      </c>
      <c r="H54" s="112">
        <v>1000000000</v>
      </c>
      <c r="I54" s="112">
        <f>H54*G54</f>
        <v>1000000000</v>
      </c>
      <c r="J54" s="110">
        <v>44327</v>
      </c>
      <c r="K54" s="77">
        <f>IFERROR(VALUE(DAY(J54)&amp;" "&amp;TEXT(EOMONTH(J54,L54)-29,"mmm")&amp;" "&amp;YEAR(EOMONTH(J54,L54)-29)),"-")</f>
        <v>45241</v>
      </c>
      <c r="L54" s="107">
        <v>30</v>
      </c>
      <c r="M54" s="99">
        <v>30.71</v>
      </c>
      <c r="N54" s="81">
        <f t="shared" ref="N54" si="99">M54*H54/1000</f>
        <v>30710000</v>
      </c>
      <c r="O54" s="81"/>
      <c r="P54" s="81"/>
      <c r="Q54" s="81">
        <f t="shared" ref="Q54" si="100">N54+O54+P54</f>
        <v>30710000</v>
      </c>
      <c r="R54" s="81">
        <f t="shared" ref="R54" si="101">10%*N54</f>
        <v>3071000</v>
      </c>
      <c r="S54" s="81">
        <f t="shared" ref="S54" si="102">Q54-R54</f>
        <v>27639000</v>
      </c>
      <c r="T54" s="42">
        <f>Q54*10%+Y54</f>
        <v>4024068.9655172415</v>
      </c>
      <c r="U54" s="42">
        <f t="shared" si="92"/>
        <v>11436827.586206896</v>
      </c>
      <c r="V54" s="108">
        <f t="shared" si="93"/>
        <v>15249103.448275862</v>
      </c>
      <c r="W54" s="2">
        <f t="shared" si="94"/>
        <v>30710000</v>
      </c>
      <c r="X54" s="2">
        <f t="shared" si="95"/>
        <v>0</v>
      </c>
      <c r="Y54" s="2">
        <v>953068.96551724139</v>
      </c>
      <c r="Z54" s="109">
        <f t="shared" si="96"/>
        <v>920204.51843043999</v>
      </c>
    </row>
    <row r="55" spans="1:26" ht="12.75" x14ac:dyDescent="0.2">
      <c r="A55" s="159"/>
      <c r="B55" s="160"/>
      <c r="C55" s="160"/>
      <c r="D55" s="160"/>
      <c r="E55" s="159">
        <f>SUM(E54)</f>
        <v>1</v>
      </c>
      <c r="F55" s="160"/>
      <c r="G55" s="161"/>
      <c r="H55" s="162">
        <f>SUM(H54)</f>
        <v>1000000000</v>
      </c>
      <c r="I55" s="162">
        <f>SUM(I54)</f>
        <v>1000000000</v>
      </c>
      <c r="J55" s="162"/>
      <c r="K55" s="162"/>
      <c r="L55" s="162"/>
      <c r="M55" s="162"/>
      <c r="N55" s="162">
        <f t="shared" ref="N55:Z55" si="103">SUM(N54)</f>
        <v>30710000</v>
      </c>
      <c r="O55" s="162">
        <f t="shared" si="103"/>
        <v>0</v>
      </c>
      <c r="P55" s="162">
        <f t="shared" si="103"/>
        <v>0</v>
      </c>
      <c r="Q55" s="162">
        <f t="shared" si="103"/>
        <v>30710000</v>
      </c>
      <c r="R55" s="162">
        <f t="shared" si="103"/>
        <v>3071000</v>
      </c>
      <c r="S55" s="162">
        <f t="shared" si="103"/>
        <v>27639000</v>
      </c>
      <c r="T55" s="162">
        <f t="shared" si="103"/>
        <v>4024068.9655172415</v>
      </c>
      <c r="U55" s="162">
        <f t="shared" si="103"/>
        <v>11436827.586206896</v>
      </c>
      <c r="V55" s="162">
        <f t="shared" si="103"/>
        <v>15249103.448275862</v>
      </c>
      <c r="W55" s="162">
        <f t="shared" si="103"/>
        <v>30710000</v>
      </c>
      <c r="X55" s="162">
        <f t="shared" si="103"/>
        <v>0</v>
      </c>
      <c r="Y55" s="162">
        <f t="shared" si="103"/>
        <v>953068.96551724139</v>
      </c>
      <c r="Z55" s="162">
        <f t="shared" si="103"/>
        <v>920204.51843043999</v>
      </c>
    </row>
    <row r="56" spans="1:26" ht="12.75" x14ac:dyDescent="0.2">
      <c r="A56" s="154">
        <v>14</v>
      </c>
      <c r="B56" s="155" t="s">
        <v>128</v>
      </c>
      <c r="C56" s="155" t="s">
        <v>131</v>
      </c>
      <c r="D56" s="156">
        <v>44347</v>
      </c>
      <c r="E56" s="154">
        <v>1</v>
      </c>
      <c r="F56" s="155" t="s">
        <v>132</v>
      </c>
      <c r="G56" s="111">
        <v>1</v>
      </c>
      <c r="H56" s="112">
        <v>170000000</v>
      </c>
      <c r="I56" s="112">
        <f>H56*G56</f>
        <v>170000000</v>
      </c>
      <c r="J56" s="110">
        <v>44319</v>
      </c>
      <c r="K56" s="77">
        <f>IFERROR(VALUE(DAY(J56)&amp;" "&amp;TEXT(EOMONTH(J56,L56)-29,"mmm")&amp;" "&amp;YEAR(EOMONTH(J56,L56)-29)),"-")</f>
        <v>46145</v>
      </c>
      <c r="L56" s="107">
        <v>60</v>
      </c>
      <c r="M56" s="169">
        <v>13.65</v>
      </c>
      <c r="N56" s="81">
        <f t="shared" ref="N56:N69" si="104">M56*H56/1000</f>
        <v>2320500</v>
      </c>
      <c r="O56" s="81"/>
      <c r="P56" s="81"/>
      <c r="Q56" s="81">
        <f t="shared" ref="Q56:Q69" si="105">N56+O56+P56</f>
        <v>2320500</v>
      </c>
      <c r="R56" s="81">
        <f t="shared" ref="R56:R69" si="106">10%*N56</f>
        <v>232050</v>
      </c>
      <c r="S56" s="81">
        <f t="shared" ref="S56:S69" si="107">Q56-R56</f>
        <v>2088450</v>
      </c>
      <c r="T56" s="42">
        <f t="shared" ref="T56:T69" si="108">Q56*10%+Y56</f>
        <v>267447.45762711862</v>
      </c>
      <c r="U56" s="42">
        <f t="shared" si="92"/>
        <v>424769.49152542371</v>
      </c>
      <c r="V56" s="108">
        <f t="shared" si="93"/>
        <v>1628283.0508474577</v>
      </c>
      <c r="W56" s="2">
        <f t="shared" si="94"/>
        <v>2320500</v>
      </c>
      <c r="X56" s="2">
        <f t="shared" si="95"/>
        <v>0</v>
      </c>
      <c r="Y56" s="2">
        <v>35397.457627118645</v>
      </c>
      <c r="Z56" s="109">
        <f t="shared" si="96"/>
        <v>34797.500718184434</v>
      </c>
    </row>
    <row r="57" spans="1:26" ht="12.75" x14ac:dyDescent="0.2">
      <c r="A57" s="164"/>
      <c r="B57" s="165"/>
      <c r="C57" s="165"/>
      <c r="D57" s="165"/>
      <c r="E57" s="154">
        <v>1</v>
      </c>
      <c r="F57" s="155" t="s">
        <v>133</v>
      </c>
      <c r="G57" s="111">
        <v>1</v>
      </c>
      <c r="H57" s="112">
        <v>250000000</v>
      </c>
      <c r="I57" s="112">
        <f t="shared" ref="I57:I69" si="109">H57*G57</f>
        <v>250000000</v>
      </c>
      <c r="J57" s="110">
        <v>44320</v>
      </c>
      <c r="K57" s="77">
        <f t="shared" ref="K57:K69" si="110">IFERROR(VALUE(DAY(J57)&amp;" "&amp;TEXT(EOMONTH(J57,L57)-29,"mmm")&amp;" "&amp;YEAR(EOMONTH(J57,L57)-29)),"-")</f>
        <v>45781</v>
      </c>
      <c r="L57" s="107">
        <v>48</v>
      </c>
      <c r="M57" s="169">
        <v>11.38</v>
      </c>
      <c r="N57" s="81">
        <f t="shared" si="104"/>
        <v>2845000</v>
      </c>
      <c r="O57" s="81"/>
      <c r="P57" s="81"/>
      <c r="Q57" s="81">
        <f t="shared" si="105"/>
        <v>2845000</v>
      </c>
      <c r="R57" s="81">
        <f t="shared" si="106"/>
        <v>284500</v>
      </c>
      <c r="S57" s="81">
        <f t="shared" si="107"/>
        <v>2560500</v>
      </c>
      <c r="T57" s="42">
        <f t="shared" si="108"/>
        <v>338978.72340425535</v>
      </c>
      <c r="U57" s="42">
        <f t="shared" si="92"/>
        <v>653744.68085106381</v>
      </c>
      <c r="V57" s="108">
        <f t="shared" si="93"/>
        <v>1852276.5957446811</v>
      </c>
      <c r="W57" s="2">
        <f t="shared" si="94"/>
        <v>2845000</v>
      </c>
      <c r="X57" s="2">
        <f t="shared" si="95"/>
        <v>0</v>
      </c>
      <c r="Y57" s="2">
        <v>54478.723404255317</v>
      </c>
      <c r="Z57" s="109">
        <f t="shared" si="96"/>
        <v>53319.601629696699</v>
      </c>
    </row>
    <row r="58" spans="1:26" ht="12.75" x14ac:dyDescent="0.2">
      <c r="A58" s="166"/>
      <c r="B58" s="166"/>
      <c r="C58" s="166"/>
      <c r="D58" s="167"/>
      <c r="E58" s="154">
        <v>1</v>
      </c>
      <c r="F58" s="155" t="s">
        <v>134</v>
      </c>
      <c r="G58" s="111">
        <v>1</v>
      </c>
      <c r="H58" s="112">
        <v>315000000</v>
      </c>
      <c r="I58" s="112">
        <f t="shared" si="109"/>
        <v>315000000</v>
      </c>
      <c r="J58" s="110">
        <v>44319</v>
      </c>
      <c r="K58" s="77">
        <f t="shared" si="110"/>
        <v>49798</v>
      </c>
      <c r="L58" s="107">
        <v>180</v>
      </c>
      <c r="M58" s="169">
        <v>37.520000000000003</v>
      </c>
      <c r="N58" s="81">
        <f t="shared" si="104"/>
        <v>11818800.000000002</v>
      </c>
      <c r="O58" s="81"/>
      <c r="P58" s="81"/>
      <c r="Q58" s="81">
        <f t="shared" si="105"/>
        <v>11818800.000000002</v>
      </c>
      <c r="R58" s="81">
        <f t="shared" si="106"/>
        <v>1181880.0000000002</v>
      </c>
      <c r="S58" s="81">
        <f t="shared" si="107"/>
        <v>10636920.000000002</v>
      </c>
      <c r="T58" s="42">
        <f t="shared" si="108"/>
        <v>1241304.1340782125</v>
      </c>
      <c r="U58" s="42">
        <f t="shared" si="92"/>
        <v>713089.60893854755</v>
      </c>
      <c r="V58" s="108">
        <f t="shared" si="93"/>
        <v>9864406.2569832429</v>
      </c>
      <c r="W58" s="2">
        <f t="shared" si="94"/>
        <v>11818800.000000004</v>
      </c>
      <c r="X58" s="2">
        <f t="shared" si="95"/>
        <v>0</v>
      </c>
      <c r="Y58" s="2">
        <v>59424.134078212301</v>
      </c>
      <c r="Z58" s="109">
        <f t="shared" si="96"/>
        <v>59092.155675540722</v>
      </c>
    </row>
    <row r="59" spans="1:26" ht="12.75" x14ac:dyDescent="0.2">
      <c r="A59" s="168"/>
      <c r="B59" s="168"/>
      <c r="C59" s="168"/>
      <c r="D59" s="107"/>
      <c r="E59" s="154">
        <v>1</v>
      </c>
      <c r="F59" s="155" t="s">
        <v>135</v>
      </c>
      <c r="G59" s="111">
        <v>1</v>
      </c>
      <c r="H59" s="112">
        <v>315000000</v>
      </c>
      <c r="I59" s="112">
        <f t="shared" si="109"/>
        <v>315000000</v>
      </c>
      <c r="J59" s="110">
        <v>44320</v>
      </c>
      <c r="K59" s="77">
        <f t="shared" si="110"/>
        <v>49799</v>
      </c>
      <c r="L59" s="107">
        <v>180</v>
      </c>
      <c r="M59" s="169">
        <v>37.520000000000003</v>
      </c>
      <c r="N59" s="81">
        <f t="shared" si="104"/>
        <v>11818800.000000002</v>
      </c>
      <c r="O59" s="81"/>
      <c r="P59" s="81"/>
      <c r="Q59" s="81">
        <f t="shared" si="105"/>
        <v>11818800.000000002</v>
      </c>
      <c r="R59" s="81">
        <f t="shared" si="106"/>
        <v>1181880.0000000002</v>
      </c>
      <c r="S59" s="81">
        <f t="shared" si="107"/>
        <v>10636920.000000002</v>
      </c>
      <c r="T59" s="42">
        <f t="shared" si="108"/>
        <v>1241304.1340782125</v>
      </c>
      <c r="U59" s="42">
        <f t="shared" si="92"/>
        <v>713089.60893854755</v>
      </c>
      <c r="V59" s="108">
        <f t="shared" si="93"/>
        <v>9864406.2569832429</v>
      </c>
      <c r="W59" s="2">
        <f t="shared" si="94"/>
        <v>11818800.000000004</v>
      </c>
      <c r="X59" s="2">
        <f t="shared" si="95"/>
        <v>0</v>
      </c>
      <c r="Y59" s="2">
        <v>59424.134078212301</v>
      </c>
      <c r="Z59" s="109">
        <f t="shared" si="96"/>
        <v>59092.155675540722</v>
      </c>
    </row>
    <row r="60" spans="1:26" ht="12.75" x14ac:dyDescent="0.2">
      <c r="A60" s="168"/>
      <c r="B60" s="168"/>
      <c r="C60" s="168"/>
      <c r="D60" s="107"/>
      <c r="E60" s="154">
        <v>1</v>
      </c>
      <c r="F60" s="155" t="s">
        <v>136</v>
      </c>
      <c r="G60" s="111">
        <v>1</v>
      </c>
      <c r="H60" s="112">
        <v>250000000</v>
      </c>
      <c r="I60" s="112">
        <f t="shared" si="109"/>
        <v>250000000</v>
      </c>
      <c r="J60" s="110">
        <v>44320</v>
      </c>
      <c r="K60" s="77">
        <f t="shared" si="110"/>
        <v>47972</v>
      </c>
      <c r="L60" s="107">
        <v>120</v>
      </c>
      <c r="M60" s="169">
        <v>25.48</v>
      </c>
      <c r="N60" s="81">
        <f t="shared" si="104"/>
        <v>6370000</v>
      </c>
      <c r="O60" s="81"/>
      <c r="P60" s="81"/>
      <c r="Q60" s="81">
        <f t="shared" si="105"/>
        <v>6370000</v>
      </c>
      <c r="R60" s="81">
        <f t="shared" si="106"/>
        <v>637000</v>
      </c>
      <c r="S60" s="81">
        <f t="shared" si="107"/>
        <v>5733000</v>
      </c>
      <c r="T60" s="42">
        <f t="shared" si="108"/>
        <v>685176.4705882353</v>
      </c>
      <c r="U60" s="42">
        <f t="shared" si="92"/>
        <v>578117.6470588235</v>
      </c>
      <c r="V60" s="108">
        <f t="shared" si="93"/>
        <v>5106705.8823529417</v>
      </c>
      <c r="W60" s="2">
        <f t="shared" si="94"/>
        <v>6370000</v>
      </c>
      <c r="X60" s="2">
        <f t="shared" si="95"/>
        <v>0</v>
      </c>
      <c r="Y60" s="2">
        <v>48176.470588235294</v>
      </c>
      <c r="Z60" s="109">
        <f t="shared" si="96"/>
        <v>47771.626297577859</v>
      </c>
    </row>
    <row r="61" spans="1:26" ht="12.75" x14ac:dyDescent="0.2">
      <c r="A61" s="168"/>
      <c r="B61" s="168"/>
      <c r="C61" s="168"/>
      <c r="D61" s="107"/>
      <c r="E61" s="154">
        <v>1</v>
      </c>
      <c r="F61" s="155" t="s">
        <v>137</v>
      </c>
      <c r="G61" s="111">
        <v>1</v>
      </c>
      <c r="H61" s="112">
        <v>450000000</v>
      </c>
      <c r="I61" s="112">
        <f t="shared" si="109"/>
        <v>450000000</v>
      </c>
      <c r="J61" s="110">
        <v>44320</v>
      </c>
      <c r="K61" s="77">
        <f t="shared" si="110"/>
        <v>49799</v>
      </c>
      <c r="L61" s="107">
        <v>180</v>
      </c>
      <c r="M61" s="169">
        <v>37.520000000000003</v>
      </c>
      <c r="N61" s="81">
        <f t="shared" si="104"/>
        <v>16884000.000000004</v>
      </c>
      <c r="O61" s="81"/>
      <c r="P61" s="81"/>
      <c r="Q61" s="81">
        <f t="shared" si="105"/>
        <v>16884000.000000004</v>
      </c>
      <c r="R61" s="81">
        <f t="shared" si="106"/>
        <v>1688400.0000000005</v>
      </c>
      <c r="S61" s="81">
        <f t="shared" si="107"/>
        <v>15195600.000000004</v>
      </c>
      <c r="T61" s="42">
        <f t="shared" si="108"/>
        <v>1773291.6201117323</v>
      </c>
      <c r="U61" s="42">
        <f t="shared" si="92"/>
        <v>1018699.4413407824</v>
      </c>
      <c r="V61" s="108">
        <f t="shared" si="93"/>
        <v>14092008.93854749</v>
      </c>
      <c r="W61" s="2">
        <f t="shared" si="94"/>
        <v>16884000.000000004</v>
      </c>
      <c r="X61" s="2">
        <f t="shared" si="95"/>
        <v>0</v>
      </c>
      <c r="Y61" s="2">
        <v>84891.620111731871</v>
      </c>
      <c r="Z61" s="109">
        <f t="shared" si="96"/>
        <v>84417.365250772462</v>
      </c>
    </row>
    <row r="62" spans="1:26" ht="12.75" x14ac:dyDescent="0.2">
      <c r="A62" s="168"/>
      <c r="B62" s="168"/>
      <c r="C62" s="168"/>
      <c r="D62" s="107"/>
      <c r="E62" s="154">
        <v>1</v>
      </c>
      <c r="F62" s="155" t="s">
        <v>138</v>
      </c>
      <c r="G62" s="111">
        <v>1</v>
      </c>
      <c r="H62" s="112">
        <v>340000000</v>
      </c>
      <c r="I62" s="112">
        <f t="shared" si="109"/>
        <v>340000000</v>
      </c>
      <c r="J62" s="110">
        <v>44320</v>
      </c>
      <c r="K62" s="77">
        <f t="shared" si="110"/>
        <v>49799</v>
      </c>
      <c r="L62" s="107">
        <v>180</v>
      </c>
      <c r="M62" s="169">
        <v>37.520000000000003</v>
      </c>
      <c r="N62" s="81">
        <f t="shared" si="104"/>
        <v>12756800.000000002</v>
      </c>
      <c r="O62" s="81"/>
      <c r="P62" s="81"/>
      <c r="Q62" s="81">
        <f t="shared" si="105"/>
        <v>12756800.000000002</v>
      </c>
      <c r="R62" s="81">
        <f t="shared" si="106"/>
        <v>1275680.0000000002</v>
      </c>
      <c r="S62" s="81">
        <f t="shared" si="107"/>
        <v>11481120.000000002</v>
      </c>
      <c r="T62" s="42">
        <f t="shared" si="108"/>
        <v>1339820.3351955309</v>
      </c>
      <c r="U62" s="42">
        <f t="shared" si="92"/>
        <v>769684.02234636887</v>
      </c>
      <c r="V62" s="108">
        <f t="shared" si="93"/>
        <v>10647295.642458104</v>
      </c>
      <c r="W62" s="2">
        <f t="shared" si="94"/>
        <v>12756800.000000004</v>
      </c>
      <c r="X62" s="2">
        <f t="shared" si="95"/>
        <v>0</v>
      </c>
      <c r="Y62" s="2">
        <v>64140.335195530737</v>
      </c>
      <c r="Z62" s="109">
        <f t="shared" si="96"/>
        <v>63782.009300583639</v>
      </c>
    </row>
    <row r="63" spans="1:26" ht="12.75" x14ac:dyDescent="0.2">
      <c r="A63" s="168"/>
      <c r="B63" s="168"/>
      <c r="C63" s="168"/>
      <c r="D63" s="107"/>
      <c r="E63" s="154">
        <v>1</v>
      </c>
      <c r="F63" s="155" t="s">
        <v>139</v>
      </c>
      <c r="G63" s="111">
        <v>1</v>
      </c>
      <c r="H63" s="112">
        <v>30000000</v>
      </c>
      <c r="I63" s="112">
        <f t="shared" si="109"/>
        <v>30000000</v>
      </c>
      <c r="J63" s="110">
        <v>44321</v>
      </c>
      <c r="K63" s="77">
        <f t="shared" si="110"/>
        <v>45417</v>
      </c>
      <c r="L63" s="107">
        <v>36</v>
      </c>
      <c r="M63" s="169">
        <v>17.88</v>
      </c>
      <c r="N63" s="81">
        <f t="shared" si="104"/>
        <v>536399.99999999988</v>
      </c>
      <c r="O63" s="81"/>
      <c r="P63" s="81"/>
      <c r="Q63" s="81">
        <f t="shared" si="105"/>
        <v>536399.99999999988</v>
      </c>
      <c r="R63" s="81">
        <f t="shared" si="106"/>
        <v>53639.999999999993</v>
      </c>
      <c r="S63" s="81">
        <f t="shared" si="107"/>
        <v>482759.99999999988</v>
      </c>
      <c r="T63" s="42">
        <f t="shared" si="108"/>
        <v>67433.142857142841</v>
      </c>
      <c r="U63" s="42">
        <f t="shared" si="92"/>
        <v>165517.71428571423</v>
      </c>
      <c r="V63" s="108">
        <f t="shared" si="93"/>
        <v>303449.14285714284</v>
      </c>
      <c r="W63" s="2">
        <f t="shared" si="94"/>
        <v>536399.99999999988</v>
      </c>
      <c r="X63" s="2">
        <f t="shared" si="95"/>
        <v>0</v>
      </c>
      <c r="Y63" s="2">
        <v>13793.142857142853</v>
      </c>
      <c r="Z63" s="109">
        <f t="shared" si="96"/>
        <v>13399.053061224487</v>
      </c>
    </row>
    <row r="64" spans="1:26" ht="12.75" x14ac:dyDescent="0.2">
      <c r="A64" s="168"/>
      <c r="B64" s="168"/>
      <c r="C64" s="168"/>
      <c r="D64" s="107"/>
      <c r="E64" s="154">
        <v>1</v>
      </c>
      <c r="F64" s="155" t="s">
        <v>140</v>
      </c>
      <c r="G64" s="111">
        <v>1</v>
      </c>
      <c r="H64" s="112">
        <v>170000000</v>
      </c>
      <c r="I64" s="112">
        <f t="shared" si="109"/>
        <v>170000000</v>
      </c>
      <c r="J64" s="110">
        <v>44321</v>
      </c>
      <c r="K64" s="77">
        <f t="shared" si="110"/>
        <v>49800</v>
      </c>
      <c r="L64" s="107">
        <v>180</v>
      </c>
      <c r="M64" s="169">
        <v>37.520000000000003</v>
      </c>
      <c r="N64" s="81">
        <f t="shared" si="104"/>
        <v>6378400.0000000009</v>
      </c>
      <c r="O64" s="81"/>
      <c r="P64" s="81"/>
      <c r="Q64" s="81">
        <f t="shared" si="105"/>
        <v>6378400.0000000009</v>
      </c>
      <c r="R64" s="81">
        <f t="shared" si="106"/>
        <v>637840.00000000012</v>
      </c>
      <c r="S64" s="81">
        <f t="shared" si="107"/>
        <v>5740560.0000000009</v>
      </c>
      <c r="T64" s="42">
        <f t="shared" si="108"/>
        <v>669910.16759776545</v>
      </c>
      <c r="U64" s="42">
        <f t="shared" si="92"/>
        <v>384842.01117318444</v>
      </c>
      <c r="V64" s="108">
        <f t="shared" si="93"/>
        <v>5323647.8212290518</v>
      </c>
      <c r="W64" s="2">
        <f t="shared" si="94"/>
        <v>6378400.0000000019</v>
      </c>
      <c r="X64" s="2">
        <f t="shared" si="95"/>
        <v>0</v>
      </c>
      <c r="Y64" s="2">
        <v>32070.167597765369</v>
      </c>
      <c r="Z64" s="109">
        <f t="shared" si="96"/>
        <v>31891.004650291819</v>
      </c>
    </row>
    <row r="65" spans="1:27" ht="12.75" x14ac:dyDescent="0.2">
      <c r="A65" s="168"/>
      <c r="B65" s="168"/>
      <c r="C65" s="168"/>
      <c r="D65" s="107"/>
      <c r="E65" s="154">
        <v>1</v>
      </c>
      <c r="F65" s="155" t="s">
        <v>141</v>
      </c>
      <c r="G65" s="111">
        <v>1</v>
      </c>
      <c r="H65" s="112">
        <v>40000000</v>
      </c>
      <c r="I65" s="112">
        <f t="shared" si="109"/>
        <v>40000000</v>
      </c>
      <c r="J65" s="110">
        <v>44322</v>
      </c>
      <c r="K65" s="77">
        <f t="shared" si="110"/>
        <v>45418</v>
      </c>
      <c r="L65" s="107">
        <v>36</v>
      </c>
      <c r="M65" s="169">
        <v>9.1</v>
      </c>
      <c r="N65" s="81">
        <f t="shared" si="104"/>
        <v>364000</v>
      </c>
      <c r="O65" s="81"/>
      <c r="P65" s="81"/>
      <c r="Q65" s="81">
        <f t="shared" si="105"/>
        <v>364000</v>
      </c>
      <c r="R65" s="81">
        <f t="shared" si="106"/>
        <v>36400</v>
      </c>
      <c r="S65" s="81">
        <f t="shared" si="107"/>
        <v>327600</v>
      </c>
      <c r="T65" s="42">
        <f t="shared" si="108"/>
        <v>45760</v>
      </c>
      <c r="U65" s="42">
        <f t="shared" si="92"/>
        <v>112320</v>
      </c>
      <c r="V65" s="108">
        <f t="shared" si="93"/>
        <v>205920</v>
      </c>
      <c r="W65" s="2">
        <f t="shared" si="94"/>
        <v>364000</v>
      </c>
      <c r="X65" s="2">
        <f t="shared" si="95"/>
        <v>0</v>
      </c>
      <c r="Y65" s="2">
        <v>9360</v>
      </c>
      <c r="Z65" s="109">
        <f t="shared" si="96"/>
        <v>9092.5714285714294</v>
      </c>
    </row>
    <row r="66" spans="1:27" ht="12.75" x14ac:dyDescent="0.2">
      <c r="A66" s="168"/>
      <c r="B66" s="168"/>
      <c r="C66" s="168"/>
      <c r="D66" s="107"/>
      <c r="E66" s="154">
        <v>1</v>
      </c>
      <c r="F66" s="155" t="s">
        <v>142</v>
      </c>
      <c r="G66" s="111">
        <v>1</v>
      </c>
      <c r="H66" s="112">
        <v>440000000</v>
      </c>
      <c r="I66" s="112">
        <f t="shared" si="109"/>
        <v>440000000</v>
      </c>
      <c r="J66" s="110">
        <v>44323</v>
      </c>
      <c r="K66" s="77">
        <f t="shared" si="110"/>
        <v>49802</v>
      </c>
      <c r="L66" s="107">
        <v>180</v>
      </c>
      <c r="M66" s="169">
        <v>37.520000000000003</v>
      </c>
      <c r="N66" s="81">
        <f t="shared" si="104"/>
        <v>16508800.000000002</v>
      </c>
      <c r="O66" s="81"/>
      <c r="P66" s="81"/>
      <c r="Q66" s="81">
        <f t="shared" si="105"/>
        <v>16508800.000000002</v>
      </c>
      <c r="R66" s="81">
        <f t="shared" si="106"/>
        <v>1650880.0000000002</v>
      </c>
      <c r="S66" s="81">
        <f t="shared" si="107"/>
        <v>14857920.000000002</v>
      </c>
      <c r="T66" s="42">
        <f t="shared" si="108"/>
        <v>1733885.1396648048</v>
      </c>
      <c r="U66" s="42">
        <f t="shared" si="92"/>
        <v>996061.67597765371</v>
      </c>
      <c r="V66" s="108">
        <f t="shared" si="93"/>
        <v>13778853.184357544</v>
      </c>
      <c r="W66" s="2">
        <f t="shared" si="94"/>
        <v>16508800.000000004</v>
      </c>
      <c r="X66" s="2">
        <f t="shared" si="95"/>
        <v>0</v>
      </c>
      <c r="Y66" s="2">
        <v>83005.139664804476</v>
      </c>
      <c r="Z66" s="109">
        <f t="shared" si="96"/>
        <v>82541.423800755292</v>
      </c>
    </row>
    <row r="67" spans="1:27" ht="12.75" x14ac:dyDescent="0.2">
      <c r="A67" s="168"/>
      <c r="B67" s="168"/>
      <c r="C67" s="168"/>
      <c r="D67" s="107"/>
      <c r="E67" s="154">
        <v>1</v>
      </c>
      <c r="F67" s="155" t="s">
        <v>144</v>
      </c>
      <c r="G67" s="111">
        <v>1</v>
      </c>
      <c r="H67" s="112">
        <v>30000000</v>
      </c>
      <c r="I67" s="112">
        <f t="shared" si="109"/>
        <v>30000000</v>
      </c>
      <c r="J67" s="110">
        <v>44323</v>
      </c>
      <c r="K67" s="77">
        <f t="shared" si="110"/>
        <v>45053</v>
      </c>
      <c r="L67" s="107">
        <v>24</v>
      </c>
      <c r="M67" s="169">
        <v>9.1</v>
      </c>
      <c r="N67" s="81">
        <f t="shared" si="104"/>
        <v>273000</v>
      </c>
      <c r="O67" s="81"/>
      <c r="P67" s="81"/>
      <c r="Q67" s="81">
        <f t="shared" si="105"/>
        <v>273000</v>
      </c>
      <c r="R67" s="81">
        <f t="shared" si="106"/>
        <v>27300</v>
      </c>
      <c r="S67" s="81">
        <f t="shared" si="107"/>
        <v>245700</v>
      </c>
      <c r="T67" s="42">
        <f t="shared" si="108"/>
        <v>37982.608695652176</v>
      </c>
      <c r="U67" s="42">
        <f t="shared" si="92"/>
        <v>128191.30434782608</v>
      </c>
      <c r="V67" s="108">
        <f t="shared" si="93"/>
        <v>106826.08695652176</v>
      </c>
      <c r="W67" s="2">
        <f t="shared" si="94"/>
        <v>273000</v>
      </c>
      <c r="X67" s="2">
        <f t="shared" si="95"/>
        <v>0</v>
      </c>
      <c r="Y67" s="2">
        <v>10682.608695652174</v>
      </c>
      <c r="Z67" s="109">
        <f t="shared" si="96"/>
        <v>10218.147448015123</v>
      </c>
    </row>
    <row r="68" spans="1:27" ht="12.75" x14ac:dyDescent="0.2">
      <c r="A68" s="168"/>
      <c r="B68" s="168"/>
      <c r="C68" s="168"/>
      <c r="D68" s="107"/>
      <c r="E68" s="154">
        <v>1</v>
      </c>
      <c r="F68" s="155" t="s">
        <v>143</v>
      </c>
      <c r="G68" s="111">
        <v>1</v>
      </c>
      <c r="H68" s="112">
        <v>200000000</v>
      </c>
      <c r="I68" s="112">
        <f t="shared" si="109"/>
        <v>200000000</v>
      </c>
      <c r="J68" s="110">
        <v>44326</v>
      </c>
      <c r="K68" s="77">
        <f t="shared" si="110"/>
        <v>47978</v>
      </c>
      <c r="L68" s="107">
        <v>120</v>
      </c>
      <c r="M68" s="169">
        <v>25.48</v>
      </c>
      <c r="N68" s="81">
        <f t="shared" si="104"/>
        <v>5096000</v>
      </c>
      <c r="O68" s="81"/>
      <c r="P68" s="81"/>
      <c r="Q68" s="81">
        <f t="shared" si="105"/>
        <v>5096000</v>
      </c>
      <c r="R68" s="81">
        <f t="shared" si="106"/>
        <v>509600</v>
      </c>
      <c r="S68" s="81">
        <f t="shared" si="107"/>
        <v>4586400</v>
      </c>
      <c r="T68" s="42">
        <f t="shared" si="108"/>
        <v>548141.17647058819</v>
      </c>
      <c r="U68" s="42">
        <f t="shared" si="92"/>
        <v>462494.11764705885</v>
      </c>
      <c r="V68" s="108">
        <f t="shared" si="93"/>
        <v>4085364.7058823532</v>
      </c>
      <c r="W68" s="2">
        <f t="shared" si="94"/>
        <v>5096000</v>
      </c>
      <c r="X68" s="2">
        <f t="shared" si="95"/>
        <v>0</v>
      </c>
      <c r="Y68" s="2">
        <v>38541.176470588238</v>
      </c>
      <c r="Z68" s="109">
        <f t="shared" si="96"/>
        <v>38217.301038062287</v>
      </c>
    </row>
    <row r="69" spans="1:27" ht="12.75" x14ac:dyDescent="0.2">
      <c r="A69" s="168"/>
      <c r="B69" s="168"/>
      <c r="C69" s="168"/>
      <c r="D69" s="107"/>
      <c r="E69" s="154">
        <v>1</v>
      </c>
      <c r="F69" s="155" t="s">
        <v>145</v>
      </c>
      <c r="G69" s="111">
        <v>1</v>
      </c>
      <c r="H69" s="112">
        <v>265000000</v>
      </c>
      <c r="I69" s="112">
        <f t="shared" si="109"/>
        <v>265000000</v>
      </c>
      <c r="J69" s="110">
        <v>44326</v>
      </c>
      <c r="K69" s="77">
        <f t="shared" si="110"/>
        <v>48497</v>
      </c>
      <c r="L69" s="107">
        <v>137</v>
      </c>
      <c r="M69" s="169">
        <v>30.46</v>
      </c>
      <c r="N69" s="81">
        <f t="shared" si="104"/>
        <v>8071900</v>
      </c>
      <c r="O69" s="81"/>
      <c r="P69" s="81"/>
      <c r="Q69" s="81">
        <f t="shared" si="105"/>
        <v>8071900</v>
      </c>
      <c r="R69" s="81">
        <f t="shared" si="106"/>
        <v>807190</v>
      </c>
      <c r="S69" s="81">
        <f t="shared" si="107"/>
        <v>7264710</v>
      </c>
      <c r="T69" s="42">
        <f t="shared" si="108"/>
        <v>860606.98529411759</v>
      </c>
      <c r="U69" s="42">
        <f t="shared" si="92"/>
        <v>641003.82352941181</v>
      </c>
      <c r="V69" s="108">
        <f t="shared" si="93"/>
        <v>6570289.1911764704</v>
      </c>
      <c r="W69" s="2">
        <f t="shared" si="94"/>
        <v>8071900</v>
      </c>
      <c r="X69" s="2">
        <f t="shared" si="95"/>
        <v>0</v>
      </c>
      <c r="Y69" s="2">
        <v>53416.98529411765</v>
      </c>
      <c r="Z69" s="109">
        <f t="shared" si="96"/>
        <v>53024.213343425603</v>
      </c>
    </row>
    <row r="70" spans="1:27" x14ac:dyDescent="0.2">
      <c r="A70" s="83"/>
      <c r="B70" s="83"/>
      <c r="C70" s="83"/>
      <c r="D70" s="84"/>
      <c r="E70" s="93">
        <f>SUM(E56:E69)</f>
        <v>14</v>
      </c>
      <c r="F70" s="83"/>
      <c r="G70" s="83"/>
      <c r="H70" s="92">
        <f>SUM(H56:H69)</f>
        <v>3265000000</v>
      </c>
      <c r="I70" s="92">
        <f t="shared" ref="I70:Z70" si="111">SUM(I56:I69)</f>
        <v>3265000000</v>
      </c>
      <c r="J70" s="92"/>
      <c r="K70" s="92"/>
      <c r="L70" s="92"/>
      <c r="M70" s="92"/>
      <c r="N70" s="92">
        <f t="shared" si="111"/>
        <v>102042400</v>
      </c>
      <c r="O70" s="92">
        <f t="shared" si="111"/>
        <v>0</v>
      </c>
      <c r="P70" s="92">
        <f t="shared" si="111"/>
        <v>0</v>
      </c>
      <c r="Q70" s="92">
        <f t="shared" si="111"/>
        <v>102042400</v>
      </c>
      <c r="R70" s="92">
        <f t="shared" si="111"/>
        <v>10204240.000000002</v>
      </c>
      <c r="S70" s="92">
        <f t="shared" si="111"/>
        <v>91838160.000000015</v>
      </c>
      <c r="T70" s="92">
        <f t="shared" si="111"/>
        <v>10851042.095663369</v>
      </c>
      <c r="U70" s="92">
        <f t="shared" si="111"/>
        <v>7761625.1479604077</v>
      </c>
      <c r="V70" s="92">
        <f t="shared" si="111"/>
        <v>83429732.756376237</v>
      </c>
      <c r="W70" s="92">
        <f t="shared" si="111"/>
        <v>102042400.00000001</v>
      </c>
      <c r="X70" s="92">
        <f t="shared" si="111"/>
        <v>0</v>
      </c>
      <c r="Y70" s="92">
        <f t="shared" si="111"/>
        <v>646802.0956633673</v>
      </c>
      <c r="Z70" s="92">
        <f t="shared" si="111"/>
        <v>640656.12931824266</v>
      </c>
    </row>
    <row r="71" spans="1:27" x14ac:dyDescent="0.2">
      <c r="A71" s="74">
        <v>15</v>
      </c>
      <c r="B71" s="107" t="s">
        <v>49</v>
      </c>
      <c r="C71" s="107" t="s">
        <v>156</v>
      </c>
      <c r="D71" s="110">
        <v>44347</v>
      </c>
      <c r="E71" s="74">
        <v>1</v>
      </c>
      <c r="F71" s="107" t="s">
        <v>157</v>
      </c>
      <c r="G71" s="111">
        <v>1</v>
      </c>
      <c r="H71" s="112">
        <v>250000000</v>
      </c>
      <c r="I71" s="112">
        <f>H71*G71</f>
        <v>250000000</v>
      </c>
      <c r="J71" s="110">
        <v>44320</v>
      </c>
      <c r="K71" s="77">
        <f>IFERROR(VALUE(DAY(J71)&amp;" "&amp;TEXT(EOMONTH(J71,L71)-29,"mmm")&amp;" "&amp;YEAR(EOMONTH(J71,L71)-29)),"-")</f>
        <v>48338</v>
      </c>
      <c r="L71" s="107">
        <v>132</v>
      </c>
      <c r="M71" s="99">
        <v>27.98</v>
      </c>
      <c r="N71" s="81">
        <f t="shared" ref="N71:N72" si="112">M71*H71/1000</f>
        <v>6995000</v>
      </c>
      <c r="O71" s="81"/>
      <c r="P71" s="81"/>
      <c r="Q71" s="81">
        <f t="shared" ref="Q71:Q72" si="113">N71+O71+P71</f>
        <v>6995000</v>
      </c>
      <c r="R71" s="81">
        <f t="shared" ref="R71:R72" si="114">10%*N71</f>
        <v>699500</v>
      </c>
      <c r="S71" s="81">
        <f t="shared" ref="S71:S72" si="115">Q71-R71</f>
        <v>6295500</v>
      </c>
      <c r="T71" s="42">
        <f t="shared" ref="T71:T72" si="116">Q71*10%+Y71</f>
        <v>747557.25190839695</v>
      </c>
      <c r="U71" s="42">
        <f t="shared" ref="U71:U72" si="117">Y71*12</f>
        <v>576687.02290076332</v>
      </c>
      <c r="V71" s="108">
        <f t="shared" ref="V71:V72" si="118">Q71-T71-U71</f>
        <v>5670755.7251908397</v>
      </c>
      <c r="W71" s="2">
        <f t="shared" ref="W71:W72" si="119">T71+U71+V71</f>
        <v>6995000</v>
      </c>
      <c r="X71" s="2">
        <f t="shared" ref="X71:X72" si="120">Q71-W71</f>
        <v>0</v>
      </c>
      <c r="Y71" s="2">
        <v>48057.251908396946</v>
      </c>
      <c r="Z71" s="109">
        <f t="shared" ref="Z71:Z72" si="121">(Q71-T71)/(L71-1)</f>
        <v>47690.402657187806</v>
      </c>
    </row>
    <row r="72" spans="1:27" x14ac:dyDescent="0.2">
      <c r="A72" s="74"/>
      <c r="B72" s="107"/>
      <c r="C72" s="107"/>
      <c r="D72" s="110"/>
      <c r="E72" s="74">
        <v>1</v>
      </c>
      <c r="F72" s="107" t="s">
        <v>158</v>
      </c>
      <c r="G72" s="111">
        <v>1</v>
      </c>
      <c r="H72" s="112">
        <v>60000000</v>
      </c>
      <c r="I72" s="112">
        <f>H72*G72</f>
        <v>60000000</v>
      </c>
      <c r="J72" s="110">
        <v>44320</v>
      </c>
      <c r="K72" s="77">
        <f>IFERROR(VALUE(DAY(J72)&amp;" "&amp;TEXT(EOMONTH(J72,L72)-29,"mmm")&amp;" "&amp;YEAR(EOMONTH(J72,L72)-29)),"-")</f>
        <v>46146</v>
      </c>
      <c r="L72" s="107">
        <v>60</v>
      </c>
      <c r="M72" s="99">
        <v>13.65</v>
      </c>
      <c r="N72" s="81">
        <f t="shared" si="112"/>
        <v>819000</v>
      </c>
      <c r="O72" s="81"/>
      <c r="P72" s="81"/>
      <c r="Q72" s="81">
        <f t="shared" si="113"/>
        <v>819000</v>
      </c>
      <c r="R72" s="81">
        <f t="shared" si="114"/>
        <v>81900</v>
      </c>
      <c r="S72" s="81">
        <f t="shared" si="115"/>
        <v>737100</v>
      </c>
      <c r="T72" s="42">
        <f t="shared" si="116"/>
        <v>94393.220338983054</v>
      </c>
      <c r="U72" s="42">
        <f t="shared" si="117"/>
        <v>149918.64406779659</v>
      </c>
      <c r="V72" s="108">
        <f t="shared" si="118"/>
        <v>574688.13559322036</v>
      </c>
      <c r="W72" s="2">
        <f t="shared" si="119"/>
        <v>819000</v>
      </c>
      <c r="X72" s="2">
        <f t="shared" si="120"/>
        <v>0</v>
      </c>
      <c r="Y72" s="2">
        <v>12493.22033898305</v>
      </c>
      <c r="Z72" s="109">
        <f t="shared" si="121"/>
        <v>12281.470841712153</v>
      </c>
    </row>
    <row r="73" spans="1:27" s="94" customFormat="1" x14ac:dyDescent="0.2">
      <c r="A73" s="88"/>
      <c r="B73" s="84"/>
      <c r="C73" s="84"/>
      <c r="D73" s="84"/>
      <c r="E73" s="88">
        <f>SUM(E71:E72)</f>
        <v>2</v>
      </c>
      <c r="F73" s="84"/>
      <c r="G73" s="115"/>
      <c r="H73" s="79">
        <f t="shared" ref="H73:I73" si="122">SUM(H71:H72)</f>
        <v>310000000</v>
      </c>
      <c r="I73" s="79">
        <f t="shared" si="122"/>
        <v>310000000</v>
      </c>
      <c r="J73" s="59"/>
      <c r="K73" s="59"/>
      <c r="L73" s="59"/>
      <c r="M73" s="59"/>
      <c r="N73" s="79">
        <f t="shared" ref="N73:Z73" si="123">SUM(N71:N72)</f>
        <v>7814000</v>
      </c>
      <c r="O73" s="79">
        <f t="shared" si="123"/>
        <v>0</v>
      </c>
      <c r="P73" s="79">
        <f t="shared" si="123"/>
        <v>0</v>
      </c>
      <c r="Q73" s="79">
        <f t="shared" si="123"/>
        <v>7814000</v>
      </c>
      <c r="R73" s="79">
        <f t="shared" si="123"/>
        <v>781400</v>
      </c>
      <c r="S73" s="79">
        <f t="shared" si="123"/>
        <v>7032600</v>
      </c>
      <c r="T73" s="79">
        <f t="shared" si="123"/>
        <v>841950.47224738006</v>
      </c>
      <c r="U73" s="79">
        <f t="shared" si="123"/>
        <v>726605.66696855985</v>
      </c>
      <c r="V73" s="79">
        <f t="shared" si="123"/>
        <v>6245443.8607840603</v>
      </c>
      <c r="W73" s="79">
        <f t="shared" si="123"/>
        <v>7814000</v>
      </c>
      <c r="X73" s="79">
        <f t="shared" si="123"/>
        <v>0</v>
      </c>
      <c r="Y73" s="79">
        <f t="shared" si="123"/>
        <v>60550.472247379992</v>
      </c>
      <c r="Z73" s="79">
        <f t="shared" si="123"/>
        <v>59971.873498899957</v>
      </c>
    </row>
    <row r="74" spans="1:27" x14ac:dyDescent="0.2">
      <c r="A74" s="83"/>
      <c r="B74" s="83"/>
      <c r="C74" s="83" t="s">
        <v>147</v>
      </c>
      <c r="D74" s="84"/>
      <c r="E74" s="87">
        <f>E70+E55+E53+E50+E73</f>
        <v>20</v>
      </c>
      <c r="F74" s="87">
        <f t="shared" ref="F74:Z74" si="124">F70+F55+F53+F50+F73</f>
        <v>0</v>
      </c>
      <c r="G74" s="87">
        <f t="shared" si="124"/>
        <v>0</v>
      </c>
      <c r="H74" s="87">
        <f>H70+H55+H53+H50+H73</f>
        <v>4756450622</v>
      </c>
      <c r="I74" s="87">
        <f t="shared" si="124"/>
        <v>4756450622</v>
      </c>
      <c r="J74" s="87">
        <f t="shared" si="124"/>
        <v>0</v>
      </c>
      <c r="K74" s="87">
        <f t="shared" si="124"/>
        <v>0</v>
      </c>
      <c r="L74" s="87">
        <f t="shared" si="124"/>
        <v>0</v>
      </c>
      <c r="M74" s="87">
        <f t="shared" si="124"/>
        <v>0</v>
      </c>
      <c r="N74" s="87">
        <f t="shared" si="124"/>
        <v>144081307.23106</v>
      </c>
      <c r="O74" s="87">
        <f t="shared" si="124"/>
        <v>0</v>
      </c>
      <c r="P74" s="87">
        <f t="shared" si="124"/>
        <v>0</v>
      </c>
      <c r="Q74" s="87">
        <f t="shared" si="124"/>
        <v>144081307.23106</v>
      </c>
      <c r="R74" s="87">
        <f t="shared" si="124"/>
        <v>14408130.723106002</v>
      </c>
      <c r="S74" s="87">
        <f t="shared" si="124"/>
        <v>129673176.50795402</v>
      </c>
      <c r="T74" s="87">
        <f t="shared" si="124"/>
        <v>16127385.391030058</v>
      </c>
      <c r="U74" s="87">
        <f t="shared" si="124"/>
        <v>20631056.015088685</v>
      </c>
      <c r="V74" s="87">
        <f t="shared" si="124"/>
        <v>107322865.82494126</v>
      </c>
      <c r="W74" s="87">
        <f t="shared" si="124"/>
        <v>144081307.23106003</v>
      </c>
      <c r="X74" s="87">
        <f t="shared" si="124"/>
        <v>0</v>
      </c>
      <c r="Y74" s="87">
        <f t="shared" si="124"/>
        <v>1719254.6679240575</v>
      </c>
      <c r="Z74" s="87">
        <f t="shared" si="124"/>
        <v>1678311.3695502626</v>
      </c>
    </row>
    <row r="75" spans="1:27" s="94" customFormat="1" x14ac:dyDescent="0.2">
      <c r="A75" s="83"/>
      <c r="B75" s="83"/>
      <c r="C75" s="83" t="s">
        <v>148</v>
      </c>
      <c r="D75" s="84"/>
      <c r="E75" s="95">
        <f t="shared" ref="E75:G75" si="125">E74+E44</f>
        <v>29</v>
      </c>
      <c r="F75" s="95">
        <f t="shared" si="125"/>
        <v>0</v>
      </c>
      <c r="G75" s="95">
        <f t="shared" si="125"/>
        <v>0</v>
      </c>
      <c r="H75" s="95">
        <f>H74+H44</f>
        <v>6129450622</v>
      </c>
      <c r="I75" s="95">
        <f t="shared" ref="I75:AA75" si="126">I74+I44</f>
        <v>6129450622</v>
      </c>
      <c r="J75" s="95">
        <f t="shared" si="126"/>
        <v>0</v>
      </c>
      <c r="K75" s="95">
        <f t="shared" si="126"/>
        <v>0</v>
      </c>
      <c r="L75" s="95">
        <f t="shared" si="126"/>
        <v>0</v>
      </c>
      <c r="M75" s="95">
        <f t="shared" si="126"/>
        <v>0</v>
      </c>
      <c r="N75" s="95">
        <f t="shared" si="126"/>
        <v>175057545.86488</v>
      </c>
      <c r="O75" s="95">
        <f t="shared" si="126"/>
        <v>300000</v>
      </c>
      <c r="P75" s="95">
        <f t="shared" si="126"/>
        <v>0</v>
      </c>
      <c r="Q75" s="95">
        <f t="shared" si="126"/>
        <v>191255545.86488</v>
      </c>
      <c r="R75" s="95">
        <f t="shared" si="126"/>
        <v>18995427.723106004</v>
      </c>
      <c r="S75" s="95">
        <f t="shared" si="126"/>
        <v>172260118.141774</v>
      </c>
      <c r="T75" s="95">
        <f t="shared" si="126"/>
        <v>22122051.287115701</v>
      </c>
      <c r="U75" s="95">
        <f t="shared" si="126"/>
        <v>26073440.293723468</v>
      </c>
      <c r="V75" s="95">
        <f t="shared" si="126"/>
        <v>143060054.28404084</v>
      </c>
      <c r="W75" s="95">
        <f t="shared" si="126"/>
        <v>191255545.86488003</v>
      </c>
      <c r="X75" s="95">
        <f t="shared" si="126"/>
        <v>0</v>
      </c>
      <c r="Y75" s="95">
        <f t="shared" si="126"/>
        <v>2197903.7309662588</v>
      </c>
      <c r="Z75" s="95">
        <f t="shared" si="126"/>
        <v>2659310.7369758347</v>
      </c>
      <c r="AA75" s="95">
        <f t="shared" si="126"/>
        <v>0</v>
      </c>
    </row>
    <row r="77" spans="1:27" ht="23.25" x14ac:dyDescent="0.2">
      <c r="A77" s="86" t="s">
        <v>172</v>
      </c>
      <c r="B77" s="62"/>
      <c r="C77" s="62"/>
      <c r="D77" s="57"/>
      <c r="E77" s="63"/>
      <c r="F77" s="64"/>
      <c r="G77" s="139"/>
      <c r="H77" s="66"/>
      <c r="I77" s="66"/>
      <c r="J77" s="67"/>
      <c r="K77" s="67"/>
      <c r="L77" s="68"/>
      <c r="M77" s="68"/>
      <c r="N77" s="69"/>
      <c r="O77" s="69"/>
      <c r="P77" s="69"/>
      <c r="Q77" s="69"/>
      <c r="R77" s="69"/>
      <c r="S77" s="69"/>
      <c r="T77" s="70"/>
      <c r="U77" s="71"/>
      <c r="V77" s="71"/>
    </row>
    <row r="78" spans="1:27" x14ac:dyDescent="0.2">
      <c r="A78" s="231" t="s">
        <v>0</v>
      </c>
      <c r="B78" s="232" t="s">
        <v>1</v>
      </c>
      <c r="C78" s="229" t="s">
        <v>2</v>
      </c>
      <c r="D78" s="233" t="s">
        <v>3</v>
      </c>
      <c r="E78" s="234" t="s">
        <v>4</v>
      </c>
      <c r="F78" s="232" t="s">
        <v>5</v>
      </c>
      <c r="G78" s="237" t="s">
        <v>6</v>
      </c>
      <c r="H78" s="236" t="s">
        <v>7</v>
      </c>
      <c r="I78" s="236" t="s">
        <v>8</v>
      </c>
      <c r="J78" s="227" t="s">
        <v>9</v>
      </c>
      <c r="K78" s="227"/>
      <c r="L78" s="228" t="s">
        <v>10</v>
      </c>
      <c r="M78" s="229" t="s">
        <v>11</v>
      </c>
      <c r="N78" s="230" t="s">
        <v>12</v>
      </c>
      <c r="O78" s="230"/>
      <c r="P78" s="230"/>
      <c r="Q78" s="229" t="s">
        <v>13</v>
      </c>
      <c r="R78" s="229" t="s">
        <v>14</v>
      </c>
      <c r="S78" s="229" t="s">
        <v>15</v>
      </c>
      <c r="T78" s="36">
        <v>2021</v>
      </c>
      <c r="U78" s="37"/>
      <c r="V78" s="38" t="s">
        <v>44</v>
      </c>
    </row>
    <row r="79" spans="1:27" x14ac:dyDescent="0.2">
      <c r="A79" s="231"/>
      <c r="B79" s="232"/>
      <c r="C79" s="229"/>
      <c r="D79" s="233"/>
      <c r="E79" s="234"/>
      <c r="F79" s="232"/>
      <c r="G79" s="237"/>
      <c r="H79" s="236"/>
      <c r="I79" s="236"/>
      <c r="J79" s="227"/>
      <c r="K79" s="227"/>
      <c r="L79" s="228"/>
      <c r="M79" s="229"/>
      <c r="N79" s="180" t="s">
        <v>16</v>
      </c>
      <c r="O79" s="180" t="s">
        <v>17</v>
      </c>
      <c r="P79" s="180" t="s">
        <v>18</v>
      </c>
      <c r="Q79" s="229"/>
      <c r="R79" s="229"/>
      <c r="S79" s="229"/>
      <c r="T79" s="96" t="s">
        <v>173</v>
      </c>
      <c r="U79" s="39" t="s">
        <v>167</v>
      </c>
      <c r="V79" s="40"/>
    </row>
    <row r="80" spans="1:27" ht="12.75" x14ac:dyDescent="0.2">
      <c r="A80" s="154">
        <v>16</v>
      </c>
      <c r="B80" s="155" t="s">
        <v>111</v>
      </c>
      <c r="C80" s="155" t="s">
        <v>160</v>
      </c>
      <c r="D80" s="156">
        <v>44361</v>
      </c>
      <c r="E80" s="154">
        <v>1</v>
      </c>
      <c r="F80" s="155" t="s">
        <v>161</v>
      </c>
      <c r="G80" s="175">
        <v>1</v>
      </c>
      <c r="H80" s="176">
        <v>64397514</v>
      </c>
      <c r="I80" s="176">
        <f>H80*G80</f>
        <v>64397514</v>
      </c>
      <c r="J80" s="156">
        <v>44822</v>
      </c>
      <c r="K80" s="177">
        <v>44990</v>
      </c>
      <c r="L80" s="155">
        <v>6</v>
      </c>
      <c r="M80" s="99">
        <v>5.46</v>
      </c>
      <c r="N80" s="81">
        <f t="shared" ref="N80" si="127">M80*H80/1000</f>
        <v>351610.42644000001</v>
      </c>
      <c r="O80" s="81">
        <v>100000</v>
      </c>
      <c r="P80" s="81"/>
      <c r="Q80" s="81">
        <f t="shared" ref="Q80" si="128">N80+O80+P80</f>
        <v>451610.42644000001</v>
      </c>
      <c r="R80" s="81"/>
      <c r="S80" s="81">
        <f t="shared" ref="S80" si="129">Q80-R80</f>
        <v>451610.42644000001</v>
      </c>
      <c r="T80" s="182">
        <f>Q80/L80</f>
        <v>75268.404406666668</v>
      </c>
      <c r="U80" s="182">
        <f>Q80/L80*5</f>
        <v>376342.02203333331</v>
      </c>
      <c r="V80" s="182">
        <f>Q80-T80-U80</f>
        <v>0</v>
      </c>
    </row>
    <row r="81" spans="1:22" ht="12.75" x14ac:dyDescent="0.2">
      <c r="A81" s="159"/>
      <c r="B81" s="160"/>
      <c r="C81" s="160"/>
      <c r="D81" s="160"/>
      <c r="E81" s="178"/>
      <c r="F81" s="179"/>
      <c r="G81" s="179"/>
      <c r="H81" s="179"/>
      <c r="I81" s="179"/>
      <c r="J81" s="179"/>
      <c r="K81" s="179"/>
      <c r="L81" s="179"/>
      <c r="M81" s="179"/>
      <c r="N81" s="179">
        <f t="shared" ref="N81:V81" si="130">SUM(N80)</f>
        <v>351610.42644000001</v>
      </c>
      <c r="O81" s="179">
        <f t="shared" si="130"/>
        <v>100000</v>
      </c>
      <c r="P81" s="179">
        <f t="shared" si="130"/>
        <v>0</v>
      </c>
      <c r="Q81" s="179">
        <f t="shared" si="130"/>
        <v>451610.42644000001</v>
      </c>
      <c r="R81" s="179">
        <f t="shared" si="130"/>
        <v>0</v>
      </c>
      <c r="S81" s="179">
        <f t="shared" si="130"/>
        <v>451610.42644000001</v>
      </c>
      <c r="T81" s="179">
        <f t="shared" si="130"/>
        <v>75268.404406666668</v>
      </c>
      <c r="U81" s="179">
        <f t="shared" si="130"/>
        <v>376342.02203333331</v>
      </c>
      <c r="V81" s="179">
        <f t="shared" si="130"/>
        <v>0</v>
      </c>
    </row>
    <row r="82" spans="1:22" ht="12.75" x14ac:dyDescent="0.2">
      <c r="A82" s="154">
        <v>17</v>
      </c>
      <c r="B82" s="155" t="s">
        <v>49</v>
      </c>
      <c r="C82" s="155" t="s">
        <v>163</v>
      </c>
      <c r="D82" s="156">
        <v>44377</v>
      </c>
      <c r="E82" s="154">
        <v>1</v>
      </c>
      <c r="F82" s="155" t="s">
        <v>164</v>
      </c>
      <c r="G82" s="175">
        <v>1</v>
      </c>
      <c r="H82" s="176">
        <v>179133550</v>
      </c>
      <c r="I82" s="176">
        <f>H82*G82</f>
        <v>179133550</v>
      </c>
      <c r="J82" s="156">
        <v>44373</v>
      </c>
      <c r="K82" s="177">
        <v>46280</v>
      </c>
      <c r="L82" s="155">
        <v>63</v>
      </c>
      <c r="M82" s="99">
        <v>25.48</v>
      </c>
      <c r="N82" s="81">
        <f t="shared" ref="N82" si="131">M82*H82/1000</f>
        <v>4564322.8540000003</v>
      </c>
      <c r="O82" s="81"/>
      <c r="P82" s="81"/>
      <c r="Q82" s="81">
        <f t="shared" ref="Q82" si="132">N82+O82+P82</f>
        <v>4564322.8540000003</v>
      </c>
      <c r="R82" s="81">
        <f t="shared" ref="R82" si="133">10%*N82</f>
        <v>456432.28540000005</v>
      </c>
      <c r="S82" s="81">
        <f t="shared" ref="S82" si="134">Q82-R82</f>
        <v>4107890.5686000003</v>
      </c>
      <c r="T82" s="182">
        <f>Q82/L82</f>
        <v>72449.569111111123</v>
      </c>
      <c r="U82" s="182">
        <f t="shared" ref="U82" si="135">Q82/L82*12</f>
        <v>869394.82933333353</v>
      </c>
      <c r="V82" s="182">
        <f t="shared" ref="V82" si="136">Q82-T82-U82</f>
        <v>3622478.4555555554</v>
      </c>
    </row>
    <row r="83" spans="1:22" ht="12.75" x14ac:dyDescent="0.2">
      <c r="A83" s="159"/>
      <c r="B83" s="160"/>
      <c r="C83" s="160"/>
      <c r="D83" s="160"/>
      <c r="E83" s="178">
        <f>SUM(E82)</f>
        <v>1</v>
      </c>
      <c r="F83" s="179"/>
      <c r="G83" s="179"/>
      <c r="H83" s="179">
        <f>SUM(H82)</f>
        <v>179133550</v>
      </c>
      <c r="I83" s="179">
        <f>SUM(I82)</f>
        <v>179133550</v>
      </c>
      <c r="J83" s="179"/>
      <c r="K83" s="179"/>
      <c r="L83" s="179"/>
      <c r="M83" s="179"/>
      <c r="N83" s="179">
        <f t="shared" ref="N83:Q83" si="137">SUM(N82)</f>
        <v>4564322.8540000003</v>
      </c>
      <c r="O83" s="179">
        <f t="shared" si="137"/>
        <v>0</v>
      </c>
      <c r="P83" s="179">
        <f t="shared" si="137"/>
        <v>0</v>
      </c>
      <c r="Q83" s="179">
        <f t="shared" si="137"/>
        <v>4564322.8540000003</v>
      </c>
      <c r="R83" s="179">
        <f t="shared" ref="R83:V83" si="138">SUM(R82)</f>
        <v>456432.28540000005</v>
      </c>
      <c r="S83" s="179">
        <f t="shared" si="138"/>
        <v>4107890.5686000003</v>
      </c>
      <c r="T83" s="179">
        <f t="shared" si="138"/>
        <v>72449.569111111123</v>
      </c>
      <c r="U83" s="179">
        <f t="shared" si="138"/>
        <v>869394.82933333353</v>
      </c>
      <c r="V83" s="179">
        <f t="shared" si="138"/>
        <v>3622478.4555555554</v>
      </c>
    </row>
    <row r="84" spans="1:22" x14ac:dyDescent="0.2">
      <c r="A84" s="83"/>
      <c r="B84" s="83"/>
      <c r="C84" s="83" t="s">
        <v>147</v>
      </c>
      <c r="D84" s="84"/>
      <c r="E84" s="85">
        <f>E81+E83</f>
        <v>1</v>
      </c>
      <c r="F84" s="87"/>
      <c r="G84" s="87"/>
      <c r="H84" s="87">
        <f t="shared" ref="H84:Q84" si="139">H81+H83</f>
        <v>179133550</v>
      </c>
      <c r="I84" s="87">
        <f t="shared" si="139"/>
        <v>179133550</v>
      </c>
      <c r="J84" s="87"/>
      <c r="K84" s="87"/>
      <c r="L84" s="87"/>
      <c r="M84" s="87"/>
      <c r="N84" s="87">
        <f t="shared" si="139"/>
        <v>4915933.2804399999</v>
      </c>
      <c r="O84" s="87">
        <f t="shared" si="139"/>
        <v>100000</v>
      </c>
      <c r="P84" s="87">
        <f t="shared" si="139"/>
        <v>0</v>
      </c>
      <c r="Q84" s="87">
        <f t="shared" si="139"/>
        <v>5015933.2804399999</v>
      </c>
      <c r="R84" s="87">
        <f t="shared" ref="R84" si="140">R81+R83</f>
        <v>456432.28540000005</v>
      </c>
      <c r="S84" s="87">
        <f t="shared" ref="S84" si="141">S81+S83</f>
        <v>4559500.9950400004</v>
      </c>
      <c r="T84" s="87">
        <f t="shared" ref="T84" si="142">T81+T83</f>
        <v>147717.97351777781</v>
      </c>
      <c r="U84" s="87">
        <f t="shared" ref="U84" si="143">U81+U83</f>
        <v>1245736.8513666668</v>
      </c>
      <c r="V84" s="87">
        <f t="shared" ref="V84" si="144">V81+V83</f>
        <v>3622478.4555555554</v>
      </c>
    </row>
    <row r="85" spans="1:22" x14ac:dyDescent="0.2">
      <c r="A85" s="83"/>
      <c r="B85" s="83"/>
      <c r="C85" s="83" t="s">
        <v>148</v>
      </c>
      <c r="D85" s="84"/>
      <c r="E85" s="93">
        <f>E84+E74</f>
        <v>21</v>
      </c>
      <c r="F85" s="95"/>
      <c r="G85" s="95"/>
      <c r="H85" s="95">
        <f t="shared" ref="H85:Q85" si="145">H84+H74</f>
        <v>4935584172</v>
      </c>
      <c r="I85" s="95">
        <f t="shared" si="145"/>
        <v>4935584172</v>
      </c>
      <c r="J85" s="95"/>
      <c r="K85" s="95"/>
      <c r="L85" s="95"/>
      <c r="M85" s="95"/>
      <c r="N85" s="95">
        <f t="shared" si="145"/>
        <v>148997240.5115</v>
      </c>
      <c r="O85" s="95">
        <f t="shared" si="145"/>
        <v>100000</v>
      </c>
      <c r="P85" s="95">
        <f t="shared" si="145"/>
        <v>0</v>
      </c>
      <c r="Q85" s="95">
        <f t="shared" si="145"/>
        <v>149097240.5115</v>
      </c>
      <c r="R85" s="95">
        <f t="shared" ref="R85" si="146">R84+R74</f>
        <v>14864563.008506002</v>
      </c>
      <c r="S85" s="95">
        <f t="shared" ref="S85" si="147">S84+S74</f>
        <v>134232677.50299403</v>
      </c>
      <c r="T85" s="95">
        <f t="shared" ref="T85" si="148">T84+T74</f>
        <v>16275103.364547836</v>
      </c>
      <c r="U85" s="95">
        <f t="shared" ref="U85" si="149">U84+U74</f>
        <v>21876792.86645535</v>
      </c>
      <c r="V85" s="95">
        <f t="shared" ref="V85" si="150">V84+V74</f>
        <v>110945344.28049682</v>
      </c>
    </row>
    <row r="86" spans="1:22" x14ac:dyDescent="0.2">
      <c r="T86" s="181"/>
      <c r="U86" s="181"/>
      <c r="V86" s="181"/>
    </row>
  </sheetData>
  <mergeCells count="96">
    <mergeCell ref="N78:P78"/>
    <mergeCell ref="Q78:Q79"/>
    <mergeCell ref="R78:R79"/>
    <mergeCell ref="S78:S79"/>
    <mergeCell ref="G78:G79"/>
    <mergeCell ref="H78:H79"/>
    <mergeCell ref="I78:I79"/>
    <mergeCell ref="J78:K79"/>
    <mergeCell ref="L78:L79"/>
    <mergeCell ref="M78:M79"/>
    <mergeCell ref="N47:P47"/>
    <mergeCell ref="Q47:Q48"/>
    <mergeCell ref="R47:R48"/>
    <mergeCell ref="S47:S48"/>
    <mergeCell ref="A78:A79"/>
    <mergeCell ref="B78:B79"/>
    <mergeCell ref="C78:C79"/>
    <mergeCell ref="D78:D79"/>
    <mergeCell ref="E78:E79"/>
    <mergeCell ref="F78:F79"/>
    <mergeCell ref="G47:G48"/>
    <mergeCell ref="H47:H48"/>
    <mergeCell ref="I47:I48"/>
    <mergeCell ref="J47:K48"/>
    <mergeCell ref="L47:L48"/>
    <mergeCell ref="M47:M48"/>
    <mergeCell ref="N27:P27"/>
    <mergeCell ref="Q27:Q28"/>
    <mergeCell ref="R27:R28"/>
    <mergeCell ref="S27:S28"/>
    <mergeCell ref="A47:A48"/>
    <mergeCell ref="B47:B48"/>
    <mergeCell ref="C47:C48"/>
    <mergeCell ref="D47:D48"/>
    <mergeCell ref="E47:E48"/>
    <mergeCell ref="F47:F48"/>
    <mergeCell ref="G27:G28"/>
    <mergeCell ref="H27:H28"/>
    <mergeCell ref="I27:I28"/>
    <mergeCell ref="J27:K28"/>
    <mergeCell ref="L27:L28"/>
    <mergeCell ref="M27:M28"/>
    <mergeCell ref="N17:P17"/>
    <mergeCell ref="Q17:Q18"/>
    <mergeCell ref="R17:R18"/>
    <mergeCell ref="S17:S18"/>
    <mergeCell ref="A27:A28"/>
    <mergeCell ref="B27:B28"/>
    <mergeCell ref="C27:C28"/>
    <mergeCell ref="D27:D28"/>
    <mergeCell ref="E27:E28"/>
    <mergeCell ref="F27:F28"/>
    <mergeCell ref="G17:G18"/>
    <mergeCell ref="H17:H18"/>
    <mergeCell ref="I17:I18"/>
    <mergeCell ref="J17:K18"/>
    <mergeCell ref="L17:L18"/>
    <mergeCell ref="M17:M18"/>
    <mergeCell ref="N9:P9"/>
    <mergeCell ref="Q9:Q10"/>
    <mergeCell ref="R9:R10"/>
    <mergeCell ref="S9:S10"/>
    <mergeCell ref="A17:A18"/>
    <mergeCell ref="B17:B18"/>
    <mergeCell ref="C17:C18"/>
    <mergeCell ref="D17:D18"/>
    <mergeCell ref="E17:E18"/>
    <mergeCell ref="F17:F18"/>
    <mergeCell ref="G9:G10"/>
    <mergeCell ref="H9:H10"/>
    <mergeCell ref="I9:I10"/>
    <mergeCell ref="J9:K10"/>
    <mergeCell ref="L9:L10"/>
    <mergeCell ref="M9:M10"/>
    <mergeCell ref="N3:P3"/>
    <mergeCell ref="Q3:Q4"/>
    <mergeCell ref="R3:R4"/>
    <mergeCell ref="S3:S4"/>
    <mergeCell ref="A9:A10"/>
    <mergeCell ref="B9:B10"/>
    <mergeCell ref="C9:C10"/>
    <mergeCell ref="D9:D10"/>
    <mergeCell ref="E9:E10"/>
    <mergeCell ref="F9:F10"/>
    <mergeCell ref="G3:G4"/>
    <mergeCell ref="H3:H4"/>
    <mergeCell ref="I3:I4"/>
    <mergeCell ref="J3:K4"/>
    <mergeCell ref="L3:L4"/>
    <mergeCell ref="M3:M4"/>
    <mergeCell ref="F3:F4"/>
    <mergeCell ref="A3:A4"/>
    <mergeCell ref="B3:B4"/>
    <mergeCell ref="C3:C4"/>
    <mergeCell ref="D3:D4"/>
    <mergeCell ref="E3:E4"/>
  </mergeCells>
  <pageMargins left="0.54" right="0.70866141732283472" top="0.46" bottom="0.74803149606299213" header="0.31496062992125984" footer="0.31496062992125984"/>
  <pageSetup paperSize="5" scale="90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85"/>
  <sheetViews>
    <sheetView workbookViewId="0">
      <selection activeCell="T5" sqref="T5"/>
    </sheetView>
  </sheetViews>
  <sheetFormatPr defaultRowHeight="12" x14ac:dyDescent="0.2"/>
  <cols>
    <col min="1" max="1" width="4.140625" style="3" customWidth="1"/>
    <col min="2" max="2" width="14.7109375" style="3" customWidth="1"/>
    <col min="3" max="3" width="17.28515625" style="3" customWidth="1"/>
    <col min="4" max="4" width="10.85546875" style="82" customWidth="1"/>
    <col min="5" max="5" width="7.85546875" style="97" customWidth="1"/>
    <col min="6" max="6" width="24.140625" style="3" customWidth="1"/>
    <col min="7" max="7" width="8.85546875" style="3" hidden="1" customWidth="1"/>
    <col min="8" max="8" width="14" style="3" customWidth="1"/>
    <col min="9" max="9" width="13.7109375" style="3" customWidth="1"/>
    <col min="10" max="10" width="0.28515625" style="3" hidden="1" customWidth="1"/>
    <col min="11" max="11" width="9.5703125" style="3" hidden="1" customWidth="1"/>
    <col min="12" max="12" width="4.28515625" style="3" bestFit="1" customWidth="1"/>
    <col min="13" max="13" width="5.28515625" style="3" customWidth="1"/>
    <col min="14" max="14" width="12.5703125" style="3" hidden="1" customWidth="1"/>
    <col min="15" max="16" width="9.140625" style="3" hidden="1" customWidth="1"/>
    <col min="17" max="17" width="9" style="3" hidden="1" customWidth="1"/>
    <col min="18" max="18" width="10.7109375" style="3" customWidth="1"/>
    <col min="19" max="19" width="17.28515625" style="3" hidden="1" customWidth="1"/>
    <col min="20" max="20" width="14.7109375" style="3" customWidth="1"/>
    <col min="21" max="21" width="16.5703125" style="3" customWidth="1"/>
    <col min="22" max="22" width="13" style="3" customWidth="1"/>
    <col min="23" max="23" width="10.85546875" style="3" customWidth="1"/>
    <col min="24" max="16384" width="9.140625" style="3"/>
  </cols>
  <sheetData>
    <row r="2" spans="1:26" ht="14.25" customHeight="1" x14ac:dyDescent="0.2">
      <c r="A2" s="86" t="s">
        <v>76</v>
      </c>
      <c r="B2" s="62"/>
      <c r="C2" s="62"/>
      <c r="D2" s="57"/>
      <c r="E2" s="63"/>
      <c r="F2" s="64"/>
      <c r="G2" s="65"/>
      <c r="H2" s="66"/>
      <c r="I2" s="66"/>
      <c r="J2" s="67"/>
      <c r="K2" s="67"/>
      <c r="L2" s="68"/>
      <c r="M2" s="68"/>
      <c r="N2" s="69"/>
      <c r="O2" s="69"/>
      <c r="P2" s="69"/>
      <c r="Q2" s="69"/>
      <c r="R2" s="69"/>
      <c r="S2" s="69"/>
      <c r="T2" s="70"/>
      <c r="U2" s="71"/>
      <c r="V2" s="71"/>
    </row>
    <row r="3" spans="1:26" ht="14.25" customHeight="1" x14ac:dyDescent="0.2">
      <c r="A3" s="231" t="s">
        <v>0</v>
      </c>
      <c r="B3" s="232" t="s">
        <v>1</v>
      </c>
      <c r="C3" s="229" t="s">
        <v>2</v>
      </c>
      <c r="D3" s="233" t="s">
        <v>3</v>
      </c>
      <c r="E3" s="234" t="s">
        <v>4</v>
      </c>
      <c r="F3" s="232" t="s">
        <v>5</v>
      </c>
      <c r="G3" s="235" t="s">
        <v>6</v>
      </c>
      <c r="H3" s="236" t="s">
        <v>7</v>
      </c>
      <c r="I3" s="236" t="s">
        <v>8</v>
      </c>
      <c r="J3" s="227" t="s">
        <v>9</v>
      </c>
      <c r="K3" s="227"/>
      <c r="L3" s="228" t="s">
        <v>10</v>
      </c>
      <c r="M3" s="229" t="s">
        <v>11</v>
      </c>
      <c r="N3" s="230" t="s">
        <v>12</v>
      </c>
      <c r="O3" s="230"/>
      <c r="P3" s="230"/>
      <c r="Q3" s="229" t="s">
        <v>13</v>
      </c>
      <c r="R3" s="229" t="s">
        <v>14</v>
      </c>
      <c r="S3" s="229" t="s">
        <v>15</v>
      </c>
      <c r="T3" s="36">
        <v>2021</v>
      </c>
      <c r="U3" s="37"/>
      <c r="V3" s="38" t="s">
        <v>44</v>
      </c>
    </row>
    <row r="4" spans="1:26" ht="14.25" customHeight="1" x14ac:dyDescent="0.2">
      <c r="A4" s="231"/>
      <c r="B4" s="232"/>
      <c r="C4" s="229"/>
      <c r="D4" s="233"/>
      <c r="E4" s="234"/>
      <c r="F4" s="232"/>
      <c r="G4" s="235"/>
      <c r="H4" s="236"/>
      <c r="I4" s="236"/>
      <c r="J4" s="227"/>
      <c r="K4" s="227"/>
      <c r="L4" s="228"/>
      <c r="M4" s="229"/>
      <c r="N4" s="180" t="s">
        <v>16</v>
      </c>
      <c r="O4" s="180" t="s">
        <v>17</v>
      </c>
      <c r="P4" s="180" t="s">
        <v>18</v>
      </c>
      <c r="Q4" s="229"/>
      <c r="R4" s="229"/>
      <c r="S4" s="229"/>
      <c r="T4" s="96" t="s">
        <v>166</v>
      </c>
      <c r="U4" s="39" t="s">
        <v>167</v>
      </c>
      <c r="V4" s="40"/>
    </row>
    <row r="5" spans="1:26" x14ac:dyDescent="0.2">
      <c r="A5" s="72">
        <v>1</v>
      </c>
      <c r="B5" s="73" t="s">
        <v>49</v>
      </c>
      <c r="C5" s="73" t="s">
        <v>55</v>
      </c>
      <c r="D5" s="58">
        <v>44225</v>
      </c>
      <c r="E5" s="74">
        <v>1</v>
      </c>
      <c r="F5" s="73" t="s">
        <v>56</v>
      </c>
      <c r="G5" s="75">
        <v>1</v>
      </c>
      <c r="H5" s="42">
        <v>200000000</v>
      </c>
      <c r="I5" s="42">
        <f>H5*G5</f>
        <v>200000000</v>
      </c>
      <c r="J5" s="76">
        <v>44207</v>
      </c>
      <c r="K5" s="77">
        <f>IFERROR(VALUE(DAY(J5)&amp;" "&amp;TEXT(EOMONTH(J5,L5)-29,"mmm")&amp;" "&amp;YEAR(EOMONTH(J5,L5)-29)),"-")</f>
        <v>47494</v>
      </c>
      <c r="L5" s="78">
        <v>108</v>
      </c>
      <c r="M5" s="99">
        <v>23.21</v>
      </c>
      <c r="N5" s="81">
        <f t="shared" ref="N5" si="0">M5*H5/1000</f>
        <v>4642000</v>
      </c>
      <c r="O5" s="81"/>
      <c r="P5" s="81"/>
      <c r="Q5" s="81">
        <f t="shared" ref="Q5" si="1">N5+O5+P5</f>
        <v>4642000</v>
      </c>
      <c r="R5" s="81">
        <f t="shared" ref="R5" si="2">10%*N5</f>
        <v>464200</v>
      </c>
      <c r="S5" s="81">
        <f t="shared" ref="S5" si="3">Q5-R5</f>
        <v>4177800</v>
      </c>
      <c r="T5" s="42">
        <f>R5*10%+(Y5*5)</f>
        <v>65942.429906542064</v>
      </c>
      <c r="U5" s="1">
        <f t="shared" ref="U5" si="4">Y5*12</f>
        <v>46853.831775700935</v>
      </c>
      <c r="V5" s="34">
        <f t="shared" ref="V5" si="5">R5-T5-U5</f>
        <v>351403.73831775703</v>
      </c>
      <c r="W5" s="35">
        <f t="shared" ref="W5" si="6">T5+U5+V5</f>
        <v>464200</v>
      </c>
      <c r="X5" s="35">
        <f t="shared" ref="X5" si="7">R5-W5</f>
        <v>0</v>
      </c>
      <c r="Y5" s="35">
        <v>3904.4859813084113</v>
      </c>
      <c r="Z5" s="41">
        <f t="shared" ref="Z5" si="8">(R5-T5)/(L5-1)</f>
        <v>3722.0333653594198</v>
      </c>
    </row>
    <row r="6" spans="1:26" x14ac:dyDescent="0.2">
      <c r="A6" s="79"/>
      <c r="B6" s="59"/>
      <c r="C6" s="59"/>
      <c r="D6" s="59"/>
      <c r="E6" s="80">
        <f>SUM(E5:E5)</f>
        <v>1</v>
      </c>
      <c r="F6" s="80"/>
      <c r="G6" s="80"/>
      <c r="H6" s="79">
        <f>SUM(H5:H5)</f>
        <v>200000000</v>
      </c>
      <c r="I6" s="79">
        <f>SUM(I5:I5)</f>
        <v>200000000</v>
      </c>
      <c r="J6" s="79"/>
      <c r="K6" s="79"/>
      <c r="L6" s="79"/>
      <c r="M6" s="79"/>
      <c r="N6" s="79">
        <f t="shared" ref="N6:Z6" si="9">SUM(N5:N5)</f>
        <v>4642000</v>
      </c>
      <c r="O6" s="79">
        <f t="shared" si="9"/>
        <v>0</v>
      </c>
      <c r="P6" s="79">
        <f t="shared" si="9"/>
        <v>0</v>
      </c>
      <c r="Q6" s="79">
        <f t="shared" si="9"/>
        <v>4642000</v>
      </c>
      <c r="R6" s="79">
        <f t="shared" si="9"/>
        <v>464200</v>
      </c>
      <c r="S6" s="79">
        <f t="shared" si="9"/>
        <v>4177800</v>
      </c>
      <c r="T6" s="79">
        <f t="shared" si="9"/>
        <v>65942.429906542064</v>
      </c>
      <c r="U6" s="79">
        <f t="shared" si="9"/>
        <v>46853.831775700935</v>
      </c>
      <c r="V6" s="79">
        <f t="shared" si="9"/>
        <v>351403.73831775703</v>
      </c>
      <c r="W6" s="79">
        <f t="shared" si="9"/>
        <v>464200</v>
      </c>
      <c r="X6" s="79">
        <f t="shared" si="9"/>
        <v>0</v>
      </c>
      <c r="Y6" s="79">
        <f t="shared" si="9"/>
        <v>3904.4859813084113</v>
      </c>
      <c r="Z6" s="79">
        <f t="shared" si="9"/>
        <v>3722.0333653594198</v>
      </c>
    </row>
    <row r="8" spans="1:26" ht="14.25" customHeight="1" x14ac:dyDescent="0.2">
      <c r="A8" s="86" t="s">
        <v>74</v>
      </c>
      <c r="B8" s="62"/>
      <c r="C8" s="62"/>
      <c r="D8" s="57"/>
      <c r="E8" s="63"/>
      <c r="F8" s="64"/>
      <c r="G8" s="65"/>
      <c r="H8" s="66"/>
      <c r="I8" s="66"/>
      <c r="J8" s="67"/>
      <c r="K8" s="67"/>
      <c r="L8" s="68"/>
      <c r="M8" s="68"/>
      <c r="N8" s="69"/>
      <c r="O8" s="69"/>
      <c r="P8" s="69"/>
      <c r="Q8" s="69"/>
      <c r="R8" s="69"/>
      <c r="S8" s="69"/>
      <c r="T8" s="70"/>
      <c r="U8" s="71"/>
      <c r="V8" s="71"/>
    </row>
    <row r="9" spans="1:26" ht="14.25" customHeight="1" x14ac:dyDescent="0.2">
      <c r="A9" s="231" t="s">
        <v>0</v>
      </c>
      <c r="B9" s="232" t="s">
        <v>1</v>
      </c>
      <c r="C9" s="229" t="s">
        <v>2</v>
      </c>
      <c r="D9" s="233" t="s">
        <v>3</v>
      </c>
      <c r="E9" s="234" t="s">
        <v>4</v>
      </c>
      <c r="F9" s="232" t="s">
        <v>5</v>
      </c>
      <c r="G9" s="235" t="s">
        <v>6</v>
      </c>
      <c r="H9" s="236" t="s">
        <v>7</v>
      </c>
      <c r="I9" s="236" t="s">
        <v>8</v>
      </c>
      <c r="J9" s="227" t="s">
        <v>9</v>
      </c>
      <c r="K9" s="227"/>
      <c r="L9" s="228" t="s">
        <v>10</v>
      </c>
      <c r="M9" s="229" t="s">
        <v>11</v>
      </c>
      <c r="N9" s="230" t="s">
        <v>12</v>
      </c>
      <c r="O9" s="230"/>
      <c r="P9" s="230"/>
      <c r="Q9" s="229" t="s">
        <v>13</v>
      </c>
      <c r="R9" s="229" t="s">
        <v>14</v>
      </c>
      <c r="S9" s="229" t="s">
        <v>15</v>
      </c>
      <c r="T9" s="36">
        <v>2021</v>
      </c>
      <c r="U9" s="37"/>
      <c r="V9" s="38" t="s">
        <v>44</v>
      </c>
    </row>
    <row r="10" spans="1:26" ht="14.25" customHeight="1" x14ac:dyDescent="0.2">
      <c r="A10" s="231"/>
      <c r="B10" s="232"/>
      <c r="C10" s="229"/>
      <c r="D10" s="233"/>
      <c r="E10" s="234"/>
      <c r="F10" s="232"/>
      <c r="G10" s="235"/>
      <c r="H10" s="236"/>
      <c r="I10" s="236"/>
      <c r="J10" s="227"/>
      <c r="K10" s="227"/>
      <c r="L10" s="228"/>
      <c r="M10" s="229"/>
      <c r="N10" s="180" t="s">
        <v>16</v>
      </c>
      <c r="O10" s="180" t="s">
        <v>17</v>
      </c>
      <c r="P10" s="180" t="s">
        <v>18</v>
      </c>
      <c r="Q10" s="229"/>
      <c r="R10" s="229"/>
      <c r="S10" s="229"/>
      <c r="T10" s="96" t="s">
        <v>168</v>
      </c>
      <c r="U10" s="39" t="s">
        <v>167</v>
      </c>
      <c r="V10" s="40"/>
    </row>
    <row r="11" spans="1:26" x14ac:dyDescent="0.2">
      <c r="A11" s="74">
        <v>2</v>
      </c>
      <c r="B11" s="107" t="s">
        <v>59</v>
      </c>
      <c r="C11" s="107" t="s">
        <v>60</v>
      </c>
      <c r="D11" s="110">
        <v>44237</v>
      </c>
      <c r="E11" s="74">
        <v>1</v>
      </c>
      <c r="F11" s="107" t="s">
        <v>61</v>
      </c>
      <c r="G11" s="111">
        <v>1</v>
      </c>
      <c r="H11" s="112">
        <v>300000000</v>
      </c>
      <c r="I11" s="112">
        <f>H11*G11</f>
        <v>300000000</v>
      </c>
      <c r="J11" s="110">
        <v>44222</v>
      </c>
      <c r="K11" s="77">
        <f>IFERROR(VALUE(DAY(J11)&amp;" "&amp;TEXT(EOMONTH(J11,L11)-29,"mmm")&amp;" "&amp;YEAR(EOMONTH(J11,L11)-29)),"-")</f>
        <v>49700</v>
      </c>
      <c r="L11" s="107">
        <v>180</v>
      </c>
      <c r="M11" s="99">
        <v>37.520000000000003</v>
      </c>
      <c r="N11" s="81">
        <f t="shared" ref="N11" si="10">M11*H11/1000</f>
        <v>11256000</v>
      </c>
      <c r="O11" s="81"/>
      <c r="P11" s="81"/>
      <c r="Q11" s="81">
        <f t="shared" ref="Q11" si="11">N11+O11+P11</f>
        <v>11256000</v>
      </c>
      <c r="R11" s="81">
        <f t="shared" ref="R11" si="12">10%*N11</f>
        <v>1125600</v>
      </c>
      <c r="S11" s="81">
        <f t="shared" ref="S11" si="13">Q11-R11</f>
        <v>10130400</v>
      </c>
      <c r="T11" s="42">
        <f>(R11*10%)+(Y11*4)</f>
        <v>135197.76536312851</v>
      </c>
      <c r="U11" s="1">
        <f t="shared" ref="U11" si="14">Y11*12</f>
        <v>67913.296089385476</v>
      </c>
      <c r="V11" s="34">
        <f t="shared" ref="V11" si="15">R11-T11-U11</f>
        <v>922488.93854748597</v>
      </c>
      <c r="W11" s="35">
        <f t="shared" ref="W11" si="16">T11+U11+V11</f>
        <v>1125600</v>
      </c>
      <c r="X11" s="35">
        <f t="shared" ref="X11" si="17">R11-W11</f>
        <v>0</v>
      </c>
      <c r="Y11" s="35">
        <v>5659.441340782123</v>
      </c>
      <c r="Z11" s="41">
        <f t="shared" ref="Z11" si="18">(R11-T11)/(L11-1)</f>
        <v>5532.9733778596174</v>
      </c>
    </row>
    <row r="12" spans="1:26" x14ac:dyDescent="0.2">
      <c r="A12" s="79"/>
      <c r="B12" s="59"/>
      <c r="C12" s="59"/>
      <c r="D12" s="59"/>
      <c r="E12" s="80">
        <f>SUM(E11:E11)</f>
        <v>1</v>
      </c>
      <c r="F12" s="80"/>
      <c r="G12" s="80"/>
      <c r="H12" s="79">
        <f>SUM(H11:H11)</f>
        <v>300000000</v>
      </c>
      <c r="I12" s="79">
        <f>SUM(I11:I11)</f>
        <v>300000000</v>
      </c>
      <c r="J12" s="79"/>
      <c r="K12" s="79"/>
      <c r="L12" s="79"/>
      <c r="M12" s="79"/>
      <c r="N12" s="79">
        <f t="shared" ref="N12:Z12" si="19">SUM(N11:N11)</f>
        <v>11256000</v>
      </c>
      <c r="O12" s="79">
        <f t="shared" si="19"/>
        <v>0</v>
      </c>
      <c r="P12" s="79">
        <f t="shared" si="19"/>
        <v>0</v>
      </c>
      <c r="Q12" s="79">
        <f t="shared" si="19"/>
        <v>11256000</v>
      </c>
      <c r="R12" s="79">
        <f t="shared" si="19"/>
        <v>1125600</v>
      </c>
      <c r="S12" s="79">
        <f t="shared" si="19"/>
        <v>10130400</v>
      </c>
      <c r="T12" s="79">
        <f t="shared" si="19"/>
        <v>135197.76536312851</v>
      </c>
      <c r="U12" s="79">
        <f t="shared" si="19"/>
        <v>67913.296089385476</v>
      </c>
      <c r="V12" s="79">
        <f t="shared" si="19"/>
        <v>922488.93854748597</v>
      </c>
      <c r="W12" s="79">
        <f t="shared" si="19"/>
        <v>1125600</v>
      </c>
      <c r="X12" s="79">
        <f t="shared" si="19"/>
        <v>0</v>
      </c>
      <c r="Y12" s="79">
        <f t="shared" si="19"/>
        <v>5659.441340782123</v>
      </c>
      <c r="Z12" s="79">
        <f t="shared" si="19"/>
        <v>5532.9733778596174</v>
      </c>
    </row>
    <row r="13" spans="1:26" x14ac:dyDescent="0.2">
      <c r="A13" s="89"/>
      <c r="B13" s="89"/>
      <c r="C13" s="89" t="s">
        <v>73</v>
      </c>
      <c r="D13" s="90"/>
      <c r="E13" s="85">
        <f>E6+E12</f>
        <v>2</v>
      </c>
      <c r="F13" s="87">
        <f t="shared" ref="F13:G13" si="20">F6</f>
        <v>0</v>
      </c>
      <c r="G13" s="87">
        <f t="shared" si="20"/>
        <v>0</v>
      </c>
      <c r="H13" s="87">
        <f>H6+H12</f>
        <v>500000000</v>
      </c>
      <c r="I13" s="87">
        <f t="shared" ref="I13:Z13" si="21">I6+I12</f>
        <v>500000000</v>
      </c>
      <c r="J13" s="87">
        <f t="shared" si="21"/>
        <v>0</v>
      </c>
      <c r="K13" s="87">
        <f t="shared" si="21"/>
        <v>0</v>
      </c>
      <c r="L13" s="87">
        <f t="shared" si="21"/>
        <v>0</v>
      </c>
      <c r="M13" s="87">
        <f t="shared" si="21"/>
        <v>0</v>
      </c>
      <c r="N13" s="87">
        <f t="shared" si="21"/>
        <v>15898000</v>
      </c>
      <c r="O13" s="87">
        <f t="shared" si="21"/>
        <v>0</v>
      </c>
      <c r="P13" s="87">
        <f t="shared" si="21"/>
        <v>0</v>
      </c>
      <c r="Q13" s="87">
        <f t="shared" si="21"/>
        <v>15898000</v>
      </c>
      <c r="R13" s="87">
        <f t="shared" si="21"/>
        <v>1589800</v>
      </c>
      <c r="S13" s="87">
        <f t="shared" si="21"/>
        <v>14308200</v>
      </c>
      <c r="T13" s="87">
        <f t="shared" si="21"/>
        <v>201140.19526967057</v>
      </c>
      <c r="U13" s="87">
        <f t="shared" si="21"/>
        <v>114767.12786508641</v>
      </c>
      <c r="V13" s="87">
        <f t="shared" si="21"/>
        <v>1273892.6768652429</v>
      </c>
      <c r="W13" s="87">
        <f t="shared" si="21"/>
        <v>1589800</v>
      </c>
      <c r="X13" s="87">
        <f t="shared" si="21"/>
        <v>0</v>
      </c>
      <c r="Y13" s="87">
        <f t="shared" si="21"/>
        <v>9563.9273220905343</v>
      </c>
      <c r="Z13" s="87">
        <f t="shared" si="21"/>
        <v>9255.0067432190372</v>
      </c>
    </row>
    <row r="16" spans="1:26" ht="14.25" customHeight="1" x14ac:dyDescent="0.2">
      <c r="A16" s="86" t="s">
        <v>91</v>
      </c>
      <c r="B16" s="62"/>
      <c r="C16" s="62"/>
      <c r="D16" s="57"/>
      <c r="E16" s="63"/>
      <c r="F16" s="64"/>
      <c r="G16" s="65"/>
      <c r="H16" s="66"/>
      <c r="I16" s="66"/>
      <c r="J16" s="67"/>
      <c r="K16" s="67"/>
      <c r="L16" s="68"/>
      <c r="M16" s="68"/>
      <c r="N16" s="69"/>
      <c r="O16" s="69"/>
      <c r="P16" s="69"/>
      <c r="Q16" s="69"/>
      <c r="R16" s="69"/>
      <c r="S16" s="69"/>
      <c r="T16" s="70"/>
      <c r="U16" s="71"/>
      <c r="V16" s="71"/>
    </row>
    <row r="17" spans="1:26" ht="14.25" customHeight="1" x14ac:dyDescent="0.2">
      <c r="A17" s="231" t="s">
        <v>0</v>
      </c>
      <c r="B17" s="232" t="s">
        <v>1</v>
      </c>
      <c r="C17" s="229" t="s">
        <v>2</v>
      </c>
      <c r="D17" s="233" t="s">
        <v>3</v>
      </c>
      <c r="E17" s="234" t="s">
        <v>4</v>
      </c>
      <c r="F17" s="232" t="s">
        <v>5</v>
      </c>
      <c r="G17" s="235" t="s">
        <v>6</v>
      </c>
      <c r="H17" s="236" t="s">
        <v>7</v>
      </c>
      <c r="I17" s="236" t="s">
        <v>8</v>
      </c>
      <c r="J17" s="227" t="s">
        <v>9</v>
      </c>
      <c r="K17" s="227"/>
      <c r="L17" s="228" t="s">
        <v>10</v>
      </c>
      <c r="M17" s="229" t="s">
        <v>11</v>
      </c>
      <c r="N17" s="230" t="s">
        <v>12</v>
      </c>
      <c r="O17" s="230"/>
      <c r="P17" s="230"/>
      <c r="Q17" s="229" t="s">
        <v>13</v>
      </c>
      <c r="R17" s="229" t="s">
        <v>14</v>
      </c>
      <c r="S17" s="229" t="s">
        <v>15</v>
      </c>
      <c r="T17" s="36">
        <v>2021</v>
      </c>
      <c r="U17" s="37"/>
      <c r="V17" s="38" t="s">
        <v>44</v>
      </c>
    </row>
    <row r="18" spans="1:26" ht="14.25" customHeight="1" x14ac:dyDescent="0.2">
      <c r="A18" s="231"/>
      <c r="B18" s="232"/>
      <c r="C18" s="229"/>
      <c r="D18" s="233"/>
      <c r="E18" s="234"/>
      <c r="F18" s="232"/>
      <c r="G18" s="235"/>
      <c r="H18" s="236"/>
      <c r="I18" s="236"/>
      <c r="J18" s="227"/>
      <c r="K18" s="227"/>
      <c r="L18" s="228"/>
      <c r="M18" s="229"/>
      <c r="N18" s="180" t="s">
        <v>16</v>
      </c>
      <c r="O18" s="180" t="s">
        <v>17</v>
      </c>
      <c r="P18" s="180" t="s">
        <v>18</v>
      </c>
      <c r="Q18" s="229"/>
      <c r="R18" s="229"/>
      <c r="S18" s="229"/>
      <c r="T18" s="96" t="s">
        <v>169</v>
      </c>
      <c r="U18" s="39" t="s">
        <v>167</v>
      </c>
      <c r="V18" s="40"/>
    </row>
    <row r="19" spans="1:26" x14ac:dyDescent="0.2">
      <c r="A19" s="74">
        <v>3</v>
      </c>
      <c r="B19" s="107" t="s">
        <v>49</v>
      </c>
      <c r="C19" s="107" t="s">
        <v>78</v>
      </c>
      <c r="D19" s="110">
        <v>44237</v>
      </c>
      <c r="E19" s="74">
        <v>1</v>
      </c>
      <c r="F19" s="107" t="s">
        <v>79</v>
      </c>
      <c r="G19" s="111">
        <v>1</v>
      </c>
      <c r="H19" s="112">
        <v>40000000</v>
      </c>
      <c r="I19" s="112">
        <f>H19*G19</f>
        <v>40000000</v>
      </c>
      <c r="J19" s="110">
        <v>44245</v>
      </c>
      <c r="K19" s="77">
        <f>IFERROR(VALUE(DAY(J19)&amp;" "&amp;TEXT(EOMONTH(J19,L19)-29,"mmm")&amp;" "&amp;YEAR(EOMONTH(J19,L19)-29)),"-")</f>
        <v>44944</v>
      </c>
      <c r="L19" s="107">
        <v>24</v>
      </c>
      <c r="M19" s="99">
        <v>21.1</v>
      </c>
      <c r="N19" s="81">
        <f t="shared" ref="N19" si="22">M19*H19/1000</f>
        <v>844000</v>
      </c>
      <c r="O19" s="81"/>
      <c r="P19" s="81"/>
      <c r="Q19" s="81">
        <f t="shared" ref="Q19" si="23">N19+O19+P19</f>
        <v>844000</v>
      </c>
      <c r="R19" s="81">
        <f t="shared" ref="R19" si="24">10%*N19</f>
        <v>84400</v>
      </c>
      <c r="S19" s="81">
        <f t="shared" ref="S19" si="25">Q19-R19</f>
        <v>759600</v>
      </c>
      <c r="T19" s="42">
        <f>R19*10%+(Y19*3)</f>
        <v>18347.82608695652</v>
      </c>
      <c r="U19" s="1">
        <f>Y19*12</f>
        <v>39631.304347826088</v>
      </c>
      <c r="V19" s="34">
        <f t="shared" ref="V19" si="26">R19-T19-U19</f>
        <v>26420.869565217399</v>
      </c>
      <c r="W19" s="35">
        <f t="shared" ref="W19" si="27">T19+U19+V19</f>
        <v>84400</v>
      </c>
      <c r="X19" s="35">
        <f t="shared" ref="X19" si="28">R19-W19</f>
        <v>0</v>
      </c>
      <c r="Y19" s="35">
        <v>3302.608695652174</v>
      </c>
      <c r="Z19" s="41">
        <f>(R19-T19)/(L19-1)</f>
        <v>2871.8336483931953</v>
      </c>
    </row>
    <row r="20" spans="1:26" x14ac:dyDescent="0.2">
      <c r="A20" s="88"/>
      <c r="B20" s="84"/>
      <c r="C20" s="84"/>
      <c r="D20" s="84"/>
      <c r="E20" s="88">
        <f>SUM(E19:E19)</f>
        <v>1</v>
      </c>
      <c r="F20" s="84"/>
      <c r="G20" s="115"/>
      <c r="H20" s="59">
        <f>SUM(H19:H19)</f>
        <v>40000000</v>
      </c>
      <c r="I20" s="59">
        <f>SUM(I19:I19)</f>
        <v>40000000</v>
      </c>
      <c r="J20" s="59"/>
      <c r="K20" s="59"/>
      <c r="L20" s="59"/>
      <c r="M20" s="59"/>
      <c r="N20" s="59">
        <f t="shared" ref="N20:Z20" si="29">SUM(N19:N19)</f>
        <v>844000</v>
      </c>
      <c r="O20" s="59">
        <f t="shared" si="29"/>
        <v>0</v>
      </c>
      <c r="P20" s="59">
        <f t="shared" si="29"/>
        <v>0</v>
      </c>
      <c r="Q20" s="59">
        <f t="shared" si="29"/>
        <v>844000</v>
      </c>
      <c r="R20" s="59">
        <f t="shared" si="29"/>
        <v>84400</v>
      </c>
      <c r="S20" s="59">
        <f t="shared" si="29"/>
        <v>759600</v>
      </c>
      <c r="T20" s="59">
        <f t="shared" si="29"/>
        <v>18347.82608695652</v>
      </c>
      <c r="U20" s="59">
        <f t="shared" si="29"/>
        <v>39631.304347826088</v>
      </c>
      <c r="V20" s="59">
        <f t="shared" si="29"/>
        <v>26420.869565217399</v>
      </c>
      <c r="W20" s="59">
        <f t="shared" si="29"/>
        <v>84400</v>
      </c>
      <c r="X20" s="59">
        <f t="shared" si="29"/>
        <v>0</v>
      </c>
      <c r="Y20" s="59">
        <f t="shared" si="29"/>
        <v>3302.608695652174</v>
      </c>
      <c r="Z20" s="59">
        <f t="shared" si="29"/>
        <v>2871.8336483931953</v>
      </c>
    </row>
    <row r="21" spans="1:26" x14ac:dyDescent="0.2">
      <c r="A21" s="74">
        <v>4</v>
      </c>
      <c r="B21" s="107" t="s">
        <v>84</v>
      </c>
      <c r="C21" s="107" t="s">
        <v>85</v>
      </c>
      <c r="D21" s="110">
        <v>44286</v>
      </c>
      <c r="E21" s="74">
        <v>1</v>
      </c>
      <c r="F21" s="107" t="s">
        <v>86</v>
      </c>
      <c r="G21" s="111">
        <v>1</v>
      </c>
      <c r="H21" s="112">
        <v>300000000</v>
      </c>
      <c r="I21" s="112">
        <f>H21*G21</f>
        <v>300000000</v>
      </c>
      <c r="J21" s="110">
        <v>44263</v>
      </c>
      <c r="K21" s="77">
        <f t="shared" ref="K21" si="30">IFERROR(VALUE(DAY(J21)&amp;" "&amp;TEXT(EOMONTH(J21,L21)-29,"mmm")&amp;" "&amp;YEAR(EOMONTH(J21,L21)-29)),"-")</f>
        <v>44993</v>
      </c>
      <c r="L21" s="107">
        <v>24</v>
      </c>
      <c r="M21" s="99">
        <v>51.12</v>
      </c>
      <c r="N21" s="81">
        <f t="shared" ref="N21" si="31">M21*H21/1000</f>
        <v>15336000</v>
      </c>
      <c r="O21" s="81"/>
      <c r="P21" s="81"/>
      <c r="Q21" s="81">
        <f t="shared" ref="Q21" si="32">N21+O21+P21</f>
        <v>15336000</v>
      </c>
      <c r="R21" s="81">
        <f t="shared" ref="R21" si="33">10%*N21</f>
        <v>1533600</v>
      </c>
      <c r="S21" s="81">
        <f t="shared" ref="S21" si="34">Q21-R21</f>
        <v>13802400</v>
      </c>
      <c r="T21" s="42"/>
      <c r="U21" s="1"/>
      <c r="V21" s="34"/>
      <c r="W21" s="35"/>
      <c r="X21" s="35"/>
      <c r="Y21" s="35"/>
      <c r="Z21" s="41"/>
    </row>
    <row r="22" spans="1:26" x14ac:dyDescent="0.2">
      <c r="A22" s="88"/>
      <c r="B22" s="84"/>
      <c r="C22" s="84"/>
      <c r="D22" s="84"/>
      <c r="E22" s="88"/>
      <c r="F22" s="84"/>
      <c r="G22" s="115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>
        <f t="shared" ref="S22:Z22" si="35">SUM(S21:S21)</f>
        <v>13802400</v>
      </c>
      <c r="T22" s="59">
        <f t="shared" si="35"/>
        <v>0</v>
      </c>
      <c r="U22" s="59">
        <f t="shared" si="35"/>
        <v>0</v>
      </c>
      <c r="V22" s="59">
        <f t="shared" si="35"/>
        <v>0</v>
      </c>
      <c r="W22" s="59">
        <f t="shared" si="35"/>
        <v>0</v>
      </c>
      <c r="X22" s="59">
        <f t="shared" si="35"/>
        <v>0</v>
      </c>
      <c r="Y22" s="59">
        <f t="shared" si="35"/>
        <v>0</v>
      </c>
      <c r="Z22" s="59">
        <f t="shared" si="35"/>
        <v>0</v>
      </c>
    </row>
    <row r="23" spans="1:26" x14ac:dyDescent="0.2">
      <c r="A23" s="83"/>
      <c r="B23" s="83"/>
      <c r="C23" s="83" t="s">
        <v>92</v>
      </c>
      <c r="D23" s="84"/>
      <c r="E23" s="85">
        <f>E22+E20</f>
        <v>1</v>
      </c>
      <c r="F23" s="87"/>
      <c r="G23" s="87"/>
      <c r="H23" s="87">
        <f t="shared" ref="H23:Z23" si="36">H22+H20</f>
        <v>40000000</v>
      </c>
      <c r="I23" s="87">
        <f t="shared" si="36"/>
        <v>40000000</v>
      </c>
      <c r="J23" s="87">
        <f t="shared" si="36"/>
        <v>0</v>
      </c>
      <c r="K23" s="87">
        <f t="shared" si="36"/>
        <v>0</v>
      </c>
      <c r="L23" s="87"/>
      <c r="M23" s="87"/>
      <c r="N23" s="87">
        <f t="shared" si="36"/>
        <v>844000</v>
      </c>
      <c r="O23" s="87">
        <f t="shared" si="36"/>
        <v>0</v>
      </c>
      <c r="P23" s="87">
        <f t="shared" si="36"/>
        <v>0</v>
      </c>
      <c r="Q23" s="87">
        <f t="shared" si="36"/>
        <v>844000</v>
      </c>
      <c r="R23" s="87">
        <f t="shared" si="36"/>
        <v>84400</v>
      </c>
      <c r="S23" s="87">
        <f t="shared" si="36"/>
        <v>14562000</v>
      </c>
      <c r="T23" s="87">
        <f t="shared" si="36"/>
        <v>18347.82608695652</v>
      </c>
      <c r="U23" s="87">
        <f t="shared" si="36"/>
        <v>39631.304347826088</v>
      </c>
      <c r="V23" s="87">
        <f t="shared" si="36"/>
        <v>26420.869565217399</v>
      </c>
      <c r="W23" s="87">
        <f t="shared" si="36"/>
        <v>84400</v>
      </c>
      <c r="X23" s="87">
        <f t="shared" si="36"/>
        <v>0</v>
      </c>
      <c r="Y23" s="87">
        <f t="shared" si="36"/>
        <v>3302.608695652174</v>
      </c>
      <c r="Z23" s="87">
        <f t="shared" si="36"/>
        <v>2871.8336483931953</v>
      </c>
    </row>
    <row r="24" spans="1:26" s="94" customFormat="1" x14ac:dyDescent="0.2">
      <c r="A24" s="83"/>
      <c r="B24" s="83"/>
      <c r="C24" s="83" t="s">
        <v>93</v>
      </c>
      <c r="D24" s="84"/>
      <c r="E24" s="85">
        <f>E23+E13</f>
        <v>3</v>
      </c>
      <c r="F24" s="87">
        <f t="shared" ref="F24:Z24" si="37">F23+F13</f>
        <v>0</v>
      </c>
      <c r="G24" s="87">
        <f t="shared" si="37"/>
        <v>0</v>
      </c>
      <c r="H24" s="87">
        <f t="shared" si="37"/>
        <v>540000000</v>
      </c>
      <c r="I24" s="87">
        <f t="shared" si="37"/>
        <v>540000000</v>
      </c>
      <c r="J24" s="87">
        <f t="shared" si="37"/>
        <v>0</v>
      </c>
      <c r="K24" s="87">
        <f t="shared" si="37"/>
        <v>0</v>
      </c>
      <c r="L24" s="87">
        <f t="shared" si="37"/>
        <v>0</v>
      </c>
      <c r="M24" s="87">
        <f t="shared" si="37"/>
        <v>0</v>
      </c>
      <c r="N24" s="87">
        <f t="shared" si="37"/>
        <v>16742000</v>
      </c>
      <c r="O24" s="87">
        <f t="shared" si="37"/>
        <v>0</v>
      </c>
      <c r="P24" s="87">
        <f t="shared" si="37"/>
        <v>0</v>
      </c>
      <c r="Q24" s="87">
        <f t="shared" si="37"/>
        <v>16742000</v>
      </c>
      <c r="R24" s="87">
        <f>R23+R13</f>
        <v>1674200</v>
      </c>
      <c r="S24" s="87">
        <f t="shared" si="37"/>
        <v>28870200</v>
      </c>
      <c r="T24" s="87">
        <f t="shared" si="37"/>
        <v>219488.02135662708</v>
      </c>
      <c r="U24" s="87">
        <f t="shared" si="37"/>
        <v>154398.43221291251</v>
      </c>
      <c r="V24" s="87">
        <f t="shared" si="37"/>
        <v>1300313.5464304602</v>
      </c>
      <c r="W24" s="87">
        <f t="shared" si="37"/>
        <v>1674200</v>
      </c>
      <c r="X24" s="87">
        <f t="shared" si="37"/>
        <v>0</v>
      </c>
      <c r="Y24" s="87">
        <f t="shared" si="37"/>
        <v>12866.536017742708</v>
      </c>
      <c r="Z24" s="87">
        <f t="shared" si="37"/>
        <v>12126.840391612233</v>
      </c>
    </row>
    <row r="26" spans="1:26" ht="14.25" customHeight="1" x14ac:dyDescent="0.2">
      <c r="A26" s="86" t="s">
        <v>120</v>
      </c>
      <c r="B26" s="62"/>
      <c r="C26" s="62"/>
      <c r="D26" s="57"/>
      <c r="E26" s="63"/>
      <c r="F26" s="64"/>
      <c r="G26" s="65"/>
      <c r="H26" s="66"/>
      <c r="I26" s="66"/>
      <c r="J26" s="67"/>
      <c r="K26" s="67"/>
      <c r="L26" s="68"/>
      <c r="M26" s="68"/>
      <c r="N26" s="69"/>
      <c r="O26" s="69"/>
      <c r="P26" s="69"/>
      <c r="Q26" s="69"/>
      <c r="R26" s="69"/>
      <c r="S26" s="69"/>
      <c r="T26" s="70"/>
      <c r="U26" s="71"/>
      <c r="V26" s="71"/>
    </row>
    <row r="27" spans="1:26" ht="14.25" customHeight="1" x14ac:dyDescent="0.2">
      <c r="A27" s="231" t="s">
        <v>0</v>
      </c>
      <c r="B27" s="232" t="s">
        <v>1</v>
      </c>
      <c r="C27" s="229" t="s">
        <v>2</v>
      </c>
      <c r="D27" s="233" t="s">
        <v>3</v>
      </c>
      <c r="E27" s="234" t="s">
        <v>4</v>
      </c>
      <c r="F27" s="232" t="s">
        <v>5</v>
      </c>
      <c r="G27" s="235" t="s">
        <v>6</v>
      </c>
      <c r="H27" s="236" t="s">
        <v>7</v>
      </c>
      <c r="I27" s="236" t="s">
        <v>8</v>
      </c>
      <c r="J27" s="227" t="s">
        <v>9</v>
      </c>
      <c r="K27" s="227"/>
      <c r="L27" s="228" t="s">
        <v>10</v>
      </c>
      <c r="M27" s="229" t="s">
        <v>11</v>
      </c>
      <c r="N27" s="230" t="s">
        <v>12</v>
      </c>
      <c r="O27" s="230"/>
      <c r="P27" s="230"/>
      <c r="Q27" s="229" t="s">
        <v>13</v>
      </c>
      <c r="R27" s="229" t="s">
        <v>14</v>
      </c>
      <c r="S27" s="229" t="s">
        <v>15</v>
      </c>
      <c r="T27" s="36">
        <v>2021</v>
      </c>
      <c r="U27" s="37"/>
      <c r="V27" s="38" t="s">
        <v>44</v>
      </c>
    </row>
    <row r="28" spans="1:26" ht="14.25" customHeight="1" x14ac:dyDescent="0.2">
      <c r="A28" s="231"/>
      <c r="B28" s="232"/>
      <c r="C28" s="229"/>
      <c r="D28" s="233"/>
      <c r="E28" s="234"/>
      <c r="F28" s="232"/>
      <c r="G28" s="235"/>
      <c r="H28" s="236"/>
      <c r="I28" s="236"/>
      <c r="J28" s="227"/>
      <c r="K28" s="227"/>
      <c r="L28" s="228"/>
      <c r="M28" s="229"/>
      <c r="N28" s="180" t="s">
        <v>16</v>
      </c>
      <c r="O28" s="180" t="s">
        <v>17</v>
      </c>
      <c r="P28" s="180" t="s">
        <v>18</v>
      </c>
      <c r="Q28" s="229"/>
      <c r="R28" s="229"/>
      <c r="S28" s="229"/>
      <c r="T28" s="96" t="s">
        <v>170</v>
      </c>
      <c r="U28" s="39" t="s">
        <v>167</v>
      </c>
      <c r="V28" s="40"/>
    </row>
    <row r="29" spans="1:26" x14ac:dyDescent="0.2">
      <c r="A29" s="74">
        <v>5</v>
      </c>
      <c r="B29" s="107" t="s">
        <v>46</v>
      </c>
      <c r="C29" s="107" t="s">
        <v>96</v>
      </c>
      <c r="D29" s="110">
        <v>44313</v>
      </c>
      <c r="E29" s="74">
        <v>1</v>
      </c>
      <c r="F29" s="107" t="s">
        <v>47</v>
      </c>
      <c r="G29" s="111">
        <v>1</v>
      </c>
      <c r="H29" s="112">
        <v>57599206</v>
      </c>
      <c r="I29" s="112">
        <f>H29*G29</f>
        <v>57599206</v>
      </c>
      <c r="J29" s="110">
        <v>46069</v>
      </c>
      <c r="K29" s="77">
        <v>46446</v>
      </c>
      <c r="L29" s="107">
        <v>12</v>
      </c>
      <c r="M29" s="99">
        <v>9.1</v>
      </c>
      <c r="N29" s="81">
        <f t="shared" ref="N29:N30" si="38">M29*H29/1000</f>
        <v>524152.77459999995</v>
      </c>
      <c r="O29" s="81">
        <v>100000</v>
      </c>
      <c r="P29" s="81"/>
      <c r="Q29" s="81">
        <f t="shared" ref="Q29:Q30" si="39">N29+O29+P29</f>
        <v>624152.77459999989</v>
      </c>
      <c r="R29" s="81"/>
      <c r="S29" s="81">
        <f t="shared" ref="S29:S30" si="40">Q29-R29</f>
        <v>624152.77459999989</v>
      </c>
      <c r="T29" s="42">
        <f>R29*10%</f>
        <v>0</v>
      </c>
      <c r="U29" s="1">
        <f>Y29*12</f>
        <v>0</v>
      </c>
      <c r="V29" s="34">
        <f t="shared" ref="V29:V41" si="41">R29-T29-U29</f>
        <v>0</v>
      </c>
      <c r="W29" s="35">
        <f t="shared" ref="W29:W41" si="42">T29+U29+V29</f>
        <v>0</v>
      </c>
      <c r="X29" s="35">
        <f t="shared" ref="X29:X41" si="43">R29-W29</f>
        <v>0</v>
      </c>
      <c r="Y29" s="35">
        <v>0</v>
      </c>
      <c r="Z29" s="41">
        <f>(R29-T29)/(L29-1)</f>
        <v>0</v>
      </c>
    </row>
    <row r="30" spans="1:26" x14ac:dyDescent="0.2">
      <c r="A30" s="74"/>
      <c r="B30" s="107"/>
      <c r="C30" s="107"/>
      <c r="D30" s="110"/>
      <c r="E30" s="74">
        <v>1</v>
      </c>
      <c r="F30" s="107" t="s">
        <v>48</v>
      </c>
      <c r="G30" s="111">
        <v>1</v>
      </c>
      <c r="H30" s="112">
        <v>11844392</v>
      </c>
      <c r="I30" s="112">
        <f>H30*G30</f>
        <v>11844392</v>
      </c>
      <c r="J30" s="110">
        <v>46523</v>
      </c>
      <c r="K30" s="77">
        <v>46768</v>
      </c>
      <c r="L30" s="107">
        <v>8</v>
      </c>
      <c r="M30" s="99">
        <v>5.46</v>
      </c>
      <c r="N30" s="81">
        <f t="shared" si="38"/>
        <v>64670.380320000004</v>
      </c>
      <c r="O30" s="81">
        <v>100000</v>
      </c>
      <c r="P30" s="81"/>
      <c r="Q30" s="81">
        <f t="shared" si="39"/>
        <v>164670.38032</v>
      </c>
      <c r="R30" s="81"/>
      <c r="S30" s="81">
        <f t="shared" si="40"/>
        <v>164670.38032</v>
      </c>
      <c r="T30" s="42">
        <f t="shared" ref="T30:T41" si="44">R30*10%</f>
        <v>0</v>
      </c>
      <c r="U30" s="1">
        <f t="shared" ref="U30:U41" si="45">Y30*12</f>
        <v>0</v>
      </c>
      <c r="V30" s="34">
        <f t="shared" si="41"/>
        <v>0</v>
      </c>
      <c r="W30" s="35">
        <f t="shared" si="42"/>
        <v>0</v>
      </c>
      <c r="X30" s="35">
        <f t="shared" si="43"/>
        <v>0</v>
      </c>
      <c r="Y30" s="35">
        <v>0</v>
      </c>
      <c r="Z30" s="41">
        <f t="shared" ref="Z30:Z41" si="46">(R30-T30)/(L30-1)</f>
        <v>0</v>
      </c>
    </row>
    <row r="31" spans="1:26" x14ac:dyDescent="0.2">
      <c r="A31" s="88"/>
      <c r="B31" s="84"/>
      <c r="C31" s="84"/>
      <c r="D31" s="84"/>
      <c r="E31" s="88"/>
      <c r="F31" s="84"/>
      <c r="G31" s="115"/>
      <c r="H31" s="59"/>
      <c r="I31" s="59"/>
      <c r="J31" s="59"/>
      <c r="K31" s="59"/>
      <c r="L31" s="59"/>
      <c r="M31" s="59"/>
      <c r="N31" s="59">
        <f t="shared" ref="N31:Z31" si="47">SUM(N29:N30)</f>
        <v>588823.15492</v>
      </c>
      <c r="O31" s="59">
        <f t="shared" si="47"/>
        <v>200000</v>
      </c>
      <c r="P31" s="59">
        <f t="shared" si="47"/>
        <v>0</v>
      </c>
      <c r="Q31" s="59">
        <f t="shared" si="47"/>
        <v>788823.15491999988</v>
      </c>
      <c r="R31" s="59">
        <f t="shared" si="47"/>
        <v>0</v>
      </c>
      <c r="S31" s="59">
        <f t="shared" si="47"/>
        <v>788823.15491999988</v>
      </c>
      <c r="T31" s="59">
        <f t="shared" si="47"/>
        <v>0</v>
      </c>
      <c r="U31" s="59">
        <f t="shared" si="47"/>
        <v>0</v>
      </c>
      <c r="V31" s="59">
        <f t="shared" si="47"/>
        <v>0</v>
      </c>
      <c r="W31" s="59">
        <f t="shared" si="47"/>
        <v>0</v>
      </c>
      <c r="X31" s="59">
        <f t="shared" si="47"/>
        <v>0</v>
      </c>
      <c r="Y31" s="59">
        <f t="shared" si="47"/>
        <v>0</v>
      </c>
      <c r="Z31" s="59">
        <f t="shared" si="47"/>
        <v>0</v>
      </c>
    </row>
    <row r="32" spans="1:26" x14ac:dyDescent="0.2">
      <c r="A32" s="74">
        <v>6</v>
      </c>
      <c r="B32" s="107" t="s">
        <v>49</v>
      </c>
      <c r="C32" s="107" t="s">
        <v>101</v>
      </c>
      <c r="D32" s="110">
        <v>44301</v>
      </c>
      <c r="E32" s="74">
        <v>1</v>
      </c>
      <c r="F32" s="107" t="s">
        <v>102</v>
      </c>
      <c r="G32" s="111">
        <v>1</v>
      </c>
      <c r="H32" s="112">
        <v>35000000</v>
      </c>
      <c r="I32" s="112">
        <f>H32*G32</f>
        <v>35000000</v>
      </c>
      <c r="J32" s="110">
        <v>44278</v>
      </c>
      <c r="K32" s="77">
        <f t="shared" ref="K32" si="48">IFERROR(VALUE(DAY(J32)&amp;" "&amp;TEXT(EOMONTH(J32,L32)-29,"mmm")&amp;" "&amp;YEAR(EOMONTH(J32,L32)-29)),"-")</f>
        <v>45374</v>
      </c>
      <c r="L32" s="107">
        <v>36</v>
      </c>
      <c r="M32" s="99">
        <v>31.16</v>
      </c>
      <c r="N32" s="81">
        <f t="shared" ref="N32" si="49">M32*H32/1000</f>
        <v>1090600</v>
      </c>
      <c r="O32" s="81"/>
      <c r="P32" s="81"/>
      <c r="Q32" s="81">
        <f t="shared" ref="Q32" si="50">N32+O32+P32</f>
        <v>1090600</v>
      </c>
      <c r="R32" s="81">
        <f t="shared" ref="R32" si="51">10%*N32</f>
        <v>109060</v>
      </c>
      <c r="S32" s="81">
        <f t="shared" ref="S32" si="52">Q32-R32</f>
        <v>981540</v>
      </c>
      <c r="T32" s="42">
        <f>R32*10%+(Y32*2)</f>
        <v>16514.8</v>
      </c>
      <c r="U32" s="1">
        <f t="shared" si="45"/>
        <v>33652.800000000003</v>
      </c>
      <c r="V32" s="34">
        <f t="shared" si="41"/>
        <v>58892.399999999994</v>
      </c>
      <c r="W32" s="35">
        <f t="shared" si="42"/>
        <v>109060</v>
      </c>
      <c r="X32" s="35">
        <f t="shared" si="43"/>
        <v>0</v>
      </c>
      <c r="Y32" s="35">
        <v>2804.4</v>
      </c>
      <c r="Z32" s="41">
        <f t="shared" si="46"/>
        <v>2644.1485714285714</v>
      </c>
    </row>
    <row r="33" spans="1:26" x14ac:dyDescent="0.2">
      <c r="A33" s="88"/>
      <c r="B33" s="84"/>
      <c r="C33" s="84"/>
      <c r="D33" s="84"/>
      <c r="E33" s="88">
        <f>SUM(E32:E32)</f>
        <v>1</v>
      </c>
      <c r="F33" s="84"/>
      <c r="G33" s="115"/>
      <c r="H33" s="59">
        <f>SUM(H32:H32)</f>
        <v>35000000</v>
      </c>
      <c r="I33" s="59">
        <f>SUM(I32:I32)</f>
        <v>35000000</v>
      </c>
      <c r="J33" s="59"/>
      <c r="K33" s="59"/>
      <c r="L33" s="59"/>
      <c r="M33" s="59"/>
      <c r="N33" s="59">
        <f t="shared" ref="N33:Z33" si="53">SUM(N32:N32)</f>
        <v>1090600</v>
      </c>
      <c r="O33" s="59">
        <f t="shared" si="53"/>
        <v>0</v>
      </c>
      <c r="P33" s="59">
        <f t="shared" si="53"/>
        <v>0</v>
      </c>
      <c r="Q33" s="59">
        <f t="shared" si="53"/>
        <v>1090600</v>
      </c>
      <c r="R33" s="59">
        <f t="shared" si="53"/>
        <v>109060</v>
      </c>
      <c r="S33" s="59">
        <f t="shared" si="53"/>
        <v>981540</v>
      </c>
      <c r="T33" s="59">
        <f t="shared" si="53"/>
        <v>16514.8</v>
      </c>
      <c r="U33" s="59">
        <f t="shared" si="53"/>
        <v>33652.800000000003</v>
      </c>
      <c r="V33" s="59">
        <f t="shared" si="53"/>
        <v>58892.399999999994</v>
      </c>
      <c r="W33" s="59">
        <f t="shared" si="53"/>
        <v>109060</v>
      </c>
      <c r="X33" s="59">
        <f t="shared" si="53"/>
        <v>0</v>
      </c>
      <c r="Y33" s="59">
        <f t="shared" si="53"/>
        <v>2804.4</v>
      </c>
      <c r="Z33" s="59">
        <f t="shared" si="53"/>
        <v>2644.1485714285714</v>
      </c>
    </row>
    <row r="34" spans="1:26" x14ac:dyDescent="0.2">
      <c r="A34" s="74">
        <v>7</v>
      </c>
      <c r="B34" s="107" t="s">
        <v>49</v>
      </c>
      <c r="C34" s="107" t="s">
        <v>103</v>
      </c>
      <c r="D34" s="110">
        <v>44316</v>
      </c>
      <c r="E34" s="74">
        <v>1</v>
      </c>
      <c r="F34" s="107" t="s">
        <v>104</v>
      </c>
      <c r="G34" s="111">
        <v>1</v>
      </c>
      <c r="H34" s="112">
        <v>83000000</v>
      </c>
      <c r="I34" s="112">
        <f>H34*G34</f>
        <v>83000000</v>
      </c>
      <c r="J34" s="110">
        <v>44315</v>
      </c>
      <c r="K34" s="77">
        <f>IFERROR(VALUE(DAY(J34)&amp;" "&amp;TEXT(EOMONTH(J34,L34)-29,"mmm")&amp;" "&amp;YEAR(EOMONTH(J34,L34)-29)),"-")</f>
        <v>46506</v>
      </c>
      <c r="L34" s="107">
        <v>72</v>
      </c>
      <c r="M34" s="99">
        <v>50.64</v>
      </c>
      <c r="N34" s="81">
        <f t="shared" ref="N34" si="54">M34*H34/1000</f>
        <v>4203120</v>
      </c>
      <c r="O34" s="81"/>
      <c r="P34" s="81"/>
      <c r="Q34" s="81">
        <f t="shared" ref="Q34" si="55">N34+O34+P34</f>
        <v>4203120</v>
      </c>
      <c r="R34" s="81">
        <f t="shared" ref="R34" si="56">10%*N34</f>
        <v>420312</v>
      </c>
      <c r="S34" s="81">
        <f t="shared" ref="S34" si="57">Q34-R34</f>
        <v>3782808</v>
      </c>
      <c r="T34" s="42">
        <f>R34*10%+(Y34*2)</f>
        <v>52686.997183098596</v>
      </c>
      <c r="U34" s="1">
        <f t="shared" si="45"/>
        <v>63934.78309859155</v>
      </c>
      <c r="V34" s="34">
        <f t="shared" si="41"/>
        <v>303690.21971830988</v>
      </c>
      <c r="W34" s="35">
        <f t="shared" si="42"/>
        <v>420312</v>
      </c>
      <c r="X34" s="35">
        <f t="shared" si="43"/>
        <v>0</v>
      </c>
      <c r="Y34" s="35">
        <v>5327.8985915492958</v>
      </c>
      <c r="Z34" s="41">
        <f t="shared" si="46"/>
        <v>5177.8169410831188</v>
      </c>
    </row>
    <row r="35" spans="1:26" x14ac:dyDescent="0.2">
      <c r="A35" s="150"/>
      <c r="B35" s="90"/>
      <c r="C35" s="90"/>
      <c r="D35" s="90"/>
      <c r="E35" s="150">
        <f>SUM(E34:E34)</f>
        <v>1</v>
      </c>
      <c r="F35" s="90"/>
      <c r="G35" s="151"/>
      <c r="H35" s="152">
        <f>SUM(H34:H34)</f>
        <v>83000000</v>
      </c>
      <c r="I35" s="152">
        <f>SUM(I34:I34)</f>
        <v>83000000</v>
      </c>
      <c r="J35" s="152"/>
      <c r="K35" s="152"/>
      <c r="L35" s="152"/>
      <c r="M35" s="152"/>
      <c r="N35" s="152">
        <f t="shared" ref="N35:Z35" si="58">SUM(N34:N34)</f>
        <v>4203120</v>
      </c>
      <c r="O35" s="152">
        <f t="shared" si="58"/>
        <v>0</v>
      </c>
      <c r="P35" s="152">
        <f t="shared" si="58"/>
        <v>0</v>
      </c>
      <c r="Q35" s="152">
        <f t="shared" si="58"/>
        <v>4203120</v>
      </c>
      <c r="R35" s="152">
        <f t="shared" si="58"/>
        <v>420312</v>
      </c>
      <c r="S35" s="152">
        <f t="shared" si="58"/>
        <v>3782808</v>
      </c>
      <c r="T35" s="152">
        <f t="shared" si="58"/>
        <v>52686.997183098596</v>
      </c>
      <c r="U35" s="152">
        <f t="shared" si="58"/>
        <v>63934.78309859155</v>
      </c>
      <c r="V35" s="152">
        <f t="shared" si="58"/>
        <v>303690.21971830988</v>
      </c>
      <c r="W35" s="152">
        <f t="shared" si="58"/>
        <v>420312</v>
      </c>
      <c r="X35" s="152">
        <f t="shared" si="58"/>
        <v>0</v>
      </c>
      <c r="Y35" s="152">
        <f t="shared" si="58"/>
        <v>5327.8985915492958</v>
      </c>
      <c r="Z35" s="152">
        <f t="shared" si="58"/>
        <v>5177.8169410831188</v>
      </c>
    </row>
    <row r="36" spans="1:26" x14ac:dyDescent="0.2">
      <c r="A36" s="74">
        <v>8</v>
      </c>
      <c r="B36" s="107" t="s">
        <v>49</v>
      </c>
      <c r="C36" s="107" t="s">
        <v>105</v>
      </c>
      <c r="D36" s="110">
        <v>44316</v>
      </c>
      <c r="E36" s="74">
        <v>1</v>
      </c>
      <c r="F36" s="107" t="s">
        <v>106</v>
      </c>
      <c r="G36" s="111">
        <v>1</v>
      </c>
      <c r="H36" s="112">
        <v>35000000</v>
      </c>
      <c r="I36" s="112">
        <f>H36*G36</f>
        <v>35000000</v>
      </c>
      <c r="J36" s="110">
        <v>44313</v>
      </c>
      <c r="K36" s="77">
        <f>IFERROR(VALUE(DAY(J36)&amp;" "&amp;TEXT(EOMONTH(J36,L36)-29,"mmm")&amp;" "&amp;YEAR(EOMONTH(J36,L36)-29)),"-")</f>
        <v>45409</v>
      </c>
      <c r="L36" s="107">
        <v>36</v>
      </c>
      <c r="M36" s="99">
        <v>30.71</v>
      </c>
      <c r="N36" s="81">
        <f t="shared" ref="N36" si="59">M36*H36/1000</f>
        <v>1074850</v>
      </c>
      <c r="O36" s="81"/>
      <c r="P36" s="81"/>
      <c r="Q36" s="81">
        <f t="shared" ref="Q36" si="60">N36+O36+P36</f>
        <v>1074850</v>
      </c>
      <c r="R36" s="81">
        <f t="shared" ref="R36" si="61">10%*N36</f>
        <v>107485</v>
      </c>
      <c r="S36" s="81">
        <f t="shared" ref="S36" si="62">Q36-R36</f>
        <v>967365</v>
      </c>
      <c r="T36" s="42">
        <f>R36*10%+(Y36*2)</f>
        <v>16276.3</v>
      </c>
      <c r="U36" s="1">
        <f t="shared" si="45"/>
        <v>33166.800000000003</v>
      </c>
      <c r="V36" s="34">
        <f t="shared" si="41"/>
        <v>58041.899999999994</v>
      </c>
      <c r="W36" s="35">
        <f t="shared" si="42"/>
        <v>107485</v>
      </c>
      <c r="X36" s="35">
        <f t="shared" si="43"/>
        <v>0</v>
      </c>
      <c r="Y36" s="35">
        <v>2763.9</v>
      </c>
      <c r="Z36" s="41">
        <f t="shared" si="46"/>
        <v>2605.962857142857</v>
      </c>
    </row>
    <row r="37" spans="1:26" x14ac:dyDescent="0.2">
      <c r="A37" s="150"/>
      <c r="B37" s="90"/>
      <c r="C37" s="90"/>
      <c r="D37" s="90"/>
      <c r="E37" s="150">
        <f>SUM(E36:E36)</f>
        <v>1</v>
      </c>
      <c r="F37" s="90"/>
      <c r="G37" s="151"/>
      <c r="H37" s="152">
        <f>SUM(H36:H36)</f>
        <v>35000000</v>
      </c>
      <c r="I37" s="152">
        <f>SUM(I36:I36)</f>
        <v>35000000</v>
      </c>
      <c r="J37" s="152"/>
      <c r="K37" s="152"/>
      <c r="L37" s="152"/>
      <c r="M37" s="152"/>
      <c r="N37" s="152">
        <f t="shared" ref="N37:Z37" si="63">SUM(N36:N36)</f>
        <v>1074850</v>
      </c>
      <c r="O37" s="152">
        <f t="shared" si="63"/>
        <v>0</v>
      </c>
      <c r="P37" s="152">
        <f t="shared" si="63"/>
        <v>0</v>
      </c>
      <c r="Q37" s="152">
        <f t="shared" si="63"/>
        <v>1074850</v>
      </c>
      <c r="R37" s="152">
        <f t="shared" si="63"/>
        <v>107485</v>
      </c>
      <c r="S37" s="152">
        <f t="shared" si="63"/>
        <v>967365</v>
      </c>
      <c r="T37" s="152">
        <f t="shared" si="63"/>
        <v>16276.3</v>
      </c>
      <c r="U37" s="152">
        <f t="shared" si="63"/>
        <v>33166.800000000003</v>
      </c>
      <c r="V37" s="152">
        <f t="shared" si="63"/>
        <v>58041.899999999994</v>
      </c>
      <c r="W37" s="152">
        <f t="shared" si="63"/>
        <v>107485</v>
      </c>
      <c r="X37" s="152">
        <f t="shared" si="63"/>
        <v>0</v>
      </c>
      <c r="Y37" s="152">
        <f t="shared" si="63"/>
        <v>2763.9</v>
      </c>
      <c r="Z37" s="152">
        <f t="shared" si="63"/>
        <v>2605.962857142857</v>
      </c>
    </row>
    <row r="38" spans="1:26" x14ac:dyDescent="0.2">
      <c r="A38" s="74">
        <v>9</v>
      </c>
      <c r="B38" s="107" t="s">
        <v>49</v>
      </c>
      <c r="C38" s="107" t="s">
        <v>108</v>
      </c>
      <c r="D38" s="110">
        <v>44316</v>
      </c>
      <c r="E38" s="74">
        <v>1</v>
      </c>
      <c r="F38" s="107" t="s">
        <v>109</v>
      </c>
      <c r="G38" s="111">
        <v>1</v>
      </c>
      <c r="H38" s="112">
        <v>220000000</v>
      </c>
      <c r="I38" s="112">
        <f>H38*G38</f>
        <v>220000000</v>
      </c>
      <c r="J38" s="110">
        <v>44300</v>
      </c>
      <c r="K38" s="77">
        <f>IFERROR(VALUE(DAY(J38)&amp;" "&amp;TEXT(EOMONTH(J38,L38)-29,"mmm")&amp;" "&amp;YEAR(EOMONTH(J38,L38)-29)),"-")</f>
        <v>47952</v>
      </c>
      <c r="L38" s="107">
        <v>120</v>
      </c>
      <c r="M38" s="99">
        <v>25.48</v>
      </c>
      <c r="N38" s="81">
        <f t="shared" ref="N38:N39" si="64">M38*H38/1000</f>
        <v>5605600</v>
      </c>
      <c r="O38" s="81"/>
      <c r="P38" s="81"/>
      <c r="Q38" s="81">
        <f t="shared" ref="Q38:Q39" si="65">N38+O38+P38</f>
        <v>5605600</v>
      </c>
      <c r="R38" s="81">
        <f t="shared" ref="R38:R39" si="66">10%*N38</f>
        <v>560560</v>
      </c>
      <c r="S38" s="81">
        <f t="shared" ref="S38:S39" si="67">Q38-R38</f>
        <v>5045040</v>
      </c>
      <c r="T38" s="42">
        <f t="shared" ref="T38:T39" si="68">R38*10%+(Y38*2)</f>
        <v>64535.058823529413</v>
      </c>
      <c r="U38" s="1">
        <f t="shared" si="45"/>
        <v>50874.352941176476</v>
      </c>
      <c r="V38" s="34">
        <f t="shared" si="41"/>
        <v>445150.5882352941</v>
      </c>
      <c r="W38" s="35">
        <f t="shared" si="42"/>
        <v>560560</v>
      </c>
      <c r="X38" s="35">
        <f t="shared" si="43"/>
        <v>0</v>
      </c>
      <c r="Y38" s="35">
        <v>4239.5294117647063</v>
      </c>
      <c r="Z38" s="41">
        <f t="shared" si="46"/>
        <v>4168.2768166089963</v>
      </c>
    </row>
    <row r="39" spans="1:26" x14ac:dyDescent="0.2">
      <c r="A39" s="74"/>
      <c r="B39" s="107"/>
      <c r="C39" s="107"/>
      <c r="D39" s="110"/>
      <c r="E39" s="74">
        <v>1</v>
      </c>
      <c r="F39" s="107" t="s">
        <v>110</v>
      </c>
      <c r="G39" s="111">
        <v>1</v>
      </c>
      <c r="H39" s="112">
        <v>160000000</v>
      </c>
      <c r="I39" s="112">
        <f>H39*G39</f>
        <v>160000000</v>
      </c>
      <c r="J39" s="110">
        <v>44305</v>
      </c>
      <c r="K39" s="77">
        <f>IFERROR(VALUE(DAY(J39)&amp;" "&amp;TEXT(EOMONTH(J39,L39)-29,"mmm")&amp;" "&amp;YEAR(EOMONTH(J39,L39)-29)),"-")</f>
        <v>45554</v>
      </c>
      <c r="L39" s="107">
        <v>41</v>
      </c>
      <c r="M39" s="99">
        <v>11.38</v>
      </c>
      <c r="N39" s="81">
        <f t="shared" si="64"/>
        <v>1820800.0000000002</v>
      </c>
      <c r="O39" s="81"/>
      <c r="P39" s="81"/>
      <c r="Q39" s="81">
        <f t="shared" si="65"/>
        <v>1820800.0000000002</v>
      </c>
      <c r="R39" s="81">
        <f t="shared" si="66"/>
        <v>182080.00000000003</v>
      </c>
      <c r="S39" s="81">
        <f t="shared" si="67"/>
        <v>1638720.0000000002</v>
      </c>
      <c r="T39" s="42">
        <f t="shared" si="68"/>
        <v>26401.600000000006</v>
      </c>
      <c r="U39" s="1">
        <f t="shared" si="45"/>
        <v>49161.600000000013</v>
      </c>
      <c r="V39" s="34">
        <f t="shared" si="41"/>
        <v>106516.80000000002</v>
      </c>
      <c r="W39" s="35">
        <f t="shared" si="42"/>
        <v>182080.00000000003</v>
      </c>
      <c r="X39" s="35">
        <f t="shared" si="43"/>
        <v>0</v>
      </c>
      <c r="Y39" s="35">
        <v>4096.8000000000011</v>
      </c>
      <c r="Z39" s="41">
        <f t="shared" si="46"/>
        <v>3891.9600000000005</v>
      </c>
    </row>
    <row r="40" spans="1:26" x14ac:dyDescent="0.2">
      <c r="A40" s="88"/>
      <c r="B40" s="84"/>
      <c r="C40" s="84"/>
      <c r="D40" s="84"/>
      <c r="E40" s="88">
        <f>SUM(E38:E39)</f>
        <v>2</v>
      </c>
      <c r="F40" s="84"/>
      <c r="G40" s="115"/>
      <c r="H40" s="79">
        <f t="shared" ref="H40:I40" si="69">SUM(H38:H39)</f>
        <v>380000000</v>
      </c>
      <c r="I40" s="79">
        <f t="shared" si="69"/>
        <v>380000000</v>
      </c>
      <c r="J40" s="59"/>
      <c r="K40" s="59"/>
      <c r="L40" s="59"/>
      <c r="M40" s="59"/>
      <c r="N40" s="79">
        <f t="shared" ref="N40:Z40" si="70">SUM(N38:N39)</f>
        <v>7426400</v>
      </c>
      <c r="O40" s="79">
        <f t="shared" si="70"/>
        <v>0</v>
      </c>
      <c r="P40" s="79">
        <f t="shared" si="70"/>
        <v>0</v>
      </c>
      <c r="Q40" s="79">
        <f t="shared" si="70"/>
        <v>7426400</v>
      </c>
      <c r="R40" s="79">
        <f t="shared" si="70"/>
        <v>742640</v>
      </c>
      <c r="S40" s="79">
        <f t="shared" si="70"/>
        <v>6683760</v>
      </c>
      <c r="T40" s="79">
        <f t="shared" si="70"/>
        <v>90936.658823529418</v>
      </c>
      <c r="U40" s="79">
        <f t="shared" si="70"/>
        <v>100035.95294117648</v>
      </c>
      <c r="V40" s="79">
        <f t="shared" si="70"/>
        <v>551667.38823529414</v>
      </c>
      <c r="W40" s="79">
        <f t="shared" si="70"/>
        <v>742640</v>
      </c>
      <c r="X40" s="79">
        <f t="shared" si="70"/>
        <v>0</v>
      </c>
      <c r="Y40" s="79">
        <f t="shared" si="70"/>
        <v>8336.3294117647074</v>
      </c>
      <c r="Z40" s="79">
        <f t="shared" si="70"/>
        <v>8060.2368166089964</v>
      </c>
    </row>
    <row r="41" spans="1:26" x14ac:dyDescent="0.2">
      <c r="A41" s="74">
        <v>10</v>
      </c>
      <c r="B41" s="107" t="s">
        <v>111</v>
      </c>
      <c r="C41" s="107" t="s">
        <v>112</v>
      </c>
      <c r="D41" s="110">
        <v>44316</v>
      </c>
      <c r="E41" s="74">
        <v>1</v>
      </c>
      <c r="F41" s="107" t="s">
        <v>113</v>
      </c>
      <c r="G41" s="111">
        <v>1</v>
      </c>
      <c r="H41" s="112">
        <v>45323679</v>
      </c>
      <c r="I41" s="112">
        <f>H41*G41</f>
        <v>45323679</v>
      </c>
      <c r="J41" s="110">
        <v>45784</v>
      </c>
      <c r="K41" s="77">
        <v>46302</v>
      </c>
      <c r="L41" s="107">
        <v>17</v>
      </c>
      <c r="M41" s="99">
        <v>9.1</v>
      </c>
      <c r="N41" s="81">
        <f t="shared" ref="N41" si="71">M41*H41/1000</f>
        <v>412445.47889999999</v>
      </c>
      <c r="O41" s="81">
        <v>100000</v>
      </c>
      <c r="P41" s="81"/>
      <c r="Q41" s="81">
        <f t="shared" ref="Q41" si="72">N41+O41+P41</f>
        <v>512445.47889999999</v>
      </c>
      <c r="R41" s="81"/>
      <c r="S41" s="81">
        <f t="shared" ref="S41" si="73">Q41-R41</f>
        <v>512445.47889999999</v>
      </c>
      <c r="T41" s="42">
        <f t="shared" si="44"/>
        <v>0</v>
      </c>
      <c r="U41" s="1">
        <f t="shared" si="45"/>
        <v>0</v>
      </c>
      <c r="V41" s="34">
        <f t="shared" si="41"/>
        <v>0</v>
      </c>
      <c r="W41" s="35">
        <f t="shared" si="42"/>
        <v>0</v>
      </c>
      <c r="X41" s="35">
        <f t="shared" si="43"/>
        <v>0</v>
      </c>
      <c r="Y41" s="35">
        <v>0</v>
      </c>
      <c r="Z41" s="41">
        <f t="shared" si="46"/>
        <v>0</v>
      </c>
    </row>
    <row r="42" spans="1:26" x14ac:dyDescent="0.2">
      <c r="A42" s="150"/>
      <c r="B42" s="90"/>
      <c r="C42" s="90"/>
      <c r="D42" s="90"/>
      <c r="E42" s="150"/>
      <c r="F42" s="90"/>
      <c r="G42" s="151"/>
      <c r="H42" s="152"/>
      <c r="I42" s="152"/>
      <c r="J42" s="152"/>
      <c r="K42" s="152"/>
      <c r="L42" s="152"/>
      <c r="M42" s="152"/>
      <c r="N42" s="152">
        <f t="shared" ref="N42:Z42" si="74">SUM(N41:N41)</f>
        <v>412445.47889999999</v>
      </c>
      <c r="O42" s="152">
        <f t="shared" si="74"/>
        <v>100000</v>
      </c>
      <c r="P42" s="152">
        <f t="shared" si="74"/>
        <v>0</v>
      </c>
      <c r="Q42" s="152">
        <f t="shared" si="74"/>
        <v>512445.47889999999</v>
      </c>
      <c r="R42" s="152">
        <f t="shared" si="74"/>
        <v>0</v>
      </c>
      <c r="S42" s="152">
        <f t="shared" si="74"/>
        <v>512445.47889999999</v>
      </c>
      <c r="T42" s="152">
        <f t="shared" si="74"/>
        <v>0</v>
      </c>
      <c r="U42" s="152">
        <f t="shared" si="74"/>
        <v>0</v>
      </c>
      <c r="V42" s="152">
        <f t="shared" si="74"/>
        <v>0</v>
      </c>
      <c r="W42" s="152">
        <f t="shared" si="74"/>
        <v>0</v>
      </c>
      <c r="X42" s="152">
        <f t="shared" si="74"/>
        <v>0</v>
      </c>
      <c r="Y42" s="152">
        <f t="shared" si="74"/>
        <v>0</v>
      </c>
      <c r="Z42" s="152">
        <f t="shared" si="74"/>
        <v>0</v>
      </c>
    </row>
    <row r="43" spans="1:26" x14ac:dyDescent="0.2">
      <c r="A43" s="83"/>
      <c r="B43" s="83"/>
      <c r="C43" s="83" t="s">
        <v>115</v>
      </c>
      <c r="D43" s="84"/>
      <c r="E43" s="85">
        <f>E42+E40+E37+E35+E33+E31</f>
        <v>5</v>
      </c>
      <c r="F43" s="87"/>
      <c r="G43" s="87"/>
      <c r="H43" s="87">
        <f t="shared" ref="H43:Z43" si="75">H42+H40+H37+H35+H33+H31</f>
        <v>533000000</v>
      </c>
      <c r="I43" s="87">
        <f t="shared" si="75"/>
        <v>533000000</v>
      </c>
      <c r="J43" s="87">
        <f t="shared" si="75"/>
        <v>0</v>
      </c>
      <c r="K43" s="87">
        <f t="shared" si="75"/>
        <v>0</v>
      </c>
      <c r="L43" s="87"/>
      <c r="M43" s="87"/>
      <c r="N43" s="87">
        <f t="shared" si="75"/>
        <v>14796238.633820001</v>
      </c>
      <c r="O43" s="87">
        <f t="shared" si="75"/>
        <v>300000</v>
      </c>
      <c r="P43" s="87">
        <f t="shared" si="75"/>
        <v>0</v>
      </c>
      <c r="Q43" s="87">
        <f t="shared" si="75"/>
        <v>15096238.633820001</v>
      </c>
      <c r="R43" s="87">
        <f t="shared" si="75"/>
        <v>1379497</v>
      </c>
      <c r="S43" s="87">
        <f t="shared" si="75"/>
        <v>13716741.633820001</v>
      </c>
      <c r="T43" s="87">
        <f t="shared" si="75"/>
        <v>176414.75600662801</v>
      </c>
      <c r="U43" s="87">
        <f t="shared" si="75"/>
        <v>230790.33603976801</v>
      </c>
      <c r="V43" s="87">
        <f t="shared" si="75"/>
        <v>972291.90795360401</v>
      </c>
      <c r="W43" s="87">
        <f t="shared" si="75"/>
        <v>1379497</v>
      </c>
      <c r="X43" s="87">
        <f t="shared" si="75"/>
        <v>0</v>
      </c>
      <c r="Y43" s="87">
        <f t="shared" si="75"/>
        <v>19232.528003314004</v>
      </c>
      <c r="Z43" s="87">
        <f t="shared" si="75"/>
        <v>18488.165186263541</v>
      </c>
    </row>
    <row r="44" spans="1:26" x14ac:dyDescent="0.2">
      <c r="A44" s="83"/>
      <c r="B44" s="83"/>
      <c r="C44" s="83" t="s">
        <v>116</v>
      </c>
      <c r="D44" s="84"/>
      <c r="E44" s="93">
        <f>E43+E24</f>
        <v>8</v>
      </c>
      <c r="F44" s="95"/>
      <c r="G44" s="95"/>
      <c r="H44" s="95">
        <f t="shared" ref="H44:Q44" si="76">H43+H24</f>
        <v>1073000000</v>
      </c>
      <c r="I44" s="95">
        <f t="shared" si="76"/>
        <v>1073000000</v>
      </c>
      <c r="J44" s="95">
        <f t="shared" si="76"/>
        <v>0</v>
      </c>
      <c r="K44" s="95">
        <f t="shared" si="76"/>
        <v>0</v>
      </c>
      <c r="L44" s="95"/>
      <c r="M44" s="95"/>
      <c r="N44" s="95">
        <f t="shared" si="76"/>
        <v>31538238.633820001</v>
      </c>
      <c r="O44" s="95">
        <f t="shared" si="76"/>
        <v>300000</v>
      </c>
      <c r="P44" s="95">
        <f t="shared" si="76"/>
        <v>0</v>
      </c>
      <c r="Q44" s="95">
        <f t="shared" si="76"/>
        <v>31838238.633820001</v>
      </c>
      <c r="R44" s="95">
        <f>R43+R24</f>
        <v>3053697</v>
      </c>
      <c r="S44" s="95">
        <f t="shared" ref="S44:Z44" si="77">S43+S24</f>
        <v>42586941.633819997</v>
      </c>
      <c r="T44" s="95">
        <f t="shared" si="77"/>
        <v>395902.7773632551</v>
      </c>
      <c r="U44" s="95">
        <f t="shared" si="77"/>
        <v>385188.76825268054</v>
      </c>
      <c r="V44" s="95">
        <f t="shared" si="77"/>
        <v>2272605.4543840643</v>
      </c>
      <c r="W44" s="95">
        <f t="shared" si="77"/>
        <v>3053697</v>
      </c>
      <c r="X44" s="95">
        <f t="shared" si="77"/>
        <v>0</v>
      </c>
      <c r="Y44" s="95">
        <f t="shared" si="77"/>
        <v>32099.064021056714</v>
      </c>
      <c r="Z44" s="95">
        <f t="shared" si="77"/>
        <v>30615.005577875774</v>
      </c>
    </row>
    <row r="46" spans="1:26" ht="23.25" x14ac:dyDescent="0.2">
      <c r="A46" s="86" t="s">
        <v>159</v>
      </c>
      <c r="B46" s="62"/>
      <c r="C46" s="62"/>
      <c r="D46" s="57"/>
      <c r="E46" s="63"/>
      <c r="F46" s="64"/>
      <c r="G46" s="65"/>
      <c r="H46" s="66"/>
      <c r="I46" s="66"/>
      <c r="J46" s="67"/>
      <c r="K46" s="67"/>
      <c r="L46" s="68"/>
      <c r="M46" s="68"/>
      <c r="N46" s="69"/>
      <c r="O46" s="69"/>
      <c r="P46" s="69"/>
      <c r="Q46" s="69"/>
      <c r="R46" s="69"/>
      <c r="S46" s="69"/>
      <c r="T46" s="70"/>
      <c r="U46" s="71"/>
      <c r="V46" s="71"/>
    </row>
    <row r="47" spans="1:26" x14ac:dyDescent="0.2">
      <c r="A47" s="231" t="s">
        <v>0</v>
      </c>
      <c r="B47" s="232" t="s">
        <v>1</v>
      </c>
      <c r="C47" s="229" t="s">
        <v>2</v>
      </c>
      <c r="D47" s="233" t="s">
        <v>3</v>
      </c>
      <c r="E47" s="234" t="s">
        <v>4</v>
      </c>
      <c r="F47" s="232" t="s">
        <v>5</v>
      </c>
      <c r="G47" s="235" t="s">
        <v>6</v>
      </c>
      <c r="H47" s="236" t="s">
        <v>7</v>
      </c>
      <c r="I47" s="236" t="s">
        <v>8</v>
      </c>
      <c r="J47" s="227" t="s">
        <v>9</v>
      </c>
      <c r="K47" s="227"/>
      <c r="L47" s="228" t="s">
        <v>10</v>
      </c>
      <c r="M47" s="229" t="s">
        <v>11</v>
      </c>
      <c r="N47" s="230" t="s">
        <v>12</v>
      </c>
      <c r="O47" s="230"/>
      <c r="P47" s="230"/>
      <c r="Q47" s="229" t="s">
        <v>13</v>
      </c>
      <c r="R47" s="229" t="s">
        <v>14</v>
      </c>
      <c r="S47" s="229" t="s">
        <v>15</v>
      </c>
      <c r="T47" s="36">
        <v>2021</v>
      </c>
      <c r="U47" s="37"/>
      <c r="V47" s="38" t="s">
        <v>44</v>
      </c>
    </row>
    <row r="48" spans="1:26" x14ac:dyDescent="0.2">
      <c r="A48" s="231"/>
      <c r="B48" s="232"/>
      <c r="C48" s="229"/>
      <c r="D48" s="233"/>
      <c r="E48" s="234"/>
      <c r="F48" s="232"/>
      <c r="G48" s="235"/>
      <c r="H48" s="236"/>
      <c r="I48" s="236"/>
      <c r="J48" s="227"/>
      <c r="K48" s="227"/>
      <c r="L48" s="228"/>
      <c r="M48" s="229"/>
      <c r="N48" s="180" t="s">
        <v>16</v>
      </c>
      <c r="O48" s="180" t="s">
        <v>17</v>
      </c>
      <c r="P48" s="180" t="s">
        <v>18</v>
      </c>
      <c r="Q48" s="229"/>
      <c r="R48" s="229"/>
      <c r="S48" s="229"/>
      <c r="T48" s="96" t="s">
        <v>171</v>
      </c>
      <c r="U48" s="39" t="s">
        <v>167</v>
      </c>
      <c r="V48" s="40"/>
    </row>
    <row r="49" spans="1:26" ht="12.75" x14ac:dyDescent="0.2">
      <c r="A49" s="154">
        <v>11</v>
      </c>
      <c r="B49" s="155" t="s">
        <v>122</v>
      </c>
      <c r="C49" s="155" t="s">
        <v>123</v>
      </c>
      <c r="D49" s="156">
        <v>44334</v>
      </c>
      <c r="E49" s="154">
        <v>1</v>
      </c>
      <c r="F49" s="155" t="s">
        <v>124</v>
      </c>
      <c r="G49" s="111">
        <v>1</v>
      </c>
      <c r="H49" s="112">
        <v>30000000</v>
      </c>
      <c r="I49" s="112">
        <f>H49*G49</f>
        <v>30000000</v>
      </c>
      <c r="J49" s="110">
        <v>44257</v>
      </c>
      <c r="K49" s="77">
        <f>IFERROR(VALUE(DAY(J49)&amp;" "&amp;TEXT(EOMONTH(J49,L49)-29,"mmm")&amp;" "&amp;YEAR(EOMONTH(J49,L49)-29)),"-")</f>
        <v>44987</v>
      </c>
      <c r="L49" s="107">
        <v>24</v>
      </c>
      <c r="M49" s="99">
        <v>10.57</v>
      </c>
      <c r="N49" s="81">
        <f t="shared" ref="N49" si="78">M49*H49/1000</f>
        <v>317100</v>
      </c>
      <c r="O49" s="81"/>
      <c r="P49" s="81"/>
      <c r="Q49" s="81">
        <f t="shared" ref="Q49" si="79">N49+O49+P49</f>
        <v>317100</v>
      </c>
      <c r="R49" s="81">
        <f t="shared" ref="R49" si="80">10%*N49</f>
        <v>31710</v>
      </c>
      <c r="S49" s="81">
        <f t="shared" ref="S49" si="81">Q49-R49</f>
        <v>285390</v>
      </c>
      <c r="T49" s="42">
        <f>R49*10%+Y49</f>
        <v>4411.826086956522</v>
      </c>
      <c r="U49" s="1">
        <f t="shared" ref="U49" si="82">Y49*12</f>
        <v>14889.91304347826</v>
      </c>
      <c r="V49" s="34">
        <f t="shared" ref="V49" si="83">R49-T49-U49</f>
        <v>12408.26086956522</v>
      </c>
      <c r="W49" s="35">
        <f t="shared" ref="W49" si="84">T49+U49+V49</f>
        <v>31710.000000000004</v>
      </c>
      <c r="X49" s="35">
        <f t="shared" ref="X49" si="85">R49-W49</f>
        <v>0</v>
      </c>
      <c r="Y49" s="35">
        <v>1240.8260869565217</v>
      </c>
      <c r="Z49" s="41">
        <f t="shared" ref="Z49" si="86">(R49-T49)/(L49-1)</f>
        <v>1186.8771266540643</v>
      </c>
    </row>
    <row r="50" spans="1:26" ht="12.75" x14ac:dyDescent="0.2">
      <c r="A50" s="159"/>
      <c r="B50" s="160"/>
      <c r="C50" s="160"/>
      <c r="D50" s="160"/>
      <c r="E50" s="159">
        <f>SUM(E49)</f>
        <v>1</v>
      </c>
      <c r="F50" s="160"/>
      <c r="G50" s="161"/>
      <c r="H50" s="162">
        <f>SUM(H49)</f>
        <v>30000000</v>
      </c>
      <c r="I50" s="162">
        <f>SUM(I49)</f>
        <v>30000000</v>
      </c>
      <c r="J50" s="162"/>
      <c r="K50" s="162"/>
      <c r="L50" s="162"/>
      <c r="M50" s="162"/>
      <c r="N50" s="162">
        <f t="shared" ref="N50:Z50" si="87">SUM(N49)</f>
        <v>317100</v>
      </c>
      <c r="O50" s="162">
        <f t="shared" si="87"/>
        <v>0</v>
      </c>
      <c r="P50" s="162">
        <f t="shared" si="87"/>
        <v>0</v>
      </c>
      <c r="Q50" s="162">
        <f t="shared" si="87"/>
        <v>317100</v>
      </c>
      <c r="R50" s="162">
        <f t="shared" si="87"/>
        <v>31710</v>
      </c>
      <c r="S50" s="162">
        <f t="shared" si="87"/>
        <v>285390</v>
      </c>
      <c r="T50" s="162">
        <f t="shared" si="87"/>
        <v>4411.826086956522</v>
      </c>
      <c r="U50" s="162">
        <f t="shared" si="87"/>
        <v>14889.91304347826</v>
      </c>
      <c r="V50" s="162">
        <f t="shared" si="87"/>
        <v>12408.26086956522</v>
      </c>
      <c r="W50" s="162">
        <f t="shared" si="87"/>
        <v>31710.000000000004</v>
      </c>
      <c r="X50" s="162">
        <f t="shared" si="87"/>
        <v>0</v>
      </c>
      <c r="Y50" s="162">
        <f t="shared" si="87"/>
        <v>1240.8260869565217</v>
      </c>
      <c r="Z50" s="162">
        <f t="shared" si="87"/>
        <v>1186.8771266540643</v>
      </c>
    </row>
    <row r="51" spans="1:26" x14ac:dyDescent="0.2">
      <c r="A51" s="74">
        <v>12</v>
      </c>
      <c r="B51" s="107" t="s">
        <v>111</v>
      </c>
      <c r="C51" s="107" t="s">
        <v>125</v>
      </c>
      <c r="D51" s="110">
        <v>44336</v>
      </c>
      <c r="E51" s="74">
        <v>1</v>
      </c>
      <c r="F51" s="107" t="s">
        <v>126</v>
      </c>
      <c r="G51" s="111">
        <v>1</v>
      </c>
      <c r="H51" s="112">
        <v>69230850</v>
      </c>
      <c r="I51" s="112">
        <f>H51*G51</f>
        <v>69230850</v>
      </c>
      <c r="J51" s="110">
        <v>44315</v>
      </c>
      <c r="K51" s="77">
        <f>IFERROR(VALUE(DAY(J51)&amp;" "&amp;TEXT(EOMONTH(J51,L51)-29,"mmm")&amp;" "&amp;YEAR(EOMONTH(J51,L51)-29)),"-")</f>
        <v>45686</v>
      </c>
      <c r="L51" s="107">
        <v>45</v>
      </c>
      <c r="M51" s="99">
        <v>15.93</v>
      </c>
      <c r="N51" s="81">
        <f t="shared" ref="N51:N52" si="88">M51*H51/1000</f>
        <v>1102847.4405</v>
      </c>
      <c r="O51" s="81"/>
      <c r="P51" s="81"/>
      <c r="Q51" s="81">
        <f t="shared" ref="Q51:Q52" si="89">N51+O51+P51</f>
        <v>1102847.4405</v>
      </c>
      <c r="R51" s="81">
        <f t="shared" ref="R51:R52" si="90">10%*N51</f>
        <v>110284.74405000001</v>
      </c>
      <c r="S51" s="81">
        <f t="shared" ref="S51:S52" si="91">Q51-R51</f>
        <v>992562.69645000005</v>
      </c>
      <c r="T51" s="42"/>
      <c r="U51" s="1"/>
      <c r="V51" s="34"/>
      <c r="W51" s="35"/>
      <c r="X51" s="35"/>
      <c r="Y51" s="35"/>
      <c r="Z51" s="41"/>
    </row>
    <row r="52" spans="1:26" x14ac:dyDescent="0.2">
      <c r="A52" s="74"/>
      <c r="B52" s="107"/>
      <c r="C52" s="107"/>
      <c r="D52" s="110"/>
      <c r="E52" s="74">
        <v>1</v>
      </c>
      <c r="F52" s="107" t="s">
        <v>127</v>
      </c>
      <c r="G52" s="111">
        <v>1</v>
      </c>
      <c r="H52" s="112">
        <v>82219772</v>
      </c>
      <c r="I52" s="112">
        <f>H52*G52</f>
        <v>82219772</v>
      </c>
      <c r="J52" s="110">
        <v>44307</v>
      </c>
      <c r="K52" s="77">
        <f>IFERROR(VALUE(DAY(J52)&amp;" "&amp;TEXT(EOMONTH(J52,L52)-29,"mmm")&amp;" "&amp;YEAR(EOMONTH(J52,L52)-29)),"-")</f>
        <v>46742</v>
      </c>
      <c r="L52" s="107">
        <v>80</v>
      </c>
      <c r="M52" s="99">
        <v>25.48</v>
      </c>
      <c r="N52" s="81">
        <f t="shared" si="88"/>
        <v>2094959.7905599999</v>
      </c>
      <c r="O52" s="81"/>
      <c r="P52" s="81"/>
      <c r="Q52" s="81">
        <f t="shared" si="89"/>
        <v>2094959.7905599999</v>
      </c>
      <c r="R52" s="81">
        <f t="shared" si="90"/>
        <v>209495.97905600001</v>
      </c>
      <c r="S52" s="81">
        <f t="shared" si="91"/>
        <v>1885463.8115039999</v>
      </c>
      <c r="T52" s="42"/>
      <c r="U52" s="1"/>
      <c r="V52" s="34"/>
      <c r="W52" s="35"/>
      <c r="X52" s="35"/>
      <c r="Y52" s="35"/>
      <c r="Z52" s="41"/>
    </row>
    <row r="53" spans="1:26" x14ac:dyDescent="0.2">
      <c r="A53" s="88"/>
      <c r="B53" s="84"/>
      <c r="C53" s="84"/>
      <c r="D53" s="84"/>
      <c r="E53" s="88">
        <f>SUM(E51:E52)</f>
        <v>2</v>
      </c>
      <c r="F53" s="84"/>
      <c r="G53" s="115"/>
      <c r="H53" s="79">
        <f t="shared" ref="H53:I53" si="92">SUM(H51:H52)</f>
        <v>151450622</v>
      </c>
      <c r="I53" s="79">
        <f t="shared" si="92"/>
        <v>151450622</v>
      </c>
      <c r="J53" s="59"/>
      <c r="K53" s="59"/>
      <c r="L53" s="59"/>
      <c r="M53" s="59"/>
      <c r="N53" s="79">
        <f t="shared" ref="N53:Z53" si="93">SUM(N51:N52)</f>
        <v>3197807.2310600001</v>
      </c>
      <c r="O53" s="79">
        <f t="shared" si="93"/>
        <v>0</v>
      </c>
      <c r="P53" s="79">
        <f t="shared" si="93"/>
        <v>0</v>
      </c>
      <c r="Q53" s="79">
        <f t="shared" si="93"/>
        <v>3197807.2310600001</v>
      </c>
      <c r="R53" s="79"/>
      <c r="S53" s="79">
        <f t="shared" si="93"/>
        <v>2878026.507954</v>
      </c>
      <c r="T53" s="79">
        <f t="shared" si="93"/>
        <v>0</v>
      </c>
      <c r="U53" s="79">
        <f t="shared" si="93"/>
        <v>0</v>
      </c>
      <c r="V53" s="79">
        <f t="shared" si="93"/>
        <v>0</v>
      </c>
      <c r="W53" s="79">
        <f t="shared" si="93"/>
        <v>0</v>
      </c>
      <c r="X53" s="79">
        <f t="shared" si="93"/>
        <v>0</v>
      </c>
      <c r="Y53" s="79">
        <f t="shared" si="93"/>
        <v>0</v>
      </c>
      <c r="Z53" s="79">
        <f t="shared" si="93"/>
        <v>0</v>
      </c>
    </row>
    <row r="54" spans="1:26" ht="12.75" x14ac:dyDescent="0.2">
      <c r="A54" s="154">
        <v>13</v>
      </c>
      <c r="B54" s="155" t="s">
        <v>128</v>
      </c>
      <c r="C54" s="155" t="s">
        <v>129</v>
      </c>
      <c r="D54" s="156">
        <v>44347</v>
      </c>
      <c r="E54" s="154">
        <v>1</v>
      </c>
      <c r="F54" s="155" t="s">
        <v>130</v>
      </c>
      <c r="G54" s="111">
        <v>1</v>
      </c>
      <c r="H54" s="112">
        <v>1000000000</v>
      </c>
      <c r="I54" s="112">
        <f>H54*G54</f>
        <v>1000000000</v>
      </c>
      <c r="J54" s="110">
        <v>44327</v>
      </c>
      <c r="K54" s="77">
        <f>IFERROR(VALUE(DAY(J54)&amp;" "&amp;TEXT(EOMONTH(J54,L54)-29,"mmm")&amp;" "&amp;YEAR(EOMONTH(J54,L54)-29)),"-")</f>
        <v>45241</v>
      </c>
      <c r="L54" s="107">
        <v>30</v>
      </c>
      <c r="M54" s="99">
        <v>30.71</v>
      </c>
      <c r="N54" s="81">
        <f t="shared" ref="N54" si="94">M54*H54/1000</f>
        <v>30710000</v>
      </c>
      <c r="O54" s="81"/>
      <c r="P54" s="81"/>
      <c r="Q54" s="81">
        <f t="shared" ref="Q54" si="95">N54+O54+P54</f>
        <v>30710000</v>
      </c>
      <c r="R54" s="81">
        <f t="shared" ref="R54" si="96">10%*N54</f>
        <v>3071000</v>
      </c>
      <c r="S54" s="81">
        <f t="shared" ref="S54" si="97">Q54-R54</f>
        <v>27639000</v>
      </c>
      <c r="T54" s="42">
        <f>R54*10%+Y54</f>
        <v>402406.89655172417</v>
      </c>
      <c r="U54" s="1">
        <f t="shared" ref="U54:U72" si="98">Y54*12</f>
        <v>1143682.7586206896</v>
      </c>
      <c r="V54" s="34">
        <f t="shared" ref="V54:V72" si="99">R54-T54-U54</f>
        <v>1524910.3448275863</v>
      </c>
      <c r="W54" s="35">
        <f t="shared" ref="W54:W72" si="100">T54+U54+V54</f>
        <v>3071000</v>
      </c>
      <c r="X54" s="35">
        <f t="shared" ref="X54:X72" si="101">R54-W54</f>
        <v>0</v>
      </c>
      <c r="Y54" s="35">
        <v>95306.896551724145</v>
      </c>
      <c r="Z54" s="41">
        <f t="shared" ref="Z54:Z72" si="102">(R54-T54)/(L54-1)</f>
        <v>92020.451843043993</v>
      </c>
    </row>
    <row r="55" spans="1:26" ht="12.75" x14ac:dyDescent="0.2">
      <c r="A55" s="159"/>
      <c r="B55" s="160"/>
      <c r="C55" s="160"/>
      <c r="D55" s="160"/>
      <c r="E55" s="159">
        <f>SUM(E54)</f>
        <v>1</v>
      </c>
      <c r="F55" s="160"/>
      <c r="G55" s="161"/>
      <c r="H55" s="162">
        <f>SUM(H54)</f>
        <v>1000000000</v>
      </c>
      <c r="I55" s="162">
        <f>SUM(I54)</f>
        <v>1000000000</v>
      </c>
      <c r="J55" s="162"/>
      <c r="K55" s="162"/>
      <c r="L55" s="162"/>
      <c r="M55" s="162"/>
      <c r="N55" s="162">
        <f t="shared" ref="N55:Z55" si="103">SUM(N54)</f>
        <v>30710000</v>
      </c>
      <c r="O55" s="162">
        <f t="shared" si="103"/>
        <v>0</v>
      </c>
      <c r="P55" s="162">
        <f t="shared" si="103"/>
        <v>0</v>
      </c>
      <c r="Q55" s="162">
        <f t="shared" si="103"/>
        <v>30710000</v>
      </c>
      <c r="R55" s="162">
        <f t="shared" si="103"/>
        <v>3071000</v>
      </c>
      <c r="S55" s="162">
        <f t="shared" si="103"/>
        <v>27639000</v>
      </c>
      <c r="T55" s="162">
        <f t="shared" si="103"/>
        <v>402406.89655172417</v>
      </c>
      <c r="U55" s="162">
        <f t="shared" si="103"/>
        <v>1143682.7586206896</v>
      </c>
      <c r="V55" s="162">
        <f t="shared" si="103"/>
        <v>1524910.3448275863</v>
      </c>
      <c r="W55" s="162">
        <f t="shared" si="103"/>
        <v>3071000</v>
      </c>
      <c r="X55" s="162">
        <f t="shared" si="103"/>
        <v>0</v>
      </c>
      <c r="Y55" s="162">
        <f t="shared" si="103"/>
        <v>95306.896551724145</v>
      </c>
      <c r="Z55" s="162">
        <f t="shared" si="103"/>
        <v>92020.451843043993</v>
      </c>
    </row>
    <row r="56" spans="1:26" ht="12.75" x14ac:dyDescent="0.2">
      <c r="A56" s="154">
        <v>14</v>
      </c>
      <c r="B56" s="155" t="s">
        <v>128</v>
      </c>
      <c r="C56" s="155" t="s">
        <v>131</v>
      </c>
      <c r="D56" s="156">
        <v>44347</v>
      </c>
      <c r="E56" s="154">
        <v>1</v>
      </c>
      <c r="F56" s="155" t="s">
        <v>132</v>
      </c>
      <c r="G56" s="111">
        <v>1</v>
      </c>
      <c r="H56" s="112">
        <v>170000000</v>
      </c>
      <c r="I56" s="112">
        <f>H56*G56</f>
        <v>170000000</v>
      </c>
      <c r="J56" s="110">
        <v>44319</v>
      </c>
      <c r="K56" s="77">
        <f>IFERROR(VALUE(DAY(J56)&amp;" "&amp;TEXT(EOMONTH(J56,L56)-29,"mmm")&amp;" "&amp;YEAR(EOMONTH(J56,L56)-29)),"-")</f>
        <v>46145</v>
      </c>
      <c r="L56" s="107">
        <v>60</v>
      </c>
      <c r="M56" s="169">
        <v>13.65</v>
      </c>
      <c r="N56" s="81">
        <f t="shared" ref="N56:N69" si="104">M56*H56/1000</f>
        <v>2320500</v>
      </c>
      <c r="O56" s="81"/>
      <c r="P56" s="81"/>
      <c r="Q56" s="81">
        <f t="shared" ref="Q56:Q69" si="105">N56+O56+P56</f>
        <v>2320500</v>
      </c>
      <c r="R56" s="81">
        <f t="shared" ref="R56:R69" si="106">10%*N56</f>
        <v>232050</v>
      </c>
      <c r="S56" s="81">
        <f t="shared" ref="S56:S69" si="107">Q56-R56</f>
        <v>2088450</v>
      </c>
      <c r="T56" s="42">
        <f t="shared" ref="T56:T69" si="108">R56*10%+Y56</f>
        <v>26744.745762711864</v>
      </c>
      <c r="U56" s="1">
        <f t="shared" si="98"/>
        <v>42476.949152542373</v>
      </c>
      <c r="V56" s="34">
        <f t="shared" si="99"/>
        <v>162828.30508474578</v>
      </c>
      <c r="W56" s="35">
        <f t="shared" si="100"/>
        <v>232050</v>
      </c>
      <c r="X56" s="35">
        <f t="shared" si="101"/>
        <v>0</v>
      </c>
      <c r="Y56" s="35">
        <v>3539.7457627118642</v>
      </c>
      <c r="Z56" s="41">
        <f t="shared" si="102"/>
        <v>3479.7500718184433</v>
      </c>
    </row>
    <row r="57" spans="1:26" ht="12.75" x14ac:dyDescent="0.2">
      <c r="A57" s="164"/>
      <c r="B57" s="165"/>
      <c r="C57" s="165"/>
      <c r="D57" s="165"/>
      <c r="E57" s="154">
        <v>1</v>
      </c>
      <c r="F57" s="155" t="s">
        <v>133</v>
      </c>
      <c r="G57" s="111">
        <v>1</v>
      </c>
      <c r="H57" s="112">
        <v>250000000</v>
      </c>
      <c r="I57" s="112">
        <f t="shared" ref="I57:I69" si="109">H57*G57</f>
        <v>250000000</v>
      </c>
      <c r="J57" s="110">
        <v>44320</v>
      </c>
      <c r="K57" s="77">
        <f t="shared" ref="K57:K69" si="110">IFERROR(VALUE(DAY(J57)&amp;" "&amp;TEXT(EOMONTH(J57,L57)-29,"mmm")&amp;" "&amp;YEAR(EOMONTH(J57,L57)-29)),"-")</f>
        <v>45781</v>
      </c>
      <c r="L57" s="107">
        <v>48</v>
      </c>
      <c r="M57" s="169">
        <v>11.38</v>
      </c>
      <c r="N57" s="81">
        <f t="shared" si="104"/>
        <v>2845000</v>
      </c>
      <c r="O57" s="81"/>
      <c r="P57" s="81"/>
      <c r="Q57" s="81">
        <f t="shared" si="105"/>
        <v>2845000</v>
      </c>
      <c r="R57" s="81">
        <f t="shared" si="106"/>
        <v>284500</v>
      </c>
      <c r="S57" s="81">
        <f t="shared" si="107"/>
        <v>2560500</v>
      </c>
      <c r="T57" s="42">
        <f t="shared" si="108"/>
        <v>33897.872340425529</v>
      </c>
      <c r="U57" s="1">
        <f t="shared" si="98"/>
        <v>65374.468085106375</v>
      </c>
      <c r="V57" s="34">
        <f t="shared" si="99"/>
        <v>185227.6595744681</v>
      </c>
      <c r="W57" s="35">
        <f t="shared" si="100"/>
        <v>284500</v>
      </c>
      <c r="X57" s="35">
        <f t="shared" si="101"/>
        <v>0</v>
      </c>
      <c r="Y57" s="35">
        <v>5447.8723404255315</v>
      </c>
      <c r="Z57" s="41">
        <f t="shared" si="102"/>
        <v>5331.9601629696699</v>
      </c>
    </row>
    <row r="58" spans="1:26" ht="12.75" x14ac:dyDescent="0.2">
      <c r="A58" s="166"/>
      <c r="B58" s="166"/>
      <c r="C58" s="166"/>
      <c r="D58" s="167"/>
      <c r="E58" s="154">
        <v>1</v>
      </c>
      <c r="F58" s="155" t="s">
        <v>134</v>
      </c>
      <c r="G58" s="111">
        <v>1</v>
      </c>
      <c r="H58" s="112">
        <v>315000000</v>
      </c>
      <c r="I58" s="112">
        <f t="shared" si="109"/>
        <v>315000000</v>
      </c>
      <c r="J58" s="110">
        <v>44319</v>
      </c>
      <c r="K58" s="77">
        <f t="shared" si="110"/>
        <v>49798</v>
      </c>
      <c r="L58" s="107">
        <v>180</v>
      </c>
      <c r="M58" s="169">
        <v>37.520000000000003</v>
      </c>
      <c r="N58" s="81">
        <f t="shared" si="104"/>
        <v>11818800.000000002</v>
      </c>
      <c r="O58" s="81"/>
      <c r="P58" s="81"/>
      <c r="Q58" s="81">
        <f t="shared" si="105"/>
        <v>11818800.000000002</v>
      </c>
      <c r="R58" s="81">
        <f t="shared" si="106"/>
        <v>1181880.0000000002</v>
      </c>
      <c r="S58" s="81">
        <f t="shared" si="107"/>
        <v>10636920.000000002</v>
      </c>
      <c r="T58" s="42">
        <f t="shared" si="108"/>
        <v>124130.41340782127</v>
      </c>
      <c r="U58" s="1">
        <f t="shared" si="98"/>
        <v>71308.960893854761</v>
      </c>
      <c r="V58" s="34">
        <f t="shared" si="99"/>
        <v>986440.62569832429</v>
      </c>
      <c r="W58" s="35">
        <f t="shared" si="100"/>
        <v>1181880.0000000002</v>
      </c>
      <c r="X58" s="35">
        <f t="shared" si="101"/>
        <v>0</v>
      </c>
      <c r="Y58" s="35">
        <v>5942.4134078212301</v>
      </c>
      <c r="Z58" s="41">
        <f t="shared" si="102"/>
        <v>5909.2155675540725</v>
      </c>
    </row>
    <row r="59" spans="1:26" ht="12.75" x14ac:dyDescent="0.2">
      <c r="A59" s="168"/>
      <c r="B59" s="168"/>
      <c r="C59" s="168"/>
      <c r="D59" s="107"/>
      <c r="E59" s="154">
        <v>1</v>
      </c>
      <c r="F59" s="155" t="s">
        <v>135</v>
      </c>
      <c r="G59" s="111">
        <v>1</v>
      </c>
      <c r="H59" s="112">
        <v>315000000</v>
      </c>
      <c r="I59" s="112">
        <f t="shared" si="109"/>
        <v>315000000</v>
      </c>
      <c r="J59" s="110">
        <v>44320</v>
      </c>
      <c r="K59" s="77">
        <f t="shared" si="110"/>
        <v>49799</v>
      </c>
      <c r="L59" s="107">
        <v>180</v>
      </c>
      <c r="M59" s="169">
        <v>37.520000000000003</v>
      </c>
      <c r="N59" s="81">
        <f t="shared" si="104"/>
        <v>11818800.000000002</v>
      </c>
      <c r="O59" s="81"/>
      <c r="P59" s="81"/>
      <c r="Q59" s="81">
        <f t="shared" si="105"/>
        <v>11818800.000000002</v>
      </c>
      <c r="R59" s="81">
        <f t="shared" si="106"/>
        <v>1181880.0000000002</v>
      </c>
      <c r="S59" s="81">
        <f t="shared" si="107"/>
        <v>10636920.000000002</v>
      </c>
      <c r="T59" s="42">
        <f t="shared" si="108"/>
        <v>124130.41340782127</v>
      </c>
      <c r="U59" s="1">
        <f t="shared" si="98"/>
        <v>71308.960893854761</v>
      </c>
      <c r="V59" s="34">
        <f t="shared" si="99"/>
        <v>986440.62569832429</v>
      </c>
      <c r="W59" s="35">
        <f t="shared" si="100"/>
        <v>1181880.0000000002</v>
      </c>
      <c r="X59" s="35">
        <f t="shared" si="101"/>
        <v>0</v>
      </c>
      <c r="Y59" s="35">
        <v>5942.4134078212301</v>
      </c>
      <c r="Z59" s="41">
        <f t="shared" si="102"/>
        <v>5909.2155675540725</v>
      </c>
    </row>
    <row r="60" spans="1:26" ht="12.75" x14ac:dyDescent="0.2">
      <c r="A60" s="168"/>
      <c r="B60" s="168"/>
      <c r="C60" s="168"/>
      <c r="D60" s="107"/>
      <c r="E60" s="154">
        <v>1</v>
      </c>
      <c r="F60" s="155" t="s">
        <v>136</v>
      </c>
      <c r="G60" s="111">
        <v>1</v>
      </c>
      <c r="H60" s="112">
        <v>250000000</v>
      </c>
      <c r="I60" s="112">
        <f t="shared" si="109"/>
        <v>250000000</v>
      </c>
      <c r="J60" s="110">
        <v>44320</v>
      </c>
      <c r="K60" s="77">
        <f t="shared" si="110"/>
        <v>47972</v>
      </c>
      <c r="L60" s="107">
        <v>120</v>
      </c>
      <c r="M60" s="169">
        <v>25.48</v>
      </c>
      <c r="N60" s="81">
        <f t="shared" si="104"/>
        <v>6370000</v>
      </c>
      <c r="O60" s="81"/>
      <c r="P60" s="81"/>
      <c r="Q60" s="81">
        <f t="shared" si="105"/>
        <v>6370000</v>
      </c>
      <c r="R60" s="81">
        <f t="shared" si="106"/>
        <v>637000</v>
      </c>
      <c r="S60" s="81">
        <f t="shared" si="107"/>
        <v>5733000</v>
      </c>
      <c r="T60" s="42">
        <f t="shared" si="108"/>
        <v>68517.647058823524</v>
      </c>
      <c r="U60" s="1">
        <f t="shared" si="98"/>
        <v>57811.764705882357</v>
      </c>
      <c r="V60" s="34">
        <f t="shared" si="99"/>
        <v>510670.58823529416</v>
      </c>
      <c r="W60" s="35">
        <f t="shared" si="100"/>
        <v>637000</v>
      </c>
      <c r="X60" s="35">
        <f t="shared" si="101"/>
        <v>0</v>
      </c>
      <c r="Y60" s="35">
        <v>4817.6470588235297</v>
      </c>
      <c r="Z60" s="41">
        <f t="shared" si="102"/>
        <v>4777.1626297577859</v>
      </c>
    </row>
    <row r="61" spans="1:26" ht="12.75" x14ac:dyDescent="0.2">
      <c r="A61" s="168"/>
      <c r="B61" s="168"/>
      <c r="C61" s="168"/>
      <c r="D61" s="107"/>
      <c r="E61" s="154">
        <v>1</v>
      </c>
      <c r="F61" s="155" t="s">
        <v>137</v>
      </c>
      <c r="G61" s="111">
        <v>1</v>
      </c>
      <c r="H61" s="112">
        <v>450000000</v>
      </c>
      <c r="I61" s="112">
        <f t="shared" si="109"/>
        <v>450000000</v>
      </c>
      <c r="J61" s="110">
        <v>44320</v>
      </c>
      <c r="K61" s="77">
        <f t="shared" si="110"/>
        <v>49799</v>
      </c>
      <c r="L61" s="107">
        <v>180</v>
      </c>
      <c r="M61" s="169">
        <v>37.520000000000003</v>
      </c>
      <c r="N61" s="81">
        <f t="shared" si="104"/>
        <v>16884000.000000004</v>
      </c>
      <c r="O61" s="81"/>
      <c r="P61" s="81"/>
      <c r="Q61" s="81">
        <f t="shared" si="105"/>
        <v>16884000.000000004</v>
      </c>
      <c r="R61" s="81">
        <f t="shared" si="106"/>
        <v>1688400.0000000005</v>
      </c>
      <c r="S61" s="81">
        <f t="shared" si="107"/>
        <v>15195600.000000004</v>
      </c>
      <c r="T61" s="42">
        <f t="shared" si="108"/>
        <v>177329.16201117323</v>
      </c>
      <c r="U61" s="1">
        <f t="shared" si="98"/>
        <v>101869.94413407824</v>
      </c>
      <c r="V61" s="34">
        <f t="shared" si="99"/>
        <v>1409200.8938547489</v>
      </c>
      <c r="W61" s="35">
        <f t="shared" si="100"/>
        <v>1688400.0000000005</v>
      </c>
      <c r="X61" s="35">
        <f t="shared" si="101"/>
        <v>0</v>
      </c>
      <c r="Y61" s="35">
        <v>8489.1620111731863</v>
      </c>
      <c r="Z61" s="41">
        <f t="shared" si="102"/>
        <v>8441.7365250772473</v>
      </c>
    </row>
    <row r="62" spans="1:26" ht="12.75" x14ac:dyDescent="0.2">
      <c r="A62" s="168"/>
      <c r="B62" s="168"/>
      <c r="C62" s="168"/>
      <c r="D62" s="107"/>
      <c r="E62" s="154">
        <v>1</v>
      </c>
      <c r="F62" s="155" t="s">
        <v>138</v>
      </c>
      <c r="G62" s="111">
        <v>1</v>
      </c>
      <c r="H62" s="112">
        <v>340000000</v>
      </c>
      <c r="I62" s="112">
        <f t="shared" si="109"/>
        <v>340000000</v>
      </c>
      <c r="J62" s="110">
        <v>44320</v>
      </c>
      <c r="K62" s="77">
        <f t="shared" si="110"/>
        <v>49799</v>
      </c>
      <c r="L62" s="107">
        <v>180</v>
      </c>
      <c r="M62" s="169">
        <v>37.520000000000003</v>
      </c>
      <c r="N62" s="81">
        <f t="shared" si="104"/>
        <v>12756800.000000002</v>
      </c>
      <c r="O62" s="81"/>
      <c r="P62" s="81"/>
      <c r="Q62" s="81">
        <f t="shared" si="105"/>
        <v>12756800.000000002</v>
      </c>
      <c r="R62" s="81">
        <f t="shared" si="106"/>
        <v>1275680.0000000002</v>
      </c>
      <c r="S62" s="81">
        <f t="shared" si="107"/>
        <v>11481120.000000002</v>
      </c>
      <c r="T62" s="42">
        <f t="shared" si="108"/>
        <v>133982.03351955311</v>
      </c>
      <c r="U62" s="1">
        <f t="shared" si="98"/>
        <v>76968.402234636887</v>
      </c>
      <c r="V62" s="34">
        <f t="shared" si="99"/>
        <v>1064729.5642458103</v>
      </c>
      <c r="W62" s="35">
        <f t="shared" si="100"/>
        <v>1275680.0000000002</v>
      </c>
      <c r="X62" s="35">
        <f t="shared" si="101"/>
        <v>0</v>
      </c>
      <c r="Y62" s="35">
        <v>6414.0335195530743</v>
      </c>
      <c r="Z62" s="41">
        <f t="shared" si="102"/>
        <v>6378.2009300583641</v>
      </c>
    </row>
    <row r="63" spans="1:26" ht="12.75" x14ac:dyDescent="0.2">
      <c r="A63" s="168"/>
      <c r="B63" s="168"/>
      <c r="C63" s="168"/>
      <c r="D63" s="107"/>
      <c r="E63" s="154">
        <v>1</v>
      </c>
      <c r="F63" s="155" t="s">
        <v>139</v>
      </c>
      <c r="G63" s="111">
        <v>1</v>
      </c>
      <c r="H63" s="112">
        <v>30000000</v>
      </c>
      <c r="I63" s="112">
        <f t="shared" si="109"/>
        <v>30000000</v>
      </c>
      <c r="J63" s="110">
        <v>44321</v>
      </c>
      <c r="K63" s="77">
        <f t="shared" si="110"/>
        <v>45417</v>
      </c>
      <c r="L63" s="107">
        <v>36</v>
      </c>
      <c r="M63" s="169">
        <v>17.88</v>
      </c>
      <c r="N63" s="81">
        <f t="shared" si="104"/>
        <v>536399.99999999988</v>
      </c>
      <c r="O63" s="81"/>
      <c r="P63" s="81"/>
      <c r="Q63" s="81">
        <f t="shared" si="105"/>
        <v>536399.99999999988</v>
      </c>
      <c r="R63" s="81">
        <f t="shared" si="106"/>
        <v>53639.999999999993</v>
      </c>
      <c r="S63" s="81">
        <f t="shared" si="107"/>
        <v>482759.99999999988</v>
      </c>
      <c r="T63" s="42">
        <f t="shared" si="108"/>
        <v>6743.3142857142857</v>
      </c>
      <c r="U63" s="1">
        <f t="shared" si="98"/>
        <v>16551.771428571425</v>
      </c>
      <c r="V63" s="34">
        <f t="shared" si="99"/>
        <v>30344.91428571428</v>
      </c>
      <c r="W63" s="35">
        <f t="shared" si="100"/>
        <v>53639.999999999985</v>
      </c>
      <c r="X63" s="35">
        <f t="shared" si="101"/>
        <v>0</v>
      </c>
      <c r="Y63" s="35">
        <v>1379.3142857142855</v>
      </c>
      <c r="Z63" s="41">
        <f t="shared" si="102"/>
        <v>1339.9053061224488</v>
      </c>
    </row>
    <row r="64" spans="1:26" ht="12.75" x14ac:dyDescent="0.2">
      <c r="A64" s="168"/>
      <c r="B64" s="168"/>
      <c r="C64" s="168"/>
      <c r="D64" s="107"/>
      <c r="E64" s="154">
        <v>1</v>
      </c>
      <c r="F64" s="155" t="s">
        <v>140</v>
      </c>
      <c r="G64" s="111">
        <v>1</v>
      </c>
      <c r="H64" s="112">
        <v>170000000</v>
      </c>
      <c r="I64" s="112">
        <f t="shared" si="109"/>
        <v>170000000</v>
      </c>
      <c r="J64" s="110">
        <v>44321</v>
      </c>
      <c r="K64" s="77">
        <f t="shared" si="110"/>
        <v>49800</v>
      </c>
      <c r="L64" s="107">
        <v>180</v>
      </c>
      <c r="M64" s="169">
        <v>37.520000000000003</v>
      </c>
      <c r="N64" s="81">
        <f t="shared" si="104"/>
        <v>6378400.0000000009</v>
      </c>
      <c r="O64" s="81"/>
      <c r="P64" s="81"/>
      <c r="Q64" s="81">
        <f t="shared" si="105"/>
        <v>6378400.0000000009</v>
      </c>
      <c r="R64" s="81">
        <f t="shared" si="106"/>
        <v>637840.00000000012</v>
      </c>
      <c r="S64" s="81">
        <f t="shared" si="107"/>
        <v>5740560.0000000009</v>
      </c>
      <c r="T64" s="42">
        <f t="shared" si="108"/>
        <v>66991.016759776554</v>
      </c>
      <c r="U64" s="1">
        <f t="shared" si="98"/>
        <v>38484.201117318444</v>
      </c>
      <c r="V64" s="34">
        <f t="shared" si="99"/>
        <v>532364.78212290513</v>
      </c>
      <c r="W64" s="35">
        <f t="shared" si="100"/>
        <v>637840.00000000012</v>
      </c>
      <c r="X64" s="35">
        <f t="shared" si="101"/>
        <v>0</v>
      </c>
      <c r="Y64" s="35">
        <v>3207.0167597765371</v>
      </c>
      <c r="Z64" s="41">
        <f t="shared" si="102"/>
        <v>3189.100465029182</v>
      </c>
    </row>
    <row r="65" spans="1:26" ht="12.75" x14ac:dyDescent="0.2">
      <c r="A65" s="168"/>
      <c r="B65" s="168"/>
      <c r="C65" s="168"/>
      <c r="D65" s="107"/>
      <c r="E65" s="154">
        <v>1</v>
      </c>
      <c r="F65" s="155" t="s">
        <v>141</v>
      </c>
      <c r="G65" s="111">
        <v>1</v>
      </c>
      <c r="H65" s="112">
        <v>40000000</v>
      </c>
      <c r="I65" s="112">
        <f t="shared" si="109"/>
        <v>40000000</v>
      </c>
      <c r="J65" s="110">
        <v>44322</v>
      </c>
      <c r="K65" s="77">
        <f t="shared" si="110"/>
        <v>45418</v>
      </c>
      <c r="L65" s="107">
        <v>36</v>
      </c>
      <c r="M65" s="169">
        <v>9.1</v>
      </c>
      <c r="N65" s="81">
        <f t="shared" si="104"/>
        <v>364000</v>
      </c>
      <c r="O65" s="81"/>
      <c r="P65" s="81"/>
      <c r="Q65" s="81">
        <f t="shared" si="105"/>
        <v>364000</v>
      </c>
      <c r="R65" s="81">
        <f t="shared" si="106"/>
        <v>36400</v>
      </c>
      <c r="S65" s="81">
        <f t="shared" si="107"/>
        <v>327600</v>
      </c>
      <c r="T65" s="42">
        <f t="shared" si="108"/>
        <v>4576</v>
      </c>
      <c r="U65" s="1">
        <f t="shared" si="98"/>
        <v>11232</v>
      </c>
      <c r="V65" s="34">
        <f t="shared" si="99"/>
        <v>20592</v>
      </c>
      <c r="W65" s="35">
        <f t="shared" si="100"/>
        <v>36400</v>
      </c>
      <c r="X65" s="35">
        <f t="shared" si="101"/>
        <v>0</v>
      </c>
      <c r="Y65" s="35">
        <v>936</v>
      </c>
      <c r="Z65" s="41">
        <f t="shared" si="102"/>
        <v>909.25714285714287</v>
      </c>
    </row>
    <row r="66" spans="1:26" ht="12.75" x14ac:dyDescent="0.2">
      <c r="A66" s="168"/>
      <c r="B66" s="168"/>
      <c r="C66" s="168"/>
      <c r="D66" s="107"/>
      <c r="E66" s="154">
        <v>1</v>
      </c>
      <c r="F66" s="155" t="s">
        <v>142</v>
      </c>
      <c r="G66" s="111">
        <v>1</v>
      </c>
      <c r="H66" s="112">
        <v>440000000</v>
      </c>
      <c r="I66" s="112">
        <f t="shared" si="109"/>
        <v>440000000</v>
      </c>
      <c r="J66" s="110">
        <v>44323</v>
      </c>
      <c r="K66" s="77">
        <f t="shared" si="110"/>
        <v>49802</v>
      </c>
      <c r="L66" s="107">
        <v>180</v>
      </c>
      <c r="M66" s="169">
        <v>37.520000000000003</v>
      </c>
      <c r="N66" s="81">
        <f t="shared" si="104"/>
        <v>16508800.000000002</v>
      </c>
      <c r="O66" s="81"/>
      <c r="P66" s="81"/>
      <c r="Q66" s="81">
        <f t="shared" si="105"/>
        <v>16508800.000000002</v>
      </c>
      <c r="R66" s="81">
        <f t="shared" si="106"/>
        <v>1650880.0000000002</v>
      </c>
      <c r="S66" s="81">
        <f t="shared" si="107"/>
        <v>14857920.000000002</v>
      </c>
      <c r="T66" s="42">
        <f t="shared" si="108"/>
        <v>173388.51396648047</v>
      </c>
      <c r="U66" s="1">
        <f t="shared" si="98"/>
        <v>99606.167597765379</v>
      </c>
      <c r="V66" s="34">
        <f t="shared" si="99"/>
        <v>1377885.3184357544</v>
      </c>
      <c r="W66" s="35">
        <f t="shared" si="100"/>
        <v>1650880.0000000002</v>
      </c>
      <c r="X66" s="35">
        <f t="shared" si="101"/>
        <v>0</v>
      </c>
      <c r="Y66" s="35">
        <v>8300.5139664804483</v>
      </c>
      <c r="Z66" s="41">
        <f t="shared" si="102"/>
        <v>8254.1423800755292</v>
      </c>
    </row>
    <row r="67" spans="1:26" ht="12.75" x14ac:dyDescent="0.2">
      <c r="A67" s="168"/>
      <c r="B67" s="168"/>
      <c r="C67" s="168"/>
      <c r="D67" s="107"/>
      <c r="E67" s="154">
        <v>1</v>
      </c>
      <c r="F67" s="155" t="s">
        <v>144</v>
      </c>
      <c r="G67" s="111">
        <v>1</v>
      </c>
      <c r="H67" s="112">
        <v>30000000</v>
      </c>
      <c r="I67" s="112">
        <f t="shared" si="109"/>
        <v>30000000</v>
      </c>
      <c r="J67" s="110">
        <v>44323</v>
      </c>
      <c r="K67" s="77">
        <f t="shared" si="110"/>
        <v>45053</v>
      </c>
      <c r="L67" s="107">
        <v>24</v>
      </c>
      <c r="M67" s="169">
        <v>9.1</v>
      </c>
      <c r="N67" s="81">
        <f t="shared" si="104"/>
        <v>273000</v>
      </c>
      <c r="O67" s="81"/>
      <c r="P67" s="81"/>
      <c r="Q67" s="81">
        <f t="shared" si="105"/>
        <v>273000</v>
      </c>
      <c r="R67" s="81">
        <f t="shared" si="106"/>
        <v>27300</v>
      </c>
      <c r="S67" s="81">
        <f t="shared" si="107"/>
        <v>245700</v>
      </c>
      <c r="T67" s="42">
        <f t="shared" si="108"/>
        <v>3798.2608695652175</v>
      </c>
      <c r="U67" s="1">
        <f t="shared" si="98"/>
        <v>12819.13043478261</v>
      </c>
      <c r="V67" s="34">
        <f t="shared" si="99"/>
        <v>10682.608695652174</v>
      </c>
      <c r="W67" s="35">
        <f t="shared" si="100"/>
        <v>27300</v>
      </c>
      <c r="X67" s="35">
        <f t="shared" si="101"/>
        <v>0</v>
      </c>
      <c r="Y67" s="35">
        <v>1068.2608695652175</v>
      </c>
      <c r="Z67" s="41">
        <f t="shared" si="102"/>
        <v>1021.8147448015123</v>
      </c>
    </row>
    <row r="68" spans="1:26" ht="12.75" x14ac:dyDescent="0.2">
      <c r="A68" s="168"/>
      <c r="B68" s="168"/>
      <c r="C68" s="168"/>
      <c r="D68" s="107"/>
      <c r="E68" s="154">
        <v>1</v>
      </c>
      <c r="F68" s="155" t="s">
        <v>143</v>
      </c>
      <c r="G68" s="111">
        <v>1</v>
      </c>
      <c r="H68" s="112">
        <v>200000000</v>
      </c>
      <c r="I68" s="112">
        <f t="shared" si="109"/>
        <v>200000000</v>
      </c>
      <c r="J68" s="110">
        <v>44326</v>
      </c>
      <c r="K68" s="77">
        <f t="shared" si="110"/>
        <v>47978</v>
      </c>
      <c r="L68" s="107">
        <v>120</v>
      </c>
      <c r="M68" s="169">
        <v>25.48</v>
      </c>
      <c r="N68" s="81">
        <f t="shared" si="104"/>
        <v>5096000</v>
      </c>
      <c r="O68" s="81"/>
      <c r="P68" s="81"/>
      <c r="Q68" s="81">
        <f t="shared" si="105"/>
        <v>5096000</v>
      </c>
      <c r="R68" s="81">
        <f t="shared" si="106"/>
        <v>509600</v>
      </c>
      <c r="S68" s="81">
        <f t="shared" si="107"/>
        <v>4586400</v>
      </c>
      <c r="T68" s="42">
        <f t="shared" si="108"/>
        <v>54814.117647058825</v>
      </c>
      <c r="U68" s="1">
        <f t="shared" si="98"/>
        <v>46249.411764705881</v>
      </c>
      <c r="V68" s="34">
        <f t="shared" si="99"/>
        <v>408536.4705882353</v>
      </c>
      <c r="W68" s="35">
        <f t="shared" si="100"/>
        <v>509600</v>
      </c>
      <c r="X68" s="35">
        <f t="shared" si="101"/>
        <v>0</v>
      </c>
      <c r="Y68" s="35">
        <v>3854.1176470588234</v>
      </c>
      <c r="Z68" s="41">
        <f t="shared" si="102"/>
        <v>3821.7301038062287</v>
      </c>
    </row>
    <row r="69" spans="1:26" ht="12.75" x14ac:dyDescent="0.2">
      <c r="A69" s="168"/>
      <c r="B69" s="168"/>
      <c r="C69" s="168"/>
      <c r="D69" s="107"/>
      <c r="E69" s="154">
        <v>1</v>
      </c>
      <c r="F69" s="155" t="s">
        <v>145</v>
      </c>
      <c r="G69" s="111">
        <v>1</v>
      </c>
      <c r="H69" s="112">
        <v>265000000</v>
      </c>
      <c r="I69" s="112">
        <f t="shared" si="109"/>
        <v>265000000</v>
      </c>
      <c r="J69" s="110">
        <v>44326</v>
      </c>
      <c r="K69" s="77">
        <f t="shared" si="110"/>
        <v>48497</v>
      </c>
      <c r="L69" s="107">
        <v>137</v>
      </c>
      <c r="M69" s="169">
        <v>30.46</v>
      </c>
      <c r="N69" s="81">
        <f t="shared" si="104"/>
        <v>8071900</v>
      </c>
      <c r="O69" s="81"/>
      <c r="P69" s="81"/>
      <c r="Q69" s="81">
        <f t="shared" si="105"/>
        <v>8071900</v>
      </c>
      <c r="R69" s="81">
        <f t="shared" si="106"/>
        <v>807190</v>
      </c>
      <c r="S69" s="81">
        <f t="shared" si="107"/>
        <v>7264710</v>
      </c>
      <c r="T69" s="42">
        <f t="shared" si="108"/>
        <v>86060.698529411762</v>
      </c>
      <c r="U69" s="1">
        <f t="shared" si="98"/>
        <v>64100.382352941175</v>
      </c>
      <c r="V69" s="34">
        <f t="shared" si="99"/>
        <v>657028.91911764699</v>
      </c>
      <c r="W69" s="35">
        <f t="shared" si="100"/>
        <v>807190</v>
      </c>
      <c r="X69" s="35">
        <f t="shared" si="101"/>
        <v>0</v>
      </c>
      <c r="Y69" s="35">
        <v>5341.6985294117649</v>
      </c>
      <c r="Z69" s="41">
        <f t="shared" si="102"/>
        <v>5302.4213343425599</v>
      </c>
    </row>
    <row r="70" spans="1:26" x14ac:dyDescent="0.2">
      <c r="A70" s="83"/>
      <c r="B70" s="83"/>
      <c r="C70" s="83"/>
      <c r="D70" s="84"/>
      <c r="E70" s="93">
        <f>SUM(E56:E69)</f>
        <v>14</v>
      </c>
      <c r="F70" s="83"/>
      <c r="G70" s="83"/>
      <c r="H70" s="92">
        <f>SUM(H56:H69)</f>
        <v>3265000000</v>
      </c>
      <c r="I70" s="92">
        <f t="shared" ref="I70:Z70" si="111">SUM(I56:I69)</f>
        <v>3265000000</v>
      </c>
      <c r="J70" s="92"/>
      <c r="K70" s="92"/>
      <c r="L70" s="92"/>
      <c r="M70" s="92"/>
      <c r="N70" s="92">
        <f t="shared" si="111"/>
        <v>102042400</v>
      </c>
      <c r="O70" s="92">
        <f t="shared" si="111"/>
        <v>0</v>
      </c>
      <c r="P70" s="92">
        <f t="shared" si="111"/>
        <v>0</v>
      </c>
      <c r="Q70" s="92">
        <f t="shared" si="111"/>
        <v>102042400</v>
      </c>
      <c r="R70" s="92">
        <f t="shared" si="111"/>
        <v>10204240.000000002</v>
      </c>
      <c r="S70" s="92">
        <f t="shared" si="111"/>
        <v>91838160.000000015</v>
      </c>
      <c r="T70" s="92">
        <f t="shared" si="111"/>
        <v>1085104.2095663368</v>
      </c>
      <c r="U70" s="92">
        <f t="shared" si="111"/>
        <v>776162.5147960406</v>
      </c>
      <c r="V70" s="92">
        <f t="shared" si="111"/>
        <v>8342973.2756376257</v>
      </c>
      <c r="W70" s="92">
        <f t="shared" si="111"/>
        <v>10204240.000000002</v>
      </c>
      <c r="X70" s="92">
        <f t="shared" si="111"/>
        <v>0</v>
      </c>
      <c r="Y70" s="92">
        <f t="shared" si="111"/>
        <v>64680.209566336722</v>
      </c>
      <c r="Z70" s="92">
        <f t="shared" si="111"/>
        <v>64065.61293182426</v>
      </c>
    </row>
    <row r="71" spans="1:26" x14ac:dyDescent="0.2">
      <c r="A71" s="74">
        <v>15</v>
      </c>
      <c r="B71" s="107" t="s">
        <v>49</v>
      </c>
      <c r="C71" s="107" t="s">
        <v>156</v>
      </c>
      <c r="D71" s="110">
        <v>44347</v>
      </c>
      <c r="E71" s="74">
        <v>1</v>
      </c>
      <c r="F71" s="107" t="s">
        <v>157</v>
      </c>
      <c r="G71" s="111">
        <v>1</v>
      </c>
      <c r="H71" s="112">
        <v>250000000</v>
      </c>
      <c r="I71" s="112">
        <f>H71*G71</f>
        <v>250000000</v>
      </c>
      <c r="J71" s="110">
        <v>44320</v>
      </c>
      <c r="K71" s="77">
        <f>IFERROR(VALUE(DAY(J71)&amp;" "&amp;TEXT(EOMONTH(J71,L71)-29,"mmm")&amp;" "&amp;YEAR(EOMONTH(J71,L71)-29)),"-")</f>
        <v>48338</v>
      </c>
      <c r="L71" s="107">
        <v>132</v>
      </c>
      <c r="M71" s="99">
        <v>27.98</v>
      </c>
      <c r="N71" s="81">
        <f t="shared" ref="N71:N72" si="112">M71*H71/1000</f>
        <v>6995000</v>
      </c>
      <c r="O71" s="81"/>
      <c r="P71" s="81"/>
      <c r="Q71" s="81">
        <f t="shared" ref="Q71:Q72" si="113">N71+O71+P71</f>
        <v>6995000</v>
      </c>
      <c r="R71" s="81">
        <f t="shared" ref="R71:R72" si="114">10%*N71</f>
        <v>699500</v>
      </c>
      <c r="S71" s="81">
        <f t="shared" ref="S71:S72" si="115">Q71-R71</f>
        <v>6295500</v>
      </c>
      <c r="T71" s="42">
        <f t="shared" ref="T71:T72" si="116">R71*10%+Y71</f>
        <v>74755.725190839701</v>
      </c>
      <c r="U71" s="1">
        <f t="shared" si="98"/>
        <v>57668.70229007634</v>
      </c>
      <c r="V71" s="34">
        <f t="shared" si="99"/>
        <v>567075.57251908397</v>
      </c>
      <c r="W71" s="35">
        <f t="shared" si="100"/>
        <v>699500</v>
      </c>
      <c r="X71" s="35">
        <f t="shared" si="101"/>
        <v>0</v>
      </c>
      <c r="Y71" s="35">
        <v>4805.7251908396947</v>
      </c>
      <c r="Z71" s="41">
        <f t="shared" si="102"/>
        <v>4769.0402657187806</v>
      </c>
    </row>
    <row r="72" spans="1:26" x14ac:dyDescent="0.2">
      <c r="A72" s="74"/>
      <c r="B72" s="107"/>
      <c r="C72" s="107"/>
      <c r="D72" s="110"/>
      <c r="E72" s="74">
        <v>1</v>
      </c>
      <c r="F72" s="107" t="s">
        <v>158</v>
      </c>
      <c r="G72" s="111">
        <v>1</v>
      </c>
      <c r="H72" s="112">
        <v>60000000</v>
      </c>
      <c r="I72" s="112">
        <f>H72*G72</f>
        <v>60000000</v>
      </c>
      <c r="J72" s="110">
        <v>44320</v>
      </c>
      <c r="K72" s="77">
        <f>IFERROR(VALUE(DAY(J72)&amp;" "&amp;TEXT(EOMONTH(J72,L72)-29,"mmm")&amp;" "&amp;YEAR(EOMONTH(J72,L72)-29)),"-")</f>
        <v>46146</v>
      </c>
      <c r="L72" s="107">
        <v>60</v>
      </c>
      <c r="M72" s="99">
        <v>13.65</v>
      </c>
      <c r="N72" s="81">
        <f t="shared" si="112"/>
        <v>819000</v>
      </c>
      <c r="O72" s="81"/>
      <c r="P72" s="81"/>
      <c r="Q72" s="81">
        <f t="shared" si="113"/>
        <v>819000</v>
      </c>
      <c r="R72" s="81">
        <f t="shared" si="114"/>
        <v>81900</v>
      </c>
      <c r="S72" s="81">
        <f t="shared" si="115"/>
        <v>737100</v>
      </c>
      <c r="T72" s="42">
        <f t="shared" si="116"/>
        <v>9439.3220338983047</v>
      </c>
      <c r="U72" s="1">
        <f t="shared" si="98"/>
        <v>14991.864406779661</v>
      </c>
      <c r="V72" s="34">
        <f t="shared" si="99"/>
        <v>57468.813559322029</v>
      </c>
      <c r="W72" s="35">
        <f t="shared" si="100"/>
        <v>81900</v>
      </c>
      <c r="X72" s="35">
        <f t="shared" si="101"/>
        <v>0</v>
      </c>
      <c r="Y72" s="35">
        <v>1249.3220338983051</v>
      </c>
      <c r="Z72" s="41">
        <f t="shared" si="102"/>
        <v>1228.1470841712151</v>
      </c>
    </row>
    <row r="73" spans="1:26" x14ac:dyDescent="0.2">
      <c r="A73" s="88"/>
      <c r="B73" s="84"/>
      <c r="C73" s="84"/>
      <c r="D73" s="84"/>
      <c r="E73" s="88">
        <f>SUM(E71:E72)</f>
        <v>2</v>
      </c>
      <c r="F73" s="84"/>
      <c r="G73" s="115"/>
      <c r="H73" s="79">
        <f t="shared" ref="H73:I73" si="117">SUM(H71:H72)</f>
        <v>310000000</v>
      </c>
      <c r="I73" s="79">
        <f t="shared" si="117"/>
        <v>310000000</v>
      </c>
      <c r="J73" s="59"/>
      <c r="K73" s="59"/>
      <c r="L73" s="59"/>
      <c r="M73" s="59"/>
      <c r="N73" s="79">
        <f t="shared" ref="N73:Z73" si="118">SUM(N71:N72)</f>
        <v>7814000</v>
      </c>
      <c r="O73" s="79">
        <f t="shared" si="118"/>
        <v>0</v>
      </c>
      <c r="P73" s="79">
        <f t="shared" si="118"/>
        <v>0</v>
      </c>
      <c r="Q73" s="79">
        <f t="shared" si="118"/>
        <v>7814000</v>
      </c>
      <c r="R73" s="79">
        <f t="shared" si="118"/>
        <v>781400</v>
      </c>
      <c r="S73" s="79">
        <f t="shared" si="118"/>
        <v>7032600</v>
      </c>
      <c r="T73" s="79">
        <f t="shared" si="118"/>
        <v>84195.047224738009</v>
      </c>
      <c r="U73" s="79">
        <f t="shared" si="118"/>
        <v>72660.566696855996</v>
      </c>
      <c r="V73" s="79">
        <f t="shared" si="118"/>
        <v>624544.38607840601</v>
      </c>
      <c r="W73" s="79">
        <f t="shared" si="118"/>
        <v>781400</v>
      </c>
      <c r="X73" s="79">
        <f t="shared" si="118"/>
        <v>0</v>
      </c>
      <c r="Y73" s="79">
        <f t="shared" si="118"/>
        <v>6055.0472247380003</v>
      </c>
      <c r="Z73" s="79">
        <f t="shared" si="118"/>
        <v>5997.1873498899959</v>
      </c>
    </row>
    <row r="74" spans="1:26" x14ac:dyDescent="0.2">
      <c r="A74" s="83"/>
      <c r="B74" s="83"/>
      <c r="C74" s="83" t="s">
        <v>147</v>
      </c>
      <c r="D74" s="84"/>
      <c r="E74" s="85">
        <f>E70+E55+E53+E50+E73</f>
        <v>20</v>
      </c>
      <c r="F74" s="87">
        <f t="shared" ref="F74:S74" si="119">F70+F55+F53+F50+F73</f>
        <v>0</v>
      </c>
      <c r="G74" s="87">
        <f t="shared" si="119"/>
        <v>0</v>
      </c>
      <c r="H74" s="87">
        <f t="shared" si="119"/>
        <v>4756450622</v>
      </c>
      <c r="I74" s="87">
        <f t="shared" si="119"/>
        <v>4756450622</v>
      </c>
      <c r="J74" s="87">
        <f t="shared" si="119"/>
        <v>0</v>
      </c>
      <c r="K74" s="87">
        <f t="shared" si="119"/>
        <v>0</v>
      </c>
      <c r="L74" s="87">
        <f t="shared" si="119"/>
        <v>0</v>
      </c>
      <c r="M74" s="87">
        <f t="shared" si="119"/>
        <v>0</v>
      </c>
      <c r="N74" s="87">
        <f t="shared" si="119"/>
        <v>144081307.23106</v>
      </c>
      <c r="O74" s="87">
        <f t="shared" si="119"/>
        <v>0</v>
      </c>
      <c r="P74" s="87">
        <f t="shared" si="119"/>
        <v>0</v>
      </c>
      <c r="Q74" s="87">
        <f t="shared" si="119"/>
        <v>144081307.23106</v>
      </c>
      <c r="R74" s="87">
        <f t="shared" si="119"/>
        <v>14088350.000000002</v>
      </c>
      <c r="S74" s="87">
        <f t="shared" si="119"/>
        <v>129673176.50795402</v>
      </c>
      <c r="T74" s="87">
        <f>T70+T55+T53+T50+T73</f>
        <v>1576117.9794297556</v>
      </c>
      <c r="U74" s="87">
        <f t="shared" ref="U74:Z74" si="120">U70+U55+U53+U50+U73</f>
        <v>2007395.7531570643</v>
      </c>
      <c r="V74" s="87">
        <f t="shared" si="120"/>
        <v>10504836.267413182</v>
      </c>
      <c r="W74" s="87">
        <f t="shared" si="120"/>
        <v>14088350.000000002</v>
      </c>
      <c r="X74" s="87">
        <f t="shared" si="120"/>
        <v>0</v>
      </c>
      <c r="Y74" s="87">
        <f t="shared" si="120"/>
        <v>167282.97942975539</v>
      </c>
      <c r="Z74" s="87">
        <f t="shared" si="120"/>
        <v>163270.12925141232</v>
      </c>
    </row>
    <row r="75" spans="1:26" x14ac:dyDescent="0.2">
      <c r="A75" s="83"/>
      <c r="B75" s="83"/>
      <c r="C75" s="83" t="s">
        <v>148</v>
      </c>
      <c r="D75" s="84"/>
      <c r="E75" s="93">
        <f>E74+E43</f>
        <v>25</v>
      </c>
      <c r="F75" s="95">
        <f t="shared" ref="F75:Z75" si="121">F74+F43</f>
        <v>0</v>
      </c>
      <c r="G75" s="95">
        <f t="shared" si="121"/>
        <v>0</v>
      </c>
      <c r="H75" s="95">
        <f t="shared" si="121"/>
        <v>5289450622</v>
      </c>
      <c r="I75" s="95">
        <f t="shared" si="121"/>
        <v>5289450622</v>
      </c>
      <c r="J75" s="95"/>
      <c r="K75" s="95"/>
      <c r="L75" s="95"/>
      <c r="M75" s="95"/>
      <c r="N75" s="95">
        <f t="shared" si="121"/>
        <v>158877545.86488</v>
      </c>
      <c r="O75" s="95">
        <f t="shared" si="121"/>
        <v>300000</v>
      </c>
      <c r="P75" s="95">
        <f t="shared" si="121"/>
        <v>0</v>
      </c>
      <c r="Q75" s="95">
        <f t="shared" si="121"/>
        <v>159177545.86488</v>
      </c>
      <c r="R75" s="95">
        <f t="shared" si="121"/>
        <v>15467847.000000002</v>
      </c>
      <c r="S75" s="95">
        <f t="shared" si="121"/>
        <v>143389918.14177403</v>
      </c>
      <c r="T75" s="95">
        <f t="shared" si="121"/>
        <v>1752532.7354363836</v>
      </c>
      <c r="U75" s="95">
        <f t="shared" si="121"/>
        <v>2238186.0891968324</v>
      </c>
      <c r="V75" s="95">
        <f t="shared" si="121"/>
        <v>11477128.175366785</v>
      </c>
      <c r="W75" s="95">
        <f t="shared" si="121"/>
        <v>15467847.000000002</v>
      </c>
      <c r="X75" s="95">
        <f t="shared" si="121"/>
        <v>0</v>
      </c>
      <c r="Y75" s="95">
        <f t="shared" si="121"/>
        <v>186515.5074330694</v>
      </c>
      <c r="Z75" s="95">
        <f t="shared" si="121"/>
        <v>181758.29443767585</v>
      </c>
    </row>
    <row r="77" spans="1:26" ht="23.25" x14ac:dyDescent="0.2">
      <c r="A77" s="86" t="s">
        <v>176</v>
      </c>
      <c r="B77" s="62"/>
      <c r="C77" s="62"/>
      <c r="D77" s="57"/>
      <c r="E77" s="63"/>
      <c r="F77" s="64"/>
      <c r="G77" s="65"/>
      <c r="H77" s="66"/>
      <c r="I77" s="66"/>
      <c r="J77" s="67"/>
      <c r="K77" s="67"/>
      <c r="L77" s="68"/>
      <c r="M77" s="68"/>
      <c r="N77" s="69"/>
      <c r="O77" s="69"/>
      <c r="P77" s="69"/>
      <c r="Q77" s="69"/>
      <c r="R77" s="69"/>
      <c r="S77" s="69"/>
      <c r="T77" s="70"/>
      <c r="U77" s="71"/>
      <c r="V77" s="71"/>
    </row>
    <row r="78" spans="1:26" x14ac:dyDescent="0.2">
      <c r="A78" s="231" t="s">
        <v>0</v>
      </c>
      <c r="B78" s="232" t="s">
        <v>1</v>
      </c>
      <c r="C78" s="229" t="s">
        <v>2</v>
      </c>
      <c r="D78" s="233" t="s">
        <v>3</v>
      </c>
      <c r="E78" s="234" t="s">
        <v>4</v>
      </c>
      <c r="F78" s="232" t="s">
        <v>5</v>
      </c>
      <c r="G78" s="235" t="s">
        <v>6</v>
      </c>
      <c r="H78" s="236" t="s">
        <v>7</v>
      </c>
      <c r="I78" s="236" t="s">
        <v>8</v>
      </c>
      <c r="J78" s="227" t="s">
        <v>9</v>
      </c>
      <c r="K78" s="227"/>
      <c r="L78" s="228" t="s">
        <v>10</v>
      </c>
      <c r="M78" s="229" t="s">
        <v>11</v>
      </c>
      <c r="N78" s="230" t="s">
        <v>12</v>
      </c>
      <c r="O78" s="230"/>
      <c r="P78" s="230"/>
      <c r="Q78" s="229" t="s">
        <v>13</v>
      </c>
      <c r="R78" s="229" t="s">
        <v>14</v>
      </c>
      <c r="S78" s="229" t="s">
        <v>15</v>
      </c>
      <c r="T78" s="36">
        <v>2021</v>
      </c>
      <c r="U78" s="37"/>
      <c r="V78" s="38" t="s">
        <v>44</v>
      </c>
    </row>
    <row r="79" spans="1:26" x14ac:dyDescent="0.2">
      <c r="A79" s="231"/>
      <c r="B79" s="232"/>
      <c r="C79" s="229"/>
      <c r="D79" s="233"/>
      <c r="E79" s="234"/>
      <c r="F79" s="232"/>
      <c r="G79" s="235"/>
      <c r="H79" s="236"/>
      <c r="I79" s="236"/>
      <c r="J79" s="227"/>
      <c r="K79" s="227"/>
      <c r="L79" s="228"/>
      <c r="M79" s="229"/>
      <c r="N79" s="180" t="s">
        <v>16</v>
      </c>
      <c r="O79" s="180" t="s">
        <v>17</v>
      </c>
      <c r="P79" s="180" t="s">
        <v>18</v>
      </c>
      <c r="Q79" s="229"/>
      <c r="R79" s="229"/>
      <c r="S79" s="229"/>
      <c r="T79" s="96" t="s">
        <v>173</v>
      </c>
      <c r="U79" s="39" t="s">
        <v>167</v>
      </c>
      <c r="V79" s="40"/>
    </row>
    <row r="80" spans="1:26" ht="12.75" x14ac:dyDescent="0.2">
      <c r="A80" s="154">
        <v>16</v>
      </c>
      <c r="B80" s="155" t="s">
        <v>111</v>
      </c>
      <c r="C80" s="155" t="s">
        <v>160</v>
      </c>
      <c r="D80" s="156">
        <v>44361</v>
      </c>
      <c r="E80" s="154">
        <v>1</v>
      </c>
      <c r="F80" s="155" t="s">
        <v>161</v>
      </c>
      <c r="G80" s="175">
        <v>1</v>
      </c>
      <c r="H80" s="176">
        <v>64397514</v>
      </c>
      <c r="I80" s="176">
        <f>H80*G80</f>
        <v>64397514</v>
      </c>
      <c r="J80" s="156">
        <v>44822</v>
      </c>
      <c r="K80" s="177">
        <v>44990</v>
      </c>
      <c r="L80" s="155">
        <v>6</v>
      </c>
      <c r="M80" s="99">
        <v>5.46</v>
      </c>
      <c r="N80" s="81">
        <f t="shared" ref="N80" si="122">M80*H80/1000</f>
        <v>351610.42644000001</v>
      </c>
      <c r="O80" s="81">
        <v>100000</v>
      </c>
      <c r="P80" s="81"/>
      <c r="Q80" s="81">
        <f t="shared" ref="Q80" si="123">N80+O80+P80</f>
        <v>451610.42644000001</v>
      </c>
      <c r="R80" s="81"/>
      <c r="S80" s="81">
        <f t="shared" ref="S80" si="124">Q80-R80</f>
        <v>451610.42644000001</v>
      </c>
      <c r="T80" s="42"/>
      <c r="U80" s="1"/>
      <c r="V80" s="34"/>
      <c r="W80" s="35"/>
      <c r="X80" s="35"/>
    </row>
    <row r="81" spans="1:24" ht="12.75" x14ac:dyDescent="0.2">
      <c r="A81" s="159"/>
      <c r="B81" s="160"/>
      <c r="C81" s="160"/>
      <c r="D81" s="160"/>
      <c r="E81" s="178"/>
      <c r="F81" s="179"/>
      <c r="G81" s="179"/>
      <c r="H81" s="179"/>
      <c r="I81" s="179"/>
      <c r="J81" s="179"/>
      <c r="K81" s="179"/>
      <c r="L81" s="179"/>
      <c r="M81" s="179"/>
      <c r="N81" s="179">
        <f t="shared" ref="N81:X81" si="125">SUM(N80)</f>
        <v>351610.42644000001</v>
      </c>
      <c r="O81" s="179">
        <f t="shared" si="125"/>
        <v>100000</v>
      </c>
      <c r="P81" s="179">
        <f t="shared" si="125"/>
        <v>0</v>
      </c>
      <c r="Q81" s="179">
        <f t="shared" si="125"/>
        <v>451610.42644000001</v>
      </c>
      <c r="R81" s="179">
        <f t="shared" si="125"/>
        <v>0</v>
      </c>
      <c r="S81" s="179">
        <f t="shared" si="125"/>
        <v>451610.42644000001</v>
      </c>
      <c r="T81" s="179">
        <f t="shared" si="125"/>
        <v>0</v>
      </c>
      <c r="U81" s="179">
        <f t="shared" si="125"/>
        <v>0</v>
      </c>
      <c r="V81" s="179">
        <f t="shared" si="125"/>
        <v>0</v>
      </c>
      <c r="W81" s="179">
        <f t="shared" si="125"/>
        <v>0</v>
      </c>
      <c r="X81" s="179">
        <f t="shared" si="125"/>
        <v>0</v>
      </c>
    </row>
    <row r="82" spans="1:24" ht="12.75" x14ac:dyDescent="0.2">
      <c r="A82" s="154">
        <v>17</v>
      </c>
      <c r="B82" s="155" t="s">
        <v>49</v>
      </c>
      <c r="C82" s="155" t="s">
        <v>163</v>
      </c>
      <c r="D82" s="156">
        <v>44377</v>
      </c>
      <c r="E82" s="154">
        <v>1</v>
      </c>
      <c r="F82" s="155" t="s">
        <v>164</v>
      </c>
      <c r="G82" s="175">
        <v>1</v>
      </c>
      <c r="H82" s="176">
        <v>179133550</v>
      </c>
      <c r="I82" s="176">
        <f>H82*G82</f>
        <v>179133550</v>
      </c>
      <c r="J82" s="156">
        <v>44373</v>
      </c>
      <c r="K82" s="177">
        <v>46280</v>
      </c>
      <c r="L82" s="155">
        <v>63</v>
      </c>
      <c r="M82" s="99">
        <v>25.48</v>
      </c>
      <c r="N82" s="81">
        <f t="shared" ref="N82" si="126">M82*H82/1000</f>
        <v>4564322.8540000003</v>
      </c>
      <c r="O82" s="81"/>
      <c r="P82" s="81"/>
      <c r="Q82" s="81">
        <f t="shared" ref="Q82" si="127">N82+O82+P82</f>
        <v>4564322.8540000003</v>
      </c>
      <c r="R82" s="81">
        <f t="shared" ref="R82" si="128">10%*N82</f>
        <v>456432.28540000005</v>
      </c>
      <c r="S82" s="81">
        <f t="shared" ref="S82" si="129">Q82-R82</f>
        <v>4107890.5686000003</v>
      </c>
      <c r="T82" s="42">
        <f>R82/L82</f>
        <v>7244.9569111111123</v>
      </c>
      <c r="U82" s="1">
        <f>R82/L82*12</f>
        <v>86939.482933333347</v>
      </c>
      <c r="V82" s="34">
        <f>R82-T82-U82</f>
        <v>362247.84555555554</v>
      </c>
      <c r="W82" s="35">
        <f t="shared" ref="W82" si="130">T82+U82+V82</f>
        <v>456432.28539999999</v>
      </c>
      <c r="X82" s="35">
        <f t="shared" ref="X82" si="131">R82-W82</f>
        <v>0</v>
      </c>
    </row>
    <row r="83" spans="1:24" ht="12.75" x14ac:dyDescent="0.2">
      <c r="A83" s="159"/>
      <c r="B83" s="160"/>
      <c r="C83" s="160"/>
      <c r="D83" s="160"/>
      <c r="E83" s="179">
        <f>SUM(E82)</f>
        <v>1</v>
      </c>
      <c r="F83" s="179">
        <f t="shared" ref="F83:X83" si="132">SUM(F82)</f>
        <v>0</v>
      </c>
      <c r="G83" s="179">
        <f t="shared" si="132"/>
        <v>1</v>
      </c>
      <c r="H83" s="179">
        <f t="shared" si="132"/>
        <v>179133550</v>
      </c>
      <c r="I83" s="179">
        <f t="shared" si="132"/>
        <v>179133550</v>
      </c>
      <c r="J83" s="179">
        <f t="shared" si="132"/>
        <v>44373</v>
      </c>
      <c r="K83" s="179">
        <f t="shared" si="132"/>
        <v>46280</v>
      </c>
      <c r="L83" s="179"/>
      <c r="M83" s="179"/>
      <c r="N83" s="179">
        <f t="shared" si="132"/>
        <v>4564322.8540000003</v>
      </c>
      <c r="O83" s="179">
        <f t="shared" si="132"/>
        <v>0</v>
      </c>
      <c r="P83" s="179">
        <f t="shared" si="132"/>
        <v>0</v>
      </c>
      <c r="Q83" s="179">
        <f t="shared" si="132"/>
        <v>4564322.8540000003</v>
      </c>
      <c r="R83" s="179">
        <f t="shared" si="132"/>
        <v>456432.28540000005</v>
      </c>
      <c r="S83" s="179">
        <f t="shared" si="132"/>
        <v>4107890.5686000003</v>
      </c>
      <c r="T83" s="179">
        <f t="shared" si="132"/>
        <v>7244.9569111111123</v>
      </c>
      <c r="U83" s="179">
        <f t="shared" si="132"/>
        <v>86939.482933333347</v>
      </c>
      <c r="V83" s="179">
        <f t="shared" si="132"/>
        <v>362247.84555555554</v>
      </c>
      <c r="W83" s="179">
        <f t="shared" si="132"/>
        <v>456432.28539999999</v>
      </c>
      <c r="X83" s="179">
        <f t="shared" si="132"/>
        <v>0</v>
      </c>
    </row>
    <row r="84" spans="1:24" x14ac:dyDescent="0.2">
      <c r="A84" s="83"/>
      <c r="B84" s="83"/>
      <c r="C84" s="83" t="s">
        <v>174</v>
      </c>
      <c r="D84" s="84"/>
      <c r="E84" s="185">
        <f>E83</f>
        <v>1</v>
      </c>
      <c r="F84" s="185">
        <f t="shared" ref="F84:X84" si="133">F83</f>
        <v>0</v>
      </c>
      <c r="G84" s="185">
        <f t="shared" si="133"/>
        <v>1</v>
      </c>
      <c r="H84" s="185">
        <f t="shared" si="133"/>
        <v>179133550</v>
      </c>
      <c r="I84" s="185">
        <f t="shared" si="133"/>
        <v>179133550</v>
      </c>
      <c r="J84" s="185">
        <f t="shared" si="133"/>
        <v>44373</v>
      </c>
      <c r="K84" s="185">
        <f t="shared" si="133"/>
        <v>46280</v>
      </c>
      <c r="L84" s="185"/>
      <c r="M84" s="185"/>
      <c r="N84" s="185">
        <f t="shared" si="133"/>
        <v>4564322.8540000003</v>
      </c>
      <c r="O84" s="185">
        <f t="shared" si="133"/>
        <v>0</v>
      </c>
      <c r="P84" s="185">
        <f t="shared" si="133"/>
        <v>0</v>
      </c>
      <c r="Q84" s="185">
        <f t="shared" si="133"/>
        <v>4564322.8540000003</v>
      </c>
      <c r="R84" s="185">
        <f t="shared" si="133"/>
        <v>456432.28540000005</v>
      </c>
      <c r="S84" s="185">
        <f t="shared" si="133"/>
        <v>4107890.5686000003</v>
      </c>
      <c r="T84" s="185">
        <f t="shared" si="133"/>
        <v>7244.9569111111123</v>
      </c>
      <c r="U84" s="185">
        <f t="shared" si="133"/>
        <v>86939.482933333347</v>
      </c>
      <c r="V84" s="185">
        <f t="shared" si="133"/>
        <v>362247.84555555554</v>
      </c>
      <c r="W84" s="185">
        <f t="shared" si="133"/>
        <v>456432.28539999999</v>
      </c>
      <c r="X84" s="185">
        <f t="shared" si="133"/>
        <v>0</v>
      </c>
    </row>
    <row r="85" spans="1:24" x14ac:dyDescent="0.2">
      <c r="A85" s="83"/>
      <c r="B85" s="83"/>
      <c r="C85" s="83" t="s">
        <v>175</v>
      </c>
      <c r="D85" s="84"/>
      <c r="E85" s="95">
        <f>E84+E75</f>
        <v>26</v>
      </c>
      <c r="F85" s="95">
        <f t="shared" ref="F85:X85" si="134">F84+F75</f>
        <v>0</v>
      </c>
      <c r="G85" s="95">
        <f t="shared" si="134"/>
        <v>1</v>
      </c>
      <c r="H85" s="95">
        <f t="shared" si="134"/>
        <v>5468584172</v>
      </c>
      <c r="I85" s="95">
        <f t="shared" si="134"/>
        <v>5468584172</v>
      </c>
      <c r="J85" s="95">
        <f t="shared" si="134"/>
        <v>44373</v>
      </c>
      <c r="K85" s="95">
        <f t="shared" si="134"/>
        <v>46280</v>
      </c>
      <c r="L85" s="95"/>
      <c r="M85" s="95"/>
      <c r="N85" s="95">
        <f t="shared" si="134"/>
        <v>163441868.71888</v>
      </c>
      <c r="O85" s="95">
        <f t="shared" si="134"/>
        <v>300000</v>
      </c>
      <c r="P85" s="95">
        <f t="shared" si="134"/>
        <v>0</v>
      </c>
      <c r="Q85" s="95">
        <f t="shared" si="134"/>
        <v>163741868.71888</v>
      </c>
      <c r="R85" s="95">
        <f t="shared" si="134"/>
        <v>15924279.285400001</v>
      </c>
      <c r="S85" s="95">
        <f t="shared" si="134"/>
        <v>147497808.71037403</v>
      </c>
      <c r="T85" s="95">
        <f t="shared" si="134"/>
        <v>1759777.6923474947</v>
      </c>
      <c r="U85" s="95">
        <f t="shared" si="134"/>
        <v>2325125.5721301655</v>
      </c>
      <c r="V85" s="95">
        <f t="shared" si="134"/>
        <v>11839376.02092234</v>
      </c>
      <c r="W85" s="95">
        <f t="shared" si="134"/>
        <v>15924279.285400001</v>
      </c>
      <c r="X85" s="95">
        <f t="shared" si="134"/>
        <v>0</v>
      </c>
    </row>
  </sheetData>
  <mergeCells count="96">
    <mergeCell ref="N78:P78"/>
    <mergeCell ref="Q78:Q79"/>
    <mergeCell ref="R78:R79"/>
    <mergeCell ref="S78:S79"/>
    <mergeCell ref="G78:G79"/>
    <mergeCell ref="H78:H79"/>
    <mergeCell ref="I78:I79"/>
    <mergeCell ref="J78:K79"/>
    <mergeCell ref="L78:L79"/>
    <mergeCell ref="M78:M79"/>
    <mergeCell ref="N47:P47"/>
    <mergeCell ref="Q47:Q48"/>
    <mergeCell ref="R47:R48"/>
    <mergeCell ref="S47:S48"/>
    <mergeCell ref="A78:A79"/>
    <mergeCell ref="B78:B79"/>
    <mergeCell ref="C78:C79"/>
    <mergeCell ref="D78:D79"/>
    <mergeCell ref="E78:E79"/>
    <mergeCell ref="F78:F79"/>
    <mergeCell ref="G47:G48"/>
    <mergeCell ref="H47:H48"/>
    <mergeCell ref="I47:I48"/>
    <mergeCell ref="J47:K48"/>
    <mergeCell ref="L47:L48"/>
    <mergeCell ref="M47:M48"/>
    <mergeCell ref="N27:P27"/>
    <mergeCell ref="Q27:Q28"/>
    <mergeCell ref="R27:R28"/>
    <mergeCell ref="S27:S28"/>
    <mergeCell ref="A47:A48"/>
    <mergeCell ref="B47:B48"/>
    <mergeCell ref="C47:C48"/>
    <mergeCell ref="D47:D48"/>
    <mergeCell ref="E47:E48"/>
    <mergeCell ref="F47:F48"/>
    <mergeCell ref="G27:G28"/>
    <mergeCell ref="H27:H28"/>
    <mergeCell ref="I27:I28"/>
    <mergeCell ref="J27:K28"/>
    <mergeCell ref="L27:L28"/>
    <mergeCell ref="M27:M28"/>
    <mergeCell ref="N17:P17"/>
    <mergeCell ref="Q17:Q18"/>
    <mergeCell ref="R17:R18"/>
    <mergeCell ref="S17:S18"/>
    <mergeCell ref="A27:A28"/>
    <mergeCell ref="B27:B28"/>
    <mergeCell ref="C27:C28"/>
    <mergeCell ref="D27:D28"/>
    <mergeCell ref="E27:E28"/>
    <mergeCell ref="F27:F28"/>
    <mergeCell ref="G17:G18"/>
    <mergeCell ref="H17:H18"/>
    <mergeCell ref="I17:I18"/>
    <mergeCell ref="J17:K18"/>
    <mergeCell ref="L17:L18"/>
    <mergeCell ref="M17:M18"/>
    <mergeCell ref="N9:P9"/>
    <mergeCell ref="Q9:Q10"/>
    <mergeCell ref="R9:R10"/>
    <mergeCell ref="S9:S10"/>
    <mergeCell ref="A17:A18"/>
    <mergeCell ref="B17:B18"/>
    <mergeCell ref="C17:C18"/>
    <mergeCell ref="D17:D18"/>
    <mergeCell ref="E17:E18"/>
    <mergeCell ref="F17:F18"/>
    <mergeCell ref="G9:G10"/>
    <mergeCell ref="H9:H10"/>
    <mergeCell ref="I9:I10"/>
    <mergeCell ref="J9:K10"/>
    <mergeCell ref="L9:L10"/>
    <mergeCell ref="M9:M10"/>
    <mergeCell ref="N3:P3"/>
    <mergeCell ref="Q3:Q4"/>
    <mergeCell ref="R3:R4"/>
    <mergeCell ref="S3:S4"/>
    <mergeCell ref="A9:A10"/>
    <mergeCell ref="B9:B10"/>
    <mergeCell ref="C9:C10"/>
    <mergeCell ref="D9:D10"/>
    <mergeCell ref="E9:E10"/>
    <mergeCell ref="F9:F10"/>
    <mergeCell ref="G3:G4"/>
    <mergeCell ref="H3:H4"/>
    <mergeCell ref="I3:I4"/>
    <mergeCell ref="J3:K4"/>
    <mergeCell ref="L3:L4"/>
    <mergeCell ref="M3:M4"/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6"/>
  <sheetViews>
    <sheetView workbookViewId="0">
      <selection activeCell="T5" sqref="T5"/>
    </sheetView>
  </sheetViews>
  <sheetFormatPr defaultRowHeight="12" x14ac:dyDescent="0.2"/>
  <cols>
    <col min="1" max="1" width="4.140625" style="3" customWidth="1"/>
    <col min="2" max="2" width="15" style="3" bestFit="1" customWidth="1"/>
    <col min="3" max="3" width="17.85546875" style="3" customWidth="1"/>
    <col min="4" max="4" width="11.85546875" style="82" customWidth="1"/>
    <col min="5" max="5" width="9" style="97" customWidth="1"/>
    <col min="6" max="6" width="14.42578125" style="3" customWidth="1"/>
    <col min="7" max="7" width="8.85546875" style="3" bestFit="1" customWidth="1"/>
    <col min="8" max="8" width="10.7109375" style="3" customWidth="1"/>
    <col min="9" max="9" width="12.28515625" style="3" customWidth="1"/>
    <col min="10" max="10" width="8.5703125" style="3" customWidth="1"/>
    <col min="11" max="11" width="9.5703125" style="3" bestFit="1" customWidth="1"/>
    <col min="12" max="12" width="4.28515625" style="3" bestFit="1" customWidth="1"/>
    <col min="13" max="13" width="5.42578125" style="3" customWidth="1"/>
    <col min="14" max="14" width="12.5703125" style="3" hidden="1" customWidth="1"/>
    <col min="15" max="16" width="9.140625" style="3" hidden="1" customWidth="1"/>
    <col min="17" max="17" width="12.28515625" style="3" customWidth="1"/>
    <col min="18" max="18" width="11.7109375" style="3" hidden="1" customWidth="1"/>
    <col min="19" max="19" width="14.28515625" style="3" hidden="1" customWidth="1"/>
    <col min="20" max="20" width="11.7109375" style="3" customWidth="1"/>
    <col min="21" max="21" width="12.140625" style="3" bestFit="1" customWidth="1"/>
    <col min="22" max="16384" width="9.140625" style="3"/>
  </cols>
  <sheetData>
    <row r="2" spans="1:26" ht="14.25" customHeight="1" x14ac:dyDescent="0.2">
      <c r="A2" s="86" t="s">
        <v>54</v>
      </c>
      <c r="B2" s="62"/>
      <c r="C2" s="62"/>
      <c r="D2" s="57"/>
      <c r="E2" s="63"/>
      <c r="F2" s="64"/>
      <c r="G2" s="65"/>
      <c r="H2" s="66"/>
      <c r="I2" s="66"/>
      <c r="J2" s="67"/>
      <c r="K2" s="67"/>
      <c r="L2" s="68"/>
      <c r="M2" s="68"/>
      <c r="N2" s="69"/>
      <c r="O2" s="69"/>
      <c r="P2" s="69"/>
      <c r="Q2" s="69"/>
      <c r="R2" s="69"/>
      <c r="S2" s="69"/>
      <c r="T2" s="70"/>
      <c r="U2" s="71"/>
      <c r="V2" s="71"/>
    </row>
    <row r="3" spans="1:26" ht="14.25" customHeight="1" x14ac:dyDescent="0.2">
      <c r="A3" s="231" t="s">
        <v>0</v>
      </c>
      <c r="B3" s="232" t="s">
        <v>1</v>
      </c>
      <c r="C3" s="229" t="s">
        <v>2</v>
      </c>
      <c r="D3" s="233" t="s">
        <v>3</v>
      </c>
      <c r="E3" s="234" t="s">
        <v>4</v>
      </c>
      <c r="F3" s="232" t="s">
        <v>5</v>
      </c>
      <c r="G3" s="235" t="s">
        <v>6</v>
      </c>
      <c r="H3" s="236" t="s">
        <v>7</v>
      </c>
      <c r="I3" s="236" t="s">
        <v>8</v>
      </c>
      <c r="J3" s="227" t="s">
        <v>9</v>
      </c>
      <c r="K3" s="227"/>
      <c r="L3" s="228" t="s">
        <v>10</v>
      </c>
      <c r="M3" s="229" t="s">
        <v>11</v>
      </c>
      <c r="N3" s="230" t="s">
        <v>12</v>
      </c>
      <c r="O3" s="230"/>
      <c r="P3" s="230"/>
      <c r="Q3" s="229" t="s">
        <v>13</v>
      </c>
      <c r="R3" s="229" t="s">
        <v>14</v>
      </c>
      <c r="S3" s="229" t="s">
        <v>15</v>
      </c>
      <c r="T3" s="36">
        <v>2021</v>
      </c>
      <c r="U3" s="37"/>
      <c r="V3" s="38" t="s">
        <v>44</v>
      </c>
    </row>
    <row r="4" spans="1:26" ht="14.25" customHeight="1" x14ac:dyDescent="0.2">
      <c r="A4" s="231"/>
      <c r="B4" s="232"/>
      <c r="C4" s="229"/>
      <c r="D4" s="233"/>
      <c r="E4" s="234"/>
      <c r="F4" s="232"/>
      <c r="G4" s="235"/>
      <c r="H4" s="236"/>
      <c r="I4" s="236"/>
      <c r="J4" s="227"/>
      <c r="K4" s="227"/>
      <c r="L4" s="228"/>
      <c r="M4" s="229"/>
      <c r="N4" s="98" t="s">
        <v>16</v>
      </c>
      <c r="O4" s="98" t="s">
        <v>17</v>
      </c>
      <c r="P4" s="98" t="s">
        <v>18</v>
      </c>
      <c r="Q4" s="229"/>
      <c r="R4" s="229"/>
      <c r="S4" s="229"/>
      <c r="T4" s="96" t="s">
        <v>57</v>
      </c>
      <c r="U4" s="39" t="s">
        <v>58</v>
      </c>
      <c r="V4" s="40"/>
    </row>
    <row r="5" spans="1:26" x14ac:dyDescent="0.2">
      <c r="A5" s="72">
        <v>1</v>
      </c>
      <c r="B5" s="73" t="s">
        <v>49</v>
      </c>
      <c r="C5" s="73" t="s">
        <v>55</v>
      </c>
      <c r="D5" s="58">
        <v>44225</v>
      </c>
      <c r="E5" s="74">
        <v>1</v>
      </c>
      <c r="F5" s="73" t="s">
        <v>56</v>
      </c>
      <c r="G5" s="75">
        <v>1</v>
      </c>
      <c r="H5" s="42">
        <v>200000000</v>
      </c>
      <c r="I5" s="42">
        <f>H5*G5</f>
        <v>200000000</v>
      </c>
      <c r="J5" s="76">
        <v>44207</v>
      </c>
      <c r="K5" s="77">
        <f>IFERROR(VALUE(DAY(J5)&amp;" "&amp;TEXT(EOMONTH(J5,L5)-29,"mmm")&amp;" "&amp;YEAR(EOMONTH(J5,L5)-29)),"-")</f>
        <v>47494</v>
      </c>
      <c r="L5" s="78">
        <v>108</v>
      </c>
      <c r="M5" s="99">
        <v>23.21</v>
      </c>
      <c r="N5" s="81">
        <f t="shared" ref="N5" si="0">M5*H5/1000</f>
        <v>4642000</v>
      </c>
      <c r="O5" s="81"/>
      <c r="P5" s="81"/>
      <c r="Q5" s="81">
        <f t="shared" ref="Q5" si="1">N5+O5+P5</f>
        <v>4642000</v>
      </c>
      <c r="R5" s="81">
        <f t="shared" ref="R5" si="2">10%*N5</f>
        <v>464200</v>
      </c>
      <c r="S5" s="81">
        <f t="shared" ref="S5" si="3">Q5-R5</f>
        <v>4177800</v>
      </c>
      <c r="T5" s="42">
        <f>Q5*10%</f>
        <v>464200</v>
      </c>
      <c r="U5" s="1">
        <f t="shared" ref="U5" si="4">Y5*12</f>
        <v>468538.31775700935</v>
      </c>
      <c r="V5" s="34">
        <f t="shared" ref="V5" si="5">Q5-T5-U5</f>
        <v>3709261.6822429905</v>
      </c>
      <c r="W5" s="35">
        <f t="shared" ref="W5" si="6">T5+U5+V5</f>
        <v>4642000</v>
      </c>
      <c r="X5" s="35">
        <f t="shared" ref="X5" si="7">Q5-W5</f>
        <v>0</v>
      </c>
      <c r="Y5" s="35">
        <v>39044.859813084113</v>
      </c>
      <c r="Z5" s="41">
        <f t="shared" ref="Z5" si="8">(Q5-T5)/(L5-1)</f>
        <v>39044.859813084113</v>
      </c>
    </row>
    <row r="6" spans="1:26" x14ac:dyDescent="0.2">
      <c r="A6" s="79"/>
      <c r="B6" s="59"/>
      <c r="C6" s="59"/>
      <c r="D6" s="59"/>
      <c r="E6" s="80">
        <f>SUM(E5:E5)</f>
        <v>1</v>
      </c>
      <c r="F6" s="80"/>
      <c r="G6" s="80"/>
      <c r="H6" s="79">
        <f>SUM(H5:H5)</f>
        <v>200000000</v>
      </c>
      <c r="I6" s="79">
        <f>SUM(I5:I5)</f>
        <v>200000000</v>
      </c>
      <c r="J6" s="79"/>
      <c r="K6" s="79"/>
      <c r="L6" s="79"/>
      <c r="M6" s="79"/>
      <c r="N6" s="79">
        <f t="shared" ref="N6:Z6" si="9">SUM(N5:N5)</f>
        <v>4642000</v>
      </c>
      <c r="O6" s="79">
        <f t="shared" si="9"/>
        <v>0</v>
      </c>
      <c r="P6" s="79">
        <f t="shared" si="9"/>
        <v>0</v>
      </c>
      <c r="Q6" s="79">
        <f t="shared" si="9"/>
        <v>4642000</v>
      </c>
      <c r="R6" s="79">
        <f t="shared" si="9"/>
        <v>464200</v>
      </c>
      <c r="S6" s="79">
        <f t="shared" si="9"/>
        <v>4177800</v>
      </c>
      <c r="T6" s="79">
        <f t="shared" si="9"/>
        <v>464200</v>
      </c>
      <c r="U6" s="79">
        <f t="shared" si="9"/>
        <v>468538.31775700935</v>
      </c>
      <c r="V6" s="79">
        <f t="shared" si="9"/>
        <v>3709261.6822429905</v>
      </c>
      <c r="W6" s="79">
        <f t="shared" si="9"/>
        <v>4642000</v>
      </c>
      <c r="X6" s="79">
        <f t="shared" si="9"/>
        <v>0</v>
      </c>
      <c r="Y6" s="79">
        <f t="shared" si="9"/>
        <v>39044.859813084113</v>
      </c>
      <c r="Z6" s="79">
        <f t="shared" si="9"/>
        <v>39044.859813084113</v>
      </c>
    </row>
  </sheetData>
  <mergeCells count="16">
    <mergeCell ref="N3:P3"/>
    <mergeCell ref="Q3:Q4"/>
    <mergeCell ref="R3:R4"/>
    <mergeCell ref="S3:S4"/>
    <mergeCell ref="G3:G4"/>
    <mergeCell ref="H3:H4"/>
    <mergeCell ref="I3:I4"/>
    <mergeCell ref="J3:K4"/>
    <mergeCell ref="L3:L4"/>
    <mergeCell ref="M3:M4"/>
    <mergeCell ref="F3:F4"/>
    <mergeCell ref="A3:A4"/>
    <mergeCell ref="B3:B4"/>
    <mergeCell ref="C3:C4"/>
    <mergeCell ref="D3:D4"/>
    <mergeCell ref="E3:E4"/>
  </mergeCells>
  <pageMargins left="0.43307086614173229" right="0.70866141732283472" top="0.55118110236220474" bottom="0.74803149606299213" header="0.31496062992125984" footer="0.31496062992125984"/>
  <pageSetup paperSize="5" scale="85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6"/>
  <sheetViews>
    <sheetView workbookViewId="0">
      <selection activeCell="T5" sqref="T5"/>
    </sheetView>
  </sheetViews>
  <sheetFormatPr defaultRowHeight="12" x14ac:dyDescent="0.2"/>
  <cols>
    <col min="1" max="1" width="4.140625" style="3" customWidth="1"/>
    <col min="2" max="2" width="13.7109375" style="3" customWidth="1"/>
    <col min="3" max="3" width="19.85546875" style="3" customWidth="1"/>
    <col min="4" max="4" width="12.28515625" style="82" customWidth="1"/>
    <col min="5" max="5" width="9" style="97" customWidth="1"/>
    <col min="6" max="6" width="14.42578125" style="3" customWidth="1"/>
    <col min="7" max="7" width="8.85546875" style="3" bestFit="1" customWidth="1"/>
    <col min="8" max="9" width="13.42578125" style="3" customWidth="1"/>
    <col min="10" max="11" width="9.5703125" style="3" bestFit="1" customWidth="1"/>
    <col min="12" max="12" width="4.28515625" style="3" bestFit="1" customWidth="1"/>
    <col min="13" max="13" width="5.28515625" style="3" customWidth="1"/>
    <col min="14" max="14" width="12.5703125" style="3" hidden="1" customWidth="1"/>
    <col min="15" max="16" width="9.140625" style="3" hidden="1" customWidth="1"/>
    <col min="17" max="17" width="9" style="3" hidden="1" customWidth="1"/>
    <col min="18" max="18" width="8.85546875" style="3" customWidth="1"/>
    <col min="19" max="19" width="17.28515625" style="3" hidden="1" customWidth="1"/>
    <col min="20" max="20" width="10.7109375" style="3" customWidth="1"/>
    <col min="21" max="21" width="12.140625" style="3" bestFit="1" customWidth="1"/>
    <col min="22" max="16384" width="9.140625" style="3"/>
  </cols>
  <sheetData>
    <row r="2" spans="1:26" ht="14.25" customHeight="1" x14ac:dyDescent="0.2">
      <c r="A2" s="86" t="s">
        <v>54</v>
      </c>
      <c r="B2" s="62"/>
      <c r="C2" s="62"/>
      <c r="D2" s="57"/>
      <c r="E2" s="63"/>
      <c r="F2" s="64"/>
      <c r="G2" s="65"/>
      <c r="H2" s="66"/>
      <c r="I2" s="66"/>
      <c r="J2" s="67"/>
      <c r="K2" s="67"/>
      <c r="L2" s="68"/>
      <c r="M2" s="68"/>
      <c r="N2" s="69"/>
      <c r="O2" s="69"/>
      <c r="P2" s="69"/>
      <c r="Q2" s="69"/>
      <c r="R2" s="69"/>
      <c r="S2" s="69"/>
      <c r="T2" s="70"/>
      <c r="U2" s="71"/>
      <c r="V2" s="71"/>
    </row>
    <row r="3" spans="1:26" ht="14.25" customHeight="1" x14ac:dyDescent="0.2">
      <c r="A3" s="231" t="s">
        <v>0</v>
      </c>
      <c r="B3" s="232" t="s">
        <v>1</v>
      </c>
      <c r="C3" s="229" t="s">
        <v>2</v>
      </c>
      <c r="D3" s="233" t="s">
        <v>3</v>
      </c>
      <c r="E3" s="234" t="s">
        <v>4</v>
      </c>
      <c r="F3" s="232" t="s">
        <v>5</v>
      </c>
      <c r="G3" s="235" t="s">
        <v>6</v>
      </c>
      <c r="H3" s="236" t="s">
        <v>7</v>
      </c>
      <c r="I3" s="236" t="s">
        <v>8</v>
      </c>
      <c r="J3" s="227" t="s">
        <v>9</v>
      </c>
      <c r="K3" s="227"/>
      <c r="L3" s="228" t="s">
        <v>10</v>
      </c>
      <c r="M3" s="229" t="s">
        <v>11</v>
      </c>
      <c r="N3" s="230" t="s">
        <v>12</v>
      </c>
      <c r="O3" s="230"/>
      <c r="P3" s="230"/>
      <c r="Q3" s="229" t="s">
        <v>13</v>
      </c>
      <c r="R3" s="229" t="s">
        <v>14</v>
      </c>
      <c r="S3" s="229" t="s">
        <v>15</v>
      </c>
      <c r="T3" s="36">
        <v>2021</v>
      </c>
      <c r="U3" s="37"/>
      <c r="V3" s="38" t="s">
        <v>44</v>
      </c>
    </row>
    <row r="4" spans="1:26" ht="14.25" customHeight="1" x14ac:dyDescent="0.2">
      <c r="A4" s="231"/>
      <c r="B4" s="232"/>
      <c r="C4" s="229"/>
      <c r="D4" s="233"/>
      <c r="E4" s="234"/>
      <c r="F4" s="232"/>
      <c r="G4" s="235"/>
      <c r="H4" s="236"/>
      <c r="I4" s="236"/>
      <c r="J4" s="227"/>
      <c r="K4" s="227"/>
      <c r="L4" s="228"/>
      <c r="M4" s="229"/>
      <c r="N4" s="98" t="s">
        <v>16</v>
      </c>
      <c r="O4" s="98" t="s">
        <v>17</v>
      </c>
      <c r="P4" s="98" t="s">
        <v>18</v>
      </c>
      <c r="Q4" s="229"/>
      <c r="R4" s="229"/>
      <c r="S4" s="229"/>
      <c r="T4" s="96" t="s">
        <v>57</v>
      </c>
      <c r="U4" s="39" t="s">
        <v>58</v>
      </c>
      <c r="V4" s="40"/>
    </row>
    <row r="5" spans="1:26" x14ac:dyDescent="0.2">
      <c r="A5" s="72">
        <v>1</v>
      </c>
      <c r="B5" s="73" t="s">
        <v>49</v>
      </c>
      <c r="C5" s="73" t="s">
        <v>55</v>
      </c>
      <c r="D5" s="58">
        <v>44225</v>
      </c>
      <c r="E5" s="74">
        <v>1</v>
      </c>
      <c r="F5" s="73" t="s">
        <v>56</v>
      </c>
      <c r="G5" s="75">
        <v>1</v>
      </c>
      <c r="H5" s="42">
        <v>200000000</v>
      </c>
      <c r="I5" s="42">
        <f>H5*G5</f>
        <v>200000000</v>
      </c>
      <c r="J5" s="76">
        <v>44207</v>
      </c>
      <c r="K5" s="77">
        <f>IFERROR(VALUE(DAY(J5)&amp;" "&amp;TEXT(EOMONTH(J5,L5)-29,"mmm")&amp;" "&amp;YEAR(EOMONTH(J5,L5)-29)),"-")</f>
        <v>47494</v>
      </c>
      <c r="L5" s="78">
        <v>108</v>
      </c>
      <c r="M5" s="99">
        <v>23.21</v>
      </c>
      <c r="N5" s="81">
        <f t="shared" ref="N5" si="0">M5*H5/1000</f>
        <v>4642000</v>
      </c>
      <c r="O5" s="81"/>
      <c r="P5" s="81"/>
      <c r="Q5" s="81">
        <f t="shared" ref="Q5" si="1">N5+O5+P5</f>
        <v>4642000</v>
      </c>
      <c r="R5" s="81">
        <f t="shared" ref="R5" si="2">10%*N5</f>
        <v>464200</v>
      </c>
      <c r="S5" s="81">
        <f t="shared" ref="S5" si="3">Q5-R5</f>
        <v>4177800</v>
      </c>
      <c r="T5" s="42">
        <f>R5*10%</f>
        <v>46420</v>
      </c>
      <c r="U5" s="1">
        <f t="shared" ref="U5" si="4">Y5*12</f>
        <v>46853.831775700935</v>
      </c>
      <c r="V5" s="34">
        <f t="shared" ref="V5" si="5">R5-T5-U5</f>
        <v>370926.16822429909</v>
      </c>
      <c r="W5" s="35">
        <f t="shared" ref="W5" si="6">T5+U5+V5</f>
        <v>464200</v>
      </c>
      <c r="X5" s="35">
        <f t="shared" ref="X5" si="7">R5-W5</f>
        <v>0</v>
      </c>
      <c r="Y5" s="35">
        <v>3904.4859813084113</v>
      </c>
      <c r="Z5" s="41">
        <f t="shared" ref="Z5" si="8">(R5-T5)/(L5-1)</f>
        <v>3904.4859813084113</v>
      </c>
    </row>
    <row r="6" spans="1:26" x14ac:dyDescent="0.2">
      <c r="A6" s="79"/>
      <c r="B6" s="59"/>
      <c r="C6" s="59"/>
      <c r="D6" s="59"/>
      <c r="E6" s="80">
        <f>SUM(E5:E5)</f>
        <v>1</v>
      </c>
      <c r="F6" s="80"/>
      <c r="G6" s="80"/>
      <c r="H6" s="79">
        <f>SUM(H5:H5)</f>
        <v>200000000</v>
      </c>
      <c r="I6" s="79">
        <f>SUM(I5:I5)</f>
        <v>200000000</v>
      </c>
      <c r="J6" s="79"/>
      <c r="K6" s="79"/>
      <c r="L6" s="79"/>
      <c r="M6" s="79"/>
      <c r="N6" s="79">
        <f t="shared" ref="N6:Z6" si="9">SUM(N5:N5)</f>
        <v>4642000</v>
      </c>
      <c r="O6" s="79">
        <f t="shared" si="9"/>
        <v>0</v>
      </c>
      <c r="P6" s="79">
        <f t="shared" si="9"/>
        <v>0</v>
      </c>
      <c r="Q6" s="79">
        <f t="shared" si="9"/>
        <v>4642000</v>
      </c>
      <c r="R6" s="79">
        <f t="shared" si="9"/>
        <v>464200</v>
      </c>
      <c r="S6" s="79">
        <f t="shared" si="9"/>
        <v>4177800</v>
      </c>
      <c r="T6" s="79">
        <f t="shared" si="9"/>
        <v>46420</v>
      </c>
      <c r="U6" s="79">
        <f t="shared" si="9"/>
        <v>46853.831775700935</v>
      </c>
      <c r="V6" s="79">
        <f t="shared" si="9"/>
        <v>370926.16822429909</v>
      </c>
      <c r="W6" s="79">
        <f t="shared" si="9"/>
        <v>464200</v>
      </c>
      <c r="X6" s="79">
        <f t="shared" si="9"/>
        <v>0</v>
      </c>
      <c r="Y6" s="79">
        <f t="shared" si="9"/>
        <v>3904.4859813084113</v>
      </c>
      <c r="Z6" s="79">
        <f t="shared" si="9"/>
        <v>3904.4859813084113</v>
      </c>
    </row>
  </sheetData>
  <mergeCells count="16">
    <mergeCell ref="N3:P3"/>
    <mergeCell ref="Q3:Q4"/>
    <mergeCell ref="R3:R4"/>
    <mergeCell ref="S3:S4"/>
    <mergeCell ref="G3:G4"/>
    <mergeCell ref="H3:H4"/>
    <mergeCell ref="I3:I4"/>
    <mergeCell ref="J3:K4"/>
    <mergeCell ref="L3:L4"/>
    <mergeCell ref="M3:M4"/>
    <mergeCell ref="F3:F4"/>
    <mergeCell ref="A3:A4"/>
    <mergeCell ref="B3:B4"/>
    <mergeCell ref="C3:C4"/>
    <mergeCell ref="D3:D4"/>
    <mergeCell ref="E3:E4"/>
  </mergeCells>
  <pageMargins left="0.33" right="0.70866141732283472" top="0.74803149606299213" bottom="0.74803149606299213" header="0.31496062992125984" footer="0.31496062992125984"/>
  <pageSetup paperSize="5" scale="85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9"/>
  <sheetViews>
    <sheetView workbookViewId="0">
      <selection sqref="A1:XFD1048576"/>
    </sheetView>
  </sheetViews>
  <sheetFormatPr defaultRowHeight="12" x14ac:dyDescent="0.2"/>
  <cols>
    <col min="1" max="1" width="4.140625" style="3" customWidth="1"/>
    <col min="2" max="2" width="15" style="3" bestFit="1" customWidth="1"/>
    <col min="3" max="3" width="17.85546875" style="3" customWidth="1"/>
    <col min="4" max="4" width="11.85546875" style="82" customWidth="1"/>
    <col min="5" max="5" width="9" style="97" customWidth="1"/>
    <col min="6" max="6" width="13.5703125" style="3" customWidth="1"/>
    <col min="7" max="7" width="8.140625" style="3" customWidth="1"/>
    <col min="8" max="8" width="10.7109375" style="3" customWidth="1"/>
    <col min="9" max="9" width="11.85546875" style="3" customWidth="1"/>
    <col min="10" max="10" width="10.7109375" style="3" hidden="1" customWidth="1"/>
    <col min="11" max="11" width="9.7109375" style="3" hidden="1" customWidth="1"/>
    <col min="12" max="12" width="4.42578125" style="3" bestFit="1" customWidth="1"/>
    <col min="13" max="13" width="5.42578125" style="3" customWidth="1"/>
    <col min="14" max="14" width="12.5703125" style="3" hidden="1" customWidth="1"/>
    <col min="15" max="16" width="9.140625" style="3" hidden="1" customWidth="1"/>
    <col min="17" max="17" width="9.5703125" style="3" customWidth="1"/>
    <col min="18" max="18" width="11.7109375" style="3" hidden="1" customWidth="1"/>
    <col min="19" max="19" width="14.28515625" style="3" hidden="1" customWidth="1"/>
    <col min="20" max="20" width="13.140625" style="3" customWidth="1"/>
    <col min="21" max="21" width="14.42578125" style="3" customWidth="1"/>
    <col min="22" max="22" width="9.85546875" style="3" bestFit="1" customWidth="1"/>
    <col min="23" max="23" width="12.85546875" style="3" customWidth="1"/>
    <col min="24" max="26" width="9.28515625" style="3" bestFit="1" customWidth="1"/>
    <col min="27" max="16384" width="9.140625" style="3"/>
  </cols>
  <sheetData>
    <row r="2" spans="1:26" ht="14.25" customHeight="1" x14ac:dyDescent="0.2">
      <c r="A2" s="86" t="s">
        <v>69</v>
      </c>
      <c r="B2" s="62"/>
      <c r="C2" s="62"/>
      <c r="D2" s="57"/>
      <c r="E2" s="63"/>
      <c r="F2" s="64"/>
      <c r="G2" s="65"/>
      <c r="H2" s="66"/>
      <c r="I2" s="66"/>
      <c r="J2" s="67"/>
      <c r="K2" s="67"/>
      <c r="L2" s="68"/>
      <c r="M2" s="68"/>
      <c r="N2" s="69"/>
      <c r="O2" s="69"/>
      <c r="P2" s="69"/>
      <c r="Q2" s="69"/>
      <c r="R2" s="69"/>
      <c r="S2" s="69"/>
      <c r="T2" s="70"/>
      <c r="U2" s="71"/>
      <c r="V2" s="71"/>
    </row>
    <row r="3" spans="1:26" ht="14.25" customHeight="1" x14ac:dyDescent="0.2">
      <c r="A3" s="231" t="s">
        <v>0</v>
      </c>
      <c r="B3" s="232" t="s">
        <v>1</v>
      </c>
      <c r="C3" s="229" t="s">
        <v>2</v>
      </c>
      <c r="D3" s="233" t="s">
        <v>3</v>
      </c>
      <c r="E3" s="234" t="s">
        <v>4</v>
      </c>
      <c r="F3" s="232" t="s">
        <v>5</v>
      </c>
      <c r="G3" s="235" t="s">
        <v>6</v>
      </c>
      <c r="H3" s="236" t="s">
        <v>7</v>
      </c>
      <c r="I3" s="236" t="s">
        <v>8</v>
      </c>
      <c r="J3" s="227" t="s">
        <v>9</v>
      </c>
      <c r="K3" s="227"/>
      <c r="L3" s="228" t="s">
        <v>10</v>
      </c>
      <c r="M3" s="229" t="s">
        <v>11</v>
      </c>
      <c r="N3" s="230" t="s">
        <v>12</v>
      </c>
      <c r="O3" s="230"/>
      <c r="P3" s="230"/>
      <c r="Q3" s="229" t="s">
        <v>13</v>
      </c>
      <c r="R3" s="229" t="s">
        <v>14</v>
      </c>
      <c r="S3" s="229" t="s">
        <v>15</v>
      </c>
      <c r="T3" s="36">
        <v>2021</v>
      </c>
      <c r="U3" s="37"/>
      <c r="V3" s="38" t="s">
        <v>44</v>
      </c>
    </row>
    <row r="4" spans="1:26" ht="14.25" customHeight="1" x14ac:dyDescent="0.2">
      <c r="A4" s="231"/>
      <c r="B4" s="232"/>
      <c r="C4" s="229"/>
      <c r="D4" s="233"/>
      <c r="E4" s="234"/>
      <c r="F4" s="232"/>
      <c r="G4" s="235"/>
      <c r="H4" s="236"/>
      <c r="I4" s="236"/>
      <c r="J4" s="227"/>
      <c r="K4" s="227"/>
      <c r="L4" s="228"/>
      <c r="M4" s="229"/>
      <c r="N4" s="102" t="s">
        <v>16</v>
      </c>
      <c r="O4" s="102" t="s">
        <v>17</v>
      </c>
      <c r="P4" s="102" t="s">
        <v>18</v>
      </c>
      <c r="Q4" s="229"/>
      <c r="R4" s="229"/>
      <c r="S4" s="229"/>
      <c r="T4" s="96" t="s">
        <v>67</v>
      </c>
      <c r="U4" s="39" t="s">
        <v>68</v>
      </c>
      <c r="V4" s="40"/>
    </row>
    <row r="5" spans="1:26" x14ac:dyDescent="0.2">
      <c r="A5" s="72">
        <v>1</v>
      </c>
      <c r="B5" s="73" t="s">
        <v>49</v>
      </c>
      <c r="C5" s="73" t="s">
        <v>55</v>
      </c>
      <c r="D5" s="58">
        <v>44225</v>
      </c>
      <c r="E5" s="74">
        <v>1</v>
      </c>
      <c r="F5" s="73" t="s">
        <v>56</v>
      </c>
      <c r="G5" s="75">
        <v>1</v>
      </c>
      <c r="H5" s="42">
        <v>200000000</v>
      </c>
      <c r="I5" s="42">
        <f>H5*G5</f>
        <v>200000000</v>
      </c>
      <c r="J5" s="76">
        <v>44207</v>
      </c>
      <c r="K5" s="77">
        <f>IFERROR(VALUE(DAY(J5)&amp;" "&amp;TEXT(EOMONTH(J5,L5)-29,"mmm")&amp;" "&amp;YEAR(EOMONTH(J5,L5)-29)),"-")</f>
        <v>47494</v>
      </c>
      <c r="L5" s="78">
        <v>108</v>
      </c>
      <c r="M5" s="99">
        <v>23.21</v>
      </c>
      <c r="N5" s="81">
        <f t="shared" ref="N5" si="0">M5*H5/1000</f>
        <v>4642000</v>
      </c>
      <c r="O5" s="81"/>
      <c r="P5" s="81"/>
      <c r="Q5" s="81">
        <f t="shared" ref="Q5" si="1">N5+O5+P5</f>
        <v>4642000</v>
      </c>
      <c r="R5" s="81">
        <f t="shared" ref="R5" si="2">10%*N5</f>
        <v>464200</v>
      </c>
      <c r="S5" s="81">
        <f t="shared" ref="S5" si="3">Q5-R5</f>
        <v>4177800</v>
      </c>
      <c r="T5" s="42">
        <f>Q5*10%+Y5</f>
        <v>503244.85981308413</v>
      </c>
      <c r="U5" s="42">
        <f>Y5*12</f>
        <v>468538.31775700935</v>
      </c>
      <c r="V5" s="108">
        <f t="shared" ref="V5" si="4">Q5-T5-U5</f>
        <v>3670216.8224299066</v>
      </c>
      <c r="W5" s="2">
        <f t="shared" ref="W5" si="5">T5+U5+V5</f>
        <v>4642000</v>
      </c>
      <c r="X5" s="2">
        <f t="shared" ref="X5" si="6">Q5-W5</f>
        <v>0</v>
      </c>
      <c r="Y5" s="2">
        <v>39044.859813084113</v>
      </c>
      <c r="Z5" s="109">
        <f t="shared" ref="Z5" si="7">(Q5-T5)/(L5-1)</f>
        <v>38679.954581186132</v>
      </c>
    </row>
    <row r="6" spans="1:26" x14ac:dyDescent="0.2">
      <c r="A6" s="79"/>
      <c r="B6" s="59"/>
      <c r="C6" s="59"/>
      <c r="D6" s="59"/>
      <c r="E6" s="80">
        <f>SUM(E5:E5)</f>
        <v>1</v>
      </c>
      <c r="F6" s="80"/>
      <c r="G6" s="80"/>
      <c r="H6" s="79">
        <f>SUM(H5:H5)</f>
        <v>200000000</v>
      </c>
      <c r="I6" s="79">
        <f>SUM(I5:I5)</f>
        <v>200000000</v>
      </c>
      <c r="J6" s="79"/>
      <c r="K6" s="79"/>
      <c r="L6" s="79"/>
      <c r="M6" s="79"/>
      <c r="N6" s="79">
        <f t="shared" ref="N6:Z6" si="8">SUM(N5:N5)</f>
        <v>4642000</v>
      </c>
      <c r="O6" s="79">
        <f t="shared" si="8"/>
        <v>0</v>
      </c>
      <c r="P6" s="79">
        <f t="shared" si="8"/>
        <v>0</v>
      </c>
      <c r="Q6" s="79">
        <f t="shared" si="8"/>
        <v>4642000</v>
      </c>
      <c r="R6" s="79">
        <f t="shared" si="8"/>
        <v>464200</v>
      </c>
      <c r="S6" s="79">
        <f t="shared" si="8"/>
        <v>4177800</v>
      </c>
      <c r="T6" s="79">
        <f t="shared" si="8"/>
        <v>503244.85981308413</v>
      </c>
      <c r="U6" s="79">
        <f t="shared" si="8"/>
        <v>468538.31775700935</v>
      </c>
      <c r="V6" s="79">
        <f t="shared" si="8"/>
        <v>3670216.8224299066</v>
      </c>
      <c r="W6" s="79">
        <f t="shared" si="8"/>
        <v>4642000</v>
      </c>
      <c r="X6" s="79">
        <f t="shared" si="8"/>
        <v>0</v>
      </c>
      <c r="Y6" s="79">
        <f t="shared" si="8"/>
        <v>39044.859813084113</v>
      </c>
      <c r="Z6" s="79">
        <f t="shared" si="8"/>
        <v>38679.954581186132</v>
      </c>
    </row>
    <row r="8" spans="1:26" ht="14.25" customHeight="1" x14ac:dyDescent="0.2">
      <c r="A8" s="86" t="s">
        <v>70</v>
      </c>
      <c r="B8" s="62"/>
      <c r="C8" s="62"/>
      <c r="D8" s="57"/>
      <c r="E8" s="63"/>
      <c r="F8" s="64"/>
      <c r="G8" s="65"/>
      <c r="H8" s="66"/>
      <c r="I8" s="66"/>
      <c r="J8" s="67"/>
      <c r="K8" s="67"/>
      <c r="L8" s="68"/>
      <c r="M8" s="68"/>
      <c r="N8" s="69"/>
      <c r="O8" s="69"/>
      <c r="P8" s="69"/>
      <c r="Q8" s="69"/>
      <c r="R8" s="69"/>
      <c r="S8" s="69"/>
      <c r="T8" s="70"/>
      <c r="U8" s="71"/>
      <c r="V8" s="71"/>
    </row>
    <row r="9" spans="1:26" ht="14.25" customHeight="1" x14ac:dyDescent="0.2">
      <c r="A9" s="231" t="s">
        <v>0</v>
      </c>
      <c r="B9" s="232" t="s">
        <v>1</v>
      </c>
      <c r="C9" s="229" t="s">
        <v>2</v>
      </c>
      <c r="D9" s="233" t="s">
        <v>3</v>
      </c>
      <c r="E9" s="234" t="s">
        <v>4</v>
      </c>
      <c r="F9" s="232" t="s">
        <v>5</v>
      </c>
      <c r="G9" s="235" t="s">
        <v>6</v>
      </c>
      <c r="H9" s="236" t="s">
        <v>7</v>
      </c>
      <c r="I9" s="236" t="s">
        <v>8</v>
      </c>
      <c r="J9" s="227" t="s">
        <v>9</v>
      </c>
      <c r="K9" s="227"/>
      <c r="L9" s="228" t="s">
        <v>10</v>
      </c>
      <c r="M9" s="229" t="s">
        <v>11</v>
      </c>
      <c r="N9" s="230" t="s">
        <v>12</v>
      </c>
      <c r="O9" s="230"/>
      <c r="P9" s="230"/>
      <c r="Q9" s="229" t="s">
        <v>13</v>
      </c>
      <c r="R9" s="229" t="s">
        <v>14</v>
      </c>
      <c r="S9" s="229" t="s">
        <v>15</v>
      </c>
      <c r="T9" s="36">
        <v>2021</v>
      </c>
      <c r="U9" s="37"/>
      <c r="V9" s="38" t="s">
        <v>44</v>
      </c>
    </row>
    <row r="10" spans="1:26" ht="14.25" customHeight="1" x14ac:dyDescent="0.2">
      <c r="A10" s="231"/>
      <c r="B10" s="232"/>
      <c r="C10" s="229"/>
      <c r="D10" s="233"/>
      <c r="E10" s="234"/>
      <c r="F10" s="232"/>
      <c r="G10" s="235"/>
      <c r="H10" s="236"/>
      <c r="I10" s="236"/>
      <c r="J10" s="227"/>
      <c r="K10" s="227"/>
      <c r="L10" s="228"/>
      <c r="M10" s="229"/>
      <c r="N10" s="102" t="s">
        <v>16</v>
      </c>
      <c r="O10" s="102" t="s">
        <v>17</v>
      </c>
      <c r="P10" s="102" t="s">
        <v>18</v>
      </c>
      <c r="Q10" s="229"/>
      <c r="R10" s="229"/>
      <c r="S10" s="229"/>
      <c r="T10" s="104" t="s">
        <v>71</v>
      </c>
      <c r="U10" s="105" t="s">
        <v>68</v>
      </c>
      <c r="V10" s="106"/>
    </row>
    <row r="11" spans="1:26" x14ac:dyDescent="0.2">
      <c r="A11" s="72">
        <v>2</v>
      </c>
      <c r="B11" s="107" t="s">
        <v>59</v>
      </c>
      <c r="C11" s="107" t="s">
        <v>60</v>
      </c>
      <c r="D11" s="110">
        <v>44237</v>
      </c>
      <c r="E11" s="74">
        <v>1</v>
      </c>
      <c r="F11" s="107" t="s">
        <v>61</v>
      </c>
      <c r="G11" s="111">
        <v>1</v>
      </c>
      <c r="H11" s="112">
        <v>300000000</v>
      </c>
      <c r="I11" s="112">
        <f>H11*G11</f>
        <v>300000000</v>
      </c>
      <c r="J11" s="110">
        <v>44222</v>
      </c>
      <c r="K11" s="77">
        <f>IFERROR(VALUE(DAY(J11)&amp;" "&amp;TEXT(EOMONTH(J11,L11)-29,"mmm")&amp;" "&amp;YEAR(EOMONTH(J11,L11)-29)),"-")</f>
        <v>49700</v>
      </c>
      <c r="L11" s="107">
        <v>180</v>
      </c>
      <c r="M11" s="99">
        <v>37.520000000000003</v>
      </c>
      <c r="N11" s="81">
        <f t="shared" ref="N11" si="9">M11*H11/1000</f>
        <v>11256000</v>
      </c>
      <c r="O11" s="81"/>
      <c r="P11" s="81"/>
      <c r="Q11" s="81">
        <f t="shared" ref="Q11" si="10">N11+O11+P11</f>
        <v>11256000</v>
      </c>
      <c r="R11" s="81">
        <f t="shared" ref="R11" si="11">10%*N11</f>
        <v>1125600</v>
      </c>
      <c r="S11" s="81">
        <f t="shared" ref="S11" si="12">Q11-R11</f>
        <v>10130400</v>
      </c>
      <c r="T11" s="42">
        <f>Q11*10%</f>
        <v>1125600</v>
      </c>
      <c r="U11" s="42">
        <f t="shared" ref="U11" si="13">Y11*12</f>
        <v>679132.96089385473</v>
      </c>
      <c r="V11" s="108">
        <f t="shared" ref="V11" si="14">Q11-T11-U11</f>
        <v>9451267.0391061455</v>
      </c>
      <c r="W11" s="2">
        <f t="shared" ref="W11" si="15">T11+U11+V11</f>
        <v>11256000</v>
      </c>
      <c r="X11" s="2">
        <f t="shared" ref="X11" si="16">Q11-W11</f>
        <v>0</v>
      </c>
      <c r="Y11" s="2">
        <v>56594.41340782123</v>
      </c>
      <c r="Z11" s="109">
        <f t="shared" ref="Z11" si="17">(Q11-T11)/(L11-1)</f>
        <v>56594.41340782123</v>
      </c>
    </row>
    <row r="12" spans="1:26" x14ac:dyDescent="0.2">
      <c r="A12" s="79"/>
      <c r="B12" s="59"/>
      <c r="C12" s="59" t="s">
        <v>72</v>
      </c>
      <c r="D12" s="59"/>
      <c r="E12" s="80">
        <f>SUM(E11:E11)</f>
        <v>1</v>
      </c>
      <c r="F12" s="80"/>
      <c r="G12" s="80"/>
      <c r="H12" s="79">
        <f>SUM(H11:H11)</f>
        <v>300000000</v>
      </c>
      <c r="I12" s="79">
        <f>SUM(I11:I11)</f>
        <v>300000000</v>
      </c>
      <c r="J12" s="79"/>
      <c r="K12" s="79"/>
      <c r="L12" s="79"/>
      <c r="M12" s="79"/>
      <c r="N12" s="79">
        <f t="shared" ref="N12:Z12" si="18">SUM(N11:N11)</f>
        <v>11256000</v>
      </c>
      <c r="O12" s="79">
        <f t="shared" si="18"/>
        <v>0</v>
      </c>
      <c r="P12" s="79">
        <f t="shared" si="18"/>
        <v>0</v>
      </c>
      <c r="Q12" s="79">
        <f t="shared" si="18"/>
        <v>11256000</v>
      </c>
      <c r="R12" s="79">
        <f t="shared" si="18"/>
        <v>1125600</v>
      </c>
      <c r="S12" s="79">
        <f t="shared" si="18"/>
        <v>10130400</v>
      </c>
      <c r="T12" s="79">
        <f t="shared" si="18"/>
        <v>1125600</v>
      </c>
      <c r="U12" s="79">
        <f t="shared" si="18"/>
        <v>679132.96089385473</v>
      </c>
      <c r="V12" s="79">
        <f t="shared" si="18"/>
        <v>9451267.0391061455</v>
      </c>
      <c r="W12" s="79">
        <f t="shared" si="18"/>
        <v>11256000</v>
      </c>
      <c r="X12" s="79">
        <f t="shared" si="18"/>
        <v>0</v>
      </c>
      <c r="Y12" s="79">
        <f t="shared" si="18"/>
        <v>56594.41340782123</v>
      </c>
      <c r="Z12" s="79">
        <f t="shared" si="18"/>
        <v>56594.41340782123</v>
      </c>
    </row>
    <row r="13" spans="1:26" s="94" customFormat="1" x14ac:dyDescent="0.2">
      <c r="A13" s="83"/>
      <c r="B13" s="83"/>
      <c r="C13" s="83" t="s">
        <v>73</v>
      </c>
      <c r="D13" s="84"/>
      <c r="E13" s="93">
        <f>E12+E6</f>
        <v>2</v>
      </c>
      <c r="F13" s="83"/>
      <c r="G13" s="83"/>
      <c r="H13" s="87">
        <f>H12+H6</f>
        <v>500000000</v>
      </c>
      <c r="I13" s="87">
        <f>I12+I6</f>
        <v>500000000</v>
      </c>
      <c r="J13" s="83"/>
      <c r="K13" s="83"/>
      <c r="L13" s="83"/>
      <c r="M13" s="83"/>
      <c r="N13" s="83"/>
      <c r="O13" s="83"/>
      <c r="P13" s="83"/>
      <c r="Q13" s="87">
        <f t="shared" ref="Q13:Z13" si="19">Q12+Q6</f>
        <v>15898000</v>
      </c>
      <c r="R13" s="87">
        <f t="shared" si="19"/>
        <v>1589800</v>
      </c>
      <c r="S13" s="87">
        <f t="shared" si="19"/>
        <v>14308200</v>
      </c>
      <c r="T13" s="87">
        <f t="shared" si="19"/>
        <v>1628844.8598130841</v>
      </c>
      <c r="U13" s="87">
        <f t="shared" si="19"/>
        <v>1147671.278650864</v>
      </c>
      <c r="V13" s="87">
        <f t="shared" si="19"/>
        <v>13121483.861536052</v>
      </c>
      <c r="W13" s="87">
        <f t="shared" si="19"/>
        <v>15898000</v>
      </c>
      <c r="X13" s="87">
        <f t="shared" si="19"/>
        <v>0</v>
      </c>
      <c r="Y13" s="87">
        <f t="shared" si="19"/>
        <v>95639.273220905336</v>
      </c>
      <c r="Z13" s="87">
        <f t="shared" si="19"/>
        <v>95274.367989007354</v>
      </c>
    </row>
    <row r="24" spans="4:5" x14ac:dyDescent="0.2">
      <c r="D24" s="3"/>
      <c r="E24" s="3"/>
    </row>
    <row r="25" spans="4:5" x14ac:dyDescent="0.2">
      <c r="D25" s="3"/>
      <c r="E25" s="3"/>
    </row>
    <row r="26" spans="4:5" x14ac:dyDescent="0.2">
      <c r="D26" s="3"/>
      <c r="E26" s="3"/>
    </row>
    <row r="27" spans="4:5" x14ac:dyDescent="0.2">
      <c r="D27" s="3"/>
      <c r="E27" s="3"/>
    </row>
    <row r="28" spans="4:5" x14ac:dyDescent="0.2">
      <c r="D28" s="3"/>
      <c r="E28" s="3"/>
    </row>
    <row r="29" spans="4:5" x14ac:dyDescent="0.2">
      <c r="D29" s="3"/>
      <c r="E29" s="3"/>
    </row>
  </sheetData>
  <mergeCells count="32">
    <mergeCell ref="N9:P9"/>
    <mergeCell ref="Q9:Q10"/>
    <mergeCell ref="R9:R10"/>
    <mergeCell ref="S9:S10"/>
    <mergeCell ref="G9:G10"/>
    <mergeCell ref="H9:H10"/>
    <mergeCell ref="I9:I10"/>
    <mergeCell ref="J9:K10"/>
    <mergeCell ref="L9:L10"/>
    <mergeCell ref="M9:M10"/>
    <mergeCell ref="N3:P3"/>
    <mergeCell ref="Q3:Q4"/>
    <mergeCell ref="R3:R4"/>
    <mergeCell ref="S3:S4"/>
    <mergeCell ref="A9:A10"/>
    <mergeCell ref="B9:B10"/>
    <mergeCell ref="C9:C10"/>
    <mergeCell ref="D9:D10"/>
    <mergeCell ref="E9:E10"/>
    <mergeCell ref="F9:F10"/>
    <mergeCell ref="G3:G4"/>
    <mergeCell ref="H3:H4"/>
    <mergeCell ref="I3:I4"/>
    <mergeCell ref="J3:K4"/>
    <mergeCell ref="L3:L4"/>
    <mergeCell ref="M3:M4"/>
    <mergeCell ref="F3:F4"/>
    <mergeCell ref="A3:A4"/>
    <mergeCell ref="B3:B4"/>
    <mergeCell ref="C3:C4"/>
    <mergeCell ref="D3:D4"/>
    <mergeCell ref="E3:E4"/>
  </mergeCells>
  <pageMargins left="0.2" right="0.7" top="0.45" bottom="0.75" header="0.3" footer="0.3"/>
  <pageSetup paperSize="5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2"/>
  <sheetViews>
    <sheetView workbookViewId="0">
      <selection sqref="A1:XFD1048576"/>
    </sheetView>
  </sheetViews>
  <sheetFormatPr defaultRowHeight="12" x14ac:dyDescent="0.2"/>
  <cols>
    <col min="1" max="1" width="4.140625" style="3" customWidth="1"/>
    <col min="2" max="2" width="14.7109375" style="3" customWidth="1"/>
    <col min="3" max="3" width="17.85546875" style="3" customWidth="1"/>
    <col min="4" max="4" width="12.28515625" style="82" customWidth="1"/>
    <col min="5" max="5" width="7.7109375" style="97" customWidth="1"/>
    <col min="6" max="6" width="13.28515625" style="3" customWidth="1"/>
    <col min="7" max="7" width="8.85546875" style="3" bestFit="1" customWidth="1"/>
    <col min="8" max="8" width="9.85546875" style="3" customWidth="1"/>
    <col min="9" max="9" width="11.5703125" style="3" customWidth="1"/>
    <col min="10" max="10" width="0.28515625" style="3" hidden="1" customWidth="1"/>
    <col min="11" max="11" width="9.5703125" style="3" hidden="1" customWidth="1"/>
    <col min="12" max="12" width="4.28515625" style="3" bestFit="1" customWidth="1"/>
    <col min="13" max="13" width="5.28515625" style="3" customWidth="1"/>
    <col min="14" max="14" width="12.5703125" style="3" hidden="1" customWidth="1"/>
    <col min="15" max="16" width="9.140625" style="3" hidden="1" customWidth="1"/>
    <col min="17" max="17" width="9" style="3" hidden="1" customWidth="1"/>
    <col min="18" max="18" width="8.85546875" style="3" customWidth="1"/>
    <col min="19" max="19" width="17.28515625" style="3" hidden="1" customWidth="1"/>
    <col min="20" max="20" width="14.7109375" style="3" customWidth="1"/>
    <col min="21" max="21" width="13.42578125" style="3" customWidth="1"/>
    <col min="22" max="16384" width="9.140625" style="3"/>
  </cols>
  <sheetData>
    <row r="2" spans="1:26" ht="14.25" customHeight="1" x14ac:dyDescent="0.2">
      <c r="A2" s="86" t="s">
        <v>76</v>
      </c>
      <c r="B2" s="62"/>
      <c r="C2" s="62"/>
      <c r="D2" s="57"/>
      <c r="E2" s="63"/>
      <c r="F2" s="64"/>
      <c r="G2" s="65"/>
      <c r="H2" s="66"/>
      <c r="I2" s="66"/>
      <c r="J2" s="67"/>
      <c r="K2" s="67"/>
      <c r="L2" s="68"/>
      <c r="M2" s="68"/>
      <c r="N2" s="69"/>
      <c r="O2" s="69"/>
      <c r="P2" s="69"/>
      <c r="Q2" s="69"/>
      <c r="R2" s="69"/>
      <c r="S2" s="69"/>
      <c r="T2" s="70"/>
      <c r="U2" s="71"/>
      <c r="V2" s="71"/>
    </row>
    <row r="3" spans="1:26" ht="14.25" customHeight="1" x14ac:dyDescent="0.2">
      <c r="A3" s="231" t="s">
        <v>0</v>
      </c>
      <c r="B3" s="232" t="s">
        <v>1</v>
      </c>
      <c r="C3" s="229" t="s">
        <v>2</v>
      </c>
      <c r="D3" s="233" t="s">
        <v>3</v>
      </c>
      <c r="E3" s="234" t="s">
        <v>4</v>
      </c>
      <c r="F3" s="232" t="s">
        <v>5</v>
      </c>
      <c r="G3" s="235" t="s">
        <v>6</v>
      </c>
      <c r="H3" s="236" t="s">
        <v>7</v>
      </c>
      <c r="I3" s="236" t="s">
        <v>8</v>
      </c>
      <c r="J3" s="227" t="s">
        <v>9</v>
      </c>
      <c r="K3" s="227"/>
      <c r="L3" s="228" t="s">
        <v>10</v>
      </c>
      <c r="M3" s="229" t="s">
        <v>11</v>
      </c>
      <c r="N3" s="230" t="s">
        <v>12</v>
      </c>
      <c r="O3" s="230"/>
      <c r="P3" s="230"/>
      <c r="Q3" s="229" t="s">
        <v>13</v>
      </c>
      <c r="R3" s="229" t="s">
        <v>14</v>
      </c>
      <c r="S3" s="229" t="s">
        <v>15</v>
      </c>
      <c r="T3" s="36">
        <v>2021</v>
      </c>
      <c r="U3" s="37"/>
      <c r="V3" s="38" t="s">
        <v>44</v>
      </c>
    </row>
    <row r="4" spans="1:26" ht="14.25" customHeight="1" x14ac:dyDescent="0.2">
      <c r="A4" s="231"/>
      <c r="B4" s="232"/>
      <c r="C4" s="229"/>
      <c r="D4" s="233"/>
      <c r="E4" s="234"/>
      <c r="F4" s="232"/>
      <c r="G4" s="235"/>
      <c r="H4" s="236"/>
      <c r="I4" s="236"/>
      <c r="J4" s="227"/>
      <c r="K4" s="227"/>
      <c r="L4" s="228"/>
      <c r="M4" s="229"/>
      <c r="N4" s="102" t="s">
        <v>16</v>
      </c>
      <c r="O4" s="102" t="s">
        <v>17</v>
      </c>
      <c r="P4" s="102" t="s">
        <v>18</v>
      </c>
      <c r="Q4" s="229"/>
      <c r="R4" s="229"/>
      <c r="S4" s="229"/>
      <c r="T4" s="96" t="s">
        <v>67</v>
      </c>
      <c r="U4" s="39" t="s">
        <v>75</v>
      </c>
      <c r="V4" s="40"/>
    </row>
    <row r="5" spans="1:26" x14ac:dyDescent="0.2">
      <c r="A5" s="72">
        <v>1</v>
      </c>
      <c r="B5" s="73" t="s">
        <v>49</v>
      </c>
      <c r="C5" s="73" t="s">
        <v>55</v>
      </c>
      <c r="D5" s="58">
        <v>44225</v>
      </c>
      <c r="E5" s="74">
        <v>1</v>
      </c>
      <c r="F5" s="73" t="s">
        <v>56</v>
      </c>
      <c r="G5" s="75">
        <v>1</v>
      </c>
      <c r="H5" s="42">
        <v>200000000</v>
      </c>
      <c r="I5" s="42">
        <f>H5*G5</f>
        <v>200000000</v>
      </c>
      <c r="J5" s="76">
        <v>44207</v>
      </c>
      <c r="K5" s="77">
        <f>IFERROR(VALUE(DAY(J5)&amp;" "&amp;TEXT(EOMONTH(J5,L5)-29,"mmm")&amp;" "&amp;YEAR(EOMONTH(J5,L5)-29)),"-")</f>
        <v>47494</v>
      </c>
      <c r="L5" s="78">
        <v>108</v>
      </c>
      <c r="M5" s="99">
        <v>23.21</v>
      </c>
      <c r="N5" s="81">
        <f t="shared" ref="N5" si="0">M5*H5/1000</f>
        <v>4642000</v>
      </c>
      <c r="O5" s="81"/>
      <c r="P5" s="81"/>
      <c r="Q5" s="81">
        <f t="shared" ref="Q5" si="1">N5+O5+P5</f>
        <v>4642000</v>
      </c>
      <c r="R5" s="81">
        <f t="shared" ref="R5" si="2">10%*N5</f>
        <v>464200</v>
      </c>
      <c r="S5" s="81">
        <f t="shared" ref="S5" si="3">Q5-R5</f>
        <v>4177800</v>
      </c>
      <c r="T5" s="42">
        <f>R5*10%+Y5</f>
        <v>50324.485981308411</v>
      </c>
      <c r="U5" s="1">
        <f t="shared" ref="U5" si="4">Y5*12</f>
        <v>46853.831775700935</v>
      </c>
      <c r="V5" s="34">
        <f t="shared" ref="V5" si="5">R5-T5-U5</f>
        <v>367021.6822429907</v>
      </c>
      <c r="W5" s="35">
        <f t="shared" ref="W5" si="6">T5+U5+V5</f>
        <v>464200.00000000006</v>
      </c>
      <c r="X5" s="35">
        <f t="shared" ref="X5" si="7">R5-W5</f>
        <v>0</v>
      </c>
      <c r="Y5" s="35">
        <v>3904.4859813084113</v>
      </c>
      <c r="Z5" s="41">
        <f t="shared" ref="Z5" si="8">(R5-T5)/(L5-1)</f>
        <v>3867.995458118613</v>
      </c>
    </row>
    <row r="6" spans="1:26" x14ac:dyDescent="0.2">
      <c r="A6" s="79"/>
      <c r="B6" s="59"/>
      <c r="C6" s="59"/>
      <c r="D6" s="59"/>
      <c r="E6" s="80">
        <f>SUM(E5:E5)</f>
        <v>1</v>
      </c>
      <c r="F6" s="80"/>
      <c r="G6" s="80"/>
      <c r="H6" s="79">
        <f>SUM(H5:H5)</f>
        <v>200000000</v>
      </c>
      <c r="I6" s="79">
        <f>SUM(I5:I5)</f>
        <v>200000000</v>
      </c>
      <c r="J6" s="79"/>
      <c r="K6" s="79"/>
      <c r="L6" s="79"/>
      <c r="M6" s="79"/>
      <c r="N6" s="79">
        <f t="shared" ref="N6:Z6" si="9">SUM(N5:N5)</f>
        <v>4642000</v>
      </c>
      <c r="O6" s="79">
        <f t="shared" si="9"/>
        <v>0</v>
      </c>
      <c r="P6" s="79">
        <f t="shared" si="9"/>
        <v>0</v>
      </c>
      <c r="Q6" s="79">
        <f t="shared" si="9"/>
        <v>4642000</v>
      </c>
      <c r="R6" s="79">
        <f t="shared" si="9"/>
        <v>464200</v>
      </c>
      <c r="S6" s="79">
        <f t="shared" si="9"/>
        <v>4177800</v>
      </c>
      <c r="T6" s="79">
        <f t="shared" si="9"/>
        <v>50324.485981308411</v>
      </c>
      <c r="U6" s="79">
        <f t="shared" si="9"/>
        <v>46853.831775700935</v>
      </c>
      <c r="V6" s="79">
        <f t="shared" si="9"/>
        <v>367021.6822429907</v>
      </c>
      <c r="W6" s="79">
        <f t="shared" si="9"/>
        <v>464200.00000000006</v>
      </c>
      <c r="X6" s="79">
        <f t="shared" si="9"/>
        <v>0</v>
      </c>
      <c r="Y6" s="79">
        <f t="shared" si="9"/>
        <v>3904.4859813084113</v>
      </c>
      <c r="Z6" s="79">
        <f t="shared" si="9"/>
        <v>3867.995458118613</v>
      </c>
    </row>
    <row r="8" spans="1:26" ht="14.25" customHeight="1" x14ac:dyDescent="0.2">
      <c r="A8" s="86" t="s">
        <v>74</v>
      </c>
      <c r="B8" s="62"/>
      <c r="C8" s="62"/>
      <c r="D8" s="57"/>
      <c r="E8" s="63"/>
      <c r="F8" s="64"/>
      <c r="G8" s="65"/>
      <c r="H8" s="66"/>
      <c r="I8" s="66"/>
      <c r="J8" s="67"/>
      <c r="K8" s="67"/>
      <c r="L8" s="68"/>
      <c r="M8" s="68"/>
      <c r="N8" s="69"/>
      <c r="O8" s="69"/>
      <c r="P8" s="69"/>
      <c r="Q8" s="69"/>
      <c r="R8" s="69"/>
      <c r="S8" s="69"/>
      <c r="T8" s="70"/>
      <c r="U8" s="71"/>
      <c r="V8" s="71"/>
    </row>
    <row r="9" spans="1:26" ht="14.25" customHeight="1" x14ac:dyDescent="0.2">
      <c r="A9" s="231" t="s">
        <v>0</v>
      </c>
      <c r="B9" s="232" t="s">
        <v>1</v>
      </c>
      <c r="C9" s="229" t="s">
        <v>2</v>
      </c>
      <c r="D9" s="233" t="s">
        <v>3</v>
      </c>
      <c r="E9" s="234" t="s">
        <v>4</v>
      </c>
      <c r="F9" s="232" t="s">
        <v>5</v>
      </c>
      <c r="G9" s="235" t="s">
        <v>6</v>
      </c>
      <c r="H9" s="236" t="s">
        <v>7</v>
      </c>
      <c r="I9" s="236" t="s">
        <v>8</v>
      </c>
      <c r="J9" s="227" t="s">
        <v>9</v>
      </c>
      <c r="K9" s="227"/>
      <c r="L9" s="228" t="s">
        <v>10</v>
      </c>
      <c r="M9" s="229" t="s">
        <v>11</v>
      </c>
      <c r="N9" s="230" t="s">
        <v>12</v>
      </c>
      <c r="O9" s="230"/>
      <c r="P9" s="230"/>
      <c r="Q9" s="229" t="s">
        <v>13</v>
      </c>
      <c r="R9" s="229" t="s">
        <v>14</v>
      </c>
      <c r="S9" s="229" t="s">
        <v>15</v>
      </c>
      <c r="T9" s="36">
        <v>2021</v>
      </c>
      <c r="U9" s="37"/>
      <c r="V9" s="38" t="s">
        <v>44</v>
      </c>
    </row>
    <row r="10" spans="1:26" ht="14.25" customHeight="1" x14ac:dyDescent="0.2">
      <c r="A10" s="231"/>
      <c r="B10" s="232"/>
      <c r="C10" s="229"/>
      <c r="D10" s="233"/>
      <c r="E10" s="234"/>
      <c r="F10" s="232"/>
      <c r="G10" s="235"/>
      <c r="H10" s="236"/>
      <c r="I10" s="236"/>
      <c r="J10" s="227"/>
      <c r="K10" s="227"/>
      <c r="L10" s="228"/>
      <c r="M10" s="229"/>
      <c r="N10" s="103" t="s">
        <v>16</v>
      </c>
      <c r="O10" s="103" t="s">
        <v>17</v>
      </c>
      <c r="P10" s="103" t="s">
        <v>18</v>
      </c>
      <c r="Q10" s="229"/>
      <c r="R10" s="229"/>
      <c r="S10" s="229"/>
      <c r="T10" s="96" t="s">
        <v>67</v>
      </c>
      <c r="U10" s="39" t="s">
        <v>75</v>
      </c>
      <c r="V10" s="40"/>
    </row>
    <row r="11" spans="1:26" x14ac:dyDescent="0.2">
      <c r="A11" s="74">
        <v>2</v>
      </c>
      <c r="B11" s="107" t="s">
        <v>59</v>
      </c>
      <c r="C11" s="107" t="s">
        <v>60</v>
      </c>
      <c r="D11" s="110">
        <v>44237</v>
      </c>
      <c r="E11" s="74">
        <v>1</v>
      </c>
      <c r="F11" s="107" t="s">
        <v>61</v>
      </c>
      <c r="G11" s="111">
        <v>1</v>
      </c>
      <c r="H11" s="112">
        <v>300000000</v>
      </c>
      <c r="I11" s="112">
        <f>H11*G11</f>
        <v>300000000</v>
      </c>
      <c r="J11" s="110">
        <v>44222</v>
      </c>
      <c r="K11" s="77">
        <f>IFERROR(VALUE(DAY(J11)&amp;" "&amp;TEXT(EOMONTH(J11,L11)-29,"mmm")&amp;" "&amp;YEAR(EOMONTH(J11,L11)-29)),"-")</f>
        <v>49700</v>
      </c>
      <c r="L11" s="107">
        <v>180</v>
      </c>
      <c r="M11" s="99">
        <v>37.520000000000003</v>
      </c>
      <c r="N11" s="81">
        <f t="shared" ref="N11" si="10">M11*H11/1000</f>
        <v>11256000</v>
      </c>
      <c r="O11" s="81"/>
      <c r="P11" s="81"/>
      <c r="Q11" s="81">
        <f t="shared" ref="Q11" si="11">N11+O11+P11</f>
        <v>11256000</v>
      </c>
      <c r="R11" s="81">
        <f t="shared" ref="R11" si="12">10%*N11</f>
        <v>1125600</v>
      </c>
      <c r="S11" s="81">
        <f t="shared" ref="S11" si="13">Q11-R11</f>
        <v>10130400</v>
      </c>
      <c r="T11" s="42">
        <f>R11*10%</f>
        <v>112560</v>
      </c>
      <c r="U11" s="1">
        <f t="shared" ref="U11" si="14">Y11*12</f>
        <v>67913.296089385476</v>
      </c>
      <c r="V11" s="34">
        <f t="shared" ref="V11" si="15">R11-T11-U11</f>
        <v>945126.70391061448</v>
      </c>
      <c r="W11" s="35">
        <f t="shared" ref="W11" si="16">T11+U11+V11</f>
        <v>1125600</v>
      </c>
      <c r="X11" s="35">
        <f t="shared" ref="X11" si="17">R11-W11</f>
        <v>0</v>
      </c>
      <c r="Y11" s="35">
        <v>5659.441340782123</v>
      </c>
      <c r="Z11" s="41">
        <f t="shared" ref="Z11" si="18">(R11-T11)/(L11-1)</f>
        <v>5659.441340782123</v>
      </c>
    </row>
    <row r="12" spans="1:26" x14ac:dyDescent="0.2">
      <c r="A12" s="79"/>
      <c r="B12" s="59"/>
      <c r="C12" s="59"/>
      <c r="D12" s="59"/>
      <c r="E12" s="80">
        <f>SUM(E11:E11)</f>
        <v>1</v>
      </c>
      <c r="F12" s="80"/>
      <c r="G12" s="80"/>
      <c r="H12" s="79">
        <f>SUM(H11:H11)</f>
        <v>300000000</v>
      </c>
      <c r="I12" s="79">
        <f>SUM(I11:I11)</f>
        <v>300000000</v>
      </c>
      <c r="J12" s="79"/>
      <c r="K12" s="79"/>
      <c r="L12" s="79"/>
      <c r="M12" s="79"/>
      <c r="N12" s="79">
        <f t="shared" ref="N12:Z12" si="19">SUM(N11:N11)</f>
        <v>11256000</v>
      </c>
      <c r="O12" s="79">
        <f t="shared" si="19"/>
        <v>0</v>
      </c>
      <c r="P12" s="79">
        <f t="shared" si="19"/>
        <v>0</v>
      </c>
      <c r="Q12" s="79">
        <f t="shared" si="19"/>
        <v>11256000</v>
      </c>
      <c r="R12" s="79">
        <f t="shared" si="19"/>
        <v>1125600</v>
      </c>
      <c r="S12" s="79">
        <f t="shared" si="19"/>
        <v>10130400</v>
      </c>
      <c r="T12" s="79">
        <f t="shared" si="19"/>
        <v>112560</v>
      </c>
      <c r="U12" s="79">
        <f t="shared" si="19"/>
        <v>67913.296089385476</v>
      </c>
      <c r="V12" s="79">
        <f t="shared" si="19"/>
        <v>945126.70391061448</v>
      </c>
      <c r="W12" s="79">
        <f t="shared" si="19"/>
        <v>1125600</v>
      </c>
      <c r="X12" s="79">
        <f t="shared" si="19"/>
        <v>0</v>
      </c>
      <c r="Y12" s="79">
        <f t="shared" si="19"/>
        <v>5659.441340782123</v>
      </c>
      <c r="Z12" s="79">
        <f t="shared" si="19"/>
        <v>5659.441340782123</v>
      </c>
    </row>
  </sheetData>
  <mergeCells count="32">
    <mergeCell ref="N3:P3"/>
    <mergeCell ref="Q3:Q4"/>
    <mergeCell ref="R3:R4"/>
    <mergeCell ref="S3:S4"/>
    <mergeCell ref="G3:G4"/>
    <mergeCell ref="H3:H4"/>
    <mergeCell ref="I3:I4"/>
    <mergeCell ref="J3:K4"/>
    <mergeCell ref="L3:L4"/>
    <mergeCell ref="M3:M4"/>
    <mergeCell ref="F3:F4"/>
    <mergeCell ref="A9:A10"/>
    <mergeCell ref="B9:B10"/>
    <mergeCell ref="C9:C10"/>
    <mergeCell ref="D9:D10"/>
    <mergeCell ref="E9:E10"/>
    <mergeCell ref="F9:F10"/>
    <mergeCell ref="A3:A4"/>
    <mergeCell ref="B3:B4"/>
    <mergeCell ref="C3:C4"/>
    <mergeCell ref="D3:D4"/>
    <mergeCell ref="E3:E4"/>
    <mergeCell ref="G9:G10"/>
    <mergeCell ref="H9:H10"/>
    <mergeCell ref="I9:I10"/>
    <mergeCell ref="J9:K10"/>
    <mergeCell ref="L9:L10"/>
    <mergeCell ref="M9:M10"/>
    <mergeCell ref="N9:P9"/>
    <mergeCell ref="Q9:Q10"/>
    <mergeCell ref="R9:R10"/>
    <mergeCell ref="S9:S10"/>
  </mergeCells>
  <pageMargins left="0.46" right="0.7" top="0.47" bottom="0.75" header="0.3" footer="0.3"/>
  <pageSetup paperSize="5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9"/>
  <sheetViews>
    <sheetView workbookViewId="0">
      <selection activeCell="Y21" sqref="Y21"/>
    </sheetView>
  </sheetViews>
  <sheetFormatPr defaultRowHeight="12" x14ac:dyDescent="0.2"/>
  <cols>
    <col min="1" max="1" width="4.140625" style="3" customWidth="1"/>
    <col min="2" max="2" width="15" style="3" bestFit="1" customWidth="1"/>
    <col min="3" max="3" width="19" style="3" customWidth="1"/>
    <col min="4" max="4" width="10.7109375" style="82" hidden="1" customWidth="1"/>
    <col min="5" max="5" width="9" style="97" customWidth="1"/>
    <col min="6" max="6" width="12.42578125" style="3" customWidth="1"/>
    <col min="7" max="7" width="9" style="143" customWidth="1"/>
    <col min="8" max="8" width="10.7109375" style="3" customWidth="1"/>
    <col min="9" max="9" width="11.85546875" style="3" customWidth="1"/>
    <col min="10" max="10" width="10.7109375" style="3" hidden="1" customWidth="1"/>
    <col min="11" max="11" width="9.7109375" style="3" hidden="1" customWidth="1"/>
    <col min="12" max="12" width="4.42578125" style="3" bestFit="1" customWidth="1"/>
    <col min="13" max="13" width="5.42578125" style="3" customWidth="1"/>
    <col min="14" max="14" width="12.5703125" style="3" hidden="1" customWidth="1"/>
    <col min="15" max="16" width="9.140625" style="3" hidden="1" customWidth="1"/>
    <col min="17" max="17" width="9.5703125" style="3" customWidth="1"/>
    <col min="18" max="18" width="11.7109375" style="3" hidden="1" customWidth="1"/>
    <col min="19" max="19" width="14.28515625" style="3" hidden="1" customWidth="1"/>
    <col min="20" max="20" width="15.7109375" style="3" customWidth="1"/>
    <col min="21" max="21" width="15.85546875" style="3" customWidth="1"/>
    <col min="22" max="22" width="9.85546875" style="3" bestFit="1" customWidth="1"/>
    <col min="23" max="23" width="12.85546875" style="3" customWidth="1"/>
    <col min="24" max="26" width="9.28515625" style="3" bestFit="1" customWidth="1"/>
    <col min="27" max="16384" width="9.140625" style="3"/>
  </cols>
  <sheetData>
    <row r="2" spans="1:26" ht="14.25" customHeight="1" x14ac:dyDescent="0.2">
      <c r="A2" s="86" t="s">
        <v>69</v>
      </c>
      <c r="B2" s="62"/>
      <c r="C2" s="62"/>
      <c r="D2" s="57"/>
      <c r="E2" s="63"/>
      <c r="F2" s="64"/>
      <c r="G2" s="139"/>
      <c r="H2" s="66"/>
      <c r="I2" s="66"/>
      <c r="J2" s="67"/>
      <c r="K2" s="67"/>
      <c r="L2" s="68"/>
      <c r="M2" s="68"/>
      <c r="N2" s="69"/>
      <c r="O2" s="69"/>
      <c r="P2" s="69"/>
      <c r="Q2" s="69"/>
      <c r="R2" s="69"/>
      <c r="S2" s="69"/>
      <c r="T2" s="70"/>
      <c r="U2" s="71"/>
      <c r="V2" s="71"/>
    </row>
    <row r="3" spans="1:26" ht="14.25" customHeight="1" x14ac:dyDescent="0.2">
      <c r="A3" s="231" t="s">
        <v>0</v>
      </c>
      <c r="B3" s="232" t="s">
        <v>1</v>
      </c>
      <c r="C3" s="229" t="s">
        <v>2</v>
      </c>
      <c r="D3" s="233" t="s">
        <v>3</v>
      </c>
      <c r="E3" s="234" t="s">
        <v>4</v>
      </c>
      <c r="F3" s="232" t="s">
        <v>5</v>
      </c>
      <c r="G3" s="237" t="s">
        <v>6</v>
      </c>
      <c r="H3" s="236" t="s">
        <v>7</v>
      </c>
      <c r="I3" s="236" t="s">
        <v>8</v>
      </c>
      <c r="J3" s="227" t="s">
        <v>9</v>
      </c>
      <c r="K3" s="227"/>
      <c r="L3" s="228" t="s">
        <v>10</v>
      </c>
      <c r="M3" s="229" t="s">
        <v>11</v>
      </c>
      <c r="N3" s="230" t="s">
        <v>12</v>
      </c>
      <c r="O3" s="230"/>
      <c r="P3" s="230"/>
      <c r="Q3" s="229" t="s">
        <v>13</v>
      </c>
      <c r="R3" s="229" t="s">
        <v>14</v>
      </c>
      <c r="S3" s="229" t="s">
        <v>15</v>
      </c>
      <c r="T3" s="36">
        <v>2021</v>
      </c>
      <c r="U3" s="37"/>
      <c r="V3" s="38" t="s">
        <v>44</v>
      </c>
    </row>
    <row r="4" spans="1:26" ht="14.25" customHeight="1" x14ac:dyDescent="0.2">
      <c r="A4" s="231"/>
      <c r="B4" s="232"/>
      <c r="C4" s="229"/>
      <c r="D4" s="233"/>
      <c r="E4" s="234"/>
      <c r="F4" s="232"/>
      <c r="G4" s="237"/>
      <c r="H4" s="236"/>
      <c r="I4" s="236"/>
      <c r="J4" s="227"/>
      <c r="K4" s="227"/>
      <c r="L4" s="228"/>
      <c r="M4" s="229"/>
      <c r="N4" s="125" t="s">
        <v>16</v>
      </c>
      <c r="O4" s="125" t="s">
        <v>17</v>
      </c>
      <c r="P4" s="125" t="s">
        <v>18</v>
      </c>
      <c r="Q4" s="229"/>
      <c r="R4" s="229"/>
      <c r="S4" s="229"/>
      <c r="T4" s="96" t="s">
        <v>80</v>
      </c>
      <c r="U4" s="39" t="s">
        <v>81</v>
      </c>
      <c r="V4" s="40"/>
    </row>
    <row r="5" spans="1:26" x14ac:dyDescent="0.2">
      <c r="A5" s="72">
        <v>1</v>
      </c>
      <c r="B5" s="73" t="s">
        <v>49</v>
      </c>
      <c r="C5" s="73" t="s">
        <v>55</v>
      </c>
      <c r="D5" s="58">
        <v>44225</v>
      </c>
      <c r="E5" s="74">
        <v>1</v>
      </c>
      <c r="F5" s="73" t="s">
        <v>56</v>
      </c>
      <c r="G5" s="140">
        <v>1</v>
      </c>
      <c r="H5" s="42">
        <v>200000000</v>
      </c>
      <c r="I5" s="42">
        <f>H5*G5</f>
        <v>200000000</v>
      </c>
      <c r="J5" s="76">
        <v>44207</v>
      </c>
      <c r="K5" s="77">
        <f>IFERROR(VALUE(DAY(J5)&amp;" "&amp;TEXT(EOMONTH(J5,L5)-29,"mmm")&amp;" "&amp;YEAR(EOMONTH(J5,L5)-29)),"-")</f>
        <v>47494</v>
      </c>
      <c r="L5" s="78">
        <v>108</v>
      </c>
      <c r="M5" s="99">
        <v>23.21</v>
      </c>
      <c r="N5" s="81">
        <f t="shared" ref="N5" si="0">M5*H5/1000</f>
        <v>4642000</v>
      </c>
      <c r="O5" s="81"/>
      <c r="P5" s="81"/>
      <c r="Q5" s="81">
        <f t="shared" ref="Q5" si="1">N5+O5+P5</f>
        <v>4642000</v>
      </c>
      <c r="R5" s="81">
        <f t="shared" ref="R5" si="2">10%*N5</f>
        <v>464200</v>
      </c>
      <c r="S5" s="81">
        <f t="shared" ref="S5" si="3">Q5-R5</f>
        <v>4177800</v>
      </c>
      <c r="T5" s="42">
        <f>Q5*10%+(Y5*2)</f>
        <v>542289.71962616825</v>
      </c>
      <c r="U5" s="42">
        <f>Y5*12</f>
        <v>468538.31775700935</v>
      </c>
      <c r="V5" s="108">
        <f t="shared" ref="V5" si="4">Q5-T5-U5</f>
        <v>3631171.9626168222</v>
      </c>
      <c r="W5" s="2">
        <f t="shared" ref="W5" si="5">T5+U5+V5</f>
        <v>4642000</v>
      </c>
      <c r="X5" s="2">
        <f t="shared" ref="X5" si="6">Q5-W5</f>
        <v>0</v>
      </c>
      <c r="Y5" s="2">
        <v>39044.859813084113</v>
      </c>
      <c r="Z5" s="109">
        <f t="shared" ref="Z5" si="7">(Q5-T5)/(L5-1)</f>
        <v>38315.049349288151</v>
      </c>
    </row>
    <row r="6" spans="1:26" x14ac:dyDescent="0.2">
      <c r="A6" s="79"/>
      <c r="B6" s="59"/>
      <c r="C6" s="59"/>
      <c r="D6" s="59"/>
      <c r="E6" s="80">
        <f>SUM(E5:E5)</f>
        <v>1</v>
      </c>
      <c r="F6" s="80"/>
      <c r="G6" s="80"/>
      <c r="H6" s="79">
        <f>SUM(H5:H5)</f>
        <v>200000000</v>
      </c>
      <c r="I6" s="79">
        <f>SUM(I5:I5)</f>
        <v>200000000</v>
      </c>
      <c r="J6" s="79"/>
      <c r="K6" s="79"/>
      <c r="L6" s="79"/>
      <c r="M6" s="79"/>
      <c r="N6" s="79">
        <f t="shared" ref="N6:Z6" si="8">SUM(N5:N5)</f>
        <v>4642000</v>
      </c>
      <c r="O6" s="79">
        <f t="shared" si="8"/>
        <v>0</v>
      </c>
      <c r="P6" s="79">
        <f t="shared" si="8"/>
        <v>0</v>
      </c>
      <c r="Q6" s="79">
        <f t="shared" si="8"/>
        <v>4642000</v>
      </c>
      <c r="R6" s="79">
        <f t="shared" si="8"/>
        <v>464200</v>
      </c>
      <c r="S6" s="79">
        <f t="shared" si="8"/>
        <v>4177800</v>
      </c>
      <c r="T6" s="79">
        <f t="shared" si="8"/>
        <v>542289.71962616825</v>
      </c>
      <c r="U6" s="79">
        <f t="shared" si="8"/>
        <v>468538.31775700935</v>
      </c>
      <c r="V6" s="79">
        <f t="shared" si="8"/>
        <v>3631171.9626168222</v>
      </c>
      <c r="W6" s="79">
        <f t="shared" si="8"/>
        <v>4642000</v>
      </c>
      <c r="X6" s="79">
        <f t="shared" si="8"/>
        <v>0</v>
      </c>
      <c r="Y6" s="79">
        <f t="shared" si="8"/>
        <v>39044.859813084113</v>
      </c>
      <c r="Z6" s="79">
        <f t="shared" si="8"/>
        <v>38315.049349288151</v>
      </c>
    </row>
    <row r="8" spans="1:26" ht="14.25" customHeight="1" x14ac:dyDescent="0.2">
      <c r="A8" s="86" t="s">
        <v>70</v>
      </c>
      <c r="B8" s="62"/>
      <c r="C8" s="62"/>
      <c r="D8" s="57"/>
      <c r="E8" s="63"/>
      <c r="F8" s="64"/>
      <c r="G8" s="139"/>
      <c r="H8" s="66"/>
      <c r="I8" s="66"/>
      <c r="J8" s="67"/>
      <c r="K8" s="67"/>
      <c r="L8" s="68"/>
      <c r="M8" s="68"/>
      <c r="N8" s="69"/>
      <c r="O8" s="69"/>
      <c r="P8" s="69"/>
      <c r="Q8" s="69"/>
      <c r="R8" s="69"/>
      <c r="S8" s="69"/>
      <c r="T8" s="70"/>
      <c r="U8" s="71"/>
      <c r="V8" s="71"/>
    </row>
    <row r="9" spans="1:26" ht="14.25" customHeight="1" x14ac:dyDescent="0.2">
      <c r="A9" s="231" t="s">
        <v>0</v>
      </c>
      <c r="B9" s="232" t="s">
        <v>1</v>
      </c>
      <c r="C9" s="229" t="s">
        <v>2</v>
      </c>
      <c r="D9" s="233" t="s">
        <v>3</v>
      </c>
      <c r="E9" s="234" t="s">
        <v>4</v>
      </c>
      <c r="F9" s="232" t="s">
        <v>5</v>
      </c>
      <c r="G9" s="237" t="s">
        <v>6</v>
      </c>
      <c r="H9" s="236" t="s">
        <v>7</v>
      </c>
      <c r="I9" s="236" t="s">
        <v>8</v>
      </c>
      <c r="J9" s="227" t="s">
        <v>9</v>
      </c>
      <c r="K9" s="227"/>
      <c r="L9" s="228" t="s">
        <v>10</v>
      </c>
      <c r="M9" s="229" t="s">
        <v>11</v>
      </c>
      <c r="N9" s="230" t="s">
        <v>12</v>
      </c>
      <c r="O9" s="230"/>
      <c r="P9" s="230"/>
      <c r="Q9" s="229" t="s">
        <v>13</v>
      </c>
      <c r="R9" s="229" t="s">
        <v>14</v>
      </c>
      <c r="S9" s="229" t="s">
        <v>15</v>
      </c>
      <c r="T9" s="36">
        <v>2021</v>
      </c>
      <c r="U9" s="37"/>
      <c r="V9" s="38" t="s">
        <v>44</v>
      </c>
    </row>
    <row r="10" spans="1:26" ht="14.25" customHeight="1" x14ac:dyDescent="0.2">
      <c r="A10" s="231"/>
      <c r="B10" s="232"/>
      <c r="C10" s="229"/>
      <c r="D10" s="233"/>
      <c r="E10" s="234"/>
      <c r="F10" s="232"/>
      <c r="G10" s="237"/>
      <c r="H10" s="236"/>
      <c r="I10" s="236"/>
      <c r="J10" s="227"/>
      <c r="K10" s="227"/>
      <c r="L10" s="228"/>
      <c r="M10" s="229"/>
      <c r="N10" s="125" t="s">
        <v>16</v>
      </c>
      <c r="O10" s="125" t="s">
        <v>17</v>
      </c>
      <c r="P10" s="125" t="s">
        <v>18</v>
      </c>
      <c r="Q10" s="229"/>
      <c r="R10" s="229"/>
      <c r="S10" s="229"/>
      <c r="T10" s="104" t="s">
        <v>82</v>
      </c>
      <c r="U10" s="39" t="s">
        <v>81</v>
      </c>
      <c r="V10" s="106"/>
    </row>
    <row r="11" spans="1:26" x14ac:dyDescent="0.2">
      <c r="A11" s="72">
        <v>2</v>
      </c>
      <c r="B11" s="107" t="s">
        <v>59</v>
      </c>
      <c r="C11" s="107" t="s">
        <v>60</v>
      </c>
      <c r="D11" s="110">
        <v>44237</v>
      </c>
      <c r="E11" s="74">
        <v>1</v>
      </c>
      <c r="F11" s="107" t="s">
        <v>61</v>
      </c>
      <c r="G11" s="141">
        <v>1</v>
      </c>
      <c r="H11" s="112">
        <v>300000000</v>
      </c>
      <c r="I11" s="112">
        <f>H11*G11</f>
        <v>300000000</v>
      </c>
      <c r="J11" s="110">
        <v>44222</v>
      </c>
      <c r="K11" s="77">
        <f>IFERROR(VALUE(DAY(J11)&amp;" "&amp;TEXT(EOMONTH(J11,L11)-29,"mmm")&amp;" "&amp;YEAR(EOMONTH(J11,L11)-29)),"-")</f>
        <v>49700</v>
      </c>
      <c r="L11" s="107">
        <v>180</v>
      </c>
      <c r="M11" s="99">
        <v>37.520000000000003</v>
      </c>
      <c r="N11" s="81">
        <f t="shared" ref="N11" si="9">M11*H11/1000</f>
        <v>11256000</v>
      </c>
      <c r="O11" s="81"/>
      <c r="P11" s="81"/>
      <c r="Q11" s="81">
        <f t="shared" ref="Q11" si="10">N11+O11+P11</f>
        <v>11256000</v>
      </c>
      <c r="R11" s="81">
        <f t="shared" ref="R11" si="11">10%*N11</f>
        <v>1125600</v>
      </c>
      <c r="S11" s="81">
        <f t="shared" ref="S11" si="12">Q11-R11</f>
        <v>10130400</v>
      </c>
      <c r="T11" s="42">
        <f>Q11*10%+Y11</f>
        <v>1182194.4134078212</v>
      </c>
      <c r="U11" s="42">
        <f t="shared" ref="U11" si="13">Y11*12</f>
        <v>679132.96089385473</v>
      </c>
      <c r="V11" s="108">
        <f t="shared" ref="V11" si="14">Q11-T11-U11</f>
        <v>9394672.6256983243</v>
      </c>
      <c r="W11" s="2">
        <f t="shared" ref="W11" si="15">T11+U11+V11</f>
        <v>11256000</v>
      </c>
      <c r="X11" s="2">
        <f t="shared" ref="X11" si="16">Q11-W11</f>
        <v>0</v>
      </c>
      <c r="Y11" s="2">
        <v>56594.41340782123</v>
      </c>
      <c r="Z11" s="109">
        <f t="shared" ref="Z11" si="17">(Q11-T11)/(L11-1)</f>
        <v>56278.243500514967</v>
      </c>
    </row>
    <row r="12" spans="1:26" x14ac:dyDescent="0.2">
      <c r="A12" s="79"/>
      <c r="B12" s="59"/>
      <c r="C12" s="59" t="s">
        <v>72</v>
      </c>
      <c r="D12" s="59"/>
      <c r="E12" s="80">
        <f>SUM(E11:E11)</f>
        <v>1</v>
      </c>
      <c r="F12" s="80"/>
      <c r="G12" s="80"/>
      <c r="H12" s="79">
        <f>SUM(H11:H11)</f>
        <v>300000000</v>
      </c>
      <c r="I12" s="79">
        <f>SUM(I11:I11)</f>
        <v>300000000</v>
      </c>
      <c r="J12" s="79"/>
      <c r="K12" s="79"/>
      <c r="L12" s="79"/>
      <c r="M12" s="79"/>
      <c r="N12" s="79">
        <f t="shared" ref="N12:Z12" si="18">SUM(N11:N11)</f>
        <v>11256000</v>
      </c>
      <c r="O12" s="79">
        <f t="shared" si="18"/>
        <v>0</v>
      </c>
      <c r="P12" s="79">
        <f t="shared" si="18"/>
        <v>0</v>
      </c>
      <c r="Q12" s="79">
        <f t="shared" si="18"/>
        <v>11256000</v>
      </c>
      <c r="R12" s="79">
        <f t="shared" si="18"/>
        <v>1125600</v>
      </c>
      <c r="S12" s="79">
        <f t="shared" si="18"/>
        <v>10130400</v>
      </c>
      <c r="T12" s="79">
        <f t="shared" si="18"/>
        <v>1182194.4134078212</v>
      </c>
      <c r="U12" s="79">
        <f t="shared" si="18"/>
        <v>679132.96089385473</v>
      </c>
      <c r="V12" s="79">
        <f t="shared" si="18"/>
        <v>9394672.6256983243</v>
      </c>
      <c r="W12" s="79">
        <f t="shared" si="18"/>
        <v>11256000</v>
      </c>
      <c r="X12" s="79">
        <f t="shared" si="18"/>
        <v>0</v>
      </c>
      <c r="Y12" s="79">
        <f t="shared" si="18"/>
        <v>56594.41340782123</v>
      </c>
      <c r="Z12" s="79">
        <f t="shared" si="18"/>
        <v>56278.243500514967</v>
      </c>
    </row>
    <row r="13" spans="1:26" s="94" customFormat="1" x14ac:dyDescent="0.2">
      <c r="A13" s="83"/>
      <c r="B13" s="83"/>
      <c r="C13" s="83" t="s">
        <v>73</v>
      </c>
      <c r="D13" s="84"/>
      <c r="E13" s="93">
        <f>E12+E6</f>
        <v>2</v>
      </c>
      <c r="F13" s="83"/>
      <c r="G13" s="142"/>
      <c r="H13" s="87">
        <f>H12+H6</f>
        <v>500000000</v>
      </c>
      <c r="I13" s="87">
        <f>I12+I6</f>
        <v>500000000</v>
      </c>
      <c r="J13" s="83"/>
      <c r="K13" s="83"/>
      <c r="L13" s="83"/>
      <c r="M13" s="83"/>
      <c r="N13" s="83"/>
      <c r="O13" s="83"/>
      <c r="P13" s="83"/>
      <c r="Q13" s="87">
        <f t="shared" ref="Q13:Z13" si="19">Q12+Q6</f>
        <v>15898000</v>
      </c>
      <c r="R13" s="87">
        <f t="shared" si="19"/>
        <v>1589800</v>
      </c>
      <c r="S13" s="87">
        <f t="shared" si="19"/>
        <v>14308200</v>
      </c>
      <c r="T13" s="87">
        <f t="shared" si="19"/>
        <v>1724484.1330339895</v>
      </c>
      <c r="U13" s="87">
        <f t="shared" si="19"/>
        <v>1147671.278650864</v>
      </c>
      <c r="V13" s="87">
        <f t="shared" si="19"/>
        <v>13025844.588315146</v>
      </c>
      <c r="W13" s="87">
        <f t="shared" si="19"/>
        <v>15898000</v>
      </c>
      <c r="X13" s="87">
        <f t="shared" si="19"/>
        <v>0</v>
      </c>
      <c r="Y13" s="87">
        <f t="shared" si="19"/>
        <v>95639.273220905336</v>
      </c>
      <c r="Z13" s="87">
        <f t="shared" si="19"/>
        <v>94593.292849803111</v>
      </c>
    </row>
    <row r="16" spans="1:26" ht="23.25" x14ac:dyDescent="0.2">
      <c r="A16" s="86" t="s">
        <v>87</v>
      </c>
      <c r="B16" s="62"/>
      <c r="C16" s="62"/>
      <c r="D16" s="57"/>
      <c r="E16" s="63"/>
      <c r="F16" s="64"/>
      <c r="G16" s="139"/>
      <c r="H16" s="66"/>
      <c r="I16" s="66"/>
      <c r="J16" s="67"/>
      <c r="K16" s="67"/>
      <c r="L16" s="68"/>
      <c r="M16" s="68"/>
      <c r="N16" s="69"/>
      <c r="O16" s="69"/>
      <c r="P16" s="69"/>
      <c r="Q16" s="69"/>
      <c r="R16" s="69"/>
      <c r="S16" s="69"/>
      <c r="T16" s="70"/>
      <c r="U16" s="71"/>
      <c r="V16" s="71"/>
    </row>
    <row r="17" spans="1:26" x14ac:dyDescent="0.2">
      <c r="A17" s="231" t="s">
        <v>0</v>
      </c>
      <c r="B17" s="232" t="s">
        <v>1</v>
      </c>
      <c r="C17" s="229" t="s">
        <v>2</v>
      </c>
      <c r="D17" s="233" t="s">
        <v>3</v>
      </c>
      <c r="E17" s="234" t="s">
        <v>4</v>
      </c>
      <c r="F17" s="232" t="s">
        <v>5</v>
      </c>
      <c r="G17" s="237" t="s">
        <v>6</v>
      </c>
      <c r="H17" s="236" t="s">
        <v>7</v>
      </c>
      <c r="I17" s="236" t="s">
        <v>8</v>
      </c>
      <c r="J17" s="227" t="s">
        <v>9</v>
      </c>
      <c r="K17" s="227"/>
      <c r="L17" s="228" t="s">
        <v>10</v>
      </c>
      <c r="M17" s="229" t="s">
        <v>11</v>
      </c>
      <c r="N17" s="230" t="s">
        <v>12</v>
      </c>
      <c r="O17" s="230"/>
      <c r="P17" s="230"/>
      <c r="Q17" s="229" t="s">
        <v>13</v>
      </c>
      <c r="R17" s="229" t="s">
        <v>14</v>
      </c>
      <c r="S17" s="229" t="s">
        <v>15</v>
      </c>
      <c r="T17" s="36">
        <v>2021</v>
      </c>
      <c r="U17" s="37"/>
      <c r="V17" s="38" t="s">
        <v>44</v>
      </c>
    </row>
    <row r="18" spans="1:26" x14ac:dyDescent="0.2">
      <c r="A18" s="231"/>
      <c r="B18" s="232"/>
      <c r="C18" s="229"/>
      <c r="D18" s="233"/>
      <c r="E18" s="234"/>
      <c r="F18" s="232"/>
      <c r="G18" s="237"/>
      <c r="H18" s="236"/>
      <c r="I18" s="236"/>
      <c r="J18" s="227"/>
      <c r="K18" s="227"/>
      <c r="L18" s="228"/>
      <c r="M18" s="229"/>
      <c r="N18" s="126" t="s">
        <v>16</v>
      </c>
      <c r="O18" s="126" t="s">
        <v>17</v>
      </c>
      <c r="P18" s="126" t="s">
        <v>18</v>
      </c>
      <c r="Q18" s="229"/>
      <c r="R18" s="229"/>
      <c r="S18" s="229"/>
      <c r="T18" s="96" t="s">
        <v>88</v>
      </c>
      <c r="U18" s="39" t="s">
        <v>81</v>
      </c>
      <c r="V18" s="40"/>
    </row>
    <row r="19" spans="1:26" x14ac:dyDescent="0.2">
      <c r="A19" s="74">
        <v>3</v>
      </c>
      <c r="B19" s="107" t="s">
        <v>49</v>
      </c>
      <c r="C19" s="107" t="s">
        <v>78</v>
      </c>
      <c r="D19" s="110">
        <v>44237</v>
      </c>
      <c r="E19" s="74">
        <v>1</v>
      </c>
      <c r="F19" s="107" t="s">
        <v>79</v>
      </c>
      <c r="G19" s="141">
        <v>1</v>
      </c>
      <c r="H19" s="112">
        <v>40000000</v>
      </c>
      <c r="I19" s="112">
        <f>H19*G19</f>
        <v>40000000</v>
      </c>
      <c r="J19" s="110">
        <v>44245</v>
      </c>
      <c r="K19" s="77">
        <f>IFERROR(VALUE(DAY(J19)&amp;" "&amp;TEXT(EOMONTH(J19,L19)-29,"mmm")&amp;" "&amp;YEAR(EOMONTH(J19,L19)-29)),"-")</f>
        <v>44944</v>
      </c>
      <c r="L19" s="107">
        <v>24</v>
      </c>
      <c r="M19" s="99">
        <v>21.1</v>
      </c>
      <c r="N19" s="81">
        <f t="shared" ref="N19" si="20">M19*H19/1000</f>
        <v>844000</v>
      </c>
      <c r="O19" s="81"/>
      <c r="P19" s="81"/>
      <c r="Q19" s="81">
        <f t="shared" ref="Q19" si="21">N19+O19+P19</f>
        <v>844000</v>
      </c>
      <c r="R19" s="81">
        <f t="shared" ref="R19" si="22">10%*N19</f>
        <v>84400</v>
      </c>
      <c r="S19" s="81">
        <f t="shared" ref="S19" si="23">Q19-R19</f>
        <v>759600</v>
      </c>
      <c r="T19" s="42">
        <f>Q19*10%</f>
        <v>84400</v>
      </c>
      <c r="U19" s="42">
        <f>Y19*12</f>
        <v>396313.04347826086</v>
      </c>
      <c r="V19" s="108">
        <f t="shared" ref="V19" si="24">Q19-T19-U19</f>
        <v>363286.95652173914</v>
      </c>
      <c r="W19" s="2">
        <f t="shared" ref="W19" si="25">T19+U19+V19</f>
        <v>844000</v>
      </c>
      <c r="X19" s="2">
        <f t="shared" ref="X19" si="26">Q19-W19</f>
        <v>0</v>
      </c>
      <c r="Y19" s="2">
        <v>33026.086956521736</v>
      </c>
      <c r="Z19" s="109">
        <f>(Q19-T19)/(L19-1)</f>
        <v>33026.086956521736</v>
      </c>
    </row>
    <row r="20" spans="1:26" x14ac:dyDescent="0.2">
      <c r="A20" s="88"/>
      <c r="B20" s="84"/>
      <c r="C20" s="84"/>
      <c r="D20" s="84"/>
      <c r="E20" s="88">
        <f>SUM(E19:E19)</f>
        <v>1</v>
      </c>
      <c r="F20" s="84"/>
      <c r="G20" s="40"/>
      <c r="H20" s="59">
        <f>SUM(H19:H19)</f>
        <v>40000000</v>
      </c>
      <c r="I20" s="59">
        <f>SUM(I19:I19)</f>
        <v>40000000</v>
      </c>
      <c r="J20" s="59"/>
      <c r="K20" s="59"/>
      <c r="L20" s="59"/>
      <c r="M20" s="59"/>
      <c r="N20" s="59">
        <f t="shared" ref="N20:Z20" si="27">SUM(N19:N19)</f>
        <v>844000</v>
      </c>
      <c r="O20" s="59">
        <f t="shared" si="27"/>
        <v>0</v>
      </c>
      <c r="P20" s="59">
        <f t="shared" si="27"/>
        <v>0</v>
      </c>
      <c r="Q20" s="59">
        <f t="shared" si="27"/>
        <v>844000</v>
      </c>
      <c r="R20" s="59">
        <f t="shared" si="27"/>
        <v>84400</v>
      </c>
      <c r="S20" s="59">
        <f t="shared" si="27"/>
        <v>759600</v>
      </c>
      <c r="T20" s="59">
        <f t="shared" si="27"/>
        <v>84400</v>
      </c>
      <c r="U20" s="59">
        <f t="shared" si="27"/>
        <v>396313.04347826086</v>
      </c>
      <c r="V20" s="59">
        <f t="shared" si="27"/>
        <v>363286.95652173914</v>
      </c>
      <c r="W20" s="59">
        <f t="shared" si="27"/>
        <v>844000</v>
      </c>
      <c r="X20" s="59">
        <f t="shared" si="27"/>
        <v>0</v>
      </c>
      <c r="Y20" s="59">
        <v>33026.086956521736</v>
      </c>
      <c r="Z20" s="59">
        <f t="shared" si="27"/>
        <v>33026.086956521736</v>
      </c>
    </row>
    <row r="21" spans="1:26" x14ac:dyDescent="0.2">
      <c r="A21" s="74">
        <v>4</v>
      </c>
      <c r="B21" s="107" t="s">
        <v>84</v>
      </c>
      <c r="C21" s="107" t="s">
        <v>85</v>
      </c>
      <c r="D21" s="110">
        <v>44286</v>
      </c>
      <c r="E21" s="74">
        <v>1</v>
      </c>
      <c r="F21" s="107" t="s">
        <v>86</v>
      </c>
      <c r="G21" s="141">
        <v>1</v>
      </c>
      <c r="H21" s="112">
        <v>300000000</v>
      </c>
      <c r="I21" s="112">
        <f>H21*G21</f>
        <v>300000000</v>
      </c>
      <c r="J21" s="110">
        <v>44263</v>
      </c>
      <c r="K21" s="77">
        <f t="shared" ref="K21" si="28">IFERROR(VALUE(DAY(J21)&amp;" "&amp;TEXT(EOMONTH(J21,L21)-29,"mmm")&amp;" "&amp;YEAR(EOMONTH(J21,L21)-29)),"-")</f>
        <v>44993</v>
      </c>
      <c r="L21" s="107">
        <v>24</v>
      </c>
      <c r="M21" s="99">
        <v>51.12</v>
      </c>
      <c r="N21" s="81">
        <f t="shared" ref="N21" si="29">M21*H21/1000</f>
        <v>15336000</v>
      </c>
      <c r="O21" s="81"/>
      <c r="P21" s="81"/>
      <c r="Q21" s="81">
        <f t="shared" ref="Q21" si="30">N21+O21+P21</f>
        <v>15336000</v>
      </c>
      <c r="R21" s="81">
        <f t="shared" ref="R21" si="31">10%*N21</f>
        <v>1533600</v>
      </c>
      <c r="S21" s="81">
        <f t="shared" ref="S21" si="32">Q21-R21</f>
        <v>13802400</v>
      </c>
      <c r="T21" s="42">
        <f>Q21*10%</f>
        <v>1533600</v>
      </c>
      <c r="U21" s="42">
        <f>Y21*12</f>
        <v>7201252.173913043</v>
      </c>
      <c r="V21" s="108">
        <f t="shared" ref="V21" si="33">Q21-T21-U21</f>
        <v>6601147.826086957</v>
      </c>
      <c r="W21" s="2">
        <f t="shared" ref="W21" si="34">T21+U21+V21</f>
        <v>15336000</v>
      </c>
      <c r="X21" s="2">
        <f t="shared" ref="X21" si="35">Q21-W21</f>
        <v>0</v>
      </c>
      <c r="Y21" s="2">
        <v>600104.34782608692</v>
      </c>
      <c r="Z21" s="109">
        <f>(Q21-T21)/(L21-1)</f>
        <v>600104.34782608692</v>
      </c>
    </row>
    <row r="22" spans="1:26" x14ac:dyDescent="0.2">
      <c r="A22" s="88"/>
      <c r="B22" s="84"/>
      <c r="C22" s="84"/>
      <c r="D22" s="84"/>
      <c r="E22" s="88">
        <f>SUM(E21:E21)</f>
        <v>1</v>
      </c>
      <c r="F22" s="84"/>
      <c r="G22" s="40"/>
      <c r="H22" s="59">
        <f>SUM(H21:H21)</f>
        <v>300000000</v>
      </c>
      <c r="I22" s="59">
        <f>SUM(I21:I21)</f>
        <v>300000000</v>
      </c>
      <c r="J22" s="59"/>
      <c r="K22" s="59"/>
      <c r="L22" s="59"/>
      <c r="M22" s="59"/>
      <c r="N22" s="59">
        <f t="shared" ref="N22:Z22" si="36">SUM(N21:N21)</f>
        <v>15336000</v>
      </c>
      <c r="O22" s="59">
        <f t="shared" si="36"/>
        <v>0</v>
      </c>
      <c r="P22" s="59">
        <f t="shared" si="36"/>
        <v>0</v>
      </c>
      <c r="Q22" s="59">
        <f t="shared" si="36"/>
        <v>15336000</v>
      </c>
      <c r="R22" s="59">
        <f t="shared" si="36"/>
        <v>1533600</v>
      </c>
      <c r="S22" s="59">
        <f t="shared" si="36"/>
        <v>13802400</v>
      </c>
      <c r="T22" s="59">
        <f t="shared" si="36"/>
        <v>1533600</v>
      </c>
      <c r="U22" s="59">
        <f t="shared" si="36"/>
        <v>7201252.173913043</v>
      </c>
      <c r="V22" s="59">
        <f t="shared" si="36"/>
        <v>6601147.826086957</v>
      </c>
      <c r="W22" s="59">
        <f t="shared" si="36"/>
        <v>15336000</v>
      </c>
      <c r="X22" s="59">
        <f t="shared" si="36"/>
        <v>0</v>
      </c>
      <c r="Y22" s="59">
        <f t="shared" si="36"/>
        <v>600104.34782608692</v>
      </c>
      <c r="Z22" s="59">
        <f t="shared" si="36"/>
        <v>600104.34782608692</v>
      </c>
    </row>
    <row r="23" spans="1:26" x14ac:dyDescent="0.2">
      <c r="A23" s="83"/>
      <c r="B23" s="83"/>
      <c r="C23" s="83" t="s">
        <v>92</v>
      </c>
      <c r="D23" s="84"/>
      <c r="E23" s="93">
        <f>E22+E20</f>
        <v>2</v>
      </c>
      <c r="F23" s="87">
        <f t="shared" ref="F23:Z23" si="37">F22+F20</f>
        <v>0</v>
      </c>
      <c r="G23" s="87">
        <f t="shared" si="37"/>
        <v>0</v>
      </c>
      <c r="H23" s="87">
        <f t="shared" si="37"/>
        <v>340000000</v>
      </c>
      <c r="I23" s="87">
        <f t="shared" si="37"/>
        <v>340000000</v>
      </c>
      <c r="J23" s="87">
        <f t="shared" si="37"/>
        <v>0</v>
      </c>
      <c r="K23" s="87">
        <f t="shared" si="37"/>
        <v>0</v>
      </c>
      <c r="L23" s="87"/>
      <c r="M23" s="87"/>
      <c r="N23" s="87">
        <f t="shared" si="37"/>
        <v>16180000</v>
      </c>
      <c r="O23" s="87">
        <f t="shared" si="37"/>
        <v>0</v>
      </c>
      <c r="P23" s="87">
        <f t="shared" si="37"/>
        <v>0</v>
      </c>
      <c r="Q23" s="87">
        <f t="shared" si="37"/>
        <v>16180000</v>
      </c>
      <c r="R23" s="87">
        <f t="shared" si="37"/>
        <v>1618000</v>
      </c>
      <c r="S23" s="87">
        <f t="shared" si="37"/>
        <v>14562000</v>
      </c>
      <c r="T23" s="87">
        <f t="shared" si="37"/>
        <v>1618000</v>
      </c>
      <c r="U23" s="87">
        <f t="shared" si="37"/>
        <v>7597565.2173913037</v>
      </c>
      <c r="V23" s="87">
        <f t="shared" si="37"/>
        <v>6964434.7826086963</v>
      </c>
      <c r="W23" s="87">
        <f t="shared" si="37"/>
        <v>16180000</v>
      </c>
      <c r="X23" s="87">
        <f t="shared" si="37"/>
        <v>0</v>
      </c>
      <c r="Y23" s="87">
        <f t="shared" si="37"/>
        <v>633130.43478260865</v>
      </c>
      <c r="Z23" s="87">
        <f t="shared" si="37"/>
        <v>633130.43478260865</v>
      </c>
    </row>
    <row r="24" spans="1:26" x14ac:dyDescent="0.2">
      <c r="A24" s="89"/>
      <c r="B24" s="89"/>
      <c r="C24" s="83" t="s">
        <v>93</v>
      </c>
      <c r="D24" s="89"/>
      <c r="E24" s="91">
        <f>E23+E13</f>
        <v>4</v>
      </c>
      <c r="F24" s="91">
        <f t="shared" ref="F24:Z24" si="38">F23+F13</f>
        <v>0</v>
      </c>
      <c r="G24" s="91">
        <f t="shared" si="38"/>
        <v>0</v>
      </c>
      <c r="H24" s="91">
        <f t="shared" si="38"/>
        <v>840000000</v>
      </c>
      <c r="I24" s="91">
        <f t="shared" si="38"/>
        <v>840000000</v>
      </c>
      <c r="J24" s="91">
        <f t="shared" si="38"/>
        <v>0</v>
      </c>
      <c r="K24" s="91">
        <f t="shared" si="38"/>
        <v>0</v>
      </c>
      <c r="L24" s="91">
        <f t="shared" si="38"/>
        <v>0</v>
      </c>
      <c r="M24" s="91">
        <f t="shared" si="38"/>
        <v>0</v>
      </c>
      <c r="N24" s="91">
        <f t="shared" si="38"/>
        <v>16180000</v>
      </c>
      <c r="O24" s="91">
        <f t="shared" si="38"/>
        <v>0</v>
      </c>
      <c r="P24" s="91">
        <f t="shared" si="38"/>
        <v>0</v>
      </c>
      <c r="Q24" s="91">
        <f t="shared" si="38"/>
        <v>32078000</v>
      </c>
      <c r="R24" s="91">
        <f t="shared" si="38"/>
        <v>3207800</v>
      </c>
      <c r="S24" s="91">
        <f t="shared" si="38"/>
        <v>28870200</v>
      </c>
      <c r="T24" s="91">
        <f t="shared" si="38"/>
        <v>3342484.1330339895</v>
      </c>
      <c r="U24" s="91">
        <f t="shared" si="38"/>
        <v>8745236.4960421678</v>
      </c>
      <c r="V24" s="91">
        <f t="shared" si="38"/>
        <v>19990279.370923843</v>
      </c>
      <c r="W24" s="91">
        <f t="shared" si="38"/>
        <v>32078000</v>
      </c>
      <c r="X24" s="91">
        <f t="shared" si="38"/>
        <v>0</v>
      </c>
      <c r="Y24" s="91">
        <f t="shared" si="38"/>
        <v>728769.70800351398</v>
      </c>
      <c r="Z24" s="91">
        <f t="shared" si="38"/>
        <v>727723.72763241176</v>
      </c>
    </row>
    <row r="25" spans="1:26" x14ac:dyDescent="0.2">
      <c r="D25" s="3"/>
      <c r="E25" s="3"/>
    </row>
    <row r="26" spans="1:26" x14ac:dyDescent="0.2">
      <c r="D26" s="3"/>
      <c r="E26" s="3"/>
    </row>
    <row r="27" spans="1:26" x14ac:dyDescent="0.2">
      <c r="D27" s="3"/>
      <c r="E27" s="3"/>
    </row>
    <row r="28" spans="1:26" x14ac:dyDescent="0.2">
      <c r="D28" s="3"/>
      <c r="E28" s="3"/>
    </row>
    <row r="29" spans="1:26" x14ac:dyDescent="0.2">
      <c r="D29" s="3"/>
      <c r="E29" s="3"/>
    </row>
  </sheetData>
  <mergeCells count="48">
    <mergeCell ref="N9:P9"/>
    <mergeCell ref="Q9:Q10"/>
    <mergeCell ref="R9:R10"/>
    <mergeCell ref="S9:S10"/>
    <mergeCell ref="G9:G10"/>
    <mergeCell ref="H9:H10"/>
    <mergeCell ref="I9:I10"/>
    <mergeCell ref="J9:K10"/>
    <mergeCell ref="L9:L10"/>
    <mergeCell ref="M9:M10"/>
    <mergeCell ref="N3:P3"/>
    <mergeCell ref="Q3:Q4"/>
    <mergeCell ref="R3:R4"/>
    <mergeCell ref="S3:S4"/>
    <mergeCell ref="A9:A10"/>
    <mergeCell ref="B9:B10"/>
    <mergeCell ref="C9:C10"/>
    <mergeCell ref="D9:D10"/>
    <mergeCell ref="E9:E10"/>
    <mergeCell ref="F9:F10"/>
    <mergeCell ref="G3:G4"/>
    <mergeCell ref="H3:H4"/>
    <mergeCell ref="I3:I4"/>
    <mergeCell ref="J3:K4"/>
    <mergeCell ref="L3:L4"/>
    <mergeCell ref="M3:M4"/>
    <mergeCell ref="F3:F4"/>
    <mergeCell ref="A17:A18"/>
    <mergeCell ref="B17:B18"/>
    <mergeCell ref="C17:C18"/>
    <mergeCell ref="D17:D18"/>
    <mergeCell ref="E17:E18"/>
    <mergeCell ref="F17:F18"/>
    <mergeCell ref="A3:A4"/>
    <mergeCell ref="B3:B4"/>
    <mergeCell ref="C3:C4"/>
    <mergeCell ref="D3:D4"/>
    <mergeCell ref="E3:E4"/>
    <mergeCell ref="G17:G18"/>
    <mergeCell ref="H17:H18"/>
    <mergeCell ref="I17:I18"/>
    <mergeCell ref="J17:K18"/>
    <mergeCell ref="L17:L18"/>
    <mergeCell ref="M17:M18"/>
    <mergeCell ref="N17:P17"/>
    <mergeCell ref="Q17:Q18"/>
    <mergeCell ref="R17:R18"/>
    <mergeCell ref="S17:S18"/>
  </mergeCells>
  <pageMargins left="0.31496062992125984" right="0.70866141732283472" top="0.47244094488188981" bottom="0.74803149606299213" header="0.31496062992125984" footer="0.31496062992125984"/>
  <pageSetup paperSize="5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4"/>
  <sheetViews>
    <sheetView workbookViewId="0">
      <selection sqref="A1:XFD1048576"/>
    </sheetView>
  </sheetViews>
  <sheetFormatPr defaultRowHeight="12" x14ac:dyDescent="0.2"/>
  <cols>
    <col min="1" max="1" width="4.140625" style="3" customWidth="1"/>
    <col min="2" max="2" width="14.7109375" style="3" customWidth="1"/>
    <col min="3" max="3" width="17.28515625" style="3" customWidth="1"/>
    <col min="4" max="4" width="10.85546875" style="82" customWidth="1"/>
    <col min="5" max="5" width="7.85546875" style="97" customWidth="1"/>
    <col min="6" max="6" width="13.140625" style="3" customWidth="1"/>
    <col min="7" max="7" width="8.85546875" style="3" hidden="1" customWidth="1"/>
    <col min="8" max="8" width="11.28515625" style="3" customWidth="1"/>
    <col min="9" max="9" width="11.5703125" style="3" customWidth="1"/>
    <col min="10" max="10" width="0.28515625" style="3" hidden="1" customWidth="1"/>
    <col min="11" max="11" width="9.5703125" style="3" hidden="1" customWidth="1"/>
    <col min="12" max="12" width="4.28515625" style="3" bestFit="1" customWidth="1"/>
    <col min="13" max="13" width="5.28515625" style="3" customWidth="1"/>
    <col min="14" max="14" width="12.5703125" style="3" hidden="1" customWidth="1"/>
    <col min="15" max="16" width="9.140625" style="3" hidden="1" customWidth="1"/>
    <col min="17" max="17" width="9" style="3" hidden="1" customWidth="1"/>
    <col min="18" max="18" width="8.85546875" style="3" customWidth="1"/>
    <col min="19" max="19" width="17.28515625" style="3" hidden="1" customWidth="1"/>
    <col min="20" max="20" width="14.7109375" style="3" customWidth="1"/>
    <col min="21" max="21" width="16.5703125" style="3" customWidth="1"/>
    <col min="22" max="16384" width="9.140625" style="3"/>
  </cols>
  <sheetData>
    <row r="2" spans="1:26" ht="14.25" customHeight="1" x14ac:dyDescent="0.2">
      <c r="A2" s="86" t="s">
        <v>76</v>
      </c>
      <c r="B2" s="62"/>
      <c r="C2" s="62"/>
      <c r="D2" s="57"/>
      <c r="E2" s="63"/>
      <c r="F2" s="64"/>
      <c r="G2" s="65"/>
      <c r="H2" s="66"/>
      <c r="I2" s="66"/>
      <c r="J2" s="67"/>
      <c r="K2" s="67"/>
      <c r="L2" s="68"/>
      <c r="M2" s="68"/>
      <c r="N2" s="69"/>
      <c r="O2" s="69"/>
      <c r="P2" s="69"/>
      <c r="Q2" s="69"/>
      <c r="R2" s="69"/>
      <c r="S2" s="69"/>
      <c r="T2" s="70"/>
      <c r="U2" s="71"/>
      <c r="V2" s="71"/>
    </row>
    <row r="3" spans="1:26" ht="14.25" customHeight="1" x14ac:dyDescent="0.2">
      <c r="A3" s="231" t="s">
        <v>0</v>
      </c>
      <c r="B3" s="232" t="s">
        <v>1</v>
      </c>
      <c r="C3" s="229" t="s">
        <v>2</v>
      </c>
      <c r="D3" s="233" t="s">
        <v>3</v>
      </c>
      <c r="E3" s="234" t="s">
        <v>4</v>
      </c>
      <c r="F3" s="232" t="s">
        <v>5</v>
      </c>
      <c r="G3" s="235" t="s">
        <v>6</v>
      </c>
      <c r="H3" s="236" t="s">
        <v>7</v>
      </c>
      <c r="I3" s="236" t="s">
        <v>8</v>
      </c>
      <c r="J3" s="227" t="s">
        <v>9</v>
      </c>
      <c r="K3" s="227"/>
      <c r="L3" s="228" t="s">
        <v>10</v>
      </c>
      <c r="M3" s="229" t="s">
        <v>11</v>
      </c>
      <c r="N3" s="230" t="s">
        <v>12</v>
      </c>
      <c r="O3" s="230"/>
      <c r="P3" s="230"/>
      <c r="Q3" s="229" t="s">
        <v>13</v>
      </c>
      <c r="R3" s="229" t="s">
        <v>14</v>
      </c>
      <c r="S3" s="229" t="s">
        <v>15</v>
      </c>
      <c r="T3" s="36">
        <v>2021</v>
      </c>
      <c r="U3" s="37"/>
      <c r="V3" s="38" t="s">
        <v>44</v>
      </c>
    </row>
    <row r="4" spans="1:26" ht="14.25" customHeight="1" x14ac:dyDescent="0.2">
      <c r="A4" s="231"/>
      <c r="B4" s="232"/>
      <c r="C4" s="229"/>
      <c r="D4" s="233"/>
      <c r="E4" s="234"/>
      <c r="F4" s="232"/>
      <c r="G4" s="235"/>
      <c r="H4" s="236"/>
      <c r="I4" s="236"/>
      <c r="J4" s="227"/>
      <c r="K4" s="227"/>
      <c r="L4" s="228"/>
      <c r="M4" s="229"/>
      <c r="N4" s="125" t="s">
        <v>16</v>
      </c>
      <c r="O4" s="125" t="s">
        <v>17</v>
      </c>
      <c r="P4" s="125" t="s">
        <v>18</v>
      </c>
      <c r="Q4" s="229"/>
      <c r="R4" s="229"/>
      <c r="S4" s="229"/>
      <c r="T4" s="96" t="s">
        <v>80</v>
      </c>
      <c r="U4" s="39" t="s">
        <v>83</v>
      </c>
      <c r="V4" s="40"/>
    </row>
    <row r="5" spans="1:26" x14ac:dyDescent="0.2">
      <c r="A5" s="72">
        <v>1</v>
      </c>
      <c r="B5" s="73" t="s">
        <v>49</v>
      </c>
      <c r="C5" s="73" t="s">
        <v>55</v>
      </c>
      <c r="D5" s="58">
        <v>44225</v>
      </c>
      <c r="E5" s="74">
        <v>1</v>
      </c>
      <c r="F5" s="73" t="s">
        <v>56</v>
      </c>
      <c r="G5" s="75">
        <v>1</v>
      </c>
      <c r="H5" s="42">
        <v>200000000</v>
      </c>
      <c r="I5" s="42">
        <f>H5*G5</f>
        <v>200000000</v>
      </c>
      <c r="J5" s="76">
        <v>44207</v>
      </c>
      <c r="K5" s="77">
        <f>IFERROR(VALUE(DAY(J5)&amp;" "&amp;TEXT(EOMONTH(J5,L5)-29,"mmm")&amp;" "&amp;YEAR(EOMONTH(J5,L5)-29)),"-")</f>
        <v>47494</v>
      </c>
      <c r="L5" s="78">
        <v>108</v>
      </c>
      <c r="M5" s="99">
        <v>23.21</v>
      </c>
      <c r="N5" s="81">
        <f t="shared" ref="N5" si="0">M5*H5/1000</f>
        <v>4642000</v>
      </c>
      <c r="O5" s="81"/>
      <c r="P5" s="81"/>
      <c r="Q5" s="81">
        <f t="shared" ref="Q5" si="1">N5+O5+P5</f>
        <v>4642000</v>
      </c>
      <c r="R5" s="81">
        <f t="shared" ref="R5" si="2">10%*N5</f>
        <v>464200</v>
      </c>
      <c r="S5" s="81">
        <f t="shared" ref="S5" si="3">Q5-R5</f>
        <v>4177800</v>
      </c>
      <c r="T5" s="42">
        <f>R5*10%+(Y5*2)</f>
        <v>54228.971962616823</v>
      </c>
      <c r="U5" s="1">
        <f t="shared" ref="U5" si="4">Y5*12</f>
        <v>46853.831775700935</v>
      </c>
      <c r="V5" s="34">
        <f t="shared" ref="V5" si="5">R5-T5-U5</f>
        <v>363117.1962616822</v>
      </c>
      <c r="W5" s="35">
        <f t="shared" ref="W5" si="6">T5+U5+V5</f>
        <v>464199.99999999994</v>
      </c>
      <c r="X5" s="35">
        <f t="shared" ref="X5" si="7">R5-W5</f>
        <v>0</v>
      </c>
      <c r="Y5" s="35">
        <v>3904.4859813084113</v>
      </c>
      <c r="Z5" s="41">
        <f t="shared" ref="Z5" si="8">(R5-T5)/(L5-1)</f>
        <v>3831.5049349288147</v>
      </c>
    </row>
    <row r="6" spans="1:26" x14ac:dyDescent="0.2">
      <c r="A6" s="79"/>
      <c r="B6" s="59"/>
      <c r="C6" s="59"/>
      <c r="D6" s="59"/>
      <c r="E6" s="80">
        <f>SUM(E5:E5)</f>
        <v>1</v>
      </c>
      <c r="F6" s="80"/>
      <c r="G6" s="80"/>
      <c r="H6" s="79">
        <f>SUM(H5:H5)</f>
        <v>200000000</v>
      </c>
      <c r="I6" s="79">
        <f>SUM(I5:I5)</f>
        <v>200000000</v>
      </c>
      <c r="J6" s="79"/>
      <c r="K6" s="79"/>
      <c r="L6" s="79"/>
      <c r="M6" s="79"/>
      <c r="N6" s="79">
        <f t="shared" ref="N6:Z6" si="9">SUM(N5:N5)</f>
        <v>4642000</v>
      </c>
      <c r="O6" s="79">
        <f t="shared" si="9"/>
        <v>0</v>
      </c>
      <c r="P6" s="79">
        <f t="shared" si="9"/>
        <v>0</v>
      </c>
      <c r="Q6" s="79">
        <f t="shared" si="9"/>
        <v>4642000</v>
      </c>
      <c r="R6" s="79">
        <f t="shared" si="9"/>
        <v>464200</v>
      </c>
      <c r="S6" s="79">
        <f t="shared" si="9"/>
        <v>4177800</v>
      </c>
      <c r="T6" s="79">
        <f t="shared" si="9"/>
        <v>54228.971962616823</v>
      </c>
      <c r="U6" s="79">
        <f t="shared" si="9"/>
        <v>46853.831775700935</v>
      </c>
      <c r="V6" s="79">
        <f t="shared" si="9"/>
        <v>363117.1962616822</v>
      </c>
      <c r="W6" s="79">
        <f t="shared" si="9"/>
        <v>464199.99999999994</v>
      </c>
      <c r="X6" s="79">
        <f t="shared" si="9"/>
        <v>0</v>
      </c>
      <c r="Y6" s="79">
        <f t="shared" si="9"/>
        <v>3904.4859813084113</v>
      </c>
      <c r="Z6" s="79">
        <f t="shared" si="9"/>
        <v>3831.5049349288147</v>
      </c>
    </row>
    <row r="8" spans="1:26" ht="14.25" customHeight="1" x14ac:dyDescent="0.2">
      <c r="A8" s="86" t="s">
        <v>74</v>
      </c>
      <c r="B8" s="62"/>
      <c r="C8" s="62"/>
      <c r="D8" s="57"/>
      <c r="E8" s="63"/>
      <c r="F8" s="64"/>
      <c r="G8" s="65"/>
      <c r="H8" s="66"/>
      <c r="I8" s="66"/>
      <c r="J8" s="67"/>
      <c r="K8" s="67"/>
      <c r="L8" s="68"/>
      <c r="M8" s="68"/>
      <c r="N8" s="69"/>
      <c r="O8" s="69"/>
      <c r="P8" s="69"/>
      <c r="Q8" s="69"/>
      <c r="R8" s="69"/>
      <c r="S8" s="69"/>
      <c r="T8" s="70"/>
      <c r="U8" s="71"/>
      <c r="V8" s="71"/>
    </row>
    <row r="9" spans="1:26" ht="14.25" customHeight="1" x14ac:dyDescent="0.2">
      <c r="A9" s="231" t="s">
        <v>0</v>
      </c>
      <c r="B9" s="232" t="s">
        <v>1</v>
      </c>
      <c r="C9" s="229" t="s">
        <v>2</v>
      </c>
      <c r="D9" s="233" t="s">
        <v>3</v>
      </c>
      <c r="E9" s="234" t="s">
        <v>4</v>
      </c>
      <c r="F9" s="232" t="s">
        <v>5</v>
      </c>
      <c r="G9" s="235" t="s">
        <v>6</v>
      </c>
      <c r="H9" s="236" t="s">
        <v>7</v>
      </c>
      <c r="I9" s="236" t="s">
        <v>8</v>
      </c>
      <c r="J9" s="227" t="s">
        <v>9</v>
      </c>
      <c r="K9" s="227"/>
      <c r="L9" s="228" t="s">
        <v>10</v>
      </c>
      <c r="M9" s="229" t="s">
        <v>11</v>
      </c>
      <c r="N9" s="230" t="s">
        <v>12</v>
      </c>
      <c r="O9" s="230"/>
      <c r="P9" s="230"/>
      <c r="Q9" s="229" t="s">
        <v>13</v>
      </c>
      <c r="R9" s="229" t="s">
        <v>14</v>
      </c>
      <c r="S9" s="229" t="s">
        <v>15</v>
      </c>
      <c r="T9" s="36">
        <v>2021</v>
      </c>
      <c r="U9" s="37"/>
      <c r="V9" s="38" t="s">
        <v>44</v>
      </c>
    </row>
    <row r="10" spans="1:26" ht="14.25" customHeight="1" x14ac:dyDescent="0.2">
      <c r="A10" s="231"/>
      <c r="B10" s="232"/>
      <c r="C10" s="229"/>
      <c r="D10" s="233"/>
      <c r="E10" s="234"/>
      <c r="F10" s="232"/>
      <c r="G10" s="235"/>
      <c r="H10" s="236"/>
      <c r="I10" s="236"/>
      <c r="J10" s="227"/>
      <c r="K10" s="227"/>
      <c r="L10" s="228"/>
      <c r="M10" s="229"/>
      <c r="N10" s="125" t="s">
        <v>16</v>
      </c>
      <c r="O10" s="125" t="s">
        <v>17</v>
      </c>
      <c r="P10" s="125" t="s">
        <v>18</v>
      </c>
      <c r="Q10" s="229"/>
      <c r="R10" s="229"/>
      <c r="S10" s="229"/>
      <c r="T10" s="96" t="s">
        <v>67</v>
      </c>
      <c r="U10" s="39" t="s">
        <v>83</v>
      </c>
      <c r="V10" s="40"/>
    </row>
    <row r="11" spans="1:26" x14ac:dyDescent="0.2">
      <c r="A11" s="74">
        <v>2</v>
      </c>
      <c r="B11" s="107" t="s">
        <v>59</v>
      </c>
      <c r="C11" s="107" t="s">
        <v>60</v>
      </c>
      <c r="D11" s="110">
        <v>44237</v>
      </c>
      <c r="E11" s="74">
        <v>1</v>
      </c>
      <c r="F11" s="107" t="s">
        <v>61</v>
      </c>
      <c r="G11" s="111">
        <v>1</v>
      </c>
      <c r="H11" s="112">
        <v>300000000</v>
      </c>
      <c r="I11" s="112">
        <f>H11*G11</f>
        <v>300000000</v>
      </c>
      <c r="J11" s="110">
        <v>44222</v>
      </c>
      <c r="K11" s="77">
        <f>IFERROR(VALUE(DAY(J11)&amp;" "&amp;TEXT(EOMONTH(J11,L11)-29,"mmm")&amp;" "&amp;YEAR(EOMONTH(J11,L11)-29)),"-")</f>
        <v>49700</v>
      </c>
      <c r="L11" s="107">
        <v>180</v>
      </c>
      <c r="M11" s="99">
        <v>37.520000000000003</v>
      </c>
      <c r="N11" s="81">
        <f t="shared" ref="N11" si="10">M11*H11/1000</f>
        <v>11256000</v>
      </c>
      <c r="O11" s="81"/>
      <c r="P11" s="81"/>
      <c r="Q11" s="81">
        <f t="shared" ref="Q11" si="11">N11+O11+P11</f>
        <v>11256000</v>
      </c>
      <c r="R11" s="81">
        <f t="shared" ref="R11" si="12">10%*N11</f>
        <v>1125600</v>
      </c>
      <c r="S11" s="81">
        <f t="shared" ref="S11" si="13">Q11-R11</f>
        <v>10130400</v>
      </c>
      <c r="T11" s="42">
        <f>R11*10%+Y11</f>
        <v>118219.44134078213</v>
      </c>
      <c r="U11" s="1">
        <f t="shared" ref="U11" si="14">Y11*12</f>
        <v>67913.296089385476</v>
      </c>
      <c r="V11" s="34">
        <f t="shared" ref="V11" si="15">R11-T11-U11</f>
        <v>939467.26256983238</v>
      </c>
      <c r="W11" s="35">
        <f t="shared" ref="W11" si="16">T11+U11+V11</f>
        <v>1125600</v>
      </c>
      <c r="X11" s="35">
        <f t="shared" ref="X11" si="17">R11-W11</f>
        <v>0</v>
      </c>
      <c r="Y11" s="35">
        <v>5659.441340782123</v>
      </c>
      <c r="Z11" s="41">
        <f t="shared" ref="Z11" si="18">(R11-T11)/(L11-1)</f>
        <v>5627.8243500514964</v>
      </c>
    </row>
    <row r="12" spans="1:26" x14ac:dyDescent="0.2">
      <c r="A12" s="79"/>
      <c r="B12" s="59"/>
      <c r="C12" s="59"/>
      <c r="D12" s="59"/>
      <c r="E12" s="80">
        <f>SUM(E11:E11)</f>
        <v>1</v>
      </c>
      <c r="F12" s="80"/>
      <c r="G12" s="80"/>
      <c r="H12" s="79">
        <f>SUM(H11:H11)</f>
        <v>300000000</v>
      </c>
      <c r="I12" s="79">
        <f>SUM(I11:I11)</f>
        <v>300000000</v>
      </c>
      <c r="J12" s="79"/>
      <c r="K12" s="79"/>
      <c r="L12" s="79"/>
      <c r="M12" s="79"/>
      <c r="N12" s="79">
        <f t="shared" ref="N12:Z12" si="19">SUM(N11:N11)</f>
        <v>11256000</v>
      </c>
      <c r="O12" s="79">
        <f t="shared" si="19"/>
        <v>0</v>
      </c>
      <c r="P12" s="79">
        <f t="shared" si="19"/>
        <v>0</v>
      </c>
      <c r="Q12" s="79">
        <f t="shared" si="19"/>
        <v>11256000</v>
      </c>
      <c r="R12" s="79">
        <f t="shared" si="19"/>
        <v>1125600</v>
      </c>
      <c r="S12" s="79">
        <f t="shared" si="19"/>
        <v>10130400</v>
      </c>
      <c r="T12" s="79">
        <f t="shared" si="19"/>
        <v>118219.44134078213</v>
      </c>
      <c r="U12" s="79">
        <f t="shared" si="19"/>
        <v>67913.296089385476</v>
      </c>
      <c r="V12" s="79">
        <f t="shared" si="19"/>
        <v>939467.26256983238</v>
      </c>
      <c r="W12" s="79">
        <f t="shared" si="19"/>
        <v>1125600</v>
      </c>
      <c r="X12" s="79">
        <f t="shared" si="19"/>
        <v>0</v>
      </c>
      <c r="Y12" s="79">
        <f t="shared" si="19"/>
        <v>5659.441340782123</v>
      </c>
      <c r="Z12" s="79">
        <f t="shared" si="19"/>
        <v>5627.8243500514964</v>
      </c>
    </row>
    <row r="13" spans="1:26" x14ac:dyDescent="0.2">
      <c r="A13" s="89"/>
      <c r="B13" s="89"/>
      <c r="C13" s="89" t="s">
        <v>73</v>
      </c>
      <c r="D13" s="90"/>
      <c r="E13" s="85">
        <f>E6+E12</f>
        <v>2</v>
      </c>
      <c r="F13" s="87">
        <f t="shared" ref="F13:G13" si="20">F6</f>
        <v>0</v>
      </c>
      <c r="G13" s="87">
        <f t="shared" si="20"/>
        <v>0</v>
      </c>
      <c r="H13" s="87">
        <f>H6+H12</f>
        <v>500000000</v>
      </c>
      <c r="I13" s="87">
        <f t="shared" ref="I13:Z13" si="21">I6+I12</f>
        <v>500000000</v>
      </c>
      <c r="J13" s="87">
        <f t="shared" si="21"/>
        <v>0</v>
      </c>
      <c r="K13" s="87">
        <f t="shared" si="21"/>
        <v>0</v>
      </c>
      <c r="L13" s="87">
        <f t="shared" si="21"/>
        <v>0</v>
      </c>
      <c r="M13" s="87">
        <f t="shared" si="21"/>
        <v>0</v>
      </c>
      <c r="N13" s="87">
        <f t="shared" si="21"/>
        <v>15898000</v>
      </c>
      <c r="O13" s="87">
        <f t="shared" si="21"/>
        <v>0</v>
      </c>
      <c r="P13" s="87">
        <f t="shared" si="21"/>
        <v>0</v>
      </c>
      <c r="Q13" s="87">
        <f t="shared" si="21"/>
        <v>15898000</v>
      </c>
      <c r="R13" s="87">
        <f t="shared" si="21"/>
        <v>1589800</v>
      </c>
      <c r="S13" s="87">
        <f t="shared" si="21"/>
        <v>14308200</v>
      </c>
      <c r="T13" s="87">
        <f t="shared" si="21"/>
        <v>172448.41330339893</v>
      </c>
      <c r="U13" s="87">
        <f t="shared" si="21"/>
        <v>114767.12786508641</v>
      </c>
      <c r="V13" s="87">
        <f t="shared" si="21"/>
        <v>1302584.4588315147</v>
      </c>
      <c r="W13" s="87">
        <f t="shared" si="21"/>
        <v>1589800</v>
      </c>
      <c r="X13" s="87">
        <f t="shared" si="21"/>
        <v>0</v>
      </c>
      <c r="Y13" s="87">
        <f t="shared" si="21"/>
        <v>9563.9273220905343</v>
      </c>
      <c r="Z13" s="87">
        <f t="shared" si="21"/>
        <v>9459.3292849803111</v>
      </c>
    </row>
    <row r="16" spans="1:26" ht="14.25" customHeight="1" x14ac:dyDescent="0.2">
      <c r="A16" s="86" t="s">
        <v>91</v>
      </c>
      <c r="B16" s="62"/>
      <c r="C16" s="62"/>
      <c r="D16" s="57"/>
      <c r="E16" s="63"/>
      <c r="F16" s="64"/>
      <c r="G16" s="65"/>
      <c r="H16" s="66"/>
      <c r="I16" s="66"/>
      <c r="J16" s="67"/>
      <c r="K16" s="67"/>
      <c r="L16" s="68"/>
      <c r="M16" s="68"/>
      <c r="N16" s="69"/>
      <c r="O16" s="69"/>
      <c r="P16" s="69"/>
      <c r="Q16" s="69"/>
      <c r="R16" s="69"/>
      <c r="S16" s="69"/>
      <c r="T16" s="70"/>
      <c r="U16" s="71"/>
      <c r="V16" s="71"/>
    </row>
    <row r="17" spans="1:26" ht="14.25" customHeight="1" x14ac:dyDescent="0.2">
      <c r="A17" s="231" t="s">
        <v>0</v>
      </c>
      <c r="B17" s="232" t="s">
        <v>1</v>
      </c>
      <c r="C17" s="229" t="s">
        <v>2</v>
      </c>
      <c r="D17" s="233" t="s">
        <v>3</v>
      </c>
      <c r="E17" s="234" t="s">
        <v>4</v>
      </c>
      <c r="F17" s="232" t="s">
        <v>5</v>
      </c>
      <c r="G17" s="235" t="s">
        <v>6</v>
      </c>
      <c r="H17" s="236" t="s">
        <v>7</v>
      </c>
      <c r="I17" s="236" t="s">
        <v>8</v>
      </c>
      <c r="J17" s="227" t="s">
        <v>9</v>
      </c>
      <c r="K17" s="227"/>
      <c r="L17" s="228" t="s">
        <v>10</v>
      </c>
      <c r="M17" s="229" t="s">
        <v>11</v>
      </c>
      <c r="N17" s="230" t="s">
        <v>12</v>
      </c>
      <c r="O17" s="230"/>
      <c r="P17" s="230"/>
      <c r="Q17" s="229" t="s">
        <v>13</v>
      </c>
      <c r="R17" s="229" t="s">
        <v>14</v>
      </c>
      <c r="S17" s="229" t="s">
        <v>15</v>
      </c>
      <c r="T17" s="36">
        <v>2021</v>
      </c>
      <c r="U17" s="37"/>
      <c r="V17" s="38" t="s">
        <v>44</v>
      </c>
    </row>
    <row r="18" spans="1:26" ht="14.25" customHeight="1" x14ac:dyDescent="0.2">
      <c r="A18" s="231"/>
      <c r="B18" s="232"/>
      <c r="C18" s="229"/>
      <c r="D18" s="233"/>
      <c r="E18" s="234"/>
      <c r="F18" s="232"/>
      <c r="G18" s="235"/>
      <c r="H18" s="236"/>
      <c r="I18" s="236"/>
      <c r="J18" s="227"/>
      <c r="K18" s="227"/>
      <c r="L18" s="228"/>
      <c r="M18" s="229"/>
      <c r="N18" s="126" t="s">
        <v>16</v>
      </c>
      <c r="O18" s="126" t="s">
        <v>17</v>
      </c>
      <c r="P18" s="126" t="s">
        <v>18</v>
      </c>
      <c r="Q18" s="229"/>
      <c r="R18" s="229"/>
      <c r="S18" s="229"/>
      <c r="T18" s="96" t="s">
        <v>88</v>
      </c>
      <c r="U18" s="39" t="s">
        <v>83</v>
      </c>
      <c r="V18" s="40"/>
    </row>
    <row r="19" spans="1:26" x14ac:dyDescent="0.2">
      <c r="A19" s="74">
        <v>3</v>
      </c>
      <c r="B19" s="107" t="s">
        <v>49</v>
      </c>
      <c r="C19" s="107" t="s">
        <v>78</v>
      </c>
      <c r="D19" s="110">
        <v>44237</v>
      </c>
      <c r="E19" s="74">
        <v>1</v>
      </c>
      <c r="F19" s="107" t="s">
        <v>79</v>
      </c>
      <c r="G19" s="111">
        <v>1</v>
      </c>
      <c r="H19" s="112">
        <v>40000000</v>
      </c>
      <c r="I19" s="112">
        <f>H19*G19</f>
        <v>40000000</v>
      </c>
      <c r="J19" s="110">
        <v>44245</v>
      </c>
      <c r="K19" s="77">
        <f>IFERROR(VALUE(DAY(J19)&amp;" "&amp;TEXT(EOMONTH(J19,L19)-29,"mmm")&amp;" "&amp;YEAR(EOMONTH(J19,L19)-29)),"-")</f>
        <v>44944</v>
      </c>
      <c r="L19" s="107">
        <v>24</v>
      </c>
      <c r="M19" s="99">
        <v>21.1</v>
      </c>
      <c r="N19" s="81">
        <f t="shared" ref="N19" si="22">M19*H19/1000</f>
        <v>844000</v>
      </c>
      <c r="O19" s="81"/>
      <c r="P19" s="81"/>
      <c r="Q19" s="81">
        <f t="shared" ref="Q19" si="23">N19+O19+P19</f>
        <v>844000</v>
      </c>
      <c r="R19" s="81">
        <f t="shared" ref="R19" si="24">10%*N19</f>
        <v>84400</v>
      </c>
      <c r="S19" s="81">
        <f t="shared" ref="S19" si="25">Q19-R19</f>
        <v>759600</v>
      </c>
      <c r="T19" s="42">
        <f t="shared" ref="T19" si="26">R19*10%</f>
        <v>8440</v>
      </c>
      <c r="U19" s="1">
        <f>Y19*12</f>
        <v>39631.304347826088</v>
      </c>
      <c r="V19" s="34">
        <f t="shared" ref="V19" si="27">R19-T19-U19</f>
        <v>36328.695652173912</v>
      </c>
      <c r="W19" s="35">
        <f t="shared" ref="W19" si="28">T19+U19+V19</f>
        <v>84400</v>
      </c>
      <c r="X19" s="35">
        <f t="shared" ref="X19" si="29">R19-W19</f>
        <v>0</v>
      </c>
      <c r="Y19" s="35">
        <v>3302.608695652174</v>
      </c>
      <c r="Z19" s="41">
        <f>(R19-T19)/(L19-1)</f>
        <v>3302.608695652174</v>
      </c>
    </row>
    <row r="20" spans="1:26" x14ac:dyDescent="0.2">
      <c r="A20" s="88"/>
      <c r="B20" s="84"/>
      <c r="C20" s="84"/>
      <c r="D20" s="84"/>
      <c r="E20" s="88">
        <f>SUM(E19:E19)</f>
        <v>1</v>
      </c>
      <c r="F20" s="84"/>
      <c r="G20" s="115"/>
      <c r="H20" s="59">
        <f>SUM(H19:H19)</f>
        <v>40000000</v>
      </c>
      <c r="I20" s="59">
        <f>SUM(I19:I19)</f>
        <v>40000000</v>
      </c>
      <c r="J20" s="59"/>
      <c r="K20" s="59"/>
      <c r="L20" s="59"/>
      <c r="M20" s="59"/>
      <c r="N20" s="59">
        <f t="shared" ref="N20:Z20" si="30">SUM(N19:N19)</f>
        <v>844000</v>
      </c>
      <c r="O20" s="59">
        <f t="shared" si="30"/>
        <v>0</v>
      </c>
      <c r="P20" s="59">
        <f t="shared" si="30"/>
        <v>0</v>
      </c>
      <c r="Q20" s="59">
        <f t="shared" si="30"/>
        <v>844000</v>
      </c>
      <c r="R20" s="59">
        <f t="shared" si="30"/>
        <v>84400</v>
      </c>
      <c r="S20" s="59">
        <f t="shared" si="30"/>
        <v>759600</v>
      </c>
      <c r="T20" s="59">
        <f t="shared" si="30"/>
        <v>8440</v>
      </c>
      <c r="U20" s="59">
        <f t="shared" si="30"/>
        <v>39631.304347826088</v>
      </c>
      <c r="V20" s="59">
        <f t="shared" si="30"/>
        <v>36328.695652173912</v>
      </c>
      <c r="W20" s="59">
        <f t="shared" si="30"/>
        <v>84400</v>
      </c>
      <c r="X20" s="59">
        <f t="shared" si="30"/>
        <v>0</v>
      </c>
      <c r="Y20" s="59">
        <f t="shared" si="30"/>
        <v>3302.608695652174</v>
      </c>
      <c r="Z20" s="59">
        <f t="shared" si="30"/>
        <v>3302.608695652174</v>
      </c>
    </row>
    <row r="21" spans="1:26" x14ac:dyDescent="0.2">
      <c r="A21" s="74">
        <v>4</v>
      </c>
      <c r="B21" s="107" t="s">
        <v>84</v>
      </c>
      <c r="C21" s="107" t="s">
        <v>85</v>
      </c>
      <c r="D21" s="110">
        <v>44286</v>
      </c>
      <c r="E21" s="74">
        <v>1</v>
      </c>
      <c r="F21" s="107" t="s">
        <v>86</v>
      </c>
      <c r="G21" s="111">
        <v>1</v>
      </c>
      <c r="H21" s="112">
        <v>300000000</v>
      </c>
      <c r="I21" s="112">
        <f>H21*G21</f>
        <v>300000000</v>
      </c>
      <c r="J21" s="110">
        <v>44263</v>
      </c>
      <c r="K21" s="77">
        <f t="shared" ref="K21" si="31">IFERROR(VALUE(DAY(J21)&amp;" "&amp;TEXT(EOMONTH(J21,L21)-29,"mmm")&amp;" "&amp;YEAR(EOMONTH(J21,L21)-29)),"-")</f>
        <v>44993</v>
      </c>
      <c r="L21" s="107">
        <v>24</v>
      </c>
      <c r="M21" s="99">
        <v>51.12</v>
      </c>
      <c r="N21" s="81">
        <f t="shared" ref="N21" si="32">M21*H21/1000</f>
        <v>15336000</v>
      </c>
      <c r="O21" s="81"/>
      <c r="P21" s="81"/>
      <c r="Q21" s="81">
        <f t="shared" ref="Q21" si="33">N21+O21+P21</f>
        <v>15336000</v>
      </c>
      <c r="R21" s="81">
        <f t="shared" ref="R21" si="34">10%*N21</f>
        <v>1533600</v>
      </c>
      <c r="S21" s="81">
        <f t="shared" ref="S21" si="35">Q21-R21</f>
        <v>13802400</v>
      </c>
      <c r="T21" s="42"/>
      <c r="U21" s="1"/>
      <c r="V21" s="34"/>
      <c r="W21" s="35"/>
      <c r="X21" s="35"/>
      <c r="Y21" s="35"/>
      <c r="Z21" s="41"/>
    </row>
    <row r="22" spans="1:26" x14ac:dyDescent="0.2">
      <c r="A22" s="88"/>
      <c r="B22" s="84"/>
      <c r="C22" s="84"/>
      <c r="D22" s="84"/>
      <c r="E22" s="88"/>
      <c r="F22" s="84"/>
      <c r="G22" s="115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>
        <f t="shared" ref="S22:Z22" si="36">SUM(S21:S21)</f>
        <v>13802400</v>
      </c>
      <c r="T22" s="59">
        <f t="shared" si="36"/>
        <v>0</v>
      </c>
      <c r="U22" s="59">
        <f t="shared" si="36"/>
        <v>0</v>
      </c>
      <c r="V22" s="59">
        <f t="shared" si="36"/>
        <v>0</v>
      </c>
      <c r="W22" s="59">
        <f t="shared" si="36"/>
        <v>0</v>
      </c>
      <c r="X22" s="59">
        <f t="shared" si="36"/>
        <v>0</v>
      </c>
      <c r="Y22" s="59">
        <f t="shared" si="36"/>
        <v>0</v>
      </c>
      <c r="Z22" s="59">
        <f t="shared" si="36"/>
        <v>0</v>
      </c>
    </row>
    <row r="23" spans="1:26" x14ac:dyDescent="0.2">
      <c r="A23" s="83"/>
      <c r="B23" s="83"/>
      <c r="C23" s="83" t="s">
        <v>92</v>
      </c>
      <c r="D23" s="84"/>
      <c r="E23" s="85">
        <f>E22+E20</f>
        <v>1</v>
      </c>
      <c r="F23" s="87"/>
      <c r="G23" s="87"/>
      <c r="H23" s="87">
        <f t="shared" ref="H23:Z23" si="37">H22+H20</f>
        <v>40000000</v>
      </c>
      <c r="I23" s="87">
        <f t="shared" si="37"/>
        <v>40000000</v>
      </c>
      <c r="J23" s="87">
        <f t="shared" si="37"/>
        <v>0</v>
      </c>
      <c r="K23" s="87">
        <f t="shared" si="37"/>
        <v>0</v>
      </c>
      <c r="L23" s="87"/>
      <c r="M23" s="87"/>
      <c r="N23" s="87">
        <f t="shared" si="37"/>
        <v>844000</v>
      </c>
      <c r="O23" s="87">
        <f t="shared" si="37"/>
        <v>0</v>
      </c>
      <c r="P23" s="87">
        <f t="shared" si="37"/>
        <v>0</v>
      </c>
      <c r="Q23" s="87">
        <f t="shared" si="37"/>
        <v>844000</v>
      </c>
      <c r="R23" s="87">
        <f t="shared" si="37"/>
        <v>84400</v>
      </c>
      <c r="S23" s="87">
        <f t="shared" si="37"/>
        <v>14562000</v>
      </c>
      <c r="T23" s="87">
        <f t="shared" si="37"/>
        <v>8440</v>
      </c>
      <c r="U23" s="87">
        <f t="shared" si="37"/>
        <v>39631.304347826088</v>
      </c>
      <c r="V23" s="87">
        <f t="shared" si="37"/>
        <v>36328.695652173912</v>
      </c>
      <c r="W23" s="87">
        <f t="shared" si="37"/>
        <v>84400</v>
      </c>
      <c r="X23" s="87">
        <f t="shared" si="37"/>
        <v>0</v>
      </c>
      <c r="Y23" s="87">
        <f t="shared" si="37"/>
        <v>3302.608695652174</v>
      </c>
      <c r="Z23" s="87">
        <f t="shared" si="37"/>
        <v>3302.608695652174</v>
      </c>
    </row>
    <row r="24" spans="1:26" s="94" customFormat="1" x14ac:dyDescent="0.2">
      <c r="A24" s="83"/>
      <c r="B24" s="83"/>
      <c r="C24" s="83" t="s">
        <v>93</v>
      </c>
      <c r="D24" s="84"/>
      <c r="E24" s="85">
        <f>E23+E13</f>
        <v>3</v>
      </c>
      <c r="F24" s="87">
        <f t="shared" ref="F24:Z24" si="38">F23+F13</f>
        <v>0</v>
      </c>
      <c r="G24" s="87">
        <f t="shared" si="38"/>
        <v>0</v>
      </c>
      <c r="H24" s="87">
        <f t="shared" si="38"/>
        <v>540000000</v>
      </c>
      <c r="I24" s="87">
        <f t="shared" si="38"/>
        <v>540000000</v>
      </c>
      <c r="J24" s="87">
        <f t="shared" si="38"/>
        <v>0</v>
      </c>
      <c r="K24" s="87">
        <f t="shared" si="38"/>
        <v>0</v>
      </c>
      <c r="L24" s="87">
        <f t="shared" si="38"/>
        <v>0</v>
      </c>
      <c r="M24" s="87">
        <f t="shared" si="38"/>
        <v>0</v>
      </c>
      <c r="N24" s="87">
        <f t="shared" si="38"/>
        <v>16742000</v>
      </c>
      <c r="O24" s="87">
        <f t="shared" si="38"/>
        <v>0</v>
      </c>
      <c r="P24" s="87">
        <f t="shared" si="38"/>
        <v>0</v>
      </c>
      <c r="Q24" s="87">
        <f t="shared" si="38"/>
        <v>16742000</v>
      </c>
      <c r="R24" s="87">
        <f t="shared" si="38"/>
        <v>1674200</v>
      </c>
      <c r="S24" s="87">
        <f t="shared" si="38"/>
        <v>28870200</v>
      </c>
      <c r="T24" s="87">
        <f t="shared" si="38"/>
        <v>180888.41330339893</v>
      </c>
      <c r="U24" s="87">
        <f t="shared" si="38"/>
        <v>154398.43221291251</v>
      </c>
      <c r="V24" s="87">
        <f t="shared" si="38"/>
        <v>1338913.1544836885</v>
      </c>
      <c r="W24" s="87">
        <f t="shared" si="38"/>
        <v>1674200</v>
      </c>
      <c r="X24" s="87">
        <f t="shared" si="38"/>
        <v>0</v>
      </c>
      <c r="Y24" s="87">
        <f t="shared" si="38"/>
        <v>12866.536017742708</v>
      </c>
      <c r="Z24" s="87">
        <f t="shared" si="38"/>
        <v>12761.937980632485</v>
      </c>
    </row>
  </sheetData>
  <mergeCells count="48">
    <mergeCell ref="N9:P9"/>
    <mergeCell ref="Q9:Q10"/>
    <mergeCell ref="R9:R10"/>
    <mergeCell ref="S9:S10"/>
    <mergeCell ref="G9:G10"/>
    <mergeCell ref="H9:H10"/>
    <mergeCell ref="I9:I10"/>
    <mergeCell ref="J9:K10"/>
    <mergeCell ref="L9:L10"/>
    <mergeCell ref="M9:M10"/>
    <mergeCell ref="N3:P3"/>
    <mergeCell ref="Q3:Q4"/>
    <mergeCell ref="R3:R4"/>
    <mergeCell ref="S3:S4"/>
    <mergeCell ref="A9:A10"/>
    <mergeCell ref="B9:B10"/>
    <mergeCell ref="C9:C10"/>
    <mergeCell ref="D9:D10"/>
    <mergeCell ref="E9:E10"/>
    <mergeCell ref="F9:F10"/>
    <mergeCell ref="G3:G4"/>
    <mergeCell ref="H3:H4"/>
    <mergeCell ref="I3:I4"/>
    <mergeCell ref="J3:K4"/>
    <mergeCell ref="L3:L4"/>
    <mergeCell ref="M3:M4"/>
    <mergeCell ref="F3:F4"/>
    <mergeCell ref="A17:A18"/>
    <mergeCell ref="B17:B18"/>
    <mergeCell ref="C17:C18"/>
    <mergeCell ref="D17:D18"/>
    <mergeCell ref="E17:E18"/>
    <mergeCell ref="F17:F18"/>
    <mergeCell ref="A3:A4"/>
    <mergeCell ref="B3:B4"/>
    <mergeCell ref="C3:C4"/>
    <mergeCell ref="D3:D4"/>
    <mergeCell ref="E3:E4"/>
    <mergeCell ref="G17:G18"/>
    <mergeCell ref="H17:H18"/>
    <mergeCell ref="I17:I18"/>
    <mergeCell ref="J17:K18"/>
    <mergeCell ref="L17:L18"/>
    <mergeCell ref="M17:M18"/>
    <mergeCell ref="N17:P17"/>
    <mergeCell ref="Q17:Q18"/>
    <mergeCell ref="R17:R18"/>
    <mergeCell ref="S17:S18"/>
  </mergeCells>
  <pageMargins left="0.70866141732283472" right="0.70866141732283472" top="0.46" bottom="0.74803149606299213" header="0.31496062992125984" footer="0.31496062992125984"/>
  <pageSetup paperSize="5" scale="95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4"/>
  <sheetViews>
    <sheetView topLeftCell="A13" workbookViewId="0">
      <selection activeCell="F21" activeCellId="3" sqref="F5 F11 F19 F21"/>
    </sheetView>
  </sheetViews>
  <sheetFormatPr defaultRowHeight="12" x14ac:dyDescent="0.2"/>
  <cols>
    <col min="1" max="1" width="4.140625" style="3" customWidth="1"/>
    <col min="2" max="2" width="15" style="3" bestFit="1" customWidth="1"/>
    <col min="3" max="3" width="19" style="3" customWidth="1"/>
    <col min="4" max="4" width="10.7109375" style="82" hidden="1" customWidth="1"/>
    <col min="5" max="5" width="9" style="97" customWidth="1"/>
    <col min="6" max="6" width="15.85546875" style="3" customWidth="1"/>
    <col min="7" max="7" width="9" style="143" customWidth="1"/>
    <col min="8" max="9" width="11.85546875" style="3" customWidth="1"/>
    <col min="10" max="10" width="10.7109375" style="3" hidden="1" customWidth="1"/>
    <col min="11" max="11" width="9.7109375" style="3" hidden="1" customWidth="1"/>
    <col min="12" max="12" width="4.42578125" style="3" bestFit="1" customWidth="1"/>
    <col min="13" max="13" width="5.42578125" style="3" customWidth="1"/>
    <col min="14" max="14" width="12.5703125" style="3" hidden="1" customWidth="1"/>
    <col min="15" max="16" width="9.140625" style="3" hidden="1" customWidth="1"/>
    <col min="17" max="17" width="12" style="3" customWidth="1"/>
    <col min="18" max="18" width="11.7109375" style="3" hidden="1" customWidth="1"/>
    <col min="19" max="19" width="14.28515625" style="3" hidden="1" customWidth="1"/>
    <col min="20" max="20" width="15.7109375" style="3" customWidth="1"/>
    <col min="21" max="21" width="15.85546875" style="3" customWidth="1"/>
    <col min="22" max="22" width="9.85546875" style="3" bestFit="1" customWidth="1"/>
    <col min="23" max="23" width="12.85546875" style="3" customWidth="1"/>
    <col min="24" max="26" width="9.28515625" style="3" bestFit="1" customWidth="1"/>
    <col min="27" max="16384" width="9.140625" style="3"/>
  </cols>
  <sheetData>
    <row r="2" spans="1:26" ht="14.25" customHeight="1" x14ac:dyDescent="0.2">
      <c r="A2" s="86" t="s">
        <v>69</v>
      </c>
      <c r="B2" s="62"/>
      <c r="C2" s="62"/>
      <c r="D2" s="57"/>
      <c r="E2" s="63"/>
      <c r="F2" s="64"/>
      <c r="G2" s="139"/>
      <c r="H2" s="66"/>
      <c r="I2" s="66"/>
      <c r="J2" s="67"/>
      <c r="K2" s="67"/>
      <c r="L2" s="68"/>
      <c r="M2" s="68"/>
      <c r="N2" s="69"/>
      <c r="O2" s="69"/>
      <c r="P2" s="69"/>
      <c r="Q2" s="69"/>
      <c r="R2" s="69"/>
      <c r="S2" s="69"/>
      <c r="T2" s="70"/>
      <c r="U2" s="71"/>
      <c r="V2" s="71"/>
    </row>
    <row r="3" spans="1:26" ht="14.25" customHeight="1" x14ac:dyDescent="0.2">
      <c r="A3" s="231" t="s">
        <v>0</v>
      </c>
      <c r="B3" s="232" t="s">
        <v>1</v>
      </c>
      <c r="C3" s="229" t="s">
        <v>2</v>
      </c>
      <c r="D3" s="233" t="s">
        <v>3</v>
      </c>
      <c r="E3" s="234" t="s">
        <v>4</v>
      </c>
      <c r="F3" s="232" t="s">
        <v>5</v>
      </c>
      <c r="G3" s="237" t="s">
        <v>6</v>
      </c>
      <c r="H3" s="236" t="s">
        <v>7</v>
      </c>
      <c r="I3" s="236" t="s">
        <v>8</v>
      </c>
      <c r="J3" s="227" t="s">
        <v>9</v>
      </c>
      <c r="K3" s="227"/>
      <c r="L3" s="228" t="s">
        <v>10</v>
      </c>
      <c r="M3" s="229" t="s">
        <v>11</v>
      </c>
      <c r="N3" s="230" t="s">
        <v>12</v>
      </c>
      <c r="O3" s="230"/>
      <c r="P3" s="230"/>
      <c r="Q3" s="229" t="s">
        <v>13</v>
      </c>
      <c r="R3" s="229" t="s">
        <v>14</v>
      </c>
      <c r="S3" s="229" t="s">
        <v>15</v>
      </c>
      <c r="T3" s="36">
        <v>2021</v>
      </c>
      <c r="U3" s="37"/>
      <c r="V3" s="38" t="s">
        <v>44</v>
      </c>
    </row>
    <row r="4" spans="1:26" ht="14.25" customHeight="1" x14ac:dyDescent="0.2">
      <c r="A4" s="231"/>
      <c r="B4" s="232"/>
      <c r="C4" s="229"/>
      <c r="D4" s="233"/>
      <c r="E4" s="234"/>
      <c r="F4" s="232"/>
      <c r="G4" s="237"/>
      <c r="H4" s="236"/>
      <c r="I4" s="236"/>
      <c r="J4" s="227"/>
      <c r="K4" s="227"/>
      <c r="L4" s="228"/>
      <c r="M4" s="229"/>
      <c r="N4" s="145" t="s">
        <v>16</v>
      </c>
      <c r="O4" s="145" t="s">
        <v>17</v>
      </c>
      <c r="P4" s="145" t="s">
        <v>18</v>
      </c>
      <c r="Q4" s="229"/>
      <c r="R4" s="229"/>
      <c r="S4" s="229"/>
      <c r="T4" s="96" t="s">
        <v>97</v>
      </c>
      <c r="U4" s="39" t="s">
        <v>98</v>
      </c>
      <c r="V4" s="40"/>
    </row>
    <row r="5" spans="1:26" x14ac:dyDescent="0.2">
      <c r="A5" s="72">
        <v>1</v>
      </c>
      <c r="B5" s="73" t="s">
        <v>49</v>
      </c>
      <c r="C5" s="73" t="s">
        <v>55</v>
      </c>
      <c r="D5" s="58">
        <v>44225</v>
      </c>
      <c r="E5" s="74">
        <v>1</v>
      </c>
      <c r="F5" s="73" t="s">
        <v>56</v>
      </c>
      <c r="G5" s="140">
        <v>1</v>
      </c>
      <c r="H5" s="42">
        <v>200000000</v>
      </c>
      <c r="I5" s="42">
        <f>H5*G5</f>
        <v>200000000</v>
      </c>
      <c r="J5" s="76">
        <v>44207</v>
      </c>
      <c r="K5" s="77">
        <f>IFERROR(VALUE(DAY(J5)&amp;" "&amp;TEXT(EOMONTH(J5,L5)-29,"mmm")&amp;" "&amp;YEAR(EOMONTH(J5,L5)-29)),"-")</f>
        <v>47494</v>
      </c>
      <c r="L5" s="78">
        <v>108</v>
      </c>
      <c r="M5" s="99">
        <v>23.21</v>
      </c>
      <c r="N5" s="81">
        <f t="shared" ref="N5" si="0">M5*H5/1000</f>
        <v>4642000</v>
      </c>
      <c r="O5" s="81"/>
      <c r="P5" s="81"/>
      <c r="Q5" s="81">
        <f t="shared" ref="Q5" si="1">N5+O5+P5</f>
        <v>4642000</v>
      </c>
      <c r="R5" s="81">
        <f t="shared" ref="R5" si="2">10%*N5</f>
        <v>464200</v>
      </c>
      <c r="S5" s="81">
        <f t="shared" ref="S5" si="3">Q5-R5</f>
        <v>4177800</v>
      </c>
      <c r="T5" s="42">
        <f>Q5*10%+(Y5*3)</f>
        <v>581334.57943925238</v>
      </c>
      <c r="U5" s="42">
        <f>Y5*12</f>
        <v>468538.31775700935</v>
      </c>
      <c r="V5" s="108">
        <f t="shared" ref="V5" si="4">Q5-T5-U5</f>
        <v>3592127.1028037379</v>
      </c>
      <c r="W5" s="2">
        <f t="shared" ref="W5" si="5">T5+U5+V5</f>
        <v>4642000</v>
      </c>
      <c r="X5" s="2">
        <f t="shared" ref="X5" si="6">Q5-W5</f>
        <v>0</v>
      </c>
      <c r="Y5" s="2">
        <v>39044.859813084113</v>
      </c>
      <c r="Z5" s="109">
        <f t="shared" ref="Z5" si="7">(Q5-T5)/(L5-1)</f>
        <v>37950.144117390162</v>
      </c>
    </row>
    <row r="6" spans="1:26" x14ac:dyDescent="0.2">
      <c r="A6" s="79"/>
      <c r="B6" s="59"/>
      <c r="C6" s="59"/>
      <c r="D6" s="59"/>
      <c r="E6" s="80">
        <f>SUM(E5:E5)</f>
        <v>1</v>
      </c>
      <c r="F6" s="80"/>
      <c r="G6" s="80"/>
      <c r="H6" s="79">
        <f>SUM(H5:H5)</f>
        <v>200000000</v>
      </c>
      <c r="I6" s="79">
        <f>SUM(I5:I5)</f>
        <v>200000000</v>
      </c>
      <c r="J6" s="79"/>
      <c r="K6" s="79"/>
      <c r="L6" s="79"/>
      <c r="M6" s="79"/>
      <c r="N6" s="79">
        <f t="shared" ref="N6:Z6" si="8">SUM(N5:N5)</f>
        <v>4642000</v>
      </c>
      <c r="O6" s="79">
        <f t="shared" si="8"/>
        <v>0</v>
      </c>
      <c r="P6" s="79">
        <f t="shared" si="8"/>
        <v>0</v>
      </c>
      <c r="Q6" s="79">
        <f t="shared" si="8"/>
        <v>4642000</v>
      </c>
      <c r="R6" s="79">
        <f t="shared" si="8"/>
        <v>464200</v>
      </c>
      <c r="S6" s="79">
        <f t="shared" si="8"/>
        <v>4177800</v>
      </c>
      <c r="T6" s="79">
        <f t="shared" si="8"/>
        <v>581334.57943925238</v>
      </c>
      <c r="U6" s="79">
        <f t="shared" si="8"/>
        <v>468538.31775700935</v>
      </c>
      <c r="V6" s="79">
        <f t="shared" si="8"/>
        <v>3592127.1028037379</v>
      </c>
      <c r="W6" s="79">
        <f t="shared" si="8"/>
        <v>4642000</v>
      </c>
      <c r="X6" s="79">
        <f t="shared" si="8"/>
        <v>0</v>
      </c>
      <c r="Y6" s="79">
        <f t="shared" si="8"/>
        <v>39044.859813084113</v>
      </c>
      <c r="Z6" s="79">
        <f t="shared" si="8"/>
        <v>37950.144117390162</v>
      </c>
    </row>
    <row r="8" spans="1:26" ht="14.25" customHeight="1" x14ac:dyDescent="0.2">
      <c r="A8" s="86" t="s">
        <v>70</v>
      </c>
      <c r="B8" s="62"/>
      <c r="C8" s="62"/>
      <c r="D8" s="57"/>
      <c r="E8" s="63"/>
      <c r="F8" s="64"/>
      <c r="G8" s="139"/>
      <c r="H8" s="66"/>
      <c r="I8" s="66"/>
      <c r="J8" s="67"/>
      <c r="K8" s="67"/>
      <c r="L8" s="68"/>
      <c r="M8" s="68"/>
      <c r="N8" s="69"/>
      <c r="O8" s="69"/>
      <c r="P8" s="69"/>
      <c r="Q8" s="69"/>
      <c r="R8" s="69"/>
      <c r="S8" s="69"/>
      <c r="T8" s="70"/>
      <c r="U8" s="71"/>
      <c r="V8" s="71"/>
    </row>
    <row r="9" spans="1:26" ht="14.25" customHeight="1" x14ac:dyDescent="0.2">
      <c r="A9" s="231" t="s">
        <v>0</v>
      </c>
      <c r="B9" s="232" t="s">
        <v>1</v>
      </c>
      <c r="C9" s="229" t="s">
        <v>2</v>
      </c>
      <c r="D9" s="233" t="s">
        <v>3</v>
      </c>
      <c r="E9" s="234" t="s">
        <v>4</v>
      </c>
      <c r="F9" s="232" t="s">
        <v>5</v>
      </c>
      <c r="G9" s="237" t="s">
        <v>6</v>
      </c>
      <c r="H9" s="236" t="s">
        <v>7</v>
      </c>
      <c r="I9" s="236" t="s">
        <v>8</v>
      </c>
      <c r="J9" s="227" t="s">
        <v>9</v>
      </c>
      <c r="K9" s="227"/>
      <c r="L9" s="228" t="s">
        <v>10</v>
      </c>
      <c r="M9" s="229" t="s">
        <v>11</v>
      </c>
      <c r="N9" s="230" t="s">
        <v>12</v>
      </c>
      <c r="O9" s="230"/>
      <c r="P9" s="230"/>
      <c r="Q9" s="229" t="s">
        <v>13</v>
      </c>
      <c r="R9" s="229" t="s">
        <v>14</v>
      </c>
      <c r="S9" s="229" t="s">
        <v>15</v>
      </c>
      <c r="T9" s="36">
        <v>2021</v>
      </c>
      <c r="U9" s="37"/>
      <c r="V9" s="38" t="s">
        <v>44</v>
      </c>
    </row>
    <row r="10" spans="1:26" ht="14.25" customHeight="1" x14ac:dyDescent="0.2">
      <c r="A10" s="231"/>
      <c r="B10" s="232"/>
      <c r="C10" s="229"/>
      <c r="D10" s="233"/>
      <c r="E10" s="234"/>
      <c r="F10" s="232"/>
      <c r="G10" s="237"/>
      <c r="H10" s="236"/>
      <c r="I10" s="236"/>
      <c r="J10" s="227"/>
      <c r="K10" s="227"/>
      <c r="L10" s="228"/>
      <c r="M10" s="229"/>
      <c r="N10" s="145" t="s">
        <v>16</v>
      </c>
      <c r="O10" s="145" t="s">
        <v>17</v>
      </c>
      <c r="P10" s="145" t="s">
        <v>18</v>
      </c>
      <c r="Q10" s="229"/>
      <c r="R10" s="229"/>
      <c r="S10" s="229"/>
      <c r="T10" s="104" t="s">
        <v>99</v>
      </c>
      <c r="U10" s="39" t="s">
        <v>98</v>
      </c>
      <c r="V10" s="106"/>
    </row>
    <row r="11" spans="1:26" x14ac:dyDescent="0.2">
      <c r="A11" s="72">
        <v>2</v>
      </c>
      <c r="B11" s="107" t="s">
        <v>59</v>
      </c>
      <c r="C11" s="107" t="s">
        <v>60</v>
      </c>
      <c r="D11" s="110">
        <v>44237</v>
      </c>
      <c r="E11" s="74">
        <v>1</v>
      </c>
      <c r="F11" s="107" t="s">
        <v>61</v>
      </c>
      <c r="G11" s="141">
        <v>1</v>
      </c>
      <c r="H11" s="112">
        <v>300000000</v>
      </c>
      <c r="I11" s="112">
        <f>H11*G11</f>
        <v>300000000</v>
      </c>
      <c r="J11" s="110">
        <v>44222</v>
      </c>
      <c r="K11" s="77">
        <f>IFERROR(VALUE(DAY(J11)&amp;" "&amp;TEXT(EOMONTH(J11,L11)-29,"mmm")&amp;" "&amp;YEAR(EOMONTH(J11,L11)-29)),"-")</f>
        <v>49700</v>
      </c>
      <c r="L11" s="107">
        <v>180</v>
      </c>
      <c r="M11" s="99">
        <v>37.520000000000003</v>
      </c>
      <c r="N11" s="81">
        <f t="shared" ref="N11" si="9">M11*H11/1000</f>
        <v>11256000</v>
      </c>
      <c r="O11" s="81"/>
      <c r="P11" s="81"/>
      <c r="Q11" s="81">
        <f t="shared" ref="Q11" si="10">N11+O11+P11</f>
        <v>11256000</v>
      </c>
      <c r="R11" s="81">
        <f t="shared" ref="R11" si="11">10%*N11</f>
        <v>1125600</v>
      </c>
      <c r="S11" s="81">
        <f t="shared" ref="S11" si="12">Q11-R11</f>
        <v>10130400</v>
      </c>
      <c r="T11" s="42">
        <f>Q11*10%+(Y11*2)</f>
        <v>1238788.8268156424</v>
      </c>
      <c r="U11" s="42">
        <f t="shared" ref="U11" si="13">Y11*12</f>
        <v>679132.96089385473</v>
      </c>
      <c r="V11" s="108">
        <f t="shared" ref="V11" si="14">Q11-T11-U11</f>
        <v>9338078.2122905031</v>
      </c>
      <c r="W11" s="2">
        <f t="shared" ref="W11" si="15">T11+U11+V11</f>
        <v>11256000</v>
      </c>
      <c r="X11" s="2">
        <f t="shared" ref="X11" si="16">Q11-W11</f>
        <v>0</v>
      </c>
      <c r="Y11" s="2">
        <v>56594.41340782123</v>
      </c>
      <c r="Z11" s="109">
        <f t="shared" ref="Z11" si="17">(Q11-T11)/(L11-1)</f>
        <v>55962.073593208705</v>
      </c>
    </row>
    <row r="12" spans="1:26" x14ac:dyDescent="0.2">
      <c r="A12" s="79"/>
      <c r="B12" s="59"/>
      <c r="C12" s="59" t="s">
        <v>72</v>
      </c>
      <c r="D12" s="59"/>
      <c r="E12" s="80">
        <f>SUM(E11:E11)</f>
        <v>1</v>
      </c>
      <c r="F12" s="80"/>
      <c r="G12" s="80"/>
      <c r="H12" s="79">
        <f>SUM(H11:H11)</f>
        <v>300000000</v>
      </c>
      <c r="I12" s="79">
        <f>SUM(I11:I11)</f>
        <v>300000000</v>
      </c>
      <c r="J12" s="79"/>
      <c r="K12" s="79"/>
      <c r="L12" s="79"/>
      <c r="M12" s="79"/>
      <c r="N12" s="79">
        <f t="shared" ref="N12:Z12" si="18">SUM(N11:N11)</f>
        <v>11256000</v>
      </c>
      <c r="O12" s="79">
        <f t="shared" si="18"/>
        <v>0</v>
      </c>
      <c r="P12" s="79">
        <f t="shared" si="18"/>
        <v>0</v>
      </c>
      <c r="Q12" s="79">
        <f t="shared" si="18"/>
        <v>11256000</v>
      </c>
      <c r="R12" s="79">
        <f t="shared" si="18"/>
        <v>1125600</v>
      </c>
      <c r="S12" s="79">
        <f t="shared" si="18"/>
        <v>10130400</v>
      </c>
      <c r="T12" s="79">
        <f t="shared" si="18"/>
        <v>1238788.8268156424</v>
      </c>
      <c r="U12" s="79">
        <f t="shared" si="18"/>
        <v>679132.96089385473</v>
      </c>
      <c r="V12" s="79">
        <f t="shared" si="18"/>
        <v>9338078.2122905031</v>
      </c>
      <c r="W12" s="79">
        <f t="shared" si="18"/>
        <v>11256000</v>
      </c>
      <c r="X12" s="79">
        <f t="shared" si="18"/>
        <v>0</v>
      </c>
      <c r="Y12" s="79">
        <f t="shared" si="18"/>
        <v>56594.41340782123</v>
      </c>
      <c r="Z12" s="79">
        <f t="shared" si="18"/>
        <v>55962.073593208705</v>
      </c>
    </row>
    <row r="13" spans="1:26" s="94" customFormat="1" x14ac:dyDescent="0.2">
      <c r="A13" s="83"/>
      <c r="B13" s="83"/>
      <c r="C13" s="83" t="s">
        <v>73</v>
      </c>
      <c r="D13" s="84"/>
      <c r="E13" s="93">
        <f>E12+E6</f>
        <v>2</v>
      </c>
      <c r="F13" s="83"/>
      <c r="G13" s="142"/>
      <c r="H13" s="87">
        <f>H12+H6</f>
        <v>500000000</v>
      </c>
      <c r="I13" s="87">
        <f>I12+I6</f>
        <v>500000000</v>
      </c>
      <c r="J13" s="83"/>
      <c r="K13" s="83"/>
      <c r="L13" s="83"/>
      <c r="M13" s="83"/>
      <c r="N13" s="83"/>
      <c r="O13" s="83"/>
      <c r="P13" s="83"/>
      <c r="Q13" s="87">
        <f t="shared" ref="Q13:Z13" si="19">Q12+Q6</f>
        <v>15898000</v>
      </c>
      <c r="R13" s="87">
        <f t="shared" si="19"/>
        <v>1589800</v>
      </c>
      <c r="S13" s="87">
        <f t="shared" si="19"/>
        <v>14308200</v>
      </c>
      <c r="T13" s="87">
        <f t="shared" si="19"/>
        <v>1820123.4062548948</v>
      </c>
      <c r="U13" s="87">
        <f t="shared" si="19"/>
        <v>1147671.278650864</v>
      </c>
      <c r="V13" s="87">
        <f t="shared" si="19"/>
        <v>12930205.31509424</v>
      </c>
      <c r="W13" s="87">
        <f t="shared" si="19"/>
        <v>15898000</v>
      </c>
      <c r="X13" s="87">
        <f t="shared" si="19"/>
        <v>0</v>
      </c>
      <c r="Y13" s="87">
        <f t="shared" si="19"/>
        <v>95639.273220905336</v>
      </c>
      <c r="Z13" s="87">
        <f t="shared" si="19"/>
        <v>93912.217710598867</v>
      </c>
    </row>
    <row r="16" spans="1:26" ht="23.25" x14ac:dyDescent="0.2">
      <c r="A16" s="86" t="s">
        <v>87</v>
      </c>
      <c r="B16" s="62"/>
      <c r="C16" s="62"/>
      <c r="D16" s="57"/>
      <c r="E16" s="63"/>
      <c r="F16" s="64"/>
      <c r="G16" s="139"/>
      <c r="H16" s="66"/>
      <c r="I16" s="66"/>
      <c r="J16" s="67"/>
      <c r="K16" s="67"/>
      <c r="L16" s="68"/>
      <c r="M16" s="68"/>
      <c r="N16" s="69"/>
      <c r="O16" s="69"/>
      <c r="P16" s="69"/>
      <c r="Q16" s="69"/>
      <c r="R16" s="69"/>
      <c r="S16" s="69"/>
      <c r="T16" s="70"/>
      <c r="U16" s="71"/>
      <c r="V16" s="71"/>
    </row>
    <row r="17" spans="1:26" x14ac:dyDescent="0.2">
      <c r="A17" s="231" t="s">
        <v>0</v>
      </c>
      <c r="B17" s="232" t="s">
        <v>1</v>
      </c>
      <c r="C17" s="229" t="s">
        <v>2</v>
      </c>
      <c r="D17" s="233" t="s">
        <v>3</v>
      </c>
      <c r="E17" s="234" t="s">
        <v>4</v>
      </c>
      <c r="F17" s="232" t="s">
        <v>5</v>
      </c>
      <c r="G17" s="237" t="s">
        <v>6</v>
      </c>
      <c r="H17" s="236" t="s">
        <v>7</v>
      </c>
      <c r="I17" s="236" t="s">
        <v>8</v>
      </c>
      <c r="J17" s="227" t="s">
        <v>9</v>
      </c>
      <c r="K17" s="227"/>
      <c r="L17" s="228" t="s">
        <v>10</v>
      </c>
      <c r="M17" s="229" t="s">
        <v>11</v>
      </c>
      <c r="N17" s="230" t="s">
        <v>12</v>
      </c>
      <c r="O17" s="230"/>
      <c r="P17" s="230"/>
      <c r="Q17" s="229" t="s">
        <v>13</v>
      </c>
      <c r="R17" s="229" t="s">
        <v>14</v>
      </c>
      <c r="S17" s="229" t="s">
        <v>15</v>
      </c>
      <c r="T17" s="36">
        <v>2021</v>
      </c>
      <c r="U17" s="37"/>
      <c r="V17" s="38" t="s">
        <v>44</v>
      </c>
    </row>
    <row r="18" spans="1:26" x14ac:dyDescent="0.2">
      <c r="A18" s="231"/>
      <c r="B18" s="232"/>
      <c r="C18" s="229"/>
      <c r="D18" s="233"/>
      <c r="E18" s="234"/>
      <c r="F18" s="232"/>
      <c r="G18" s="237"/>
      <c r="H18" s="236"/>
      <c r="I18" s="236"/>
      <c r="J18" s="227"/>
      <c r="K18" s="227"/>
      <c r="L18" s="228"/>
      <c r="M18" s="229"/>
      <c r="N18" s="145" t="s">
        <v>16</v>
      </c>
      <c r="O18" s="145" t="s">
        <v>17</v>
      </c>
      <c r="P18" s="145" t="s">
        <v>18</v>
      </c>
      <c r="Q18" s="229"/>
      <c r="R18" s="229"/>
      <c r="S18" s="229"/>
      <c r="T18" s="96" t="s">
        <v>100</v>
      </c>
      <c r="U18" s="39" t="s">
        <v>98</v>
      </c>
      <c r="V18" s="40"/>
    </row>
    <row r="19" spans="1:26" x14ac:dyDescent="0.2">
      <c r="A19" s="74">
        <v>3</v>
      </c>
      <c r="B19" s="107" t="s">
        <v>49</v>
      </c>
      <c r="C19" s="107" t="s">
        <v>78</v>
      </c>
      <c r="D19" s="110">
        <v>44237</v>
      </c>
      <c r="E19" s="74">
        <v>1</v>
      </c>
      <c r="F19" s="107" t="s">
        <v>79</v>
      </c>
      <c r="G19" s="141">
        <v>1</v>
      </c>
      <c r="H19" s="112">
        <v>40000000</v>
      </c>
      <c r="I19" s="112">
        <f>H19*G19</f>
        <v>40000000</v>
      </c>
      <c r="J19" s="110">
        <v>44245</v>
      </c>
      <c r="K19" s="77">
        <f>IFERROR(VALUE(DAY(J19)&amp;" "&amp;TEXT(EOMONTH(J19,L19)-29,"mmm")&amp;" "&amp;YEAR(EOMONTH(J19,L19)-29)),"-")</f>
        <v>44944</v>
      </c>
      <c r="L19" s="107">
        <v>24</v>
      </c>
      <c r="M19" s="99">
        <v>21.1</v>
      </c>
      <c r="N19" s="81">
        <f t="shared" ref="N19" si="20">M19*H19/1000</f>
        <v>844000</v>
      </c>
      <c r="O19" s="81"/>
      <c r="P19" s="81"/>
      <c r="Q19" s="81">
        <f t="shared" ref="Q19" si="21">N19+O19+P19</f>
        <v>844000</v>
      </c>
      <c r="R19" s="81">
        <f t="shared" ref="R19" si="22">10%*N19</f>
        <v>84400</v>
      </c>
      <c r="S19" s="81">
        <f t="shared" ref="S19" si="23">Q19-R19</f>
        <v>759600</v>
      </c>
      <c r="T19" s="42">
        <f>Q19*10%+Y19</f>
        <v>117426.0869565217</v>
      </c>
      <c r="U19" s="42">
        <f>Y19*12</f>
        <v>396313.0434782604</v>
      </c>
      <c r="V19" s="108">
        <f t="shared" ref="V19" si="24">Q19-T19-U19</f>
        <v>330260.86956521787</v>
      </c>
      <c r="W19" s="2">
        <f t="shared" ref="W19" si="25">T19+U19+V19</f>
        <v>844000</v>
      </c>
      <c r="X19" s="2">
        <f t="shared" ref="X19" si="26">Q19-W19</f>
        <v>0</v>
      </c>
      <c r="Y19" s="2">
        <v>33026.0869565217</v>
      </c>
      <c r="Z19" s="109">
        <f>(Q19-T19)/(L19-1)</f>
        <v>31590.170132325144</v>
      </c>
    </row>
    <row r="20" spans="1:26" x14ac:dyDescent="0.2">
      <c r="A20" s="88"/>
      <c r="B20" s="84"/>
      <c r="C20" s="84"/>
      <c r="D20" s="84"/>
      <c r="E20" s="88">
        <f>SUM(E19:E19)</f>
        <v>1</v>
      </c>
      <c r="F20" s="84"/>
      <c r="G20" s="40"/>
      <c r="H20" s="59">
        <f>SUM(H19:H19)</f>
        <v>40000000</v>
      </c>
      <c r="I20" s="59">
        <f>SUM(I19:I19)</f>
        <v>40000000</v>
      </c>
      <c r="J20" s="59"/>
      <c r="K20" s="59"/>
      <c r="L20" s="59"/>
      <c r="M20" s="59"/>
      <c r="N20" s="59">
        <f t="shared" ref="N20:Z20" si="27">SUM(N19:N19)</f>
        <v>844000</v>
      </c>
      <c r="O20" s="59">
        <f t="shared" si="27"/>
        <v>0</v>
      </c>
      <c r="P20" s="59">
        <f t="shared" si="27"/>
        <v>0</v>
      </c>
      <c r="Q20" s="59">
        <f t="shared" si="27"/>
        <v>844000</v>
      </c>
      <c r="R20" s="59">
        <f t="shared" si="27"/>
        <v>84400</v>
      </c>
      <c r="S20" s="59">
        <f t="shared" si="27"/>
        <v>759600</v>
      </c>
      <c r="T20" s="59">
        <f t="shared" si="27"/>
        <v>117426.0869565217</v>
      </c>
      <c r="U20" s="59">
        <f t="shared" si="27"/>
        <v>396313.0434782604</v>
      </c>
      <c r="V20" s="59">
        <f t="shared" si="27"/>
        <v>330260.86956521787</v>
      </c>
      <c r="W20" s="59">
        <f t="shared" si="27"/>
        <v>844000</v>
      </c>
      <c r="X20" s="59">
        <f t="shared" si="27"/>
        <v>0</v>
      </c>
      <c r="Y20" s="59">
        <f t="shared" si="27"/>
        <v>33026.0869565217</v>
      </c>
      <c r="Z20" s="59">
        <f t="shared" si="27"/>
        <v>31590.170132325144</v>
      </c>
    </row>
    <row r="21" spans="1:26" x14ac:dyDescent="0.2">
      <c r="A21" s="74">
        <v>4</v>
      </c>
      <c r="B21" s="107" t="s">
        <v>84</v>
      </c>
      <c r="C21" s="107" t="s">
        <v>85</v>
      </c>
      <c r="D21" s="110">
        <v>44286</v>
      </c>
      <c r="E21" s="74">
        <v>1</v>
      </c>
      <c r="F21" s="107" t="s">
        <v>86</v>
      </c>
      <c r="G21" s="141">
        <v>1</v>
      </c>
      <c r="H21" s="112">
        <v>300000000</v>
      </c>
      <c r="I21" s="112">
        <f>H21*G21</f>
        <v>300000000</v>
      </c>
      <c r="J21" s="110">
        <v>44263</v>
      </c>
      <c r="K21" s="77">
        <f t="shared" ref="K21" si="28">IFERROR(VALUE(DAY(J21)&amp;" "&amp;TEXT(EOMONTH(J21,L21)-29,"mmm")&amp;" "&amp;YEAR(EOMONTH(J21,L21)-29)),"-")</f>
        <v>44993</v>
      </c>
      <c r="L21" s="107">
        <v>24</v>
      </c>
      <c r="M21" s="99">
        <v>51.12</v>
      </c>
      <c r="N21" s="81">
        <f t="shared" ref="N21" si="29">M21*H21/1000</f>
        <v>15336000</v>
      </c>
      <c r="O21" s="81"/>
      <c r="P21" s="81"/>
      <c r="Q21" s="81">
        <f t="shared" ref="Q21" si="30">N21+O21+P21</f>
        <v>15336000</v>
      </c>
      <c r="R21" s="81">
        <f t="shared" ref="R21" si="31">10%*N21</f>
        <v>1533600</v>
      </c>
      <c r="S21" s="81">
        <f t="shared" ref="S21" si="32">Q21-R21</f>
        <v>13802400</v>
      </c>
      <c r="T21" s="42">
        <f>Q21*10%+Y21</f>
        <v>2133704.3478260869</v>
      </c>
      <c r="U21" s="42">
        <f>Y21*12</f>
        <v>7201252.173913043</v>
      </c>
      <c r="V21" s="108">
        <f t="shared" ref="V21" si="33">Q21-T21-U21</f>
        <v>6001043.478260871</v>
      </c>
      <c r="W21" s="2">
        <f t="shared" ref="W21" si="34">T21+U21+V21</f>
        <v>15336000</v>
      </c>
      <c r="X21" s="2">
        <f t="shared" ref="X21" si="35">Q21-W21</f>
        <v>0</v>
      </c>
      <c r="Y21" s="2">
        <v>600104.34782608692</v>
      </c>
      <c r="Z21" s="109">
        <f>(Q21-T21)/(L21-1)</f>
        <v>574012.85444234405</v>
      </c>
    </row>
    <row r="22" spans="1:26" x14ac:dyDescent="0.2">
      <c r="A22" s="88"/>
      <c r="B22" s="84"/>
      <c r="C22" s="84"/>
      <c r="D22" s="84"/>
      <c r="E22" s="88">
        <f>SUM(E21:E21)</f>
        <v>1</v>
      </c>
      <c r="F22" s="84"/>
      <c r="G22" s="40"/>
      <c r="H22" s="59">
        <f>SUM(H21:H21)</f>
        <v>300000000</v>
      </c>
      <c r="I22" s="59">
        <f>SUM(I21:I21)</f>
        <v>300000000</v>
      </c>
      <c r="J22" s="59"/>
      <c r="K22" s="59"/>
      <c r="L22" s="59"/>
      <c r="M22" s="59"/>
      <c r="N22" s="59">
        <f t="shared" ref="N22:Z22" si="36">SUM(N21:N21)</f>
        <v>15336000</v>
      </c>
      <c r="O22" s="59">
        <f t="shared" si="36"/>
        <v>0</v>
      </c>
      <c r="P22" s="59">
        <f t="shared" si="36"/>
        <v>0</v>
      </c>
      <c r="Q22" s="59">
        <f t="shared" si="36"/>
        <v>15336000</v>
      </c>
      <c r="R22" s="59">
        <f t="shared" si="36"/>
        <v>1533600</v>
      </c>
      <c r="S22" s="59">
        <f t="shared" si="36"/>
        <v>13802400</v>
      </c>
      <c r="T22" s="59">
        <f t="shared" si="36"/>
        <v>2133704.3478260869</v>
      </c>
      <c r="U22" s="59">
        <f t="shared" si="36"/>
        <v>7201252.173913043</v>
      </c>
      <c r="V22" s="59">
        <f t="shared" si="36"/>
        <v>6001043.478260871</v>
      </c>
      <c r="W22" s="59">
        <f t="shared" si="36"/>
        <v>15336000</v>
      </c>
      <c r="X22" s="59">
        <f t="shared" si="36"/>
        <v>0</v>
      </c>
      <c r="Y22" s="59">
        <f t="shared" si="36"/>
        <v>600104.34782608692</v>
      </c>
      <c r="Z22" s="59">
        <f t="shared" si="36"/>
        <v>574012.85444234405</v>
      </c>
    </row>
    <row r="23" spans="1:26" x14ac:dyDescent="0.2">
      <c r="A23" s="83"/>
      <c r="B23" s="83"/>
      <c r="C23" s="83" t="s">
        <v>92</v>
      </c>
      <c r="D23" s="84"/>
      <c r="E23" s="93">
        <f>E22+E20</f>
        <v>2</v>
      </c>
      <c r="F23" s="87">
        <f t="shared" ref="F23:Z23" si="37">F22+F20</f>
        <v>0</v>
      </c>
      <c r="G23" s="87">
        <f t="shared" si="37"/>
        <v>0</v>
      </c>
      <c r="H23" s="87">
        <f t="shared" si="37"/>
        <v>340000000</v>
      </c>
      <c r="I23" s="87">
        <f t="shared" si="37"/>
        <v>340000000</v>
      </c>
      <c r="J23" s="87">
        <f t="shared" si="37"/>
        <v>0</v>
      </c>
      <c r="K23" s="87">
        <f t="shared" si="37"/>
        <v>0</v>
      </c>
      <c r="L23" s="87"/>
      <c r="M23" s="87"/>
      <c r="N23" s="87">
        <f t="shared" si="37"/>
        <v>16180000</v>
      </c>
      <c r="O23" s="87">
        <f t="shared" si="37"/>
        <v>0</v>
      </c>
      <c r="P23" s="87">
        <f t="shared" si="37"/>
        <v>0</v>
      </c>
      <c r="Q23" s="87">
        <f t="shared" si="37"/>
        <v>16180000</v>
      </c>
      <c r="R23" s="87">
        <f t="shared" si="37"/>
        <v>1618000</v>
      </c>
      <c r="S23" s="87">
        <f t="shared" si="37"/>
        <v>14562000</v>
      </c>
      <c r="T23" s="87">
        <f t="shared" si="37"/>
        <v>2251130.4347826084</v>
      </c>
      <c r="U23" s="87">
        <f t="shared" si="37"/>
        <v>7597565.2173913037</v>
      </c>
      <c r="V23" s="87">
        <f t="shared" si="37"/>
        <v>6331304.3478260888</v>
      </c>
      <c r="W23" s="87">
        <f t="shared" si="37"/>
        <v>16180000</v>
      </c>
      <c r="X23" s="87">
        <f t="shared" si="37"/>
        <v>0</v>
      </c>
      <c r="Y23" s="87">
        <f t="shared" si="37"/>
        <v>633130.43478260865</v>
      </c>
      <c r="Z23" s="87">
        <f t="shared" si="37"/>
        <v>605603.02457466919</v>
      </c>
    </row>
    <row r="24" spans="1:26" x14ac:dyDescent="0.2">
      <c r="A24" s="89"/>
      <c r="B24" s="89"/>
      <c r="C24" s="83" t="s">
        <v>93</v>
      </c>
      <c r="D24" s="89"/>
      <c r="E24" s="91">
        <f>E23+E13</f>
        <v>4</v>
      </c>
      <c r="F24" s="91">
        <f t="shared" ref="F24:Z24" si="38">F23+F13</f>
        <v>0</v>
      </c>
      <c r="G24" s="91">
        <f t="shared" si="38"/>
        <v>0</v>
      </c>
      <c r="H24" s="91">
        <f t="shared" si="38"/>
        <v>840000000</v>
      </c>
      <c r="I24" s="91">
        <f t="shared" si="38"/>
        <v>840000000</v>
      </c>
      <c r="J24" s="91">
        <f t="shared" si="38"/>
        <v>0</v>
      </c>
      <c r="K24" s="91">
        <f t="shared" si="38"/>
        <v>0</v>
      </c>
      <c r="L24" s="91">
        <f t="shared" si="38"/>
        <v>0</v>
      </c>
      <c r="M24" s="91">
        <f t="shared" si="38"/>
        <v>0</v>
      </c>
      <c r="N24" s="91">
        <f t="shared" si="38"/>
        <v>16180000</v>
      </c>
      <c r="O24" s="91">
        <f t="shared" si="38"/>
        <v>0</v>
      </c>
      <c r="P24" s="91">
        <f t="shared" si="38"/>
        <v>0</v>
      </c>
      <c r="Q24" s="91">
        <f t="shared" si="38"/>
        <v>32078000</v>
      </c>
      <c r="R24" s="91">
        <f t="shared" si="38"/>
        <v>3207800</v>
      </c>
      <c r="S24" s="91">
        <f t="shared" si="38"/>
        <v>28870200</v>
      </c>
      <c r="T24" s="91">
        <f t="shared" si="38"/>
        <v>4071253.8410375034</v>
      </c>
      <c r="U24" s="91">
        <f t="shared" si="38"/>
        <v>8745236.4960421678</v>
      </c>
      <c r="V24" s="91">
        <f t="shared" si="38"/>
        <v>19261509.66292033</v>
      </c>
      <c r="W24" s="91">
        <f t="shared" si="38"/>
        <v>32078000</v>
      </c>
      <c r="X24" s="91">
        <f t="shared" si="38"/>
        <v>0</v>
      </c>
      <c r="Y24" s="91">
        <f t="shared" si="38"/>
        <v>728769.70800351398</v>
      </c>
      <c r="Z24" s="91">
        <f t="shared" si="38"/>
        <v>699515.24228526803</v>
      </c>
    </row>
    <row r="25" spans="1:26" x14ac:dyDescent="0.2">
      <c r="D25" s="3"/>
      <c r="E25" s="3"/>
    </row>
    <row r="26" spans="1:26" ht="23.25" x14ac:dyDescent="0.2">
      <c r="A26" s="86" t="s">
        <v>117</v>
      </c>
      <c r="B26" s="62"/>
      <c r="C26" s="62"/>
      <c r="D26" s="57"/>
      <c r="E26" s="63"/>
      <c r="F26" s="64"/>
      <c r="G26" s="139"/>
      <c r="H26" s="66"/>
      <c r="I26" s="66"/>
      <c r="J26" s="67"/>
      <c r="K26" s="67"/>
      <c r="L26" s="68"/>
      <c r="M26" s="68"/>
      <c r="N26" s="69"/>
      <c r="O26" s="69"/>
      <c r="P26" s="69"/>
      <c r="Q26" s="69"/>
      <c r="R26" s="69"/>
      <c r="S26" s="69"/>
      <c r="T26" s="70"/>
      <c r="U26" s="71"/>
      <c r="V26" s="71"/>
    </row>
    <row r="27" spans="1:26" x14ac:dyDescent="0.2">
      <c r="A27" s="231" t="s">
        <v>0</v>
      </c>
      <c r="B27" s="232" t="s">
        <v>1</v>
      </c>
      <c r="C27" s="229" t="s">
        <v>2</v>
      </c>
      <c r="D27" s="233" t="s">
        <v>3</v>
      </c>
      <c r="E27" s="234" t="s">
        <v>4</v>
      </c>
      <c r="F27" s="232" t="s">
        <v>5</v>
      </c>
      <c r="G27" s="237" t="s">
        <v>6</v>
      </c>
      <c r="H27" s="236" t="s">
        <v>7</v>
      </c>
      <c r="I27" s="236" t="s">
        <v>8</v>
      </c>
      <c r="J27" s="227" t="s">
        <v>9</v>
      </c>
      <c r="K27" s="227"/>
      <c r="L27" s="228" t="s">
        <v>10</v>
      </c>
      <c r="M27" s="229" t="s">
        <v>11</v>
      </c>
      <c r="N27" s="230" t="s">
        <v>12</v>
      </c>
      <c r="O27" s="230"/>
      <c r="P27" s="230"/>
      <c r="Q27" s="229" t="s">
        <v>13</v>
      </c>
      <c r="R27" s="229" t="s">
        <v>14</v>
      </c>
      <c r="S27" s="229" t="s">
        <v>15</v>
      </c>
      <c r="T27" s="36">
        <v>2021</v>
      </c>
      <c r="U27" s="37"/>
      <c r="V27" s="38" t="s">
        <v>44</v>
      </c>
    </row>
    <row r="28" spans="1:26" x14ac:dyDescent="0.2">
      <c r="A28" s="231"/>
      <c r="B28" s="232"/>
      <c r="C28" s="229"/>
      <c r="D28" s="233"/>
      <c r="E28" s="234"/>
      <c r="F28" s="232"/>
      <c r="G28" s="237"/>
      <c r="H28" s="236"/>
      <c r="I28" s="236"/>
      <c r="J28" s="227"/>
      <c r="K28" s="227"/>
      <c r="L28" s="228"/>
      <c r="M28" s="229"/>
      <c r="N28" s="145" t="s">
        <v>16</v>
      </c>
      <c r="O28" s="145" t="s">
        <v>17</v>
      </c>
      <c r="P28" s="145" t="s">
        <v>18</v>
      </c>
      <c r="Q28" s="229"/>
      <c r="R28" s="229"/>
      <c r="S28" s="229"/>
      <c r="T28" s="96" t="s">
        <v>118</v>
      </c>
      <c r="U28" s="39" t="s">
        <v>98</v>
      </c>
      <c r="V28" s="40"/>
    </row>
    <row r="29" spans="1:26" x14ac:dyDescent="0.2">
      <c r="A29" s="74">
        <v>5</v>
      </c>
      <c r="B29" s="107" t="s">
        <v>46</v>
      </c>
      <c r="C29" s="107" t="s">
        <v>96</v>
      </c>
      <c r="D29" s="110">
        <v>44313</v>
      </c>
      <c r="E29" s="74">
        <v>1</v>
      </c>
      <c r="F29" s="107" t="s">
        <v>47</v>
      </c>
      <c r="G29" s="111">
        <v>1</v>
      </c>
      <c r="H29" s="112">
        <v>57599206</v>
      </c>
      <c r="I29" s="112">
        <f>H29*G29</f>
        <v>57599206</v>
      </c>
      <c r="J29" s="110">
        <v>46069</v>
      </c>
      <c r="K29" s="77">
        <v>46446</v>
      </c>
      <c r="L29" s="107">
        <v>12</v>
      </c>
      <c r="M29" s="99">
        <v>9.1</v>
      </c>
      <c r="N29" s="81">
        <f t="shared" ref="N29:N30" si="39">M29*H29/1000</f>
        <v>524152.77459999995</v>
      </c>
      <c r="O29" s="81">
        <v>100000</v>
      </c>
      <c r="P29" s="81"/>
      <c r="Q29" s="81">
        <f t="shared" ref="Q29:Q30" si="40">N29+O29+P29</f>
        <v>624152.77459999989</v>
      </c>
      <c r="R29" s="81"/>
      <c r="S29" s="81">
        <f t="shared" ref="S29:S30" si="41">Q29-R29</f>
        <v>624152.77459999989</v>
      </c>
      <c r="T29" s="42">
        <f>Q29*10%</f>
        <v>62415.27745999999</v>
      </c>
      <c r="U29" s="42">
        <f>Y29*11</f>
        <v>561737.49713999988</v>
      </c>
      <c r="V29" s="108">
        <f t="shared" ref="V29" si="42">Q29-T29-U29</f>
        <v>0</v>
      </c>
      <c r="W29" s="2">
        <f t="shared" ref="W29" si="43">T29+U29+V29</f>
        <v>624152.77459999989</v>
      </c>
      <c r="X29" s="2">
        <f t="shared" ref="X29" si="44">Q29-W29</f>
        <v>0</v>
      </c>
      <c r="Y29" s="2">
        <v>51067.045194545441</v>
      </c>
      <c r="Z29" s="109">
        <f>(Q29-T29)/(L29-1)</f>
        <v>51067.045194545441</v>
      </c>
    </row>
    <row r="30" spans="1:26" x14ac:dyDescent="0.2">
      <c r="A30" s="74"/>
      <c r="B30" s="107"/>
      <c r="C30" s="107"/>
      <c r="D30" s="110"/>
      <c r="E30" s="74">
        <v>1</v>
      </c>
      <c r="F30" s="107" t="s">
        <v>48</v>
      </c>
      <c r="G30" s="111">
        <v>1</v>
      </c>
      <c r="H30" s="112">
        <v>11844392</v>
      </c>
      <c r="I30" s="112">
        <f>H30*G30</f>
        <v>11844392</v>
      </c>
      <c r="J30" s="110">
        <v>46523</v>
      </c>
      <c r="K30" s="77">
        <v>46768</v>
      </c>
      <c r="L30" s="107">
        <v>8</v>
      </c>
      <c r="M30" s="99">
        <v>5.46</v>
      </c>
      <c r="N30" s="81">
        <f t="shared" si="39"/>
        <v>64670.380320000004</v>
      </c>
      <c r="O30" s="81">
        <v>100000</v>
      </c>
      <c r="P30" s="81"/>
      <c r="Q30" s="81">
        <f t="shared" si="40"/>
        <v>164670.38032</v>
      </c>
      <c r="R30" s="81"/>
      <c r="S30" s="81">
        <f t="shared" si="41"/>
        <v>164670.38032</v>
      </c>
      <c r="T30" s="42">
        <f t="shared" ref="T30:T41" si="45">Q30*10%</f>
        <v>16467.038032</v>
      </c>
      <c r="U30" s="42">
        <f>Y30*7</f>
        <v>148203.34228799999</v>
      </c>
      <c r="V30" s="108">
        <f t="shared" ref="V30:V41" si="46">Q30-T30-U30</f>
        <v>0</v>
      </c>
      <c r="W30" s="2">
        <f t="shared" ref="W30:W41" si="47">T30+U30+V30</f>
        <v>164670.38032</v>
      </c>
      <c r="X30" s="2">
        <f t="shared" ref="X30:X41" si="48">Q30-W30</f>
        <v>0</v>
      </c>
      <c r="Y30" s="2">
        <v>21171.906041142855</v>
      </c>
      <c r="Z30" s="109">
        <f t="shared" ref="Z30:Z41" si="49">(Q30-T30)/(L30-1)</f>
        <v>21171.906041142855</v>
      </c>
    </row>
    <row r="31" spans="1:26" x14ac:dyDescent="0.2">
      <c r="A31" s="88"/>
      <c r="B31" s="84"/>
      <c r="C31" s="84"/>
      <c r="D31" s="84"/>
      <c r="E31" s="88">
        <f>SUM(E29:E30)</f>
        <v>2</v>
      </c>
      <c r="F31" s="84"/>
      <c r="G31" s="115"/>
      <c r="H31" s="59">
        <f>SUM(H29:H30)</f>
        <v>69443598</v>
      </c>
      <c r="I31" s="59">
        <f t="shared" ref="I31:Z31" si="50">SUM(I29:I30)</f>
        <v>69443598</v>
      </c>
      <c r="J31" s="59"/>
      <c r="K31" s="59"/>
      <c r="L31" s="59"/>
      <c r="M31" s="59"/>
      <c r="N31" s="59">
        <f t="shared" si="50"/>
        <v>588823.15492</v>
      </c>
      <c r="O31" s="59">
        <f t="shared" si="50"/>
        <v>200000</v>
      </c>
      <c r="P31" s="59">
        <f t="shared" si="50"/>
        <v>0</v>
      </c>
      <c r="Q31" s="59">
        <f t="shared" si="50"/>
        <v>788823.15491999988</v>
      </c>
      <c r="R31" s="59">
        <f t="shared" si="50"/>
        <v>0</v>
      </c>
      <c r="S31" s="59">
        <f t="shared" si="50"/>
        <v>788823.15491999988</v>
      </c>
      <c r="T31" s="59">
        <f t="shared" si="50"/>
        <v>78882.315491999994</v>
      </c>
      <c r="U31" s="59">
        <f t="shared" si="50"/>
        <v>709940.83942799992</v>
      </c>
      <c r="V31" s="59">
        <f t="shared" si="50"/>
        <v>0</v>
      </c>
      <c r="W31" s="59">
        <f t="shared" si="50"/>
        <v>788823.15491999988</v>
      </c>
      <c r="X31" s="59">
        <f t="shared" si="50"/>
        <v>0</v>
      </c>
      <c r="Y31" s="59">
        <f t="shared" si="50"/>
        <v>72238.951235688291</v>
      </c>
      <c r="Z31" s="59">
        <f t="shared" si="50"/>
        <v>72238.951235688291</v>
      </c>
    </row>
    <row r="32" spans="1:26" x14ac:dyDescent="0.2">
      <c r="A32" s="74">
        <v>6</v>
      </c>
      <c r="B32" s="107" t="s">
        <v>49</v>
      </c>
      <c r="C32" s="107" t="s">
        <v>101</v>
      </c>
      <c r="D32" s="110">
        <v>44301</v>
      </c>
      <c r="E32" s="74">
        <v>1</v>
      </c>
      <c r="F32" s="107" t="s">
        <v>102</v>
      </c>
      <c r="G32" s="111">
        <v>1</v>
      </c>
      <c r="H32" s="112">
        <v>35000000</v>
      </c>
      <c r="I32" s="112">
        <f>H32*G32</f>
        <v>35000000</v>
      </c>
      <c r="J32" s="110">
        <v>44278</v>
      </c>
      <c r="K32" s="77">
        <f t="shared" ref="K32" si="51">IFERROR(VALUE(DAY(J32)&amp;" "&amp;TEXT(EOMONTH(J32,L32)-29,"mmm")&amp;" "&amp;YEAR(EOMONTH(J32,L32)-29)),"-")</f>
        <v>45374</v>
      </c>
      <c r="L32" s="107">
        <v>36</v>
      </c>
      <c r="M32" s="99">
        <v>31.16</v>
      </c>
      <c r="N32" s="81">
        <f t="shared" ref="N32" si="52">M32*H32/1000</f>
        <v>1090600</v>
      </c>
      <c r="O32" s="81"/>
      <c r="P32" s="81"/>
      <c r="Q32" s="81">
        <f t="shared" ref="Q32" si="53">N32+O32+P32</f>
        <v>1090600</v>
      </c>
      <c r="R32" s="81">
        <f t="shared" ref="R32" si="54">10%*N32</f>
        <v>109060</v>
      </c>
      <c r="S32" s="81">
        <f t="shared" ref="S32" si="55">Q32-R32</f>
        <v>981540</v>
      </c>
      <c r="T32" s="42">
        <f t="shared" si="45"/>
        <v>109060</v>
      </c>
      <c r="U32" s="42">
        <f t="shared" ref="U32:U41" si="56">Y32*12</f>
        <v>336528</v>
      </c>
      <c r="V32" s="108">
        <f t="shared" si="46"/>
        <v>645012</v>
      </c>
      <c r="W32" s="2">
        <f t="shared" si="47"/>
        <v>1090600</v>
      </c>
      <c r="X32" s="2">
        <f t="shared" si="48"/>
        <v>0</v>
      </c>
      <c r="Y32" s="2">
        <v>28044</v>
      </c>
      <c r="Z32" s="109">
        <f t="shared" si="49"/>
        <v>28044</v>
      </c>
    </row>
    <row r="33" spans="1:26" x14ac:dyDescent="0.2">
      <c r="A33" s="88"/>
      <c r="B33" s="84"/>
      <c r="C33" s="84"/>
      <c r="D33" s="84"/>
      <c r="E33" s="88">
        <f>SUM(E32:E32)</f>
        <v>1</v>
      </c>
      <c r="F33" s="84"/>
      <c r="G33" s="115"/>
      <c r="H33" s="59">
        <f>SUM(H32:H32)</f>
        <v>35000000</v>
      </c>
      <c r="I33" s="59">
        <f>SUM(I32:I32)</f>
        <v>35000000</v>
      </c>
      <c r="J33" s="59"/>
      <c r="K33" s="59"/>
      <c r="L33" s="59"/>
      <c r="M33" s="59"/>
      <c r="N33" s="59">
        <f t="shared" ref="N33:Z33" si="57">SUM(N32:N32)</f>
        <v>1090600</v>
      </c>
      <c r="O33" s="59">
        <f t="shared" si="57"/>
        <v>0</v>
      </c>
      <c r="P33" s="59">
        <f t="shared" si="57"/>
        <v>0</v>
      </c>
      <c r="Q33" s="59">
        <f t="shared" si="57"/>
        <v>1090600</v>
      </c>
      <c r="R33" s="59">
        <f t="shared" si="57"/>
        <v>109060</v>
      </c>
      <c r="S33" s="59">
        <f t="shared" si="57"/>
        <v>981540</v>
      </c>
      <c r="T33" s="59">
        <f t="shared" si="57"/>
        <v>109060</v>
      </c>
      <c r="U33" s="59">
        <f t="shared" si="57"/>
        <v>336528</v>
      </c>
      <c r="V33" s="59">
        <f t="shared" si="57"/>
        <v>645012</v>
      </c>
      <c r="W33" s="59">
        <f t="shared" si="57"/>
        <v>1090600</v>
      </c>
      <c r="X33" s="59">
        <f t="shared" si="57"/>
        <v>0</v>
      </c>
      <c r="Y33" s="59">
        <f t="shared" si="57"/>
        <v>28044</v>
      </c>
      <c r="Z33" s="59">
        <f t="shared" si="57"/>
        <v>28044</v>
      </c>
    </row>
    <row r="34" spans="1:26" x14ac:dyDescent="0.2">
      <c r="A34" s="74">
        <v>7</v>
      </c>
      <c r="B34" s="107" t="s">
        <v>49</v>
      </c>
      <c r="C34" s="107" t="s">
        <v>103</v>
      </c>
      <c r="D34" s="110">
        <v>44316</v>
      </c>
      <c r="E34" s="74">
        <v>1</v>
      </c>
      <c r="F34" s="107" t="s">
        <v>104</v>
      </c>
      <c r="G34" s="111">
        <v>1</v>
      </c>
      <c r="H34" s="112">
        <v>83000000</v>
      </c>
      <c r="I34" s="112">
        <f>H34*G34</f>
        <v>83000000</v>
      </c>
      <c r="J34" s="110">
        <v>44315</v>
      </c>
      <c r="K34" s="77">
        <f>IFERROR(VALUE(DAY(J34)&amp;" "&amp;TEXT(EOMONTH(J34,L34)-29,"mmm")&amp;" "&amp;YEAR(EOMONTH(J34,L34)-29)),"-")</f>
        <v>46506</v>
      </c>
      <c r="L34" s="107">
        <v>72</v>
      </c>
      <c r="M34" s="99">
        <v>50.64</v>
      </c>
      <c r="N34" s="81">
        <f t="shared" ref="N34" si="58">M34*H34/1000</f>
        <v>4203120</v>
      </c>
      <c r="O34" s="81"/>
      <c r="P34" s="81"/>
      <c r="Q34" s="81">
        <f t="shared" ref="Q34" si="59">N34+O34+P34</f>
        <v>4203120</v>
      </c>
      <c r="R34" s="81">
        <f t="shared" ref="R34" si="60">10%*N34</f>
        <v>420312</v>
      </c>
      <c r="S34" s="81">
        <f t="shared" ref="S34" si="61">Q34-R34</f>
        <v>3782808</v>
      </c>
      <c r="T34" s="42">
        <f t="shared" si="45"/>
        <v>420312</v>
      </c>
      <c r="U34" s="42">
        <f t="shared" si="56"/>
        <v>639347.8309859155</v>
      </c>
      <c r="V34" s="108">
        <f t="shared" si="46"/>
        <v>3143460.1690140846</v>
      </c>
      <c r="W34" s="2">
        <f t="shared" si="47"/>
        <v>4203120</v>
      </c>
      <c r="X34" s="2">
        <f t="shared" si="48"/>
        <v>0</v>
      </c>
      <c r="Y34" s="2">
        <v>53278.985915492958</v>
      </c>
      <c r="Z34" s="109">
        <f t="shared" si="49"/>
        <v>53278.985915492958</v>
      </c>
    </row>
    <row r="35" spans="1:26" x14ac:dyDescent="0.2">
      <c r="A35" s="150"/>
      <c r="B35" s="90"/>
      <c r="C35" s="90"/>
      <c r="D35" s="90"/>
      <c r="E35" s="150">
        <f>SUM(E34:E34)</f>
        <v>1</v>
      </c>
      <c r="F35" s="90"/>
      <c r="G35" s="151"/>
      <c r="H35" s="152">
        <f>SUM(H34:H34)</f>
        <v>83000000</v>
      </c>
      <c r="I35" s="152">
        <f>SUM(I34:I34)</f>
        <v>83000000</v>
      </c>
      <c r="J35" s="152"/>
      <c r="K35" s="152"/>
      <c r="L35" s="152"/>
      <c r="M35" s="152"/>
      <c r="N35" s="152">
        <f t="shared" ref="N35:Z35" si="62">SUM(N34:N34)</f>
        <v>4203120</v>
      </c>
      <c r="O35" s="152">
        <f t="shared" si="62"/>
        <v>0</v>
      </c>
      <c r="P35" s="152">
        <f t="shared" si="62"/>
        <v>0</v>
      </c>
      <c r="Q35" s="152">
        <f t="shared" si="62"/>
        <v>4203120</v>
      </c>
      <c r="R35" s="152">
        <f t="shared" si="62"/>
        <v>420312</v>
      </c>
      <c r="S35" s="152">
        <f t="shared" si="62"/>
        <v>3782808</v>
      </c>
      <c r="T35" s="152">
        <f t="shared" si="62"/>
        <v>420312</v>
      </c>
      <c r="U35" s="152">
        <f t="shared" si="62"/>
        <v>639347.8309859155</v>
      </c>
      <c r="V35" s="152">
        <f t="shared" si="62"/>
        <v>3143460.1690140846</v>
      </c>
      <c r="W35" s="152">
        <f t="shared" si="62"/>
        <v>4203120</v>
      </c>
      <c r="X35" s="152">
        <f t="shared" si="62"/>
        <v>0</v>
      </c>
      <c r="Y35" s="152">
        <f t="shared" si="62"/>
        <v>53278.985915492958</v>
      </c>
      <c r="Z35" s="152">
        <f t="shared" si="62"/>
        <v>53278.985915492958</v>
      </c>
    </row>
    <row r="36" spans="1:26" x14ac:dyDescent="0.2">
      <c r="A36" s="74">
        <v>8</v>
      </c>
      <c r="B36" s="107" t="s">
        <v>49</v>
      </c>
      <c r="C36" s="107" t="s">
        <v>105</v>
      </c>
      <c r="D36" s="110">
        <v>44316</v>
      </c>
      <c r="E36" s="74">
        <v>1</v>
      </c>
      <c r="F36" s="107" t="s">
        <v>106</v>
      </c>
      <c r="G36" s="111">
        <v>1</v>
      </c>
      <c r="H36" s="112">
        <v>35000000</v>
      </c>
      <c r="I36" s="112">
        <f>H36*G36</f>
        <v>35000000</v>
      </c>
      <c r="J36" s="110">
        <v>44313</v>
      </c>
      <c r="K36" s="77">
        <f>IFERROR(VALUE(DAY(J36)&amp;" "&amp;TEXT(EOMONTH(J36,L36)-29,"mmm")&amp;" "&amp;YEAR(EOMONTH(J36,L36)-29)),"-")</f>
        <v>45409</v>
      </c>
      <c r="L36" s="107">
        <v>36</v>
      </c>
      <c r="M36" s="99">
        <v>30.71</v>
      </c>
      <c r="N36" s="81">
        <f t="shared" ref="N36" si="63">M36*H36/1000</f>
        <v>1074850</v>
      </c>
      <c r="O36" s="81"/>
      <c r="P36" s="81"/>
      <c r="Q36" s="81">
        <f t="shared" ref="Q36" si="64">N36+O36+P36</f>
        <v>1074850</v>
      </c>
      <c r="R36" s="81">
        <f t="shared" ref="R36" si="65">10%*N36</f>
        <v>107485</v>
      </c>
      <c r="S36" s="81">
        <f t="shared" ref="S36" si="66">Q36-R36</f>
        <v>967365</v>
      </c>
      <c r="T36" s="42">
        <f t="shared" si="45"/>
        <v>107485</v>
      </c>
      <c r="U36" s="42">
        <f t="shared" si="56"/>
        <v>331668</v>
      </c>
      <c r="V36" s="108">
        <f t="shared" si="46"/>
        <v>635697</v>
      </c>
      <c r="W36" s="2">
        <f t="shared" si="47"/>
        <v>1074850</v>
      </c>
      <c r="X36" s="2">
        <f t="shared" si="48"/>
        <v>0</v>
      </c>
      <c r="Y36" s="2">
        <v>27639</v>
      </c>
      <c r="Z36" s="109">
        <f t="shared" si="49"/>
        <v>27639</v>
      </c>
    </row>
    <row r="37" spans="1:26" x14ac:dyDescent="0.2">
      <c r="A37" s="150"/>
      <c r="B37" s="90"/>
      <c r="C37" s="90"/>
      <c r="D37" s="90"/>
      <c r="E37" s="150">
        <f>SUM(E36:E36)</f>
        <v>1</v>
      </c>
      <c r="F37" s="90"/>
      <c r="G37" s="151"/>
      <c r="H37" s="152">
        <f>SUM(H36:H36)</f>
        <v>35000000</v>
      </c>
      <c r="I37" s="152">
        <f>SUM(I36:I36)</f>
        <v>35000000</v>
      </c>
      <c r="J37" s="152"/>
      <c r="K37" s="152"/>
      <c r="L37" s="152"/>
      <c r="M37" s="152"/>
      <c r="N37" s="152">
        <f t="shared" ref="N37:Z37" si="67">SUM(N36:N36)</f>
        <v>1074850</v>
      </c>
      <c r="O37" s="152">
        <f t="shared" si="67"/>
        <v>0</v>
      </c>
      <c r="P37" s="152">
        <f t="shared" si="67"/>
        <v>0</v>
      </c>
      <c r="Q37" s="152">
        <f t="shared" si="67"/>
        <v>1074850</v>
      </c>
      <c r="R37" s="152">
        <f t="shared" si="67"/>
        <v>107485</v>
      </c>
      <c r="S37" s="152">
        <f t="shared" si="67"/>
        <v>967365</v>
      </c>
      <c r="T37" s="152">
        <f t="shared" si="67"/>
        <v>107485</v>
      </c>
      <c r="U37" s="152">
        <f t="shared" si="67"/>
        <v>331668</v>
      </c>
      <c r="V37" s="152">
        <f t="shared" si="67"/>
        <v>635697</v>
      </c>
      <c r="W37" s="152">
        <f t="shared" si="67"/>
        <v>1074850</v>
      </c>
      <c r="X37" s="152">
        <f t="shared" si="67"/>
        <v>0</v>
      </c>
      <c r="Y37" s="152">
        <f t="shared" si="67"/>
        <v>27639</v>
      </c>
      <c r="Z37" s="152">
        <f t="shared" si="67"/>
        <v>27639</v>
      </c>
    </row>
    <row r="38" spans="1:26" x14ac:dyDescent="0.2">
      <c r="A38" s="74">
        <v>9</v>
      </c>
      <c r="B38" s="107" t="s">
        <v>49</v>
      </c>
      <c r="C38" s="107" t="s">
        <v>108</v>
      </c>
      <c r="D38" s="110">
        <v>44316</v>
      </c>
      <c r="E38" s="74">
        <v>1</v>
      </c>
      <c r="F38" s="107" t="s">
        <v>109</v>
      </c>
      <c r="G38" s="111">
        <v>1</v>
      </c>
      <c r="H38" s="112">
        <v>220000000</v>
      </c>
      <c r="I38" s="112">
        <f>H38*G38</f>
        <v>220000000</v>
      </c>
      <c r="J38" s="110">
        <v>44300</v>
      </c>
      <c r="K38" s="77">
        <f>IFERROR(VALUE(DAY(J38)&amp;" "&amp;TEXT(EOMONTH(J38,L38)-29,"mmm")&amp;" "&amp;YEAR(EOMONTH(J38,L38)-29)),"-")</f>
        <v>47952</v>
      </c>
      <c r="L38" s="107">
        <v>120</v>
      </c>
      <c r="M38" s="99">
        <v>25.48</v>
      </c>
      <c r="N38" s="81">
        <f t="shared" ref="N38:N39" si="68">M38*H38/1000</f>
        <v>5605600</v>
      </c>
      <c r="O38" s="81"/>
      <c r="P38" s="81"/>
      <c r="Q38" s="81">
        <f t="shared" ref="Q38:Q39" si="69">N38+O38+P38</f>
        <v>5605600</v>
      </c>
      <c r="R38" s="81">
        <f t="shared" ref="R38:R39" si="70">10%*N38</f>
        <v>560560</v>
      </c>
      <c r="S38" s="81">
        <f t="shared" ref="S38:S39" si="71">Q38-R38</f>
        <v>5045040</v>
      </c>
      <c r="T38" s="42">
        <f t="shared" si="45"/>
        <v>560560</v>
      </c>
      <c r="U38" s="42">
        <f t="shared" si="56"/>
        <v>508743.5294117647</v>
      </c>
      <c r="V38" s="108">
        <f t="shared" si="46"/>
        <v>4536296.4705882352</v>
      </c>
      <c r="W38" s="2">
        <f t="shared" si="47"/>
        <v>5605600</v>
      </c>
      <c r="X38" s="2">
        <f t="shared" si="48"/>
        <v>0</v>
      </c>
      <c r="Y38" s="2">
        <v>42395.294117647056</v>
      </c>
      <c r="Z38" s="109">
        <f t="shared" si="49"/>
        <v>42395.294117647056</v>
      </c>
    </row>
    <row r="39" spans="1:26" x14ac:dyDescent="0.2">
      <c r="A39" s="74"/>
      <c r="B39" s="107"/>
      <c r="C39" s="107"/>
      <c r="D39" s="110"/>
      <c r="E39" s="74">
        <v>1</v>
      </c>
      <c r="F39" s="107" t="s">
        <v>110</v>
      </c>
      <c r="G39" s="111">
        <v>1</v>
      </c>
      <c r="H39" s="112">
        <v>160000000</v>
      </c>
      <c r="I39" s="112">
        <f>H39*G39</f>
        <v>160000000</v>
      </c>
      <c r="J39" s="110">
        <v>44305</v>
      </c>
      <c r="K39" s="77">
        <f>IFERROR(VALUE(DAY(J39)&amp;" "&amp;TEXT(EOMONTH(J39,L39)-29,"mmm")&amp;" "&amp;YEAR(EOMONTH(J39,L39)-29)),"-")</f>
        <v>45554</v>
      </c>
      <c r="L39" s="107">
        <v>41</v>
      </c>
      <c r="M39" s="99">
        <v>11.38</v>
      </c>
      <c r="N39" s="81">
        <f t="shared" si="68"/>
        <v>1820800.0000000002</v>
      </c>
      <c r="O39" s="81"/>
      <c r="P39" s="81"/>
      <c r="Q39" s="81">
        <f t="shared" si="69"/>
        <v>1820800.0000000002</v>
      </c>
      <c r="R39" s="81">
        <f t="shared" si="70"/>
        <v>182080.00000000003</v>
      </c>
      <c r="S39" s="81">
        <f t="shared" si="71"/>
        <v>1638720.0000000002</v>
      </c>
      <c r="T39" s="42">
        <f t="shared" si="45"/>
        <v>182080.00000000003</v>
      </c>
      <c r="U39" s="42">
        <f t="shared" si="56"/>
        <v>491616.00000000012</v>
      </c>
      <c r="V39" s="108">
        <f t="shared" si="46"/>
        <v>1147104</v>
      </c>
      <c r="W39" s="2">
        <f t="shared" si="47"/>
        <v>1820800</v>
      </c>
      <c r="X39" s="2">
        <f t="shared" si="48"/>
        <v>0</v>
      </c>
      <c r="Y39" s="2">
        <v>40968.000000000007</v>
      </c>
      <c r="Z39" s="109">
        <f t="shared" si="49"/>
        <v>40968.000000000007</v>
      </c>
    </row>
    <row r="40" spans="1:26" x14ac:dyDescent="0.2">
      <c r="A40" s="88"/>
      <c r="B40" s="84"/>
      <c r="C40" s="84"/>
      <c r="D40" s="84"/>
      <c r="E40" s="88">
        <f>SUM(E38:E39)</f>
        <v>2</v>
      </c>
      <c r="F40" s="84"/>
      <c r="G40" s="115"/>
      <c r="H40" s="79">
        <f t="shared" ref="H40:I40" si="72">SUM(H38:H39)</f>
        <v>380000000</v>
      </c>
      <c r="I40" s="79">
        <f t="shared" si="72"/>
        <v>380000000</v>
      </c>
      <c r="J40" s="59"/>
      <c r="K40" s="59"/>
      <c r="L40" s="59"/>
      <c r="M40" s="59"/>
      <c r="N40" s="79">
        <f t="shared" ref="N40:Z40" si="73">SUM(N38:N39)</f>
        <v>7426400</v>
      </c>
      <c r="O40" s="79">
        <f t="shared" si="73"/>
        <v>0</v>
      </c>
      <c r="P40" s="79">
        <f t="shared" si="73"/>
        <v>0</v>
      </c>
      <c r="Q40" s="79">
        <f t="shared" si="73"/>
        <v>7426400</v>
      </c>
      <c r="R40" s="79">
        <f t="shared" si="73"/>
        <v>742640</v>
      </c>
      <c r="S40" s="79">
        <f t="shared" si="73"/>
        <v>6683760</v>
      </c>
      <c r="T40" s="79">
        <f t="shared" si="73"/>
        <v>742640</v>
      </c>
      <c r="U40" s="79">
        <f t="shared" si="73"/>
        <v>1000359.5294117648</v>
      </c>
      <c r="V40" s="79">
        <f t="shared" si="73"/>
        <v>5683400.4705882352</v>
      </c>
      <c r="W40" s="79">
        <f t="shared" si="73"/>
        <v>7426400</v>
      </c>
      <c r="X40" s="79">
        <f t="shared" si="73"/>
        <v>0</v>
      </c>
      <c r="Y40" s="79">
        <f t="shared" si="73"/>
        <v>83363.294117647063</v>
      </c>
      <c r="Z40" s="79">
        <f t="shared" si="73"/>
        <v>83363.294117647063</v>
      </c>
    </row>
    <row r="41" spans="1:26" x14ac:dyDescent="0.2">
      <c r="A41" s="74">
        <v>10</v>
      </c>
      <c r="B41" s="107" t="s">
        <v>111</v>
      </c>
      <c r="C41" s="107" t="s">
        <v>112</v>
      </c>
      <c r="D41" s="110">
        <v>44316</v>
      </c>
      <c r="E41" s="74">
        <v>1</v>
      </c>
      <c r="F41" s="107" t="s">
        <v>113</v>
      </c>
      <c r="G41" s="111">
        <v>1</v>
      </c>
      <c r="H41" s="112">
        <v>45323679</v>
      </c>
      <c r="I41" s="112">
        <f>H41*G41</f>
        <v>45323679</v>
      </c>
      <c r="J41" s="110">
        <v>45784</v>
      </c>
      <c r="K41" s="77">
        <v>46302</v>
      </c>
      <c r="L41" s="107">
        <v>17</v>
      </c>
      <c r="M41" s="99">
        <v>9.1</v>
      </c>
      <c r="N41" s="81">
        <f t="shared" ref="N41" si="74">M41*H41/1000</f>
        <v>412445.47889999999</v>
      </c>
      <c r="O41" s="81">
        <v>100000</v>
      </c>
      <c r="P41" s="81"/>
      <c r="Q41" s="81">
        <f t="shared" ref="Q41" si="75">N41+O41+P41</f>
        <v>512445.47889999999</v>
      </c>
      <c r="R41" s="81"/>
      <c r="S41" s="81">
        <f t="shared" ref="S41" si="76">Q41-R41</f>
        <v>512445.47889999999</v>
      </c>
      <c r="T41" s="42">
        <f t="shared" si="45"/>
        <v>51244.547890000002</v>
      </c>
      <c r="U41" s="42">
        <f t="shared" si="56"/>
        <v>345900.69825750001</v>
      </c>
      <c r="V41" s="108">
        <f t="shared" si="46"/>
        <v>115300.23275249999</v>
      </c>
      <c r="W41" s="2">
        <f t="shared" si="47"/>
        <v>512445.47889999999</v>
      </c>
      <c r="X41" s="2">
        <f t="shared" si="48"/>
        <v>0</v>
      </c>
      <c r="Y41" s="2">
        <v>28825.058188125</v>
      </c>
      <c r="Z41" s="109">
        <f t="shared" si="49"/>
        <v>28825.058188125</v>
      </c>
    </row>
    <row r="42" spans="1:26" x14ac:dyDescent="0.2">
      <c r="A42" s="150"/>
      <c r="B42" s="90"/>
      <c r="C42" s="90"/>
      <c r="D42" s="90"/>
      <c r="E42" s="150">
        <f>SUM(E41:E41)</f>
        <v>1</v>
      </c>
      <c r="F42" s="90"/>
      <c r="G42" s="151"/>
      <c r="H42" s="152">
        <f>SUM(H41:H41)</f>
        <v>45323679</v>
      </c>
      <c r="I42" s="152">
        <f>SUM(I41:I41)</f>
        <v>45323679</v>
      </c>
      <c r="J42" s="152"/>
      <c r="K42" s="152"/>
      <c r="L42" s="152"/>
      <c r="M42" s="152"/>
      <c r="N42" s="152">
        <f t="shared" ref="N42:Q42" si="77">SUM(N41:N41)</f>
        <v>412445.47889999999</v>
      </c>
      <c r="O42" s="152">
        <f t="shared" si="77"/>
        <v>100000</v>
      </c>
      <c r="P42" s="152">
        <f t="shared" si="77"/>
        <v>0</v>
      </c>
      <c r="Q42" s="152">
        <f t="shared" si="77"/>
        <v>512445.47889999999</v>
      </c>
      <c r="R42" s="152">
        <f t="shared" ref="R42:Z42" si="78">SUM(R41:R41)</f>
        <v>0</v>
      </c>
      <c r="S42" s="152">
        <f t="shared" si="78"/>
        <v>512445.47889999999</v>
      </c>
      <c r="T42" s="152">
        <f t="shared" si="78"/>
        <v>51244.547890000002</v>
      </c>
      <c r="U42" s="152">
        <f t="shared" si="78"/>
        <v>345900.69825750001</v>
      </c>
      <c r="V42" s="152">
        <f t="shared" si="78"/>
        <v>115300.23275249999</v>
      </c>
      <c r="W42" s="152">
        <f t="shared" si="78"/>
        <v>512445.47889999999</v>
      </c>
      <c r="X42" s="152">
        <f t="shared" si="78"/>
        <v>0</v>
      </c>
      <c r="Y42" s="152">
        <f t="shared" si="78"/>
        <v>28825.058188125</v>
      </c>
      <c r="Z42" s="152">
        <f t="shared" si="78"/>
        <v>28825.058188125</v>
      </c>
    </row>
    <row r="43" spans="1:26" x14ac:dyDescent="0.2">
      <c r="A43" s="83"/>
      <c r="B43" s="83"/>
      <c r="C43" s="83" t="s">
        <v>115</v>
      </c>
      <c r="D43" s="84"/>
      <c r="E43" s="85">
        <f>E42+E40+E37+E35+E33+E31</f>
        <v>8</v>
      </c>
      <c r="F43" s="87"/>
      <c r="G43" s="87"/>
      <c r="H43" s="87">
        <f t="shared" ref="H43:Q43" si="79">H42+H40+H37+H35+H33+H31</f>
        <v>647767277</v>
      </c>
      <c r="I43" s="87">
        <f t="shared" si="79"/>
        <v>647767277</v>
      </c>
      <c r="J43" s="87">
        <f t="shared" si="79"/>
        <v>0</v>
      </c>
      <c r="K43" s="87">
        <f t="shared" si="79"/>
        <v>0</v>
      </c>
      <c r="L43" s="87">
        <f t="shared" si="79"/>
        <v>0</v>
      </c>
      <c r="M43" s="87">
        <f t="shared" si="79"/>
        <v>0</v>
      </c>
      <c r="N43" s="87">
        <f t="shared" si="79"/>
        <v>14796238.633820001</v>
      </c>
      <c r="O43" s="87">
        <f t="shared" si="79"/>
        <v>300000</v>
      </c>
      <c r="P43" s="87">
        <f t="shared" si="79"/>
        <v>0</v>
      </c>
      <c r="Q43" s="87">
        <f t="shared" si="79"/>
        <v>15096238.633820001</v>
      </c>
      <c r="R43" s="87">
        <f t="shared" ref="R43:Z43" si="80">R42+R40+R37+R35+R33+R31</f>
        <v>1379497</v>
      </c>
      <c r="S43" s="87">
        <f t="shared" si="80"/>
        <v>13716741.633820001</v>
      </c>
      <c r="T43" s="87">
        <f t="shared" si="80"/>
        <v>1509623.863382</v>
      </c>
      <c r="U43" s="87">
        <f t="shared" si="80"/>
        <v>3363744.8980831802</v>
      </c>
      <c r="V43" s="87">
        <f t="shared" si="80"/>
        <v>10222869.87235482</v>
      </c>
      <c r="W43" s="87">
        <f t="shared" si="80"/>
        <v>15096238.633820001</v>
      </c>
      <c r="X43" s="87">
        <f t="shared" si="80"/>
        <v>0</v>
      </c>
      <c r="Y43" s="87">
        <f t="shared" si="80"/>
        <v>293389.28945695329</v>
      </c>
      <c r="Z43" s="87">
        <f t="shared" si="80"/>
        <v>293389.28945695329</v>
      </c>
    </row>
    <row r="44" spans="1:26" x14ac:dyDescent="0.2">
      <c r="A44" s="83"/>
      <c r="B44" s="83"/>
      <c r="C44" s="83" t="s">
        <v>116</v>
      </c>
      <c r="D44" s="84"/>
      <c r="E44" s="93">
        <f>E43+E24</f>
        <v>12</v>
      </c>
      <c r="F44" s="95"/>
      <c r="G44" s="95"/>
      <c r="H44" s="95">
        <f t="shared" ref="H44:Q44" si="81">H43+H24</f>
        <v>1487767277</v>
      </c>
      <c r="I44" s="95">
        <f t="shared" si="81"/>
        <v>1487767277</v>
      </c>
      <c r="J44" s="95">
        <f t="shared" si="81"/>
        <v>0</v>
      </c>
      <c r="K44" s="95">
        <f t="shared" si="81"/>
        <v>0</v>
      </c>
      <c r="L44" s="95">
        <f t="shared" si="81"/>
        <v>0</v>
      </c>
      <c r="M44" s="95">
        <f t="shared" si="81"/>
        <v>0</v>
      </c>
      <c r="N44" s="95">
        <f t="shared" si="81"/>
        <v>30976238.633820001</v>
      </c>
      <c r="O44" s="95">
        <f t="shared" si="81"/>
        <v>300000</v>
      </c>
      <c r="P44" s="95">
        <f t="shared" si="81"/>
        <v>0</v>
      </c>
      <c r="Q44" s="95">
        <f t="shared" si="81"/>
        <v>47174238.633819997</v>
      </c>
      <c r="R44" s="95">
        <f t="shared" ref="R44:Z44" si="82">R43+R24</f>
        <v>4587297</v>
      </c>
      <c r="S44" s="95">
        <f t="shared" si="82"/>
        <v>42586941.633819997</v>
      </c>
      <c r="T44" s="95">
        <f t="shared" si="82"/>
        <v>5580877.704419503</v>
      </c>
      <c r="U44" s="95">
        <f t="shared" si="82"/>
        <v>12108981.394125348</v>
      </c>
      <c r="V44" s="95">
        <f t="shared" si="82"/>
        <v>29484379.53527515</v>
      </c>
      <c r="W44" s="95">
        <f t="shared" si="82"/>
        <v>47174238.633819997</v>
      </c>
      <c r="X44" s="95">
        <f t="shared" si="82"/>
        <v>0</v>
      </c>
      <c r="Y44" s="95">
        <f t="shared" si="82"/>
        <v>1022158.9974604673</v>
      </c>
      <c r="Z44" s="95">
        <f t="shared" si="82"/>
        <v>992904.53174222133</v>
      </c>
    </row>
  </sheetData>
  <mergeCells count="64">
    <mergeCell ref="N27:P27"/>
    <mergeCell ref="Q27:Q28"/>
    <mergeCell ref="R27:R28"/>
    <mergeCell ref="S27:S28"/>
    <mergeCell ref="G27:G28"/>
    <mergeCell ref="H27:H28"/>
    <mergeCell ref="I27:I28"/>
    <mergeCell ref="J27:K28"/>
    <mergeCell ref="L27:L28"/>
    <mergeCell ref="M27:M28"/>
    <mergeCell ref="N17:P17"/>
    <mergeCell ref="Q17:Q18"/>
    <mergeCell ref="R17:R18"/>
    <mergeCell ref="S17:S18"/>
    <mergeCell ref="A27:A28"/>
    <mergeCell ref="B27:B28"/>
    <mergeCell ref="C27:C28"/>
    <mergeCell ref="D27:D28"/>
    <mergeCell ref="E27:E28"/>
    <mergeCell ref="F27:F28"/>
    <mergeCell ref="G17:G18"/>
    <mergeCell ref="H17:H18"/>
    <mergeCell ref="I17:I18"/>
    <mergeCell ref="J17:K18"/>
    <mergeCell ref="L17:L18"/>
    <mergeCell ref="M17:M18"/>
    <mergeCell ref="N9:P9"/>
    <mergeCell ref="Q9:Q10"/>
    <mergeCell ref="R9:R10"/>
    <mergeCell ref="S9:S10"/>
    <mergeCell ref="A17:A18"/>
    <mergeCell ref="B17:B18"/>
    <mergeCell ref="C17:C18"/>
    <mergeCell ref="D17:D18"/>
    <mergeCell ref="E17:E18"/>
    <mergeCell ref="F17:F18"/>
    <mergeCell ref="G9:G10"/>
    <mergeCell ref="H9:H10"/>
    <mergeCell ref="I9:I10"/>
    <mergeCell ref="J9:K10"/>
    <mergeCell ref="L9:L10"/>
    <mergeCell ref="M9:M10"/>
    <mergeCell ref="N3:P3"/>
    <mergeCell ref="Q3:Q4"/>
    <mergeCell ref="R3:R4"/>
    <mergeCell ref="S3:S4"/>
    <mergeCell ref="A9:A10"/>
    <mergeCell ref="B9:B10"/>
    <mergeCell ref="C9:C10"/>
    <mergeCell ref="D9:D10"/>
    <mergeCell ref="E9:E10"/>
    <mergeCell ref="F9:F10"/>
    <mergeCell ref="G3:G4"/>
    <mergeCell ref="H3:H4"/>
    <mergeCell ref="I3:I4"/>
    <mergeCell ref="J3:K4"/>
    <mergeCell ref="L3:L4"/>
    <mergeCell ref="M3:M4"/>
    <mergeCell ref="F3:F4"/>
    <mergeCell ref="A3:A4"/>
    <mergeCell ref="B3:B4"/>
    <mergeCell ref="C3:C4"/>
    <mergeCell ref="D3:D4"/>
    <mergeCell ref="E3:E4"/>
  </mergeCells>
  <pageMargins left="0.51181102362204722" right="0.70866141732283472" top="0.47244094488188981" bottom="0.74803149606299213" header="0.31496062992125984" footer="0.31496062992125984"/>
  <pageSetup paperSize="5" scale="9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35"/>
  <sheetViews>
    <sheetView topLeftCell="A106" workbookViewId="0">
      <selection activeCell="Q85" sqref="E85:Q85"/>
    </sheetView>
  </sheetViews>
  <sheetFormatPr defaultRowHeight="15" x14ac:dyDescent="0.2"/>
  <cols>
    <col min="1" max="1" width="4.140625" style="3" customWidth="1"/>
    <col min="2" max="2" width="15" style="3" bestFit="1" customWidth="1"/>
    <col min="3" max="3" width="19" style="3" customWidth="1"/>
    <col min="4" max="4" width="10.7109375" style="82" hidden="1" customWidth="1"/>
    <col min="5" max="5" width="9" style="203" customWidth="1"/>
    <col min="6" max="6" width="19.42578125" style="3" customWidth="1"/>
    <col min="7" max="7" width="9" style="143" customWidth="1"/>
    <col min="8" max="8" width="14.140625" style="3" customWidth="1"/>
    <col min="9" max="9" width="16.42578125" style="3" customWidth="1"/>
    <col min="10" max="10" width="11.140625" style="3" customWidth="1"/>
    <col min="11" max="11" width="10.5703125" style="3" customWidth="1"/>
    <col min="12" max="12" width="7.140625" style="3" customWidth="1"/>
    <col min="13" max="13" width="6.42578125" style="3" customWidth="1"/>
    <col min="14" max="14" width="12.5703125" style="3" hidden="1" customWidth="1"/>
    <col min="15" max="16" width="9.140625" style="3" hidden="1" customWidth="1"/>
    <col min="17" max="17" width="12" style="3" customWidth="1"/>
    <col min="18" max="18" width="11.7109375" style="3" hidden="1" customWidth="1"/>
    <col min="19" max="19" width="14.28515625" style="3" hidden="1" customWidth="1"/>
    <col min="20" max="20" width="15.7109375" style="3" customWidth="1"/>
    <col min="21" max="21" width="15.85546875" style="3" customWidth="1"/>
    <col min="22" max="22" width="13.85546875" style="3" customWidth="1"/>
    <col min="23" max="23" width="12.85546875" style="3" customWidth="1"/>
    <col min="24" max="26" width="9.28515625" style="3" bestFit="1" customWidth="1"/>
    <col min="27" max="16384" width="9.140625" style="3"/>
  </cols>
  <sheetData>
    <row r="2" spans="1:26" ht="14.25" customHeight="1" x14ac:dyDescent="0.2">
      <c r="A2" s="86" t="s">
        <v>69</v>
      </c>
      <c r="B2" s="62"/>
      <c r="C2" s="62"/>
      <c r="D2" s="57"/>
      <c r="E2" s="63"/>
      <c r="F2" s="64"/>
      <c r="G2" s="139"/>
      <c r="H2" s="66"/>
      <c r="I2" s="66"/>
      <c r="J2" s="67"/>
      <c r="K2" s="67"/>
      <c r="L2" s="68"/>
      <c r="M2" s="68"/>
      <c r="N2" s="69"/>
      <c r="O2" s="69"/>
      <c r="P2" s="69"/>
      <c r="Q2" s="69"/>
      <c r="R2" s="69"/>
      <c r="S2" s="69"/>
      <c r="T2" s="70"/>
      <c r="U2" s="71"/>
      <c r="V2" s="71"/>
    </row>
    <row r="3" spans="1:26" ht="14.25" customHeight="1" x14ac:dyDescent="0.2">
      <c r="A3" s="231" t="s">
        <v>0</v>
      </c>
      <c r="B3" s="232" t="s">
        <v>1</v>
      </c>
      <c r="C3" s="229" t="s">
        <v>2</v>
      </c>
      <c r="D3" s="233" t="s">
        <v>3</v>
      </c>
      <c r="E3" s="234" t="s">
        <v>4</v>
      </c>
      <c r="F3" s="232" t="s">
        <v>5</v>
      </c>
      <c r="G3" s="237" t="s">
        <v>6</v>
      </c>
      <c r="H3" s="236" t="s">
        <v>7</v>
      </c>
      <c r="I3" s="236" t="s">
        <v>8</v>
      </c>
      <c r="J3" s="227" t="s">
        <v>9</v>
      </c>
      <c r="K3" s="227"/>
      <c r="L3" s="228" t="s">
        <v>10</v>
      </c>
      <c r="M3" s="229" t="s">
        <v>11</v>
      </c>
      <c r="N3" s="230" t="s">
        <v>12</v>
      </c>
      <c r="O3" s="230"/>
      <c r="P3" s="230"/>
      <c r="Q3" s="229" t="s">
        <v>13</v>
      </c>
      <c r="R3" s="229" t="s">
        <v>14</v>
      </c>
      <c r="S3" s="229" t="s">
        <v>15</v>
      </c>
      <c r="T3" s="36">
        <v>2021</v>
      </c>
      <c r="U3" s="37"/>
      <c r="V3" s="38" t="s">
        <v>44</v>
      </c>
    </row>
    <row r="4" spans="1:26" ht="14.25" customHeight="1" x14ac:dyDescent="0.2">
      <c r="A4" s="231"/>
      <c r="B4" s="232"/>
      <c r="C4" s="229"/>
      <c r="D4" s="233"/>
      <c r="E4" s="234"/>
      <c r="F4" s="232"/>
      <c r="G4" s="237"/>
      <c r="H4" s="236"/>
      <c r="I4" s="236"/>
      <c r="J4" s="227"/>
      <c r="K4" s="227"/>
      <c r="L4" s="228"/>
      <c r="M4" s="229"/>
      <c r="N4" s="225" t="s">
        <v>16</v>
      </c>
      <c r="O4" s="225" t="s">
        <v>17</v>
      </c>
      <c r="P4" s="225" t="s">
        <v>18</v>
      </c>
      <c r="Q4" s="229"/>
      <c r="R4" s="229"/>
      <c r="S4" s="229"/>
      <c r="T4" s="96" t="s">
        <v>248</v>
      </c>
      <c r="U4" s="39">
        <v>2022</v>
      </c>
      <c r="V4" s="40"/>
    </row>
    <row r="5" spans="1:26" ht="12" x14ac:dyDescent="0.2">
      <c r="A5" s="72">
        <v>1</v>
      </c>
      <c r="B5" s="73" t="s">
        <v>49</v>
      </c>
      <c r="C5" s="73" t="s">
        <v>55</v>
      </c>
      <c r="D5" s="58">
        <v>44225</v>
      </c>
      <c r="E5" s="74">
        <v>1</v>
      </c>
      <c r="F5" s="73" t="s">
        <v>56</v>
      </c>
      <c r="G5" s="140">
        <v>1</v>
      </c>
      <c r="H5" s="42">
        <v>200000000</v>
      </c>
      <c r="I5" s="42">
        <f>H5*G5</f>
        <v>200000000</v>
      </c>
      <c r="J5" s="76">
        <v>44207</v>
      </c>
      <c r="K5" s="77">
        <f>IFERROR(VALUE(DAY(J5)&amp;" "&amp;TEXT(EOMONTH(J5,L5)-29,"mmm")&amp;" "&amp;YEAR(EOMONTH(J5,L5)-29)),"-")</f>
        <v>47494</v>
      </c>
      <c r="L5" s="78">
        <v>108</v>
      </c>
      <c r="M5" s="99">
        <v>23.21</v>
      </c>
      <c r="N5" s="81">
        <f t="shared" ref="N5" si="0">M5*H5/1000</f>
        <v>4642000</v>
      </c>
      <c r="O5" s="81"/>
      <c r="P5" s="81"/>
      <c r="Q5" s="81">
        <f t="shared" ref="Q5" si="1">N5+O5+P5</f>
        <v>4642000</v>
      </c>
      <c r="R5" s="81">
        <f t="shared" ref="R5" si="2">10%*N5</f>
        <v>464200</v>
      </c>
      <c r="S5" s="81">
        <f t="shared" ref="S5" si="3">Q5-R5</f>
        <v>4177800</v>
      </c>
      <c r="T5" s="42">
        <f>Q5*10%+(Y5*11)</f>
        <v>893693.45794392517</v>
      </c>
      <c r="U5" s="42">
        <f>Y5*12</f>
        <v>468538.31775700935</v>
      </c>
      <c r="V5" s="108">
        <f t="shared" ref="V5" si="4">Q5-T5-U5</f>
        <v>3279768.2242990653</v>
      </c>
      <c r="W5" s="2">
        <f t="shared" ref="W5" si="5">T5+U5+V5</f>
        <v>4642000</v>
      </c>
      <c r="X5" s="2">
        <f t="shared" ref="X5" si="6">Q5-W5</f>
        <v>0</v>
      </c>
      <c r="Y5" s="2">
        <v>39044.859813084113</v>
      </c>
      <c r="Z5" s="109">
        <f t="shared" ref="Z5" si="7">(Q5-T5)/(L5-1)</f>
        <v>35030.902262206306</v>
      </c>
    </row>
    <row r="6" spans="1:26" ht="12" x14ac:dyDescent="0.2">
      <c r="A6" s="79"/>
      <c r="B6" s="59"/>
      <c r="C6" s="59"/>
      <c r="D6" s="59"/>
      <c r="E6" s="80">
        <f>SUM(E5:E5)</f>
        <v>1</v>
      </c>
      <c r="F6" s="80"/>
      <c r="G6" s="80"/>
      <c r="H6" s="79">
        <f>SUM(H5:H5)</f>
        <v>200000000</v>
      </c>
      <c r="I6" s="79">
        <f>SUM(I5:I5)</f>
        <v>200000000</v>
      </c>
      <c r="J6" s="79"/>
      <c r="K6" s="79"/>
      <c r="L6" s="79"/>
      <c r="M6" s="79"/>
      <c r="N6" s="79">
        <f t="shared" ref="N6:Z6" si="8">SUM(N5:N5)</f>
        <v>4642000</v>
      </c>
      <c r="O6" s="79">
        <f t="shared" si="8"/>
        <v>0</v>
      </c>
      <c r="P6" s="79">
        <f t="shared" si="8"/>
        <v>0</v>
      </c>
      <c r="Q6" s="79">
        <f t="shared" si="8"/>
        <v>4642000</v>
      </c>
      <c r="R6" s="79">
        <f t="shared" si="8"/>
        <v>464200</v>
      </c>
      <c r="S6" s="79">
        <f t="shared" si="8"/>
        <v>4177800</v>
      </c>
      <c r="T6" s="79">
        <f t="shared" si="8"/>
        <v>893693.45794392517</v>
      </c>
      <c r="U6" s="79">
        <f t="shared" si="8"/>
        <v>468538.31775700935</v>
      </c>
      <c r="V6" s="79">
        <f t="shared" si="8"/>
        <v>3279768.2242990653</v>
      </c>
      <c r="W6" s="79">
        <f t="shared" si="8"/>
        <v>4642000</v>
      </c>
      <c r="X6" s="79">
        <f t="shared" si="8"/>
        <v>0</v>
      </c>
      <c r="Y6" s="79">
        <f t="shared" si="8"/>
        <v>39044.859813084113</v>
      </c>
      <c r="Z6" s="79">
        <f t="shared" si="8"/>
        <v>35030.902262206306</v>
      </c>
    </row>
    <row r="8" spans="1:26" ht="14.25" customHeight="1" x14ac:dyDescent="0.2">
      <c r="A8" s="86" t="s">
        <v>70</v>
      </c>
      <c r="B8" s="62"/>
      <c r="C8" s="62"/>
      <c r="D8" s="57"/>
      <c r="E8" s="63"/>
      <c r="F8" s="64"/>
      <c r="G8" s="139"/>
      <c r="H8" s="66"/>
      <c r="I8" s="66"/>
      <c r="J8" s="67"/>
      <c r="K8" s="67"/>
      <c r="L8" s="68"/>
      <c r="M8" s="68"/>
      <c r="N8" s="69"/>
      <c r="O8" s="69"/>
      <c r="P8" s="69"/>
      <c r="Q8" s="69"/>
      <c r="R8" s="69"/>
      <c r="S8" s="69"/>
      <c r="T8" s="70"/>
      <c r="U8" s="71"/>
      <c r="V8" s="71"/>
    </row>
    <row r="9" spans="1:26" ht="14.25" customHeight="1" x14ac:dyDescent="0.2">
      <c r="A9" s="231" t="s">
        <v>0</v>
      </c>
      <c r="B9" s="232" t="s">
        <v>1</v>
      </c>
      <c r="C9" s="229" t="s">
        <v>2</v>
      </c>
      <c r="D9" s="233" t="s">
        <v>3</v>
      </c>
      <c r="E9" s="234" t="s">
        <v>4</v>
      </c>
      <c r="F9" s="232" t="s">
        <v>5</v>
      </c>
      <c r="G9" s="237" t="s">
        <v>6</v>
      </c>
      <c r="H9" s="236" t="s">
        <v>7</v>
      </c>
      <c r="I9" s="236" t="s">
        <v>8</v>
      </c>
      <c r="J9" s="227" t="s">
        <v>9</v>
      </c>
      <c r="K9" s="227"/>
      <c r="L9" s="228" t="s">
        <v>10</v>
      </c>
      <c r="M9" s="229" t="s">
        <v>11</v>
      </c>
      <c r="N9" s="230" t="s">
        <v>12</v>
      </c>
      <c r="O9" s="230"/>
      <c r="P9" s="230"/>
      <c r="Q9" s="229" t="s">
        <v>13</v>
      </c>
      <c r="R9" s="229" t="s">
        <v>14</v>
      </c>
      <c r="S9" s="229" t="s">
        <v>15</v>
      </c>
      <c r="T9" s="36">
        <v>2021</v>
      </c>
      <c r="U9" s="37"/>
      <c r="V9" s="38" t="s">
        <v>44</v>
      </c>
    </row>
    <row r="10" spans="1:26" ht="14.25" customHeight="1" x14ac:dyDescent="0.2">
      <c r="A10" s="231"/>
      <c r="B10" s="232"/>
      <c r="C10" s="229"/>
      <c r="D10" s="233"/>
      <c r="E10" s="234"/>
      <c r="F10" s="232"/>
      <c r="G10" s="237"/>
      <c r="H10" s="236"/>
      <c r="I10" s="236"/>
      <c r="J10" s="227"/>
      <c r="K10" s="227"/>
      <c r="L10" s="228"/>
      <c r="M10" s="229"/>
      <c r="N10" s="225" t="s">
        <v>16</v>
      </c>
      <c r="O10" s="225" t="s">
        <v>17</v>
      </c>
      <c r="P10" s="225" t="s">
        <v>18</v>
      </c>
      <c r="Q10" s="229"/>
      <c r="R10" s="229"/>
      <c r="S10" s="229"/>
      <c r="T10" s="104" t="s">
        <v>249</v>
      </c>
      <c r="U10" s="39">
        <v>2022</v>
      </c>
      <c r="V10" s="106"/>
    </row>
    <row r="11" spans="1:26" ht="12" x14ac:dyDescent="0.2">
      <c r="A11" s="72">
        <v>2</v>
      </c>
      <c r="B11" s="107" t="s">
        <v>59</v>
      </c>
      <c r="C11" s="107" t="s">
        <v>60</v>
      </c>
      <c r="D11" s="110">
        <v>44237</v>
      </c>
      <c r="E11" s="74">
        <v>1</v>
      </c>
      <c r="F11" s="107" t="s">
        <v>61</v>
      </c>
      <c r="G11" s="141">
        <v>1</v>
      </c>
      <c r="H11" s="112">
        <v>300000000</v>
      </c>
      <c r="I11" s="112">
        <f>H11*G11</f>
        <v>300000000</v>
      </c>
      <c r="J11" s="110">
        <v>44222</v>
      </c>
      <c r="K11" s="77">
        <f>IFERROR(VALUE(DAY(J11)&amp;" "&amp;TEXT(EOMONTH(J11,L11)-29,"mmm")&amp;" "&amp;YEAR(EOMONTH(J11,L11)-29)),"-")</f>
        <v>49700</v>
      </c>
      <c r="L11" s="107">
        <v>180</v>
      </c>
      <c r="M11" s="99">
        <v>37.520000000000003</v>
      </c>
      <c r="N11" s="81">
        <f t="shared" ref="N11" si="9">M11*H11/1000</f>
        <v>11256000</v>
      </c>
      <c r="O11" s="81"/>
      <c r="P11" s="81"/>
      <c r="Q11" s="81">
        <f t="shared" ref="Q11" si="10">N11+O11+P11</f>
        <v>11256000</v>
      </c>
      <c r="R11" s="81">
        <f t="shared" ref="R11" si="11">10%*N11</f>
        <v>1125600</v>
      </c>
      <c r="S11" s="81">
        <f t="shared" ref="S11" si="12">Q11-R11</f>
        <v>10130400</v>
      </c>
      <c r="T11" s="42">
        <f>Q11*10%+(Y11*10)</f>
        <v>1691544.1340782123</v>
      </c>
      <c r="U11" s="42">
        <f t="shared" ref="U11" si="13">Y11*12</f>
        <v>679132.96089385473</v>
      </c>
      <c r="V11" s="108">
        <f t="shared" ref="V11" si="14">Q11-T11-U11</f>
        <v>8885322.9050279334</v>
      </c>
      <c r="W11" s="2">
        <f t="shared" ref="W11" si="15">T11+U11+V11</f>
        <v>11256000</v>
      </c>
      <c r="X11" s="2">
        <f t="shared" ref="X11" si="16">Q11-W11</f>
        <v>0</v>
      </c>
      <c r="Y11" s="2">
        <v>56594.41340782123</v>
      </c>
      <c r="Z11" s="109">
        <f t="shared" ref="Z11" si="17">(Q11-T11)/(L11-1)</f>
        <v>53432.714334758595</v>
      </c>
    </row>
    <row r="12" spans="1:26" ht="12" x14ac:dyDescent="0.2">
      <c r="A12" s="79"/>
      <c r="B12" s="59"/>
      <c r="C12" s="59" t="s">
        <v>72</v>
      </c>
      <c r="D12" s="59"/>
      <c r="E12" s="80">
        <f>SUM(E11:E11)</f>
        <v>1</v>
      </c>
      <c r="F12" s="80"/>
      <c r="G12" s="80"/>
      <c r="H12" s="79">
        <f>SUM(H11:H11)</f>
        <v>300000000</v>
      </c>
      <c r="I12" s="79">
        <f>SUM(I11:I11)</f>
        <v>300000000</v>
      </c>
      <c r="J12" s="79"/>
      <c r="K12" s="79"/>
      <c r="L12" s="79"/>
      <c r="M12" s="79"/>
      <c r="N12" s="79">
        <f t="shared" ref="N12:Z12" si="18">SUM(N11:N11)</f>
        <v>11256000</v>
      </c>
      <c r="O12" s="79">
        <f t="shared" si="18"/>
        <v>0</v>
      </c>
      <c r="P12" s="79">
        <f t="shared" si="18"/>
        <v>0</v>
      </c>
      <c r="Q12" s="79">
        <f t="shared" si="18"/>
        <v>11256000</v>
      </c>
      <c r="R12" s="79">
        <f t="shared" si="18"/>
        <v>1125600</v>
      </c>
      <c r="S12" s="79">
        <f t="shared" si="18"/>
        <v>10130400</v>
      </c>
      <c r="T12" s="79">
        <f t="shared" si="18"/>
        <v>1691544.1340782123</v>
      </c>
      <c r="U12" s="79">
        <f t="shared" si="18"/>
        <v>679132.96089385473</v>
      </c>
      <c r="V12" s="79">
        <f t="shared" si="18"/>
        <v>8885322.9050279334</v>
      </c>
      <c r="W12" s="79">
        <f t="shared" si="18"/>
        <v>11256000</v>
      </c>
      <c r="X12" s="79">
        <f t="shared" si="18"/>
        <v>0</v>
      </c>
      <c r="Y12" s="79">
        <f t="shared" si="18"/>
        <v>56594.41340782123</v>
      </c>
      <c r="Z12" s="79">
        <f t="shared" si="18"/>
        <v>53432.714334758595</v>
      </c>
    </row>
    <row r="13" spans="1:26" s="94" customFormat="1" ht="12" x14ac:dyDescent="0.2">
      <c r="A13" s="83"/>
      <c r="B13" s="83"/>
      <c r="C13" s="83" t="s">
        <v>73</v>
      </c>
      <c r="D13" s="84"/>
      <c r="E13" s="93">
        <f>E12+E6</f>
        <v>2</v>
      </c>
      <c r="F13" s="83"/>
      <c r="G13" s="142"/>
      <c r="H13" s="87">
        <f>H12+H6</f>
        <v>500000000</v>
      </c>
      <c r="I13" s="87">
        <f>I12+I6</f>
        <v>500000000</v>
      </c>
      <c r="J13" s="83"/>
      <c r="K13" s="83"/>
      <c r="L13" s="83"/>
      <c r="M13" s="83"/>
      <c r="N13" s="83"/>
      <c r="O13" s="83"/>
      <c r="P13" s="83"/>
      <c r="Q13" s="87">
        <f>Q12+Q6</f>
        <v>15898000</v>
      </c>
      <c r="R13" s="87">
        <f t="shared" ref="Q13:Z13" si="19">R12+R6</f>
        <v>1589800</v>
      </c>
      <c r="S13" s="87">
        <f t="shared" si="19"/>
        <v>14308200</v>
      </c>
      <c r="T13" s="87">
        <f t="shared" si="19"/>
        <v>2585237.5920221377</v>
      </c>
      <c r="U13" s="87">
        <f t="shared" si="19"/>
        <v>1147671.278650864</v>
      </c>
      <c r="V13" s="87">
        <f t="shared" si="19"/>
        <v>12165091.129326999</v>
      </c>
      <c r="W13" s="87">
        <f t="shared" si="19"/>
        <v>15898000</v>
      </c>
      <c r="X13" s="87">
        <f t="shared" si="19"/>
        <v>0</v>
      </c>
      <c r="Y13" s="87">
        <f t="shared" si="19"/>
        <v>95639.273220905336</v>
      </c>
      <c r="Z13" s="87">
        <f t="shared" si="19"/>
        <v>88463.616596964901</v>
      </c>
    </row>
    <row r="16" spans="1:26" ht="23.25" x14ac:dyDescent="0.2">
      <c r="A16" s="86" t="s">
        <v>87</v>
      </c>
      <c r="B16" s="62"/>
      <c r="C16" s="62"/>
      <c r="D16" s="57"/>
      <c r="E16" s="63"/>
      <c r="F16" s="64"/>
      <c r="G16" s="139"/>
      <c r="H16" s="66"/>
      <c r="I16" s="66"/>
      <c r="J16" s="67"/>
      <c r="K16" s="67"/>
      <c r="L16" s="68"/>
      <c r="M16" s="68"/>
      <c r="N16" s="69"/>
      <c r="O16" s="69"/>
      <c r="P16" s="69"/>
      <c r="Q16" s="69"/>
      <c r="R16" s="69"/>
      <c r="S16" s="69"/>
      <c r="T16" s="70"/>
      <c r="U16" s="71"/>
      <c r="V16" s="71"/>
    </row>
    <row r="17" spans="1:26" ht="12" x14ac:dyDescent="0.2">
      <c r="A17" s="231" t="s">
        <v>0</v>
      </c>
      <c r="B17" s="232" t="s">
        <v>1</v>
      </c>
      <c r="C17" s="229" t="s">
        <v>2</v>
      </c>
      <c r="D17" s="233" t="s">
        <v>3</v>
      </c>
      <c r="E17" s="234" t="s">
        <v>4</v>
      </c>
      <c r="F17" s="232" t="s">
        <v>5</v>
      </c>
      <c r="G17" s="237" t="s">
        <v>6</v>
      </c>
      <c r="H17" s="236" t="s">
        <v>7</v>
      </c>
      <c r="I17" s="236" t="s">
        <v>8</v>
      </c>
      <c r="J17" s="227" t="s">
        <v>9</v>
      </c>
      <c r="K17" s="227"/>
      <c r="L17" s="228" t="s">
        <v>10</v>
      </c>
      <c r="M17" s="229" t="s">
        <v>11</v>
      </c>
      <c r="N17" s="230" t="s">
        <v>12</v>
      </c>
      <c r="O17" s="230"/>
      <c r="P17" s="230"/>
      <c r="Q17" s="229" t="s">
        <v>13</v>
      </c>
      <c r="R17" s="229" t="s">
        <v>14</v>
      </c>
      <c r="S17" s="229" t="s">
        <v>15</v>
      </c>
      <c r="T17" s="36">
        <v>2021</v>
      </c>
      <c r="U17" s="37"/>
      <c r="V17" s="38" t="s">
        <v>44</v>
      </c>
    </row>
    <row r="18" spans="1:26" ht="12" x14ac:dyDescent="0.2">
      <c r="A18" s="231"/>
      <c r="B18" s="232"/>
      <c r="C18" s="229"/>
      <c r="D18" s="233"/>
      <c r="E18" s="234"/>
      <c r="F18" s="232"/>
      <c r="G18" s="237"/>
      <c r="H18" s="236"/>
      <c r="I18" s="236"/>
      <c r="J18" s="227"/>
      <c r="K18" s="227"/>
      <c r="L18" s="228"/>
      <c r="M18" s="229"/>
      <c r="N18" s="225" t="s">
        <v>16</v>
      </c>
      <c r="O18" s="225" t="s">
        <v>17</v>
      </c>
      <c r="P18" s="225" t="s">
        <v>18</v>
      </c>
      <c r="Q18" s="229"/>
      <c r="R18" s="229"/>
      <c r="S18" s="229"/>
      <c r="T18" s="96" t="s">
        <v>250</v>
      </c>
      <c r="U18" s="39">
        <v>2022</v>
      </c>
      <c r="V18" s="40"/>
    </row>
    <row r="19" spans="1:26" ht="12" x14ac:dyDescent="0.2">
      <c r="A19" s="74">
        <v>3</v>
      </c>
      <c r="B19" s="107" t="s">
        <v>49</v>
      </c>
      <c r="C19" s="107" t="s">
        <v>78</v>
      </c>
      <c r="D19" s="110">
        <v>44237</v>
      </c>
      <c r="E19" s="74">
        <v>1</v>
      </c>
      <c r="F19" s="107" t="s">
        <v>79</v>
      </c>
      <c r="G19" s="141">
        <v>1</v>
      </c>
      <c r="H19" s="112">
        <v>40000000</v>
      </c>
      <c r="I19" s="112">
        <f>H19*G19</f>
        <v>40000000</v>
      </c>
      <c r="J19" s="110">
        <v>44245</v>
      </c>
      <c r="K19" s="77">
        <f>IFERROR(VALUE(DAY(J19)&amp;" "&amp;TEXT(EOMONTH(J19,L19)-29,"mmm")&amp;" "&amp;YEAR(EOMONTH(J19,L19)-29)),"-")</f>
        <v>44944</v>
      </c>
      <c r="L19" s="107">
        <v>24</v>
      </c>
      <c r="M19" s="99">
        <v>21.1</v>
      </c>
      <c r="N19" s="81">
        <f t="shared" ref="N19" si="20">M19*H19/1000</f>
        <v>844000</v>
      </c>
      <c r="O19" s="81"/>
      <c r="P19" s="81"/>
      <c r="Q19" s="81">
        <f t="shared" ref="Q19" si="21">N19+O19+P19</f>
        <v>844000</v>
      </c>
      <c r="R19" s="81">
        <f t="shared" ref="R19" si="22">10%*N19</f>
        <v>84400</v>
      </c>
      <c r="S19" s="81">
        <f t="shared" ref="S19" si="23">Q19-R19</f>
        <v>759600</v>
      </c>
      <c r="T19" s="42">
        <f>Q19*10%+(Y19*9)</f>
        <v>381634.78260869562</v>
      </c>
      <c r="U19" s="42">
        <f>Y19*12</f>
        <v>396313.04347826086</v>
      </c>
      <c r="V19" s="108">
        <f t="shared" ref="V19" si="24">Q19-T19-U19</f>
        <v>66052.173913043516</v>
      </c>
      <c r="W19" s="2">
        <f t="shared" ref="W19" si="25">T19+U19+V19</f>
        <v>844000</v>
      </c>
      <c r="X19" s="2">
        <f t="shared" ref="X19" si="26">Q19-W19</f>
        <v>0</v>
      </c>
      <c r="Y19" s="2">
        <v>33026.086956521736</v>
      </c>
      <c r="Z19" s="109">
        <f>(Q19-T19)/(L19-1)</f>
        <v>20102.835538752366</v>
      </c>
    </row>
    <row r="20" spans="1:26" ht="12" x14ac:dyDescent="0.2">
      <c r="A20" s="88"/>
      <c r="B20" s="84"/>
      <c r="C20" s="84"/>
      <c r="D20" s="84"/>
      <c r="E20" s="88">
        <f>SUM(E19:E19)</f>
        <v>1</v>
      </c>
      <c r="F20" s="84"/>
      <c r="G20" s="40"/>
      <c r="H20" s="59">
        <f>SUM(H19:H19)</f>
        <v>40000000</v>
      </c>
      <c r="I20" s="59">
        <f>SUM(I19:I19)</f>
        <v>40000000</v>
      </c>
      <c r="J20" s="59"/>
      <c r="K20" s="59"/>
      <c r="L20" s="59"/>
      <c r="M20" s="59"/>
      <c r="N20" s="59">
        <f t="shared" ref="N20:Z20" si="27">SUM(N19:N19)</f>
        <v>844000</v>
      </c>
      <c r="O20" s="59">
        <f t="shared" si="27"/>
        <v>0</v>
      </c>
      <c r="P20" s="59">
        <f t="shared" si="27"/>
        <v>0</v>
      </c>
      <c r="Q20" s="59">
        <f t="shared" si="27"/>
        <v>844000</v>
      </c>
      <c r="R20" s="59">
        <f t="shared" si="27"/>
        <v>84400</v>
      </c>
      <c r="S20" s="59">
        <f t="shared" si="27"/>
        <v>759600</v>
      </c>
      <c r="T20" s="59">
        <f t="shared" si="27"/>
        <v>381634.78260869562</v>
      </c>
      <c r="U20" s="59">
        <f t="shared" si="27"/>
        <v>396313.04347826086</v>
      </c>
      <c r="V20" s="59">
        <f t="shared" si="27"/>
        <v>66052.173913043516</v>
      </c>
      <c r="W20" s="59">
        <f t="shared" si="27"/>
        <v>844000</v>
      </c>
      <c r="X20" s="59">
        <f t="shared" si="27"/>
        <v>0</v>
      </c>
      <c r="Y20" s="59">
        <v>33026.086956521736</v>
      </c>
      <c r="Z20" s="59">
        <f t="shared" si="27"/>
        <v>20102.835538752366</v>
      </c>
    </row>
    <row r="21" spans="1:26" ht="12" x14ac:dyDescent="0.2">
      <c r="A21" s="74">
        <v>4</v>
      </c>
      <c r="B21" s="107" t="s">
        <v>84</v>
      </c>
      <c r="C21" s="107" t="s">
        <v>85</v>
      </c>
      <c r="D21" s="110">
        <v>44286</v>
      </c>
      <c r="E21" s="74">
        <v>1</v>
      </c>
      <c r="F21" s="107" t="s">
        <v>86</v>
      </c>
      <c r="G21" s="141">
        <v>1</v>
      </c>
      <c r="H21" s="112">
        <v>300000000</v>
      </c>
      <c r="I21" s="112">
        <f>H21*G21</f>
        <v>300000000</v>
      </c>
      <c r="J21" s="110">
        <v>44263</v>
      </c>
      <c r="K21" s="77">
        <f t="shared" ref="K21" si="28">IFERROR(VALUE(DAY(J21)&amp;" "&amp;TEXT(EOMONTH(J21,L21)-29,"mmm")&amp;" "&amp;YEAR(EOMONTH(J21,L21)-29)),"-")</f>
        <v>44993</v>
      </c>
      <c r="L21" s="107">
        <v>24</v>
      </c>
      <c r="M21" s="99">
        <v>51.12</v>
      </c>
      <c r="N21" s="81">
        <f t="shared" ref="N21" si="29">M21*H21/1000</f>
        <v>15336000</v>
      </c>
      <c r="O21" s="81"/>
      <c r="P21" s="81"/>
      <c r="Q21" s="81">
        <f t="shared" ref="Q21" si="30">N21+O21+P21</f>
        <v>15336000</v>
      </c>
      <c r="R21" s="81">
        <f t="shared" ref="R21" si="31">10%*N21</f>
        <v>1533600</v>
      </c>
      <c r="S21" s="81">
        <f t="shared" ref="S21" si="32">Q21-R21</f>
        <v>13802400</v>
      </c>
      <c r="T21" s="42">
        <f>Q21*10%+(Y21*9)</f>
        <v>6934539.1304347822</v>
      </c>
      <c r="U21" s="42">
        <f>Y21*12</f>
        <v>7201252.173913043</v>
      </c>
      <c r="V21" s="108">
        <f t="shared" ref="V21" si="33">Q21-T21-U21</f>
        <v>1200208.6956521757</v>
      </c>
      <c r="W21" s="2">
        <f t="shared" ref="W21" si="34">T21+U21+V21</f>
        <v>15336000</v>
      </c>
      <c r="X21" s="2">
        <f t="shared" ref="X21" si="35">Q21-W21</f>
        <v>0</v>
      </c>
      <c r="Y21" s="2">
        <v>600104.34782608692</v>
      </c>
      <c r="Z21" s="109">
        <f>(Q21-T21)/(L21-1)</f>
        <v>365280.9073724008</v>
      </c>
    </row>
    <row r="22" spans="1:26" ht="12" x14ac:dyDescent="0.2">
      <c r="A22" s="88"/>
      <c r="B22" s="84"/>
      <c r="C22" s="84"/>
      <c r="D22" s="84"/>
      <c r="E22" s="88">
        <f>SUM(E21:E21)</f>
        <v>1</v>
      </c>
      <c r="F22" s="84"/>
      <c r="G22" s="40"/>
      <c r="H22" s="59">
        <f>SUM(H21:H21)</f>
        <v>300000000</v>
      </c>
      <c r="I22" s="59">
        <f>SUM(I21:I21)</f>
        <v>300000000</v>
      </c>
      <c r="J22" s="59"/>
      <c r="K22" s="59"/>
      <c r="L22" s="59"/>
      <c r="M22" s="59"/>
      <c r="N22" s="59">
        <f t="shared" ref="N22:Z22" si="36">SUM(N21:N21)</f>
        <v>15336000</v>
      </c>
      <c r="O22" s="59">
        <f t="shared" si="36"/>
        <v>0</v>
      </c>
      <c r="P22" s="59">
        <f t="shared" si="36"/>
        <v>0</v>
      </c>
      <c r="Q22" s="59">
        <f t="shared" si="36"/>
        <v>15336000</v>
      </c>
      <c r="R22" s="59">
        <f t="shared" si="36"/>
        <v>1533600</v>
      </c>
      <c r="S22" s="59">
        <f t="shared" si="36"/>
        <v>13802400</v>
      </c>
      <c r="T22" s="59">
        <f t="shared" si="36"/>
        <v>6934539.1304347822</v>
      </c>
      <c r="U22" s="59">
        <f t="shared" si="36"/>
        <v>7201252.173913043</v>
      </c>
      <c r="V22" s="59">
        <f t="shared" si="36"/>
        <v>1200208.6956521757</v>
      </c>
      <c r="W22" s="59">
        <f t="shared" si="36"/>
        <v>15336000</v>
      </c>
      <c r="X22" s="59">
        <f t="shared" si="36"/>
        <v>0</v>
      </c>
      <c r="Y22" s="59">
        <f t="shared" si="36"/>
        <v>600104.34782608692</v>
      </c>
      <c r="Z22" s="59">
        <f t="shared" si="36"/>
        <v>365280.9073724008</v>
      </c>
    </row>
    <row r="23" spans="1:26" ht="12" x14ac:dyDescent="0.2">
      <c r="A23" s="83"/>
      <c r="B23" s="83"/>
      <c r="C23" s="83" t="s">
        <v>92</v>
      </c>
      <c r="D23" s="84"/>
      <c r="E23" s="93">
        <f>E22+E20</f>
        <v>2</v>
      </c>
      <c r="F23" s="87">
        <f t="shared" ref="F23:Z23" si="37">F22+F20</f>
        <v>0</v>
      </c>
      <c r="G23" s="87">
        <f t="shared" si="37"/>
        <v>0</v>
      </c>
      <c r="H23" s="87">
        <f t="shared" si="37"/>
        <v>340000000</v>
      </c>
      <c r="I23" s="87">
        <f t="shared" si="37"/>
        <v>340000000</v>
      </c>
      <c r="J23" s="87">
        <f t="shared" si="37"/>
        <v>0</v>
      </c>
      <c r="K23" s="87">
        <f t="shared" si="37"/>
        <v>0</v>
      </c>
      <c r="L23" s="87"/>
      <c r="M23" s="87"/>
      <c r="N23" s="87">
        <f t="shared" si="37"/>
        <v>16180000</v>
      </c>
      <c r="O23" s="87">
        <f t="shared" si="37"/>
        <v>0</v>
      </c>
      <c r="P23" s="87">
        <f t="shared" si="37"/>
        <v>0</v>
      </c>
      <c r="Q23" s="87">
        <f t="shared" si="37"/>
        <v>16180000</v>
      </c>
      <c r="R23" s="87">
        <f t="shared" si="37"/>
        <v>1618000</v>
      </c>
      <c r="S23" s="87">
        <f t="shared" si="37"/>
        <v>14562000</v>
      </c>
      <c r="T23" s="87">
        <f>T22+T20</f>
        <v>7316173.9130434776</v>
      </c>
      <c r="U23" s="87">
        <f t="shared" si="37"/>
        <v>7597565.2173913037</v>
      </c>
      <c r="V23" s="87">
        <f t="shared" si="37"/>
        <v>1266260.8695652192</v>
      </c>
      <c r="W23" s="87">
        <f t="shared" si="37"/>
        <v>16180000</v>
      </c>
      <c r="X23" s="87">
        <f t="shared" si="37"/>
        <v>0</v>
      </c>
      <c r="Y23" s="87">
        <f t="shared" si="37"/>
        <v>633130.43478260865</v>
      </c>
      <c r="Z23" s="87">
        <f t="shared" si="37"/>
        <v>385383.74291115318</v>
      </c>
    </row>
    <row r="24" spans="1:26" ht="12" x14ac:dyDescent="0.2">
      <c r="A24" s="89"/>
      <c r="B24" s="89"/>
      <c r="C24" s="83" t="s">
        <v>93</v>
      </c>
      <c r="D24" s="89"/>
      <c r="E24" s="85">
        <f>E23+E13</f>
        <v>4</v>
      </c>
      <c r="F24" s="91">
        <f t="shared" ref="F24:Z24" si="38">F23+F13</f>
        <v>0</v>
      </c>
      <c r="G24" s="91">
        <f t="shared" si="38"/>
        <v>0</v>
      </c>
      <c r="H24" s="91">
        <f t="shared" si="38"/>
        <v>840000000</v>
      </c>
      <c r="I24" s="91">
        <f t="shared" si="38"/>
        <v>840000000</v>
      </c>
      <c r="J24" s="91">
        <f t="shared" si="38"/>
        <v>0</v>
      </c>
      <c r="K24" s="91">
        <f t="shared" si="38"/>
        <v>0</v>
      </c>
      <c r="L24" s="91">
        <f t="shared" si="38"/>
        <v>0</v>
      </c>
      <c r="M24" s="91">
        <f t="shared" si="38"/>
        <v>0</v>
      </c>
      <c r="N24" s="91">
        <f t="shared" si="38"/>
        <v>16180000</v>
      </c>
      <c r="O24" s="91">
        <f t="shared" si="38"/>
        <v>0</v>
      </c>
      <c r="P24" s="91">
        <f t="shared" si="38"/>
        <v>0</v>
      </c>
      <c r="Q24" s="91">
        <f>Q23+Q13</f>
        <v>32078000</v>
      </c>
      <c r="R24" s="91">
        <f t="shared" si="38"/>
        <v>3207800</v>
      </c>
      <c r="S24" s="91">
        <f t="shared" si="38"/>
        <v>28870200</v>
      </c>
      <c r="T24" s="91">
        <f t="shared" si="38"/>
        <v>9901411.5050656162</v>
      </c>
      <c r="U24" s="91">
        <f t="shared" si="38"/>
        <v>8745236.4960421678</v>
      </c>
      <c r="V24" s="91">
        <f t="shared" si="38"/>
        <v>13431351.998892218</v>
      </c>
      <c r="W24" s="91">
        <f t="shared" si="38"/>
        <v>32078000</v>
      </c>
      <c r="X24" s="91">
        <f t="shared" si="38"/>
        <v>0</v>
      </c>
      <c r="Y24" s="91">
        <f t="shared" si="38"/>
        <v>728769.70800351398</v>
      </c>
      <c r="Z24" s="91">
        <f t="shared" si="38"/>
        <v>473847.35950811807</v>
      </c>
    </row>
    <row r="25" spans="1:26" ht="12" x14ac:dyDescent="0.2">
      <c r="D25" s="3"/>
    </row>
    <row r="26" spans="1:26" ht="23.25" x14ac:dyDescent="0.2">
      <c r="A26" s="86" t="s">
        <v>117</v>
      </c>
      <c r="B26" s="62"/>
      <c r="C26" s="62"/>
      <c r="D26" s="57"/>
      <c r="E26" s="63"/>
      <c r="F26" s="64"/>
      <c r="G26" s="139"/>
      <c r="H26" s="66"/>
      <c r="I26" s="66"/>
      <c r="J26" s="67"/>
      <c r="K26" s="67"/>
      <c r="L26" s="68"/>
      <c r="M26" s="68"/>
      <c r="N26" s="69"/>
      <c r="O26" s="69"/>
      <c r="P26" s="69"/>
      <c r="Q26" s="69"/>
      <c r="R26" s="69"/>
      <c r="S26" s="69"/>
      <c r="T26" s="70"/>
      <c r="U26" s="71"/>
      <c r="V26" s="71"/>
    </row>
    <row r="27" spans="1:26" ht="12" x14ac:dyDescent="0.2">
      <c r="A27" s="231" t="s">
        <v>0</v>
      </c>
      <c r="B27" s="232" t="s">
        <v>1</v>
      </c>
      <c r="C27" s="229" t="s">
        <v>2</v>
      </c>
      <c r="D27" s="233" t="s">
        <v>3</v>
      </c>
      <c r="E27" s="234" t="s">
        <v>4</v>
      </c>
      <c r="F27" s="232" t="s">
        <v>5</v>
      </c>
      <c r="G27" s="237" t="s">
        <v>6</v>
      </c>
      <c r="H27" s="236" t="s">
        <v>7</v>
      </c>
      <c r="I27" s="236" t="s">
        <v>8</v>
      </c>
      <c r="J27" s="227" t="s">
        <v>9</v>
      </c>
      <c r="K27" s="227"/>
      <c r="L27" s="228" t="s">
        <v>10</v>
      </c>
      <c r="M27" s="229" t="s">
        <v>11</v>
      </c>
      <c r="N27" s="230" t="s">
        <v>12</v>
      </c>
      <c r="O27" s="230"/>
      <c r="P27" s="230"/>
      <c r="Q27" s="229" t="s">
        <v>13</v>
      </c>
      <c r="R27" s="229" t="s">
        <v>14</v>
      </c>
      <c r="S27" s="229" t="s">
        <v>15</v>
      </c>
      <c r="T27" s="36">
        <v>2021</v>
      </c>
      <c r="U27" s="37"/>
      <c r="V27" s="38" t="s">
        <v>44</v>
      </c>
    </row>
    <row r="28" spans="1:26" ht="12" x14ac:dyDescent="0.2">
      <c r="A28" s="231"/>
      <c r="B28" s="232"/>
      <c r="C28" s="229"/>
      <c r="D28" s="233"/>
      <c r="E28" s="234"/>
      <c r="F28" s="232"/>
      <c r="G28" s="237"/>
      <c r="H28" s="236"/>
      <c r="I28" s="236"/>
      <c r="J28" s="227"/>
      <c r="K28" s="227"/>
      <c r="L28" s="228"/>
      <c r="M28" s="229"/>
      <c r="N28" s="225" t="s">
        <v>16</v>
      </c>
      <c r="O28" s="225" t="s">
        <v>17</v>
      </c>
      <c r="P28" s="225" t="s">
        <v>18</v>
      </c>
      <c r="Q28" s="229"/>
      <c r="R28" s="229"/>
      <c r="S28" s="229"/>
      <c r="T28" s="96" t="s">
        <v>251</v>
      </c>
      <c r="U28" s="39">
        <v>2022</v>
      </c>
      <c r="V28" s="40"/>
    </row>
    <row r="29" spans="1:26" ht="12" x14ac:dyDescent="0.2">
      <c r="A29" s="74">
        <v>5</v>
      </c>
      <c r="B29" s="107" t="s">
        <v>46</v>
      </c>
      <c r="C29" s="107" t="s">
        <v>96</v>
      </c>
      <c r="D29" s="110">
        <v>44313</v>
      </c>
      <c r="E29" s="74">
        <v>1</v>
      </c>
      <c r="F29" s="107" t="s">
        <v>47</v>
      </c>
      <c r="G29" s="111">
        <v>1</v>
      </c>
      <c r="H29" s="112">
        <v>57599206</v>
      </c>
      <c r="I29" s="112">
        <f>H29*G29</f>
        <v>57599206</v>
      </c>
      <c r="J29" s="110">
        <v>46069</v>
      </c>
      <c r="K29" s="77">
        <v>46446</v>
      </c>
      <c r="L29" s="107">
        <v>12</v>
      </c>
      <c r="M29" s="99">
        <v>9.1</v>
      </c>
      <c r="N29" s="81">
        <f t="shared" ref="N29:N30" si="39">M29*H29/1000</f>
        <v>524152.77459999995</v>
      </c>
      <c r="O29" s="81">
        <v>100000</v>
      </c>
      <c r="P29" s="81"/>
      <c r="Q29" s="81">
        <f t="shared" ref="Q29:Q30" si="40">N29+O29+P29</f>
        <v>624152.77459999989</v>
      </c>
      <c r="R29" s="81"/>
      <c r="S29" s="81">
        <f t="shared" ref="S29:S30" si="41">Q29-R29</f>
        <v>624152.77459999989</v>
      </c>
      <c r="T29" s="42">
        <f>Q29*10%+(Y29*8)</f>
        <v>470951.63901636354</v>
      </c>
      <c r="U29" s="42">
        <f>Y29*3</f>
        <v>153201.13558363632</v>
      </c>
      <c r="V29" s="108">
        <f t="shared" ref="V29:V41" si="42">Q29-T29-U29</f>
        <v>0</v>
      </c>
      <c r="W29" s="2">
        <f t="shared" ref="W29:W41" si="43">T29+U29+V29</f>
        <v>624152.77459999989</v>
      </c>
      <c r="X29" s="2">
        <f t="shared" ref="X29:X41" si="44">Q29-W29</f>
        <v>0</v>
      </c>
      <c r="Y29" s="2">
        <v>51067.045194545441</v>
      </c>
      <c r="Z29" s="109">
        <f>(Q29-T29)/(L29-1)</f>
        <v>13927.375962148759</v>
      </c>
    </row>
    <row r="30" spans="1:26" ht="12" x14ac:dyDescent="0.2">
      <c r="A30" s="74"/>
      <c r="B30" s="107"/>
      <c r="C30" s="107"/>
      <c r="D30" s="110"/>
      <c r="E30" s="74">
        <v>1</v>
      </c>
      <c r="F30" s="107" t="s">
        <v>48</v>
      </c>
      <c r="G30" s="111">
        <v>1</v>
      </c>
      <c r="H30" s="112">
        <v>11844392</v>
      </c>
      <c r="I30" s="112">
        <f>H30*G30</f>
        <v>11844392</v>
      </c>
      <c r="J30" s="110">
        <v>46523</v>
      </c>
      <c r="K30" s="77">
        <v>46768</v>
      </c>
      <c r="L30" s="107">
        <v>8</v>
      </c>
      <c r="M30" s="99">
        <v>5.46</v>
      </c>
      <c r="N30" s="81">
        <f t="shared" si="39"/>
        <v>64670.380320000004</v>
      </c>
      <c r="O30" s="81">
        <v>100000</v>
      </c>
      <c r="P30" s="81"/>
      <c r="Q30" s="81">
        <f t="shared" si="40"/>
        <v>164670.38032</v>
      </c>
      <c r="R30" s="81"/>
      <c r="S30" s="81">
        <f t="shared" si="41"/>
        <v>164670.38032</v>
      </c>
      <c r="T30" s="42">
        <f>Q30*10%+(Y30*7)</f>
        <v>164670.38032</v>
      </c>
      <c r="U30" s="42"/>
      <c r="V30" s="108">
        <f t="shared" si="42"/>
        <v>0</v>
      </c>
      <c r="W30" s="2">
        <f t="shared" si="43"/>
        <v>164670.38032</v>
      </c>
      <c r="X30" s="2">
        <f t="shared" si="44"/>
        <v>0</v>
      </c>
      <c r="Y30" s="2">
        <v>21171.906041142855</v>
      </c>
      <c r="Z30" s="109">
        <f t="shared" ref="Z30:Z41" si="45">(Q30-T30)/(L30-1)</f>
        <v>0</v>
      </c>
    </row>
    <row r="31" spans="1:26" ht="12" x14ac:dyDescent="0.2">
      <c r="A31" s="88"/>
      <c r="B31" s="84"/>
      <c r="C31" s="84"/>
      <c r="D31" s="84"/>
      <c r="E31" s="88"/>
      <c r="F31" s="84"/>
      <c r="G31" s="115"/>
      <c r="H31" s="59"/>
      <c r="I31" s="59"/>
      <c r="J31" s="59"/>
      <c r="K31" s="59"/>
      <c r="L31" s="59"/>
      <c r="M31" s="59"/>
      <c r="N31" s="59">
        <f t="shared" ref="N31:Z31" si="46">SUM(N29:N30)</f>
        <v>588823.15492</v>
      </c>
      <c r="O31" s="59">
        <f t="shared" si="46"/>
        <v>200000</v>
      </c>
      <c r="P31" s="59">
        <f t="shared" si="46"/>
        <v>0</v>
      </c>
      <c r="Q31" s="59">
        <f t="shared" si="46"/>
        <v>788823.15491999988</v>
      </c>
      <c r="R31" s="59">
        <f t="shared" si="46"/>
        <v>0</v>
      </c>
      <c r="S31" s="59">
        <f t="shared" si="46"/>
        <v>788823.15491999988</v>
      </c>
      <c r="T31" s="59">
        <f t="shared" si="46"/>
        <v>635622.01933636353</v>
      </c>
      <c r="U31" s="59">
        <f t="shared" si="46"/>
        <v>153201.13558363632</v>
      </c>
      <c r="V31" s="59">
        <f t="shared" si="46"/>
        <v>0</v>
      </c>
      <c r="W31" s="59">
        <f t="shared" si="46"/>
        <v>788823.15491999988</v>
      </c>
      <c r="X31" s="59">
        <f t="shared" si="46"/>
        <v>0</v>
      </c>
      <c r="Y31" s="59">
        <f t="shared" si="46"/>
        <v>72238.951235688291</v>
      </c>
      <c r="Z31" s="59">
        <f t="shared" si="46"/>
        <v>13927.375962148759</v>
      </c>
    </row>
    <row r="32" spans="1:26" ht="12" x14ac:dyDescent="0.2">
      <c r="A32" s="74">
        <v>6</v>
      </c>
      <c r="B32" s="107" t="s">
        <v>49</v>
      </c>
      <c r="C32" s="107" t="s">
        <v>101</v>
      </c>
      <c r="D32" s="110">
        <v>44301</v>
      </c>
      <c r="E32" s="74">
        <v>1</v>
      </c>
      <c r="F32" s="107" t="s">
        <v>102</v>
      </c>
      <c r="G32" s="111">
        <v>1</v>
      </c>
      <c r="H32" s="112">
        <v>35000000</v>
      </c>
      <c r="I32" s="112">
        <f>H32*G32</f>
        <v>35000000</v>
      </c>
      <c r="J32" s="110">
        <v>44278</v>
      </c>
      <c r="K32" s="77">
        <f t="shared" ref="K32" si="47">IFERROR(VALUE(DAY(J32)&amp;" "&amp;TEXT(EOMONTH(J32,L32)-29,"mmm")&amp;" "&amp;YEAR(EOMONTH(J32,L32)-29)),"-")</f>
        <v>45374</v>
      </c>
      <c r="L32" s="107">
        <v>36</v>
      </c>
      <c r="M32" s="99">
        <v>31.16</v>
      </c>
      <c r="N32" s="81">
        <f t="shared" ref="N32" si="48">M32*H32/1000</f>
        <v>1090600</v>
      </c>
      <c r="O32" s="81"/>
      <c r="P32" s="81"/>
      <c r="Q32" s="81">
        <f t="shared" ref="Q32" si="49">N32+O32+P32</f>
        <v>1090600</v>
      </c>
      <c r="R32" s="81">
        <f t="shared" ref="R32" si="50">10%*N32</f>
        <v>109060</v>
      </c>
      <c r="S32" s="81">
        <f t="shared" ref="S32" si="51">Q32-R32</f>
        <v>981540</v>
      </c>
      <c r="T32" s="42">
        <f>Q32*10%+(Y32*8)</f>
        <v>333412</v>
      </c>
      <c r="U32" s="42">
        <f t="shared" ref="U32:U41" si="52">Y32*12</f>
        <v>336528</v>
      </c>
      <c r="V32" s="108">
        <f t="shared" si="42"/>
        <v>420660</v>
      </c>
      <c r="W32" s="2">
        <f t="shared" si="43"/>
        <v>1090600</v>
      </c>
      <c r="X32" s="2">
        <f t="shared" si="44"/>
        <v>0</v>
      </c>
      <c r="Y32" s="2">
        <v>28044</v>
      </c>
      <c r="Z32" s="109">
        <f t="shared" si="45"/>
        <v>21633.942857142858</v>
      </c>
    </row>
    <row r="33" spans="1:26" ht="12" x14ac:dyDescent="0.2">
      <c r="A33" s="88"/>
      <c r="B33" s="84"/>
      <c r="C33" s="84"/>
      <c r="D33" s="84"/>
      <c r="E33" s="88">
        <f>SUM(E32:E32)</f>
        <v>1</v>
      </c>
      <c r="F33" s="84"/>
      <c r="G33" s="115"/>
      <c r="H33" s="59">
        <f>SUM(H32:H32)</f>
        <v>35000000</v>
      </c>
      <c r="I33" s="59">
        <f>SUM(I32:I32)</f>
        <v>35000000</v>
      </c>
      <c r="J33" s="59"/>
      <c r="K33" s="59"/>
      <c r="L33" s="59"/>
      <c r="M33" s="59"/>
      <c r="N33" s="59">
        <f t="shared" ref="N33:Z33" si="53">SUM(N32:N32)</f>
        <v>1090600</v>
      </c>
      <c r="O33" s="59">
        <f t="shared" si="53"/>
        <v>0</v>
      </c>
      <c r="P33" s="59">
        <f t="shared" si="53"/>
        <v>0</v>
      </c>
      <c r="Q33" s="59">
        <f t="shared" si="53"/>
        <v>1090600</v>
      </c>
      <c r="R33" s="59">
        <f t="shared" si="53"/>
        <v>109060</v>
      </c>
      <c r="S33" s="59">
        <f t="shared" si="53"/>
        <v>981540</v>
      </c>
      <c r="T33" s="59">
        <f t="shared" si="53"/>
        <v>333412</v>
      </c>
      <c r="U33" s="59">
        <f t="shared" si="53"/>
        <v>336528</v>
      </c>
      <c r="V33" s="59">
        <f t="shared" si="53"/>
        <v>420660</v>
      </c>
      <c r="W33" s="59">
        <f t="shared" si="53"/>
        <v>1090600</v>
      </c>
      <c r="X33" s="59">
        <f t="shared" si="53"/>
        <v>0</v>
      </c>
      <c r="Y33" s="59">
        <f t="shared" si="53"/>
        <v>28044</v>
      </c>
      <c r="Z33" s="59">
        <f t="shared" si="53"/>
        <v>21633.942857142858</v>
      </c>
    </row>
    <row r="34" spans="1:26" ht="12" x14ac:dyDescent="0.2">
      <c r="A34" s="74">
        <v>7</v>
      </c>
      <c r="B34" s="107" t="s">
        <v>49</v>
      </c>
      <c r="C34" s="107" t="s">
        <v>103</v>
      </c>
      <c r="D34" s="110">
        <v>44316</v>
      </c>
      <c r="E34" s="74">
        <v>1</v>
      </c>
      <c r="F34" s="107" t="s">
        <v>104</v>
      </c>
      <c r="G34" s="111">
        <v>1</v>
      </c>
      <c r="H34" s="112">
        <v>83000000</v>
      </c>
      <c r="I34" s="112">
        <f>H34*G34</f>
        <v>83000000</v>
      </c>
      <c r="J34" s="110">
        <v>44315</v>
      </c>
      <c r="K34" s="77">
        <f>IFERROR(VALUE(DAY(J34)&amp;" "&amp;TEXT(EOMONTH(J34,L34)-29,"mmm")&amp;" "&amp;YEAR(EOMONTH(J34,L34)-29)),"-")</f>
        <v>46506</v>
      </c>
      <c r="L34" s="107">
        <v>72</v>
      </c>
      <c r="M34" s="99">
        <v>50.64</v>
      </c>
      <c r="N34" s="81">
        <f t="shared" ref="N34" si="54">M34*H34/1000</f>
        <v>4203120</v>
      </c>
      <c r="O34" s="81"/>
      <c r="P34" s="81"/>
      <c r="Q34" s="81">
        <f t="shared" ref="Q34" si="55">N34+O34+P34</f>
        <v>4203120</v>
      </c>
      <c r="R34" s="81">
        <f t="shared" ref="R34" si="56">10%*N34</f>
        <v>420312</v>
      </c>
      <c r="S34" s="81">
        <f t="shared" ref="S34" si="57">Q34-R34</f>
        <v>3782808</v>
      </c>
      <c r="T34" s="42">
        <f>Q34*10%+(Y34*8)</f>
        <v>846543.88732394367</v>
      </c>
      <c r="U34" s="42">
        <f t="shared" si="52"/>
        <v>639347.8309859155</v>
      </c>
      <c r="V34" s="108">
        <f t="shared" si="42"/>
        <v>2717228.2816901407</v>
      </c>
      <c r="W34" s="2">
        <f t="shared" si="43"/>
        <v>4203120</v>
      </c>
      <c r="X34" s="2">
        <f t="shared" si="44"/>
        <v>0</v>
      </c>
      <c r="Y34" s="2">
        <v>53278.985915492958</v>
      </c>
      <c r="Z34" s="109">
        <f t="shared" si="45"/>
        <v>47275.719896845862</v>
      </c>
    </row>
    <row r="35" spans="1:26" ht="12" x14ac:dyDescent="0.2">
      <c r="A35" s="150"/>
      <c r="B35" s="90"/>
      <c r="C35" s="90"/>
      <c r="D35" s="90"/>
      <c r="E35" s="150">
        <f>SUM(E34:E34)</f>
        <v>1</v>
      </c>
      <c r="F35" s="90"/>
      <c r="G35" s="151"/>
      <c r="H35" s="152">
        <f>SUM(H34:H34)</f>
        <v>83000000</v>
      </c>
      <c r="I35" s="152">
        <f>SUM(I34:I34)</f>
        <v>83000000</v>
      </c>
      <c r="J35" s="152"/>
      <c r="K35" s="152"/>
      <c r="L35" s="152"/>
      <c r="M35" s="152"/>
      <c r="N35" s="152">
        <f t="shared" ref="N35:Z35" si="58">SUM(N34:N34)</f>
        <v>4203120</v>
      </c>
      <c r="O35" s="152">
        <f t="shared" si="58"/>
        <v>0</v>
      </c>
      <c r="P35" s="152">
        <f t="shared" si="58"/>
        <v>0</v>
      </c>
      <c r="Q35" s="152">
        <f t="shared" si="58"/>
        <v>4203120</v>
      </c>
      <c r="R35" s="152">
        <f t="shared" si="58"/>
        <v>420312</v>
      </c>
      <c r="S35" s="152">
        <f t="shared" si="58"/>
        <v>3782808</v>
      </c>
      <c r="T35" s="152">
        <f t="shared" si="58"/>
        <v>846543.88732394367</v>
      </c>
      <c r="U35" s="152">
        <f t="shared" si="58"/>
        <v>639347.8309859155</v>
      </c>
      <c r="V35" s="152">
        <f t="shared" si="58"/>
        <v>2717228.2816901407</v>
      </c>
      <c r="W35" s="152">
        <f t="shared" si="58"/>
        <v>4203120</v>
      </c>
      <c r="X35" s="152">
        <f t="shared" si="58"/>
        <v>0</v>
      </c>
      <c r="Y35" s="152">
        <f t="shared" si="58"/>
        <v>53278.985915492958</v>
      </c>
      <c r="Z35" s="152">
        <f t="shared" si="58"/>
        <v>47275.719896845862</v>
      </c>
    </row>
    <row r="36" spans="1:26" ht="12" x14ac:dyDescent="0.2">
      <c r="A36" s="74">
        <v>8</v>
      </c>
      <c r="B36" s="107" t="s">
        <v>49</v>
      </c>
      <c r="C36" s="107" t="s">
        <v>105</v>
      </c>
      <c r="D36" s="110">
        <v>44316</v>
      </c>
      <c r="E36" s="74">
        <v>1</v>
      </c>
      <c r="F36" s="107" t="s">
        <v>106</v>
      </c>
      <c r="G36" s="111">
        <v>1</v>
      </c>
      <c r="H36" s="112">
        <v>35000000</v>
      </c>
      <c r="I36" s="112">
        <f>H36*G36</f>
        <v>35000000</v>
      </c>
      <c r="J36" s="110">
        <v>44313</v>
      </c>
      <c r="K36" s="77">
        <f>IFERROR(VALUE(DAY(J36)&amp;" "&amp;TEXT(EOMONTH(J36,L36)-29,"mmm")&amp;" "&amp;YEAR(EOMONTH(J36,L36)-29)),"-")</f>
        <v>45409</v>
      </c>
      <c r="L36" s="107">
        <v>36</v>
      </c>
      <c r="M36" s="99">
        <v>30.71</v>
      </c>
      <c r="N36" s="81">
        <f t="shared" ref="N36" si="59">M36*H36/1000</f>
        <v>1074850</v>
      </c>
      <c r="O36" s="81"/>
      <c r="P36" s="81"/>
      <c r="Q36" s="81">
        <f t="shared" ref="Q36" si="60">N36+O36+P36</f>
        <v>1074850</v>
      </c>
      <c r="R36" s="81">
        <f t="shared" ref="R36" si="61">10%*N36</f>
        <v>107485</v>
      </c>
      <c r="S36" s="81">
        <f t="shared" ref="S36" si="62">Q36-R36</f>
        <v>967365</v>
      </c>
      <c r="T36" s="42">
        <f>Q36*10%+(Y36*8)</f>
        <v>328597</v>
      </c>
      <c r="U36" s="42">
        <f t="shared" si="52"/>
        <v>331668</v>
      </c>
      <c r="V36" s="108">
        <f t="shared" si="42"/>
        <v>414585</v>
      </c>
      <c r="W36" s="2">
        <f t="shared" si="43"/>
        <v>1074850</v>
      </c>
      <c r="X36" s="2">
        <f t="shared" si="44"/>
        <v>0</v>
      </c>
      <c r="Y36" s="2">
        <v>27639</v>
      </c>
      <c r="Z36" s="109">
        <f t="shared" si="45"/>
        <v>21321.514285714286</v>
      </c>
    </row>
    <row r="37" spans="1:26" ht="12" x14ac:dyDescent="0.2">
      <c r="A37" s="150"/>
      <c r="B37" s="90"/>
      <c r="C37" s="90"/>
      <c r="D37" s="90"/>
      <c r="E37" s="150">
        <f>SUM(E36:E36)</f>
        <v>1</v>
      </c>
      <c r="F37" s="90"/>
      <c r="G37" s="151"/>
      <c r="H37" s="152">
        <f>SUM(H36:H36)</f>
        <v>35000000</v>
      </c>
      <c r="I37" s="152">
        <f>SUM(I36:I36)</f>
        <v>35000000</v>
      </c>
      <c r="J37" s="152"/>
      <c r="K37" s="152"/>
      <c r="L37" s="152"/>
      <c r="M37" s="152"/>
      <c r="N37" s="152">
        <f t="shared" ref="N37:Z37" si="63">SUM(N36:N36)</f>
        <v>1074850</v>
      </c>
      <c r="O37" s="152">
        <f t="shared" si="63"/>
        <v>0</v>
      </c>
      <c r="P37" s="152">
        <f t="shared" si="63"/>
        <v>0</v>
      </c>
      <c r="Q37" s="152">
        <f t="shared" si="63"/>
        <v>1074850</v>
      </c>
      <c r="R37" s="152">
        <f t="shared" si="63"/>
        <v>107485</v>
      </c>
      <c r="S37" s="152">
        <f t="shared" si="63"/>
        <v>967365</v>
      </c>
      <c r="T37" s="152">
        <f t="shared" si="63"/>
        <v>328597</v>
      </c>
      <c r="U37" s="152">
        <f t="shared" si="63"/>
        <v>331668</v>
      </c>
      <c r="V37" s="152">
        <f t="shared" si="63"/>
        <v>414585</v>
      </c>
      <c r="W37" s="152">
        <f t="shared" si="63"/>
        <v>1074850</v>
      </c>
      <c r="X37" s="152">
        <f t="shared" si="63"/>
        <v>0</v>
      </c>
      <c r="Y37" s="152">
        <f t="shared" si="63"/>
        <v>27639</v>
      </c>
      <c r="Z37" s="152">
        <f t="shared" si="63"/>
        <v>21321.514285714286</v>
      </c>
    </row>
    <row r="38" spans="1:26" ht="12" x14ac:dyDescent="0.2">
      <c r="A38" s="74">
        <v>9</v>
      </c>
      <c r="B38" s="107" t="s">
        <v>49</v>
      </c>
      <c r="C38" s="107" t="s">
        <v>108</v>
      </c>
      <c r="D38" s="110">
        <v>44316</v>
      </c>
      <c r="E38" s="74">
        <v>1</v>
      </c>
      <c r="F38" s="107" t="s">
        <v>109</v>
      </c>
      <c r="G38" s="111">
        <v>1</v>
      </c>
      <c r="H38" s="112">
        <v>220000000</v>
      </c>
      <c r="I38" s="112">
        <f>H38*G38</f>
        <v>220000000</v>
      </c>
      <c r="J38" s="110">
        <v>44300</v>
      </c>
      <c r="K38" s="77">
        <f>IFERROR(VALUE(DAY(J38)&amp;" "&amp;TEXT(EOMONTH(J38,L38)-29,"mmm")&amp;" "&amp;YEAR(EOMONTH(J38,L38)-29)),"-")</f>
        <v>47952</v>
      </c>
      <c r="L38" s="107">
        <v>120</v>
      </c>
      <c r="M38" s="99">
        <v>25.48</v>
      </c>
      <c r="N38" s="81">
        <f t="shared" ref="N38:N39" si="64">M38*H38/1000</f>
        <v>5605600</v>
      </c>
      <c r="O38" s="81"/>
      <c r="P38" s="81"/>
      <c r="Q38" s="81">
        <f t="shared" ref="Q38:Q39" si="65">N38+O38+P38</f>
        <v>5605600</v>
      </c>
      <c r="R38" s="81">
        <f t="shared" ref="R38:R39" si="66">10%*N38</f>
        <v>560560</v>
      </c>
      <c r="S38" s="81">
        <f t="shared" ref="S38:S39" si="67">Q38-R38</f>
        <v>5045040</v>
      </c>
      <c r="T38" s="42">
        <f t="shared" ref="T38:T39" si="68">Q38*10%+(Y38*8)</f>
        <v>899722.35294117639</v>
      </c>
      <c r="U38" s="42">
        <f t="shared" si="52"/>
        <v>508743.5294117647</v>
      </c>
      <c r="V38" s="108">
        <f t="shared" si="42"/>
        <v>4197134.1176470593</v>
      </c>
      <c r="W38" s="2">
        <f t="shared" si="43"/>
        <v>5605600</v>
      </c>
      <c r="X38" s="2">
        <f t="shared" si="44"/>
        <v>0</v>
      </c>
      <c r="Y38" s="2">
        <v>42395.294117647056</v>
      </c>
      <c r="Z38" s="109">
        <f t="shared" si="45"/>
        <v>39545.190311418686</v>
      </c>
    </row>
    <row r="39" spans="1:26" ht="12" x14ac:dyDescent="0.2">
      <c r="A39" s="74"/>
      <c r="B39" s="107"/>
      <c r="C39" s="107"/>
      <c r="D39" s="110"/>
      <c r="E39" s="74">
        <v>1</v>
      </c>
      <c r="F39" s="107" t="s">
        <v>110</v>
      </c>
      <c r="G39" s="111">
        <v>1</v>
      </c>
      <c r="H39" s="112">
        <v>160000000</v>
      </c>
      <c r="I39" s="112">
        <f>H39*G39</f>
        <v>160000000</v>
      </c>
      <c r="J39" s="110">
        <v>44305</v>
      </c>
      <c r="K39" s="77">
        <f>IFERROR(VALUE(DAY(J39)&amp;" "&amp;TEXT(EOMONTH(J39,L39)-29,"mmm")&amp;" "&amp;YEAR(EOMONTH(J39,L39)-29)),"-")</f>
        <v>45554</v>
      </c>
      <c r="L39" s="107">
        <v>41</v>
      </c>
      <c r="M39" s="99">
        <v>11.38</v>
      </c>
      <c r="N39" s="81">
        <f t="shared" si="64"/>
        <v>1820800.0000000002</v>
      </c>
      <c r="O39" s="81"/>
      <c r="P39" s="81"/>
      <c r="Q39" s="81">
        <f t="shared" si="65"/>
        <v>1820800.0000000002</v>
      </c>
      <c r="R39" s="81">
        <f t="shared" si="66"/>
        <v>182080.00000000003</v>
      </c>
      <c r="S39" s="81">
        <f t="shared" si="67"/>
        <v>1638720.0000000002</v>
      </c>
      <c r="T39" s="42">
        <f t="shared" si="68"/>
        <v>509824.00000000012</v>
      </c>
      <c r="U39" s="42">
        <f t="shared" si="52"/>
        <v>491616.00000000012</v>
      </c>
      <c r="V39" s="108">
        <f t="shared" si="42"/>
        <v>819359.99999999988</v>
      </c>
      <c r="W39" s="2">
        <f t="shared" si="43"/>
        <v>1820800</v>
      </c>
      <c r="X39" s="2">
        <f t="shared" si="44"/>
        <v>0</v>
      </c>
      <c r="Y39" s="2">
        <v>40968.000000000007</v>
      </c>
      <c r="Z39" s="109">
        <f t="shared" si="45"/>
        <v>32774.400000000001</v>
      </c>
    </row>
    <row r="40" spans="1:26" ht="12" x14ac:dyDescent="0.2">
      <c r="A40" s="88"/>
      <c r="B40" s="84"/>
      <c r="C40" s="84"/>
      <c r="D40" s="84"/>
      <c r="E40" s="88">
        <f>SUM(E38:E39)</f>
        <v>2</v>
      </c>
      <c r="F40" s="84"/>
      <c r="G40" s="115"/>
      <c r="H40" s="79">
        <f t="shared" ref="H40:I40" si="69">SUM(H38:H39)</f>
        <v>380000000</v>
      </c>
      <c r="I40" s="79">
        <f t="shared" si="69"/>
        <v>380000000</v>
      </c>
      <c r="J40" s="59"/>
      <c r="K40" s="59"/>
      <c r="L40" s="59"/>
      <c r="M40" s="59"/>
      <c r="N40" s="79">
        <f t="shared" ref="N40:Z40" si="70">SUM(N38:N39)</f>
        <v>7426400</v>
      </c>
      <c r="O40" s="79">
        <f t="shared" si="70"/>
        <v>0</v>
      </c>
      <c r="P40" s="79">
        <f t="shared" si="70"/>
        <v>0</v>
      </c>
      <c r="Q40" s="79">
        <f t="shared" si="70"/>
        <v>7426400</v>
      </c>
      <c r="R40" s="79">
        <f t="shared" si="70"/>
        <v>742640</v>
      </c>
      <c r="S40" s="79">
        <f t="shared" si="70"/>
        <v>6683760</v>
      </c>
      <c r="T40" s="79">
        <f t="shared" si="70"/>
        <v>1409546.3529411764</v>
      </c>
      <c r="U40" s="79">
        <f t="shared" si="70"/>
        <v>1000359.5294117648</v>
      </c>
      <c r="V40" s="79">
        <f t="shared" si="70"/>
        <v>5016494.1176470593</v>
      </c>
      <c r="W40" s="79">
        <f t="shared" si="70"/>
        <v>7426400</v>
      </c>
      <c r="X40" s="79">
        <f t="shared" si="70"/>
        <v>0</v>
      </c>
      <c r="Y40" s="79">
        <f t="shared" si="70"/>
        <v>83363.294117647063</v>
      </c>
      <c r="Z40" s="79">
        <f t="shared" si="70"/>
        <v>72319.590311418695</v>
      </c>
    </row>
    <row r="41" spans="1:26" ht="12" x14ac:dyDescent="0.2">
      <c r="A41" s="74">
        <v>10</v>
      </c>
      <c r="B41" s="107" t="s">
        <v>111</v>
      </c>
      <c r="C41" s="107" t="s">
        <v>112</v>
      </c>
      <c r="D41" s="110">
        <v>44316</v>
      </c>
      <c r="E41" s="74">
        <v>1</v>
      </c>
      <c r="F41" s="107" t="s">
        <v>113</v>
      </c>
      <c r="G41" s="111">
        <v>1</v>
      </c>
      <c r="H41" s="112">
        <v>45323679</v>
      </c>
      <c r="I41" s="112">
        <f>H41*G41</f>
        <v>45323679</v>
      </c>
      <c r="J41" s="110">
        <v>45784</v>
      </c>
      <c r="K41" s="77">
        <v>46302</v>
      </c>
      <c r="L41" s="107">
        <v>17</v>
      </c>
      <c r="M41" s="99">
        <v>9.1</v>
      </c>
      <c r="N41" s="81">
        <f t="shared" ref="N41" si="71">M41*H41/1000</f>
        <v>412445.47889999999</v>
      </c>
      <c r="O41" s="81">
        <v>100000</v>
      </c>
      <c r="P41" s="81"/>
      <c r="Q41" s="81">
        <f t="shared" ref="Q41" si="72">N41+O41+P41</f>
        <v>512445.47889999999</v>
      </c>
      <c r="R41" s="81"/>
      <c r="S41" s="81">
        <f t="shared" ref="S41" si="73">Q41-R41</f>
        <v>512445.47889999999</v>
      </c>
      <c r="T41" s="42">
        <f>Q41*10%+(Y41*8)</f>
        <v>281845.01339500002</v>
      </c>
      <c r="U41" s="42">
        <f>Y41*8</f>
        <v>230600.465505</v>
      </c>
      <c r="V41" s="108">
        <f t="shared" si="42"/>
        <v>0</v>
      </c>
      <c r="W41" s="2">
        <f t="shared" si="43"/>
        <v>512445.47889999999</v>
      </c>
      <c r="X41" s="2">
        <f t="shared" si="44"/>
        <v>0</v>
      </c>
      <c r="Y41" s="2">
        <v>28825.058188125</v>
      </c>
      <c r="Z41" s="109">
        <f t="shared" si="45"/>
        <v>14412.529094062498</v>
      </c>
    </row>
    <row r="42" spans="1:26" ht="12" x14ac:dyDescent="0.2">
      <c r="A42" s="150"/>
      <c r="B42" s="90"/>
      <c r="C42" s="90"/>
      <c r="D42" s="90"/>
      <c r="E42" s="150"/>
      <c r="F42" s="90"/>
      <c r="G42" s="151"/>
      <c r="H42" s="152"/>
      <c r="I42" s="152"/>
      <c r="J42" s="152"/>
      <c r="K42" s="152"/>
      <c r="L42" s="152"/>
      <c r="M42" s="152"/>
      <c r="N42" s="152">
        <f t="shared" ref="N42:Z42" si="74">SUM(N41:N41)</f>
        <v>412445.47889999999</v>
      </c>
      <c r="O42" s="152">
        <f t="shared" si="74"/>
        <v>100000</v>
      </c>
      <c r="P42" s="152">
        <f t="shared" si="74"/>
        <v>0</v>
      </c>
      <c r="Q42" s="152">
        <f t="shared" si="74"/>
        <v>512445.47889999999</v>
      </c>
      <c r="R42" s="152">
        <f t="shared" si="74"/>
        <v>0</v>
      </c>
      <c r="S42" s="152">
        <f t="shared" si="74"/>
        <v>512445.47889999999</v>
      </c>
      <c r="T42" s="152">
        <f t="shared" si="74"/>
        <v>281845.01339500002</v>
      </c>
      <c r="U42" s="152">
        <f t="shared" si="74"/>
        <v>230600.465505</v>
      </c>
      <c r="V42" s="152">
        <f t="shared" si="74"/>
        <v>0</v>
      </c>
      <c r="W42" s="152">
        <f t="shared" si="74"/>
        <v>512445.47889999999</v>
      </c>
      <c r="X42" s="152">
        <f t="shared" si="74"/>
        <v>0</v>
      </c>
      <c r="Y42" s="152">
        <f t="shared" si="74"/>
        <v>28825.058188125</v>
      </c>
      <c r="Z42" s="152">
        <f t="shared" si="74"/>
        <v>14412.529094062498</v>
      </c>
    </row>
    <row r="43" spans="1:26" ht="12" x14ac:dyDescent="0.2">
      <c r="A43" s="83"/>
      <c r="B43" s="83"/>
      <c r="C43" s="83" t="s">
        <v>115</v>
      </c>
      <c r="D43" s="84"/>
      <c r="E43" s="85">
        <f>E42+E40+E37+E35+E33+E31</f>
        <v>5</v>
      </c>
      <c r="F43" s="87"/>
      <c r="G43" s="87"/>
      <c r="H43" s="87">
        <f t="shared" ref="H43:Z43" si="75">H42+H40+H37+H35+H33+H31</f>
        <v>533000000</v>
      </c>
      <c r="I43" s="87">
        <f t="shared" si="75"/>
        <v>533000000</v>
      </c>
      <c r="J43" s="87">
        <f t="shared" si="75"/>
        <v>0</v>
      </c>
      <c r="K43" s="87">
        <f t="shared" si="75"/>
        <v>0</v>
      </c>
      <c r="L43" s="87">
        <f t="shared" si="75"/>
        <v>0</v>
      </c>
      <c r="M43" s="87">
        <f t="shared" si="75"/>
        <v>0</v>
      </c>
      <c r="N43" s="87">
        <f t="shared" si="75"/>
        <v>14796238.633820001</v>
      </c>
      <c r="O43" s="87">
        <f t="shared" si="75"/>
        <v>300000</v>
      </c>
      <c r="P43" s="87">
        <f t="shared" si="75"/>
        <v>0</v>
      </c>
      <c r="Q43" s="87">
        <f t="shared" si="75"/>
        <v>15096238.633820001</v>
      </c>
      <c r="R43" s="87">
        <f t="shared" si="75"/>
        <v>1379497</v>
      </c>
      <c r="S43" s="87">
        <f t="shared" si="75"/>
        <v>13716741.633820001</v>
      </c>
      <c r="T43" s="87">
        <f t="shared" si="75"/>
        <v>3835566.2729964834</v>
      </c>
      <c r="U43" s="87">
        <f t="shared" si="75"/>
        <v>2691704.9614863168</v>
      </c>
      <c r="V43" s="87">
        <f t="shared" si="75"/>
        <v>8568967.3993372004</v>
      </c>
      <c r="W43" s="87">
        <f t="shared" si="75"/>
        <v>15096238.633820001</v>
      </c>
      <c r="X43" s="87">
        <f t="shared" si="75"/>
        <v>0</v>
      </c>
      <c r="Y43" s="87">
        <f t="shared" si="75"/>
        <v>293389.28945695329</v>
      </c>
      <c r="Z43" s="87">
        <f t="shared" si="75"/>
        <v>190890.67240733298</v>
      </c>
    </row>
    <row r="44" spans="1:26" ht="12" x14ac:dyDescent="0.2">
      <c r="A44" s="83"/>
      <c r="B44" s="83"/>
      <c r="C44" s="83" t="s">
        <v>116</v>
      </c>
      <c r="D44" s="84"/>
      <c r="E44" s="93">
        <f>E43+E24</f>
        <v>9</v>
      </c>
      <c r="F44" s="95"/>
      <c r="G44" s="95"/>
      <c r="H44" s="95">
        <f t="shared" ref="H44:Z44" si="76">H43+H24</f>
        <v>1373000000</v>
      </c>
      <c r="I44" s="95">
        <f t="shared" si="76"/>
        <v>1373000000</v>
      </c>
      <c r="J44" s="95">
        <f t="shared" si="76"/>
        <v>0</v>
      </c>
      <c r="K44" s="95">
        <f t="shared" si="76"/>
        <v>0</v>
      </c>
      <c r="L44" s="95">
        <f t="shared" si="76"/>
        <v>0</v>
      </c>
      <c r="M44" s="95">
        <f t="shared" si="76"/>
        <v>0</v>
      </c>
      <c r="N44" s="95">
        <f t="shared" si="76"/>
        <v>30976238.633820001</v>
      </c>
      <c r="O44" s="95">
        <f t="shared" si="76"/>
        <v>300000</v>
      </c>
      <c r="P44" s="95">
        <f t="shared" si="76"/>
        <v>0</v>
      </c>
      <c r="Q44" s="95">
        <f>Q43+Q24</f>
        <v>47174238.633819997</v>
      </c>
      <c r="R44" s="95">
        <f t="shared" si="76"/>
        <v>4587297</v>
      </c>
      <c r="S44" s="95">
        <f t="shared" si="76"/>
        <v>42586941.633819997</v>
      </c>
      <c r="T44" s="95">
        <f t="shared" si="76"/>
        <v>13736977.7780621</v>
      </c>
      <c r="U44" s="95">
        <f t="shared" si="76"/>
        <v>11436941.457528485</v>
      </c>
      <c r="V44" s="95">
        <f t="shared" si="76"/>
        <v>22000319.39822942</v>
      </c>
      <c r="W44" s="95">
        <f t="shared" si="76"/>
        <v>47174238.633819997</v>
      </c>
      <c r="X44" s="95">
        <f t="shared" si="76"/>
        <v>0</v>
      </c>
      <c r="Y44" s="95">
        <f t="shared" si="76"/>
        <v>1022158.9974604673</v>
      </c>
      <c r="Z44" s="95">
        <f t="shared" si="76"/>
        <v>664738.03191545105</v>
      </c>
    </row>
    <row r="46" spans="1:26" ht="23.25" x14ac:dyDescent="0.2">
      <c r="A46" s="86" t="s">
        <v>154</v>
      </c>
      <c r="B46" s="62"/>
      <c r="C46" s="62"/>
      <c r="D46" s="57"/>
      <c r="E46" s="63"/>
      <c r="F46" s="64"/>
      <c r="G46" s="139"/>
      <c r="H46" s="66"/>
      <c r="I46" s="66"/>
      <c r="J46" s="67"/>
      <c r="K46" s="67"/>
      <c r="L46" s="68"/>
      <c r="M46" s="68"/>
      <c r="N46" s="69"/>
      <c r="O46" s="69"/>
      <c r="P46" s="69"/>
      <c r="Q46" s="69"/>
      <c r="R46" s="69"/>
      <c r="S46" s="69"/>
      <c r="T46" s="70"/>
      <c r="U46" s="71"/>
      <c r="V46" s="71"/>
    </row>
    <row r="47" spans="1:26" ht="12" x14ac:dyDescent="0.2">
      <c r="A47" s="231" t="s">
        <v>0</v>
      </c>
      <c r="B47" s="232" t="s">
        <v>1</v>
      </c>
      <c r="C47" s="229" t="s">
        <v>2</v>
      </c>
      <c r="D47" s="233" t="s">
        <v>3</v>
      </c>
      <c r="E47" s="234" t="s">
        <v>4</v>
      </c>
      <c r="F47" s="232" t="s">
        <v>5</v>
      </c>
      <c r="G47" s="237" t="s">
        <v>6</v>
      </c>
      <c r="H47" s="236" t="s">
        <v>7</v>
      </c>
      <c r="I47" s="236" t="s">
        <v>8</v>
      </c>
      <c r="J47" s="227" t="s">
        <v>9</v>
      </c>
      <c r="K47" s="227"/>
      <c r="L47" s="228" t="s">
        <v>10</v>
      </c>
      <c r="M47" s="229" t="s">
        <v>11</v>
      </c>
      <c r="N47" s="230" t="s">
        <v>12</v>
      </c>
      <c r="O47" s="230"/>
      <c r="P47" s="230"/>
      <c r="Q47" s="229" t="s">
        <v>13</v>
      </c>
      <c r="R47" s="229" t="s">
        <v>14</v>
      </c>
      <c r="S47" s="229" t="s">
        <v>15</v>
      </c>
      <c r="T47" s="36">
        <v>2021</v>
      </c>
      <c r="U47" s="37"/>
      <c r="V47" s="38" t="s">
        <v>44</v>
      </c>
    </row>
    <row r="48" spans="1:26" ht="12" x14ac:dyDescent="0.2">
      <c r="A48" s="231"/>
      <c r="B48" s="232"/>
      <c r="C48" s="229"/>
      <c r="D48" s="233"/>
      <c r="E48" s="234"/>
      <c r="F48" s="232"/>
      <c r="G48" s="237"/>
      <c r="H48" s="236"/>
      <c r="I48" s="236"/>
      <c r="J48" s="227"/>
      <c r="K48" s="227"/>
      <c r="L48" s="228"/>
      <c r="M48" s="229"/>
      <c r="N48" s="225" t="s">
        <v>16</v>
      </c>
      <c r="O48" s="225" t="s">
        <v>17</v>
      </c>
      <c r="P48" s="225" t="s">
        <v>18</v>
      </c>
      <c r="Q48" s="229"/>
      <c r="R48" s="229"/>
      <c r="S48" s="229"/>
      <c r="T48" s="96" t="s">
        <v>252</v>
      </c>
      <c r="U48" s="39">
        <v>2022</v>
      </c>
      <c r="V48" s="40"/>
    </row>
    <row r="49" spans="1:26" ht="12.75" x14ac:dyDescent="0.2">
      <c r="A49" s="154">
        <v>11</v>
      </c>
      <c r="B49" s="155" t="s">
        <v>122</v>
      </c>
      <c r="C49" s="155" t="s">
        <v>123</v>
      </c>
      <c r="D49" s="156">
        <v>44334</v>
      </c>
      <c r="E49" s="154">
        <v>1</v>
      </c>
      <c r="F49" s="155" t="s">
        <v>124</v>
      </c>
      <c r="G49" s="111">
        <v>1</v>
      </c>
      <c r="H49" s="112">
        <v>30000000</v>
      </c>
      <c r="I49" s="112">
        <f>H49*G49</f>
        <v>30000000</v>
      </c>
      <c r="J49" s="110">
        <v>44257</v>
      </c>
      <c r="K49" s="77">
        <f>IFERROR(VALUE(DAY(J49)&amp;" "&amp;TEXT(EOMONTH(J49,L49)-29,"mmm")&amp;" "&amp;YEAR(EOMONTH(J49,L49)-29)),"-")</f>
        <v>44987</v>
      </c>
      <c r="L49" s="107">
        <v>24</v>
      </c>
      <c r="M49" s="99">
        <v>10.57</v>
      </c>
      <c r="N49" s="81">
        <f t="shared" ref="N49" si="77">M49*H49/1000</f>
        <v>317100</v>
      </c>
      <c r="O49" s="81"/>
      <c r="P49" s="81"/>
      <c r="Q49" s="81">
        <f t="shared" ref="Q49" si="78">N49+O49+P49</f>
        <v>317100</v>
      </c>
      <c r="R49" s="81">
        <f t="shared" ref="R49" si="79">10%*N49</f>
        <v>31710</v>
      </c>
      <c r="S49" s="81">
        <f t="shared" ref="S49" si="80">Q49-R49</f>
        <v>285390</v>
      </c>
      <c r="T49" s="42">
        <f>Q49*10%+(Y49*7)</f>
        <v>118567.82608695653</v>
      </c>
      <c r="U49" s="42">
        <f t="shared" ref="U49" si="81">Y49*12</f>
        <v>148899.13043478262</v>
      </c>
      <c r="V49" s="108">
        <f t="shared" ref="V49" si="82">Q49-T49-U49</f>
        <v>49633.043478260835</v>
      </c>
      <c r="W49" s="2">
        <f t="shared" ref="W49" si="83">T49+U49+V49</f>
        <v>317100</v>
      </c>
      <c r="X49" s="2">
        <f t="shared" ref="X49" si="84">Q49-W49</f>
        <v>0</v>
      </c>
      <c r="Y49" s="2">
        <v>12408.260869565218</v>
      </c>
      <c r="Z49" s="109">
        <f t="shared" ref="Z49" si="85">(Q49-T49)/(L49-1)</f>
        <v>8631.8336483931944</v>
      </c>
    </row>
    <row r="50" spans="1:26" ht="12.75" x14ac:dyDescent="0.2">
      <c r="A50" s="159"/>
      <c r="B50" s="160"/>
      <c r="C50" s="160"/>
      <c r="D50" s="160"/>
      <c r="E50" s="159">
        <f>SUM(E49)</f>
        <v>1</v>
      </c>
      <c r="F50" s="160"/>
      <c r="G50" s="161"/>
      <c r="H50" s="162">
        <f>SUM(H49)</f>
        <v>30000000</v>
      </c>
      <c r="I50" s="162">
        <f>SUM(I49)</f>
        <v>30000000</v>
      </c>
      <c r="J50" s="162"/>
      <c r="K50" s="162"/>
      <c r="L50" s="162"/>
      <c r="M50" s="162"/>
      <c r="N50" s="162">
        <f t="shared" ref="N50:Z50" si="86">SUM(N49)</f>
        <v>317100</v>
      </c>
      <c r="O50" s="162">
        <f t="shared" si="86"/>
        <v>0</v>
      </c>
      <c r="P50" s="162">
        <f t="shared" si="86"/>
        <v>0</v>
      </c>
      <c r="Q50" s="162">
        <f t="shared" si="86"/>
        <v>317100</v>
      </c>
      <c r="R50" s="162">
        <f t="shared" si="86"/>
        <v>31710</v>
      </c>
      <c r="S50" s="162">
        <f t="shared" si="86"/>
        <v>285390</v>
      </c>
      <c r="T50" s="162">
        <f t="shared" si="86"/>
        <v>118567.82608695653</v>
      </c>
      <c r="U50" s="162">
        <f t="shared" si="86"/>
        <v>148899.13043478262</v>
      </c>
      <c r="V50" s="162">
        <f t="shared" si="86"/>
        <v>49633.043478260835</v>
      </c>
      <c r="W50" s="162">
        <f t="shared" si="86"/>
        <v>317100</v>
      </c>
      <c r="X50" s="162">
        <f t="shared" si="86"/>
        <v>0</v>
      </c>
      <c r="Y50" s="162">
        <f t="shared" si="86"/>
        <v>12408.260869565218</v>
      </c>
      <c r="Z50" s="162">
        <f t="shared" si="86"/>
        <v>8631.8336483931944</v>
      </c>
    </row>
    <row r="51" spans="1:26" ht="12" x14ac:dyDescent="0.2">
      <c r="A51" s="74">
        <v>12</v>
      </c>
      <c r="B51" s="107" t="s">
        <v>111</v>
      </c>
      <c r="C51" s="107" t="s">
        <v>125</v>
      </c>
      <c r="D51" s="110">
        <v>44336</v>
      </c>
      <c r="E51" s="74">
        <v>1</v>
      </c>
      <c r="F51" s="107" t="s">
        <v>126</v>
      </c>
      <c r="G51" s="111">
        <v>1</v>
      </c>
      <c r="H51" s="112">
        <v>69230850</v>
      </c>
      <c r="I51" s="112">
        <f>H51*G51</f>
        <v>69230850</v>
      </c>
      <c r="J51" s="110">
        <v>44315</v>
      </c>
      <c r="K51" s="77">
        <f>IFERROR(VALUE(DAY(J51)&amp;" "&amp;TEXT(EOMONTH(J51,L51)-29,"mmm")&amp;" "&amp;YEAR(EOMONTH(J51,L51)-29)),"-")</f>
        <v>45686</v>
      </c>
      <c r="L51" s="107">
        <v>45</v>
      </c>
      <c r="M51" s="99">
        <v>15.93</v>
      </c>
      <c r="N51" s="81">
        <f t="shared" ref="N51:N52" si="87">M51*H51/1000</f>
        <v>1102847.4405</v>
      </c>
      <c r="O51" s="81"/>
      <c r="P51" s="81"/>
      <c r="Q51" s="81">
        <f t="shared" ref="Q51:Q52" si="88">N51+O51+P51</f>
        <v>1102847.4405</v>
      </c>
      <c r="R51" s="81">
        <f t="shared" ref="R51:R52" si="89">10%*N51</f>
        <v>110284.74405000001</v>
      </c>
      <c r="S51" s="81">
        <f t="shared" ref="S51:S52" si="90">Q51-R51</f>
        <v>992562.69645000005</v>
      </c>
      <c r="T51" s="42">
        <f t="shared" ref="T51:T52" si="91">Q51*10%+(Y51*7)</f>
        <v>268192.44575795461</v>
      </c>
      <c r="U51" s="42">
        <f t="shared" ref="U51:U69" si="92">Y51*12</f>
        <v>270698.91721363639</v>
      </c>
      <c r="V51" s="108">
        <f t="shared" ref="V51:V69" si="93">Q51-T51-U51</f>
        <v>563956.07752840896</v>
      </c>
      <c r="W51" s="2">
        <f t="shared" ref="W51:W69" si="94">T51+U51+V51</f>
        <v>1102847.4405</v>
      </c>
      <c r="X51" s="2">
        <f t="shared" ref="X51:X69" si="95">Q51-W51</f>
        <v>0</v>
      </c>
      <c r="Y51" s="2">
        <v>22558.243101136366</v>
      </c>
      <c r="Z51" s="109">
        <f t="shared" ref="Z51:Z69" si="96">(Q51-T51)/(L51-1)</f>
        <v>18969.431698682849</v>
      </c>
    </row>
    <row r="52" spans="1:26" ht="12" x14ac:dyDescent="0.2">
      <c r="A52" s="74"/>
      <c r="B52" s="107"/>
      <c r="C52" s="107"/>
      <c r="D52" s="110"/>
      <c r="E52" s="74">
        <v>1</v>
      </c>
      <c r="F52" s="107" t="s">
        <v>127</v>
      </c>
      <c r="G52" s="111">
        <v>1</v>
      </c>
      <c r="H52" s="112">
        <v>82219772</v>
      </c>
      <c r="I52" s="112">
        <f>H52*G52</f>
        <v>82219772</v>
      </c>
      <c r="J52" s="110">
        <v>44307</v>
      </c>
      <c r="K52" s="77">
        <f>IFERROR(VALUE(DAY(J52)&amp;" "&amp;TEXT(EOMONTH(J52,L52)-29,"mmm")&amp;" "&amp;YEAR(EOMONTH(J52,L52)-29)),"-")</f>
        <v>46742</v>
      </c>
      <c r="L52" s="107">
        <v>80</v>
      </c>
      <c r="M52" s="99">
        <v>25.48</v>
      </c>
      <c r="N52" s="81">
        <f t="shared" si="87"/>
        <v>2094959.7905599999</v>
      </c>
      <c r="O52" s="81"/>
      <c r="P52" s="81"/>
      <c r="Q52" s="81">
        <f t="shared" si="88"/>
        <v>2094959.7905599999</v>
      </c>
      <c r="R52" s="81">
        <f t="shared" si="89"/>
        <v>209495.97905600001</v>
      </c>
      <c r="S52" s="81">
        <f t="shared" si="90"/>
        <v>1885463.8115039999</v>
      </c>
      <c r="T52" s="42">
        <f t="shared" si="91"/>
        <v>376562.39273356961</v>
      </c>
      <c r="U52" s="42">
        <f t="shared" si="92"/>
        <v>286399.56630440505</v>
      </c>
      <c r="V52" s="108">
        <f t="shared" si="93"/>
        <v>1431997.8315220254</v>
      </c>
      <c r="W52" s="2">
        <f t="shared" si="94"/>
        <v>2094959.7905600001</v>
      </c>
      <c r="X52" s="2">
        <f t="shared" si="95"/>
        <v>0</v>
      </c>
      <c r="Y52" s="2">
        <v>23866.630525367087</v>
      </c>
      <c r="Z52" s="109">
        <f t="shared" si="96"/>
        <v>21751.865795271271</v>
      </c>
    </row>
    <row r="53" spans="1:26" ht="12" x14ac:dyDescent="0.2">
      <c r="A53" s="88"/>
      <c r="B53" s="84"/>
      <c r="C53" s="84"/>
      <c r="D53" s="84"/>
      <c r="E53" s="88">
        <f>SUM(E51:E52)</f>
        <v>2</v>
      </c>
      <c r="F53" s="84"/>
      <c r="G53" s="115"/>
      <c r="H53" s="79">
        <f t="shared" ref="H53:I53" si="97">SUM(H51:H52)</f>
        <v>151450622</v>
      </c>
      <c r="I53" s="79">
        <f t="shared" si="97"/>
        <v>151450622</v>
      </c>
      <c r="J53" s="59"/>
      <c r="K53" s="59"/>
      <c r="L53" s="59"/>
      <c r="M53" s="59"/>
      <c r="N53" s="79">
        <f t="shared" ref="N53:Z53" si="98">SUM(N51:N52)</f>
        <v>3197807.2310600001</v>
      </c>
      <c r="O53" s="79">
        <f t="shared" si="98"/>
        <v>0</v>
      </c>
      <c r="P53" s="79">
        <f t="shared" si="98"/>
        <v>0</v>
      </c>
      <c r="Q53" s="79">
        <f t="shared" si="98"/>
        <v>3197807.2310600001</v>
      </c>
      <c r="R53" s="79">
        <f t="shared" si="98"/>
        <v>319780.72310599999</v>
      </c>
      <c r="S53" s="79">
        <f t="shared" si="98"/>
        <v>2878026.507954</v>
      </c>
      <c r="T53" s="79">
        <f t="shared" si="98"/>
        <v>644754.83849152422</v>
      </c>
      <c r="U53" s="79">
        <f t="shared" si="98"/>
        <v>557098.48351804144</v>
      </c>
      <c r="V53" s="79">
        <f t="shared" si="98"/>
        <v>1995953.9090504344</v>
      </c>
      <c r="W53" s="79">
        <f t="shared" si="98"/>
        <v>3197807.2310600001</v>
      </c>
      <c r="X53" s="79">
        <f t="shared" si="98"/>
        <v>0</v>
      </c>
      <c r="Y53" s="79">
        <f t="shared" si="98"/>
        <v>46424.873626503453</v>
      </c>
      <c r="Z53" s="79">
        <f t="shared" si="98"/>
        <v>40721.297493954116</v>
      </c>
    </row>
    <row r="54" spans="1:26" ht="12.75" x14ac:dyDescent="0.2">
      <c r="A54" s="154">
        <v>13</v>
      </c>
      <c r="B54" s="155" t="s">
        <v>128</v>
      </c>
      <c r="C54" s="155" t="s">
        <v>129</v>
      </c>
      <c r="D54" s="156">
        <v>44347</v>
      </c>
      <c r="E54" s="154">
        <v>1</v>
      </c>
      <c r="F54" s="155" t="s">
        <v>130</v>
      </c>
      <c r="G54" s="111">
        <v>1</v>
      </c>
      <c r="H54" s="112">
        <v>1000000000</v>
      </c>
      <c r="I54" s="112">
        <f>H54*G54</f>
        <v>1000000000</v>
      </c>
      <c r="J54" s="110">
        <v>44327</v>
      </c>
      <c r="K54" s="77">
        <f>IFERROR(VALUE(DAY(J54)&amp;" "&amp;TEXT(EOMONTH(J54,L54)-29,"mmm")&amp;" "&amp;YEAR(EOMONTH(J54,L54)-29)),"-")</f>
        <v>45241</v>
      </c>
      <c r="L54" s="107">
        <v>30</v>
      </c>
      <c r="M54" s="99">
        <v>30.71</v>
      </c>
      <c r="N54" s="81">
        <f t="shared" ref="N54" si="99">M54*H54/1000</f>
        <v>30710000</v>
      </c>
      <c r="O54" s="81"/>
      <c r="P54" s="81"/>
      <c r="Q54" s="81">
        <f t="shared" ref="Q54" si="100">N54+O54+P54</f>
        <v>30710000</v>
      </c>
      <c r="R54" s="81">
        <f t="shared" ref="R54" si="101">10%*N54</f>
        <v>3071000</v>
      </c>
      <c r="S54" s="81">
        <f t="shared" ref="S54" si="102">Q54-R54</f>
        <v>27639000</v>
      </c>
      <c r="T54" s="42">
        <f>Q54*10%+(Y54*7)</f>
        <v>9742482.7586206906</v>
      </c>
      <c r="U54" s="42">
        <f t="shared" si="92"/>
        <v>11436827.586206896</v>
      </c>
      <c r="V54" s="108">
        <f t="shared" si="93"/>
        <v>9530689.6551724132</v>
      </c>
      <c r="W54" s="2">
        <f t="shared" si="94"/>
        <v>30710000</v>
      </c>
      <c r="X54" s="2">
        <f t="shared" si="95"/>
        <v>0</v>
      </c>
      <c r="Y54" s="2">
        <v>953068.96551724139</v>
      </c>
      <c r="Z54" s="109">
        <f t="shared" si="96"/>
        <v>723017.83590963134</v>
      </c>
    </row>
    <row r="55" spans="1:26" ht="12.75" x14ac:dyDescent="0.2">
      <c r="A55" s="159"/>
      <c r="B55" s="160"/>
      <c r="C55" s="160"/>
      <c r="D55" s="160"/>
      <c r="E55" s="159">
        <f>SUM(E54)</f>
        <v>1</v>
      </c>
      <c r="F55" s="160"/>
      <c r="G55" s="161"/>
      <c r="H55" s="162">
        <f>SUM(H54)</f>
        <v>1000000000</v>
      </c>
      <c r="I55" s="162">
        <f>SUM(I54)</f>
        <v>1000000000</v>
      </c>
      <c r="J55" s="162"/>
      <c r="K55" s="162"/>
      <c r="L55" s="162"/>
      <c r="M55" s="162"/>
      <c r="N55" s="162">
        <f t="shared" ref="N55:Z55" si="103">SUM(N54)</f>
        <v>30710000</v>
      </c>
      <c r="O55" s="162">
        <f t="shared" si="103"/>
        <v>0</v>
      </c>
      <c r="P55" s="162">
        <f t="shared" si="103"/>
        <v>0</v>
      </c>
      <c r="Q55" s="162">
        <f t="shared" si="103"/>
        <v>30710000</v>
      </c>
      <c r="R55" s="162">
        <f t="shared" si="103"/>
        <v>3071000</v>
      </c>
      <c r="S55" s="162">
        <f t="shared" si="103"/>
        <v>27639000</v>
      </c>
      <c r="T55" s="162">
        <f t="shared" si="103"/>
        <v>9742482.7586206906</v>
      </c>
      <c r="U55" s="162">
        <f t="shared" si="103"/>
        <v>11436827.586206896</v>
      </c>
      <c r="V55" s="162">
        <f t="shared" si="103"/>
        <v>9530689.6551724132</v>
      </c>
      <c r="W55" s="162">
        <f t="shared" si="103"/>
        <v>30710000</v>
      </c>
      <c r="X55" s="162">
        <f t="shared" si="103"/>
        <v>0</v>
      </c>
      <c r="Y55" s="162">
        <f t="shared" si="103"/>
        <v>953068.96551724139</v>
      </c>
      <c r="Z55" s="162">
        <f t="shared" si="103"/>
        <v>723017.83590963134</v>
      </c>
    </row>
    <row r="56" spans="1:26" ht="12.75" x14ac:dyDescent="0.2">
      <c r="A56" s="154">
        <v>14</v>
      </c>
      <c r="B56" s="155" t="s">
        <v>128</v>
      </c>
      <c r="C56" s="155" t="s">
        <v>131</v>
      </c>
      <c r="D56" s="156">
        <v>44347</v>
      </c>
      <c r="E56" s="154">
        <v>1</v>
      </c>
      <c r="F56" s="155" t="s">
        <v>132</v>
      </c>
      <c r="G56" s="111">
        <v>1</v>
      </c>
      <c r="H56" s="112">
        <v>170000000</v>
      </c>
      <c r="I56" s="112">
        <f>H56*G56</f>
        <v>170000000</v>
      </c>
      <c r="J56" s="110">
        <v>44319</v>
      </c>
      <c r="K56" s="77">
        <f>IFERROR(VALUE(DAY(J56)&amp;" "&amp;TEXT(EOMONTH(J56,L56)-29,"mmm")&amp;" "&amp;YEAR(EOMONTH(J56,L56)-29)),"-")</f>
        <v>46145</v>
      </c>
      <c r="L56" s="107">
        <v>60</v>
      </c>
      <c r="M56" s="169">
        <v>13.65</v>
      </c>
      <c r="N56" s="81">
        <f t="shared" ref="N56:N69" si="104">M56*H56/1000</f>
        <v>2320500</v>
      </c>
      <c r="O56" s="81"/>
      <c r="P56" s="81"/>
      <c r="Q56" s="81">
        <f t="shared" ref="Q56:Q69" si="105">N56+O56+P56</f>
        <v>2320500</v>
      </c>
      <c r="R56" s="81">
        <f t="shared" ref="R56:R69" si="106">10%*N56</f>
        <v>232050</v>
      </c>
      <c r="S56" s="81">
        <f t="shared" ref="S56:S69" si="107">Q56-R56</f>
        <v>2088450</v>
      </c>
      <c r="T56" s="42">
        <f t="shared" ref="T56:T69" si="108">Q56*10%+(Y56*7)</f>
        <v>479832.20338983054</v>
      </c>
      <c r="U56" s="42">
        <f t="shared" si="92"/>
        <v>424769.49152542371</v>
      </c>
      <c r="V56" s="108">
        <f t="shared" si="93"/>
        <v>1415898.3050847459</v>
      </c>
      <c r="W56" s="2">
        <f t="shared" si="94"/>
        <v>2320500</v>
      </c>
      <c r="X56" s="2">
        <f t="shared" si="95"/>
        <v>0</v>
      </c>
      <c r="Y56" s="2">
        <v>35397.457627118645</v>
      </c>
      <c r="Z56" s="109">
        <f t="shared" si="96"/>
        <v>31197.759264579145</v>
      </c>
    </row>
    <row r="57" spans="1:26" ht="12.75" x14ac:dyDescent="0.2">
      <c r="A57" s="164"/>
      <c r="B57" s="165"/>
      <c r="C57" s="165"/>
      <c r="D57" s="165"/>
      <c r="E57" s="154">
        <v>1</v>
      </c>
      <c r="F57" s="155" t="s">
        <v>133</v>
      </c>
      <c r="G57" s="111">
        <v>1</v>
      </c>
      <c r="H57" s="112">
        <v>250000000</v>
      </c>
      <c r="I57" s="112">
        <f t="shared" ref="I57:I69" si="109">H57*G57</f>
        <v>250000000</v>
      </c>
      <c r="J57" s="110">
        <v>44320</v>
      </c>
      <c r="K57" s="77">
        <f t="shared" ref="K57:K69" si="110">IFERROR(VALUE(DAY(J57)&amp;" "&amp;TEXT(EOMONTH(J57,L57)-29,"mmm")&amp;" "&amp;YEAR(EOMONTH(J57,L57)-29)),"-")</f>
        <v>45781</v>
      </c>
      <c r="L57" s="107">
        <v>48</v>
      </c>
      <c r="M57" s="169">
        <v>11.38</v>
      </c>
      <c r="N57" s="81">
        <f t="shared" si="104"/>
        <v>2845000</v>
      </c>
      <c r="O57" s="81"/>
      <c r="P57" s="81"/>
      <c r="Q57" s="81">
        <f t="shared" si="105"/>
        <v>2845000</v>
      </c>
      <c r="R57" s="81">
        <f t="shared" si="106"/>
        <v>284500</v>
      </c>
      <c r="S57" s="81">
        <f t="shared" si="107"/>
        <v>2560500</v>
      </c>
      <c r="T57" s="42">
        <f t="shared" si="108"/>
        <v>665851.06382978719</v>
      </c>
      <c r="U57" s="42">
        <f t="shared" si="92"/>
        <v>653744.68085106381</v>
      </c>
      <c r="V57" s="108">
        <f t="shared" si="93"/>
        <v>1525404.2553191492</v>
      </c>
      <c r="W57" s="2">
        <f t="shared" si="94"/>
        <v>2845000</v>
      </c>
      <c r="X57" s="2">
        <f t="shared" si="95"/>
        <v>0</v>
      </c>
      <c r="Y57" s="2">
        <v>54478.723404255317</v>
      </c>
      <c r="Z57" s="109">
        <f t="shared" si="96"/>
        <v>46364.870982344954</v>
      </c>
    </row>
    <row r="58" spans="1:26" ht="12.75" x14ac:dyDescent="0.2">
      <c r="A58" s="166"/>
      <c r="B58" s="166"/>
      <c r="C58" s="166"/>
      <c r="D58" s="167"/>
      <c r="E58" s="154">
        <v>1</v>
      </c>
      <c r="F58" s="155" t="s">
        <v>134</v>
      </c>
      <c r="G58" s="111">
        <v>1</v>
      </c>
      <c r="H58" s="112">
        <v>315000000</v>
      </c>
      <c r="I58" s="112">
        <f t="shared" si="109"/>
        <v>315000000</v>
      </c>
      <c r="J58" s="110">
        <v>44319</v>
      </c>
      <c r="K58" s="77">
        <f t="shared" si="110"/>
        <v>49798</v>
      </c>
      <c r="L58" s="107">
        <v>180</v>
      </c>
      <c r="M58" s="169">
        <v>37.520000000000003</v>
      </c>
      <c r="N58" s="81">
        <f t="shared" si="104"/>
        <v>11818800.000000002</v>
      </c>
      <c r="O58" s="81"/>
      <c r="P58" s="81"/>
      <c r="Q58" s="81">
        <f t="shared" si="105"/>
        <v>11818800.000000002</v>
      </c>
      <c r="R58" s="81">
        <f t="shared" si="106"/>
        <v>1181880.0000000002</v>
      </c>
      <c r="S58" s="81">
        <f t="shared" si="107"/>
        <v>10636920.000000002</v>
      </c>
      <c r="T58" s="42">
        <f t="shared" si="108"/>
        <v>1597848.9385474864</v>
      </c>
      <c r="U58" s="42">
        <f t="shared" si="92"/>
        <v>713089.60893854755</v>
      </c>
      <c r="V58" s="108">
        <f t="shared" si="93"/>
        <v>9507861.4525139686</v>
      </c>
      <c r="W58" s="2">
        <f t="shared" si="94"/>
        <v>11818800.000000004</v>
      </c>
      <c r="X58" s="2">
        <f t="shared" si="95"/>
        <v>0</v>
      </c>
      <c r="Y58" s="2">
        <v>59424.134078212301</v>
      </c>
      <c r="Z58" s="109">
        <f t="shared" si="96"/>
        <v>57100.285259511256</v>
      </c>
    </row>
    <row r="59" spans="1:26" ht="12.75" x14ac:dyDescent="0.2">
      <c r="A59" s="168"/>
      <c r="B59" s="168"/>
      <c r="C59" s="168"/>
      <c r="D59" s="107"/>
      <c r="E59" s="154">
        <v>1</v>
      </c>
      <c r="F59" s="155" t="s">
        <v>135</v>
      </c>
      <c r="G59" s="111">
        <v>1</v>
      </c>
      <c r="H59" s="112">
        <v>315000000</v>
      </c>
      <c r="I59" s="112">
        <f t="shared" si="109"/>
        <v>315000000</v>
      </c>
      <c r="J59" s="110">
        <v>44320</v>
      </c>
      <c r="K59" s="77">
        <f t="shared" si="110"/>
        <v>49799</v>
      </c>
      <c r="L59" s="107">
        <v>180</v>
      </c>
      <c r="M59" s="169">
        <v>37.520000000000003</v>
      </c>
      <c r="N59" s="81">
        <f t="shared" si="104"/>
        <v>11818800.000000002</v>
      </c>
      <c r="O59" s="81"/>
      <c r="P59" s="81"/>
      <c r="Q59" s="81">
        <f t="shared" si="105"/>
        <v>11818800.000000002</v>
      </c>
      <c r="R59" s="81">
        <f t="shared" si="106"/>
        <v>1181880.0000000002</v>
      </c>
      <c r="S59" s="81">
        <f t="shared" si="107"/>
        <v>10636920.000000002</v>
      </c>
      <c r="T59" s="42">
        <f t="shared" si="108"/>
        <v>1597848.9385474864</v>
      </c>
      <c r="U59" s="42">
        <f t="shared" si="92"/>
        <v>713089.60893854755</v>
      </c>
      <c r="V59" s="108">
        <f t="shared" si="93"/>
        <v>9507861.4525139686</v>
      </c>
      <c r="W59" s="2">
        <f t="shared" si="94"/>
        <v>11818800.000000004</v>
      </c>
      <c r="X59" s="2">
        <f t="shared" si="95"/>
        <v>0</v>
      </c>
      <c r="Y59" s="2">
        <v>59424.134078212301</v>
      </c>
      <c r="Z59" s="109">
        <f t="shared" si="96"/>
        <v>57100.285259511256</v>
      </c>
    </row>
    <row r="60" spans="1:26" ht="12.75" x14ac:dyDescent="0.2">
      <c r="A60" s="168"/>
      <c r="B60" s="168"/>
      <c r="C60" s="168"/>
      <c r="D60" s="107"/>
      <c r="E60" s="154">
        <v>1</v>
      </c>
      <c r="F60" s="155" t="s">
        <v>136</v>
      </c>
      <c r="G60" s="111">
        <v>1</v>
      </c>
      <c r="H60" s="112">
        <v>250000000</v>
      </c>
      <c r="I60" s="112">
        <f t="shared" si="109"/>
        <v>250000000</v>
      </c>
      <c r="J60" s="110">
        <v>44320</v>
      </c>
      <c r="K60" s="77">
        <f t="shared" si="110"/>
        <v>47972</v>
      </c>
      <c r="L60" s="107">
        <v>120</v>
      </c>
      <c r="M60" s="169">
        <v>25.48</v>
      </c>
      <c r="N60" s="81">
        <f t="shared" si="104"/>
        <v>6370000</v>
      </c>
      <c r="O60" s="81"/>
      <c r="P60" s="81"/>
      <c r="Q60" s="81">
        <f t="shared" si="105"/>
        <v>6370000</v>
      </c>
      <c r="R60" s="81">
        <f t="shared" si="106"/>
        <v>637000</v>
      </c>
      <c r="S60" s="81">
        <f t="shared" si="107"/>
        <v>5733000</v>
      </c>
      <c r="T60" s="42">
        <f t="shared" si="108"/>
        <v>974235.29411764699</v>
      </c>
      <c r="U60" s="42">
        <f t="shared" si="92"/>
        <v>578117.6470588235</v>
      </c>
      <c r="V60" s="108">
        <f t="shared" si="93"/>
        <v>4817647.0588235296</v>
      </c>
      <c r="W60" s="2">
        <f t="shared" si="94"/>
        <v>6370000</v>
      </c>
      <c r="X60" s="2">
        <f t="shared" si="95"/>
        <v>0</v>
      </c>
      <c r="Y60" s="2">
        <v>48176.470588235294</v>
      </c>
      <c r="Z60" s="109">
        <f t="shared" si="96"/>
        <v>45342.560553633215</v>
      </c>
    </row>
    <row r="61" spans="1:26" ht="12.75" x14ac:dyDescent="0.2">
      <c r="A61" s="168"/>
      <c r="B61" s="168"/>
      <c r="C61" s="168"/>
      <c r="D61" s="107"/>
      <c r="E61" s="154">
        <v>1</v>
      </c>
      <c r="F61" s="155" t="s">
        <v>137</v>
      </c>
      <c r="G61" s="111">
        <v>1</v>
      </c>
      <c r="H61" s="112">
        <v>450000000</v>
      </c>
      <c r="I61" s="112">
        <f t="shared" si="109"/>
        <v>450000000</v>
      </c>
      <c r="J61" s="110">
        <v>44320</v>
      </c>
      <c r="K61" s="77">
        <f t="shared" si="110"/>
        <v>49799</v>
      </c>
      <c r="L61" s="107">
        <v>180</v>
      </c>
      <c r="M61" s="169">
        <v>37.520000000000003</v>
      </c>
      <c r="N61" s="81">
        <f t="shared" si="104"/>
        <v>16884000.000000004</v>
      </c>
      <c r="O61" s="81"/>
      <c r="P61" s="81"/>
      <c r="Q61" s="81">
        <f t="shared" si="105"/>
        <v>16884000.000000004</v>
      </c>
      <c r="R61" s="81">
        <f t="shared" si="106"/>
        <v>1688400.0000000005</v>
      </c>
      <c r="S61" s="81">
        <f t="shared" si="107"/>
        <v>15195600.000000004</v>
      </c>
      <c r="T61" s="42">
        <f t="shared" si="108"/>
        <v>2282641.3407821236</v>
      </c>
      <c r="U61" s="42">
        <f t="shared" si="92"/>
        <v>1018699.4413407824</v>
      </c>
      <c r="V61" s="108">
        <f t="shared" si="93"/>
        <v>13582659.217877097</v>
      </c>
      <c r="W61" s="2">
        <f t="shared" si="94"/>
        <v>16884000.000000004</v>
      </c>
      <c r="X61" s="2">
        <f t="shared" si="95"/>
        <v>0</v>
      </c>
      <c r="Y61" s="2">
        <v>84891.620111731871</v>
      </c>
      <c r="Z61" s="109">
        <f t="shared" si="96"/>
        <v>81571.836085016083</v>
      </c>
    </row>
    <row r="62" spans="1:26" ht="12.75" x14ac:dyDescent="0.2">
      <c r="A62" s="168"/>
      <c r="B62" s="168"/>
      <c r="C62" s="168"/>
      <c r="D62" s="107"/>
      <c r="E62" s="154">
        <v>1</v>
      </c>
      <c r="F62" s="155" t="s">
        <v>138</v>
      </c>
      <c r="G62" s="111">
        <v>1</v>
      </c>
      <c r="H62" s="112">
        <v>340000000</v>
      </c>
      <c r="I62" s="112">
        <f t="shared" si="109"/>
        <v>340000000</v>
      </c>
      <c r="J62" s="110">
        <v>44320</v>
      </c>
      <c r="K62" s="77">
        <f t="shared" si="110"/>
        <v>49799</v>
      </c>
      <c r="L62" s="107">
        <v>180</v>
      </c>
      <c r="M62" s="169">
        <v>37.520000000000003</v>
      </c>
      <c r="N62" s="81">
        <f t="shared" si="104"/>
        <v>12756800.000000002</v>
      </c>
      <c r="O62" s="81"/>
      <c r="P62" s="81"/>
      <c r="Q62" s="81">
        <f t="shared" si="105"/>
        <v>12756800.000000002</v>
      </c>
      <c r="R62" s="81">
        <f t="shared" si="106"/>
        <v>1275680.0000000002</v>
      </c>
      <c r="S62" s="81">
        <f t="shared" si="107"/>
        <v>11481120.000000002</v>
      </c>
      <c r="T62" s="42">
        <f t="shared" si="108"/>
        <v>1724662.3463687154</v>
      </c>
      <c r="U62" s="42">
        <f t="shared" si="92"/>
        <v>769684.02234636887</v>
      </c>
      <c r="V62" s="108">
        <f t="shared" si="93"/>
        <v>10262453.631284919</v>
      </c>
      <c r="W62" s="2">
        <f t="shared" si="94"/>
        <v>12756800.000000004</v>
      </c>
      <c r="X62" s="2">
        <f t="shared" si="95"/>
        <v>0</v>
      </c>
      <c r="Y62" s="2">
        <v>64140.335195530737</v>
      </c>
      <c r="Z62" s="109">
        <f t="shared" si="96"/>
        <v>61632.053930901042</v>
      </c>
    </row>
    <row r="63" spans="1:26" ht="12.75" x14ac:dyDescent="0.2">
      <c r="A63" s="168"/>
      <c r="B63" s="168"/>
      <c r="C63" s="168"/>
      <c r="D63" s="107"/>
      <c r="E63" s="154">
        <v>1</v>
      </c>
      <c r="F63" s="155" t="s">
        <v>139</v>
      </c>
      <c r="G63" s="111">
        <v>1</v>
      </c>
      <c r="H63" s="112">
        <v>30000000</v>
      </c>
      <c r="I63" s="112">
        <f t="shared" si="109"/>
        <v>30000000</v>
      </c>
      <c r="J63" s="110">
        <v>44321</v>
      </c>
      <c r="K63" s="77">
        <f t="shared" si="110"/>
        <v>45417</v>
      </c>
      <c r="L63" s="107">
        <v>36</v>
      </c>
      <c r="M63" s="169">
        <v>17.88</v>
      </c>
      <c r="N63" s="81">
        <f t="shared" si="104"/>
        <v>536399.99999999988</v>
      </c>
      <c r="O63" s="81"/>
      <c r="P63" s="81"/>
      <c r="Q63" s="81">
        <f t="shared" si="105"/>
        <v>536399.99999999988</v>
      </c>
      <c r="R63" s="81">
        <f t="shared" si="106"/>
        <v>53639.999999999993</v>
      </c>
      <c r="S63" s="81">
        <f t="shared" si="107"/>
        <v>482759.99999999988</v>
      </c>
      <c r="T63" s="42">
        <f t="shared" si="108"/>
        <v>150191.99999999997</v>
      </c>
      <c r="U63" s="42">
        <f t="shared" si="92"/>
        <v>165517.71428571423</v>
      </c>
      <c r="V63" s="108">
        <f t="shared" si="93"/>
        <v>220690.28571428565</v>
      </c>
      <c r="W63" s="2">
        <f t="shared" si="94"/>
        <v>536399.99999999988</v>
      </c>
      <c r="X63" s="2">
        <f t="shared" si="95"/>
        <v>0</v>
      </c>
      <c r="Y63" s="2">
        <v>13793.142857142853</v>
      </c>
      <c r="Z63" s="109">
        <f t="shared" si="96"/>
        <v>11034.514285714282</v>
      </c>
    </row>
    <row r="64" spans="1:26" ht="12.75" x14ac:dyDescent="0.2">
      <c r="A64" s="168"/>
      <c r="B64" s="168"/>
      <c r="C64" s="168"/>
      <c r="D64" s="107"/>
      <c r="E64" s="154">
        <v>1</v>
      </c>
      <c r="F64" s="155" t="s">
        <v>140</v>
      </c>
      <c r="G64" s="111">
        <v>1</v>
      </c>
      <c r="H64" s="112">
        <v>170000000</v>
      </c>
      <c r="I64" s="112">
        <f t="shared" si="109"/>
        <v>170000000</v>
      </c>
      <c r="J64" s="110">
        <v>44321</v>
      </c>
      <c r="K64" s="77">
        <f t="shared" si="110"/>
        <v>49800</v>
      </c>
      <c r="L64" s="107">
        <v>180</v>
      </c>
      <c r="M64" s="169">
        <v>37.520000000000003</v>
      </c>
      <c r="N64" s="81">
        <f t="shared" si="104"/>
        <v>6378400.0000000009</v>
      </c>
      <c r="O64" s="81"/>
      <c r="P64" s="81"/>
      <c r="Q64" s="81">
        <f t="shared" si="105"/>
        <v>6378400.0000000009</v>
      </c>
      <c r="R64" s="81">
        <f t="shared" si="106"/>
        <v>637840.00000000012</v>
      </c>
      <c r="S64" s="81">
        <f t="shared" si="107"/>
        <v>5740560.0000000009</v>
      </c>
      <c r="T64" s="42">
        <f t="shared" si="108"/>
        <v>862331.1731843577</v>
      </c>
      <c r="U64" s="42">
        <f t="shared" si="92"/>
        <v>384842.01117318444</v>
      </c>
      <c r="V64" s="108">
        <f t="shared" si="93"/>
        <v>5131226.8156424593</v>
      </c>
      <c r="W64" s="2">
        <f t="shared" si="94"/>
        <v>6378400.0000000019</v>
      </c>
      <c r="X64" s="2">
        <f t="shared" si="95"/>
        <v>0</v>
      </c>
      <c r="Y64" s="2">
        <v>32070.167597765369</v>
      </c>
      <c r="Z64" s="109">
        <f t="shared" si="96"/>
        <v>30816.026965450521</v>
      </c>
    </row>
    <row r="65" spans="1:27" ht="12.75" x14ac:dyDescent="0.2">
      <c r="A65" s="168"/>
      <c r="B65" s="168"/>
      <c r="C65" s="168"/>
      <c r="D65" s="107"/>
      <c r="E65" s="154">
        <v>1</v>
      </c>
      <c r="F65" s="155" t="s">
        <v>141</v>
      </c>
      <c r="G65" s="111">
        <v>1</v>
      </c>
      <c r="H65" s="112">
        <v>40000000</v>
      </c>
      <c r="I65" s="112">
        <f t="shared" si="109"/>
        <v>40000000</v>
      </c>
      <c r="J65" s="110">
        <v>44322</v>
      </c>
      <c r="K65" s="77">
        <f t="shared" si="110"/>
        <v>45418</v>
      </c>
      <c r="L65" s="107">
        <v>36</v>
      </c>
      <c r="M65" s="169">
        <v>9.1</v>
      </c>
      <c r="N65" s="81">
        <f t="shared" si="104"/>
        <v>364000</v>
      </c>
      <c r="O65" s="81"/>
      <c r="P65" s="81"/>
      <c r="Q65" s="81">
        <f t="shared" si="105"/>
        <v>364000</v>
      </c>
      <c r="R65" s="81">
        <f t="shared" si="106"/>
        <v>36400</v>
      </c>
      <c r="S65" s="81">
        <f t="shared" si="107"/>
        <v>327600</v>
      </c>
      <c r="T65" s="42">
        <f t="shared" si="108"/>
        <v>101920</v>
      </c>
      <c r="U65" s="42">
        <f t="shared" si="92"/>
        <v>112320</v>
      </c>
      <c r="V65" s="108">
        <f t="shared" si="93"/>
        <v>149760</v>
      </c>
      <c r="W65" s="2">
        <f t="shared" si="94"/>
        <v>364000</v>
      </c>
      <c r="X65" s="2">
        <f t="shared" si="95"/>
        <v>0</v>
      </c>
      <c r="Y65" s="2">
        <v>9360</v>
      </c>
      <c r="Z65" s="109">
        <f t="shared" si="96"/>
        <v>7488</v>
      </c>
    </row>
    <row r="66" spans="1:27" ht="12.75" x14ac:dyDescent="0.2">
      <c r="A66" s="168"/>
      <c r="B66" s="168"/>
      <c r="C66" s="168"/>
      <c r="D66" s="107"/>
      <c r="E66" s="154">
        <v>1</v>
      </c>
      <c r="F66" s="155" t="s">
        <v>142</v>
      </c>
      <c r="G66" s="111">
        <v>1</v>
      </c>
      <c r="H66" s="112">
        <v>440000000</v>
      </c>
      <c r="I66" s="112">
        <f t="shared" si="109"/>
        <v>440000000</v>
      </c>
      <c r="J66" s="110">
        <v>44323</v>
      </c>
      <c r="K66" s="77">
        <f t="shared" si="110"/>
        <v>49802</v>
      </c>
      <c r="L66" s="107">
        <v>180</v>
      </c>
      <c r="M66" s="169">
        <v>37.520000000000003</v>
      </c>
      <c r="N66" s="81">
        <f t="shared" si="104"/>
        <v>16508800.000000002</v>
      </c>
      <c r="O66" s="81"/>
      <c r="P66" s="81"/>
      <c r="Q66" s="81">
        <f t="shared" si="105"/>
        <v>16508800.000000002</v>
      </c>
      <c r="R66" s="81">
        <f t="shared" si="106"/>
        <v>1650880.0000000002</v>
      </c>
      <c r="S66" s="81">
        <f t="shared" si="107"/>
        <v>14857920.000000002</v>
      </c>
      <c r="T66" s="42">
        <f t="shared" si="108"/>
        <v>2231915.9776536315</v>
      </c>
      <c r="U66" s="42">
        <f t="shared" si="92"/>
        <v>996061.67597765371</v>
      </c>
      <c r="V66" s="108">
        <f t="shared" si="93"/>
        <v>13280822.346368717</v>
      </c>
      <c r="W66" s="2">
        <f t="shared" si="94"/>
        <v>16508800.000000002</v>
      </c>
      <c r="X66" s="2">
        <f t="shared" si="95"/>
        <v>0</v>
      </c>
      <c r="Y66" s="2">
        <v>83005.139664804476</v>
      </c>
      <c r="Z66" s="109">
        <f t="shared" si="96"/>
        <v>79759.128616460162</v>
      </c>
    </row>
    <row r="67" spans="1:27" ht="12.75" x14ac:dyDescent="0.2">
      <c r="A67" s="168"/>
      <c r="B67" s="168"/>
      <c r="C67" s="168"/>
      <c r="D67" s="107"/>
      <c r="E67" s="154">
        <v>1</v>
      </c>
      <c r="F67" s="155" t="s">
        <v>144</v>
      </c>
      <c r="G67" s="111">
        <v>1</v>
      </c>
      <c r="H67" s="112">
        <v>30000000</v>
      </c>
      <c r="I67" s="112">
        <f t="shared" si="109"/>
        <v>30000000</v>
      </c>
      <c r="J67" s="110">
        <v>44323</v>
      </c>
      <c r="K67" s="77">
        <f t="shared" si="110"/>
        <v>45053</v>
      </c>
      <c r="L67" s="107">
        <v>24</v>
      </c>
      <c r="M67" s="169">
        <v>9.1</v>
      </c>
      <c r="N67" s="81">
        <f t="shared" si="104"/>
        <v>273000</v>
      </c>
      <c r="O67" s="81"/>
      <c r="P67" s="81"/>
      <c r="Q67" s="81">
        <f t="shared" si="105"/>
        <v>273000</v>
      </c>
      <c r="R67" s="81">
        <f t="shared" si="106"/>
        <v>27300</v>
      </c>
      <c r="S67" s="81">
        <f t="shared" si="107"/>
        <v>245700</v>
      </c>
      <c r="T67" s="42">
        <f t="shared" si="108"/>
        <v>102078.26086956522</v>
      </c>
      <c r="U67" s="42">
        <f t="shared" si="92"/>
        <v>128191.30434782608</v>
      </c>
      <c r="V67" s="108">
        <f t="shared" si="93"/>
        <v>42730.434782608703</v>
      </c>
      <c r="W67" s="2">
        <f t="shared" si="94"/>
        <v>273000</v>
      </c>
      <c r="X67" s="2">
        <f t="shared" si="95"/>
        <v>0</v>
      </c>
      <c r="Y67" s="2">
        <v>10682.608695652174</v>
      </c>
      <c r="Z67" s="109">
        <f t="shared" si="96"/>
        <v>7431.3799621928165</v>
      </c>
    </row>
    <row r="68" spans="1:27" ht="12.75" x14ac:dyDescent="0.2">
      <c r="A68" s="168"/>
      <c r="B68" s="168"/>
      <c r="C68" s="168"/>
      <c r="D68" s="107"/>
      <c r="E68" s="154">
        <v>1</v>
      </c>
      <c r="F68" s="155" t="s">
        <v>143</v>
      </c>
      <c r="G68" s="111">
        <v>1</v>
      </c>
      <c r="H68" s="112">
        <v>200000000</v>
      </c>
      <c r="I68" s="112">
        <f t="shared" si="109"/>
        <v>200000000</v>
      </c>
      <c r="J68" s="110">
        <v>44326</v>
      </c>
      <c r="K68" s="77">
        <f t="shared" si="110"/>
        <v>47978</v>
      </c>
      <c r="L68" s="107">
        <v>120</v>
      </c>
      <c r="M68" s="169">
        <v>25.48</v>
      </c>
      <c r="N68" s="81">
        <f t="shared" si="104"/>
        <v>5096000</v>
      </c>
      <c r="O68" s="81"/>
      <c r="P68" s="81"/>
      <c r="Q68" s="81">
        <f t="shared" si="105"/>
        <v>5096000</v>
      </c>
      <c r="R68" s="81">
        <f t="shared" si="106"/>
        <v>509600</v>
      </c>
      <c r="S68" s="81">
        <f t="shared" si="107"/>
        <v>4586400</v>
      </c>
      <c r="T68" s="42">
        <f t="shared" si="108"/>
        <v>779388.23529411759</v>
      </c>
      <c r="U68" s="42">
        <f t="shared" si="92"/>
        <v>462494.11764705885</v>
      </c>
      <c r="V68" s="108">
        <f t="shared" si="93"/>
        <v>3854117.6470588236</v>
      </c>
      <c r="W68" s="2">
        <f t="shared" si="94"/>
        <v>5096000</v>
      </c>
      <c r="X68" s="2">
        <f t="shared" si="95"/>
        <v>0</v>
      </c>
      <c r="Y68" s="2">
        <v>38541.176470588238</v>
      </c>
      <c r="Z68" s="109">
        <f t="shared" si="96"/>
        <v>36274.048442906576</v>
      </c>
    </row>
    <row r="69" spans="1:27" ht="12.75" x14ac:dyDescent="0.2">
      <c r="A69" s="168"/>
      <c r="B69" s="168"/>
      <c r="C69" s="168"/>
      <c r="D69" s="107"/>
      <c r="E69" s="154">
        <v>1</v>
      </c>
      <c r="F69" s="155" t="s">
        <v>145</v>
      </c>
      <c r="G69" s="111">
        <v>1</v>
      </c>
      <c r="H69" s="112">
        <v>265000000</v>
      </c>
      <c r="I69" s="112">
        <f t="shared" si="109"/>
        <v>265000000</v>
      </c>
      <c r="J69" s="110">
        <v>44326</v>
      </c>
      <c r="K69" s="77">
        <f t="shared" si="110"/>
        <v>48497</v>
      </c>
      <c r="L69" s="107">
        <v>137</v>
      </c>
      <c r="M69" s="169">
        <v>30.46</v>
      </c>
      <c r="N69" s="81">
        <f t="shared" si="104"/>
        <v>8071900</v>
      </c>
      <c r="O69" s="81"/>
      <c r="P69" s="81"/>
      <c r="Q69" s="81">
        <f t="shared" si="105"/>
        <v>8071900</v>
      </c>
      <c r="R69" s="81">
        <f t="shared" si="106"/>
        <v>807190</v>
      </c>
      <c r="S69" s="81">
        <f t="shared" si="107"/>
        <v>7264710</v>
      </c>
      <c r="T69" s="42">
        <f t="shared" si="108"/>
        <v>1181108.8970588236</v>
      </c>
      <c r="U69" s="42">
        <f t="shared" si="92"/>
        <v>641003.82352941181</v>
      </c>
      <c r="V69" s="108">
        <f t="shared" si="93"/>
        <v>6249787.2794117639</v>
      </c>
      <c r="W69" s="2">
        <f t="shared" si="94"/>
        <v>8071899.9999999991</v>
      </c>
      <c r="X69" s="2">
        <f t="shared" si="95"/>
        <v>0</v>
      </c>
      <c r="Y69" s="2">
        <v>53416.98529411765</v>
      </c>
      <c r="Z69" s="109">
        <f t="shared" si="96"/>
        <v>50667.581639273354</v>
      </c>
    </row>
    <row r="70" spans="1:27" ht="12" x14ac:dyDescent="0.2">
      <c r="A70" s="83"/>
      <c r="B70" s="83"/>
      <c r="C70" s="83"/>
      <c r="D70" s="84"/>
      <c r="E70" s="93">
        <f>SUM(E56:E69)</f>
        <v>14</v>
      </c>
      <c r="F70" s="83"/>
      <c r="G70" s="83"/>
      <c r="H70" s="92">
        <f>SUM(H56:H69)</f>
        <v>3265000000</v>
      </c>
      <c r="I70" s="92">
        <f t="shared" ref="I70:Z70" si="111">SUM(I56:I69)</f>
        <v>3265000000</v>
      </c>
      <c r="J70" s="92"/>
      <c r="K70" s="92"/>
      <c r="L70" s="92"/>
      <c r="M70" s="92"/>
      <c r="N70" s="92">
        <f t="shared" si="111"/>
        <v>102042400</v>
      </c>
      <c r="O70" s="92">
        <f t="shared" si="111"/>
        <v>0</v>
      </c>
      <c r="P70" s="92">
        <f t="shared" si="111"/>
        <v>0</v>
      </c>
      <c r="Q70" s="92">
        <f t="shared" si="111"/>
        <v>102042400</v>
      </c>
      <c r="R70" s="92">
        <f t="shared" si="111"/>
        <v>10204240.000000002</v>
      </c>
      <c r="S70" s="92">
        <f t="shared" si="111"/>
        <v>91838160.000000015</v>
      </c>
      <c r="T70" s="92">
        <f t="shared" si="111"/>
        <v>14731854.669643572</v>
      </c>
      <c r="U70" s="92">
        <f t="shared" si="111"/>
        <v>7761625.1479604077</v>
      </c>
      <c r="V70" s="92">
        <f t="shared" si="111"/>
        <v>79548920.182396039</v>
      </c>
      <c r="W70" s="92">
        <f t="shared" si="111"/>
        <v>102042400.00000001</v>
      </c>
      <c r="X70" s="92">
        <f t="shared" si="111"/>
        <v>0</v>
      </c>
      <c r="Y70" s="92">
        <f t="shared" si="111"/>
        <v>646802.0956633673</v>
      </c>
      <c r="Z70" s="92">
        <f t="shared" si="111"/>
        <v>603780.33124749456</v>
      </c>
    </row>
    <row r="71" spans="1:27" ht="12" x14ac:dyDescent="0.2">
      <c r="A71" s="74">
        <v>15</v>
      </c>
      <c r="B71" s="107" t="s">
        <v>49</v>
      </c>
      <c r="C71" s="107" t="s">
        <v>156</v>
      </c>
      <c r="D71" s="110">
        <v>44347</v>
      </c>
      <c r="E71" s="74">
        <v>1</v>
      </c>
      <c r="F71" s="107" t="s">
        <v>157</v>
      </c>
      <c r="G71" s="111">
        <v>1</v>
      </c>
      <c r="H71" s="112">
        <v>250000000</v>
      </c>
      <c r="I71" s="112">
        <f>H71*G71</f>
        <v>250000000</v>
      </c>
      <c r="J71" s="110">
        <v>44320</v>
      </c>
      <c r="K71" s="77">
        <f>IFERROR(VALUE(DAY(J71)&amp;" "&amp;TEXT(EOMONTH(J71,L71)-29,"mmm")&amp;" "&amp;YEAR(EOMONTH(J71,L71)-29)),"-")</f>
        <v>48338</v>
      </c>
      <c r="L71" s="107">
        <v>132</v>
      </c>
      <c r="M71" s="99">
        <v>27.98</v>
      </c>
      <c r="N71" s="81">
        <f t="shared" ref="N71:N72" si="112">M71*H71/1000</f>
        <v>6995000</v>
      </c>
      <c r="O71" s="81"/>
      <c r="P71" s="81"/>
      <c r="Q71" s="81">
        <f t="shared" ref="Q71:Q72" si="113">N71+O71+P71</f>
        <v>6995000</v>
      </c>
      <c r="R71" s="81">
        <f t="shared" ref="R71:R72" si="114">10%*N71</f>
        <v>699500</v>
      </c>
      <c r="S71" s="81">
        <f t="shared" ref="S71:S72" si="115">Q71-R71</f>
        <v>6295500</v>
      </c>
      <c r="T71" s="42">
        <f t="shared" ref="T71:T72" si="116">Q71*10%+(Y71*7)</f>
        <v>1035900.7633587786</v>
      </c>
      <c r="U71" s="42">
        <f t="shared" ref="U71:U72" si="117">Y71*12</f>
        <v>576687.02290076332</v>
      </c>
      <c r="V71" s="108">
        <f t="shared" ref="V71:V72" si="118">Q71-T71-U71</f>
        <v>5382412.2137404587</v>
      </c>
      <c r="W71" s="2">
        <f t="shared" ref="W71:W72" si="119">T71+U71+V71</f>
        <v>6995000</v>
      </c>
      <c r="X71" s="2">
        <f t="shared" ref="X71:X72" si="120">Q71-W71</f>
        <v>0</v>
      </c>
      <c r="Y71" s="2">
        <v>48057.251908396946</v>
      </c>
      <c r="Z71" s="109">
        <f t="shared" ref="Z71:Z72" si="121">(Q71-T71)/(L71-1)</f>
        <v>45489.307149932989</v>
      </c>
    </row>
    <row r="72" spans="1:27" ht="12" x14ac:dyDescent="0.2">
      <c r="A72" s="74"/>
      <c r="B72" s="107"/>
      <c r="C72" s="107"/>
      <c r="D72" s="110"/>
      <c r="E72" s="74">
        <v>1</v>
      </c>
      <c r="F72" s="107" t="s">
        <v>158</v>
      </c>
      <c r="G72" s="111">
        <v>1</v>
      </c>
      <c r="H72" s="112">
        <v>60000000</v>
      </c>
      <c r="I72" s="112">
        <f>H72*G72</f>
        <v>60000000</v>
      </c>
      <c r="J72" s="110">
        <v>44320</v>
      </c>
      <c r="K72" s="77">
        <f>IFERROR(VALUE(DAY(J72)&amp;" "&amp;TEXT(EOMONTH(J72,L72)-29,"mmm")&amp;" "&amp;YEAR(EOMONTH(J72,L72)-29)),"-")</f>
        <v>46146</v>
      </c>
      <c r="L72" s="107">
        <v>60</v>
      </c>
      <c r="M72" s="99">
        <v>13.65</v>
      </c>
      <c r="N72" s="81">
        <f t="shared" si="112"/>
        <v>819000</v>
      </c>
      <c r="O72" s="81"/>
      <c r="P72" s="81"/>
      <c r="Q72" s="81">
        <f t="shared" si="113"/>
        <v>819000</v>
      </c>
      <c r="R72" s="81">
        <f t="shared" si="114"/>
        <v>81900</v>
      </c>
      <c r="S72" s="81">
        <f t="shared" si="115"/>
        <v>737100</v>
      </c>
      <c r="T72" s="42">
        <f t="shared" si="116"/>
        <v>169352.54237288135</v>
      </c>
      <c r="U72" s="42">
        <f t="shared" si="117"/>
        <v>149918.64406779659</v>
      </c>
      <c r="V72" s="108">
        <f t="shared" si="118"/>
        <v>499728.81355932209</v>
      </c>
      <c r="W72" s="2">
        <f t="shared" si="119"/>
        <v>819000</v>
      </c>
      <c r="X72" s="2">
        <f t="shared" si="120"/>
        <v>0</v>
      </c>
      <c r="Y72" s="2">
        <v>12493.22033898305</v>
      </c>
      <c r="Z72" s="109">
        <f t="shared" si="121"/>
        <v>11010.973858086758</v>
      </c>
    </row>
    <row r="73" spans="1:27" s="94" customFormat="1" ht="12" x14ac:dyDescent="0.2">
      <c r="A73" s="88"/>
      <c r="B73" s="84"/>
      <c r="C73" s="84"/>
      <c r="D73" s="84"/>
      <c r="E73" s="88">
        <f>SUM(E71:E72)</f>
        <v>2</v>
      </c>
      <c r="F73" s="84"/>
      <c r="G73" s="115"/>
      <c r="H73" s="79">
        <f t="shared" ref="H73:I73" si="122">SUM(H71:H72)</f>
        <v>310000000</v>
      </c>
      <c r="I73" s="79">
        <f t="shared" si="122"/>
        <v>310000000</v>
      </c>
      <c r="J73" s="59"/>
      <c r="K73" s="59"/>
      <c r="L73" s="59"/>
      <c r="M73" s="59"/>
      <c r="N73" s="79">
        <f t="shared" ref="N73:Z73" si="123">SUM(N71:N72)</f>
        <v>7814000</v>
      </c>
      <c r="O73" s="79">
        <f t="shared" si="123"/>
        <v>0</v>
      </c>
      <c r="P73" s="79">
        <f t="shared" si="123"/>
        <v>0</v>
      </c>
      <c r="Q73" s="79">
        <f t="shared" si="123"/>
        <v>7814000</v>
      </c>
      <c r="R73" s="79">
        <f t="shared" si="123"/>
        <v>781400</v>
      </c>
      <c r="S73" s="79">
        <f t="shared" si="123"/>
        <v>7032600</v>
      </c>
      <c r="T73" s="79">
        <f t="shared" si="123"/>
        <v>1205253.30573166</v>
      </c>
      <c r="U73" s="79">
        <f t="shared" si="123"/>
        <v>726605.66696855985</v>
      </c>
      <c r="V73" s="79">
        <f t="shared" si="123"/>
        <v>5882141.0272997804</v>
      </c>
      <c r="W73" s="79">
        <f t="shared" si="123"/>
        <v>7814000</v>
      </c>
      <c r="X73" s="79">
        <f t="shared" si="123"/>
        <v>0</v>
      </c>
      <c r="Y73" s="79">
        <f t="shared" si="123"/>
        <v>60550.472247379992</v>
      </c>
      <c r="Z73" s="79">
        <f t="shared" si="123"/>
        <v>56500.281008019745</v>
      </c>
    </row>
    <row r="74" spans="1:27" ht="12" x14ac:dyDescent="0.2">
      <c r="A74" s="83"/>
      <c r="B74" s="83"/>
      <c r="C74" s="83" t="s">
        <v>147</v>
      </c>
      <c r="D74" s="84"/>
      <c r="E74" s="85">
        <f>E70+E55+E53+E50+E73</f>
        <v>20</v>
      </c>
      <c r="F74" s="87">
        <f t="shared" ref="F74:Z74" si="124">F70+F55+F53+F50+F73</f>
        <v>0</v>
      </c>
      <c r="G74" s="87">
        <f t="shared" si="124"/>
        <v>0</v>
      </c>
      <c r="H74" s="87">
        <f>H70+H55+H53+H50+H73</f>
        <v>4756450622</v>
      </c>
      <c r="I74" s="87">
        <f t="shared" si="124"/>
        <v>4756450622</v>
      </c>
      <c r="J74" s="87">
        <f t="shared" si="124"/>
        <v>0</v>
      </c>
      <c r="K74" s="87">
        <f t="shared" si="124"/>
        <v>0</v>
      </c>
      <c r="L74" s="87">
        <f t="shared" si="124"/>
        <v>0</v>
      </c>
      <c r="M74" s="87">
        <f t="shared" si="124"/>
        <v>0</v>
      </c>
      <c r="N74" s="87">
        <f t="shared" si="124"/>
        <v>144081307.23106</v>
      </c>
      <c r="O74" s="87">
        <f t="shared" si="124"/>
        <v>0</v>
      </c>
      <c r="P74" s="87">
        <f t="shared" si="124"/>
        <v>0</v>
      </c>
      <c r="Q74" s="87">
        <f t="shared" si="124"/>
        <v>144081307.23106</v>
      </c>
      <c r="R74" s="87">
        <f t="shared" si="124"/>
        <v>14408130.723106002</v>
      </c>
      <c r="S74" s="87">
        <f t="shared" si="124"/>
        <v>129673176.50795402</v>
      </c>
      <c r="T74" s="87">
        <f t="shared" si="124"/>
        <v>26442913.398574404</v>
      </c>
      <c r="U74" s="87">
        <f t="shared" si="124"/>
        <v>20631056.015088685</v>
      </c>
      <c r="V74" s="87">
        <f t="shared" si="124"/>
        <v>97007337.817396924</v>
      </c>
      <c r="W74" s="87">
        <f t="shared" si="124"/>
        <v>144081307.23106003</v>
      </c>
      <c r="X74" s="87">
        <f t="shared" si="124"/>
        <v>0</v>
      </c>
      <c r="Y74" s="87">
        <f t="shared" si="124"/>
        <v>1719254.6679240575</v>
      </c>
      <c r="Z74" s="87">
        <f t="shared" si="124"/>
        <v>1432651.5793074931</v>
      </c>
    </row>
    <row r="75" spans="1:27" s="94" customFormat="1" ht="12" x14ac:dyDescent="0.2">
      <c r="A75" s="83"/>
      <c r="B75" s="83"/>
      <c r="C75" s="83" t="s">
        <v>148</v>
      </c>
      <c r="D75" s="84"/>
      <c r="E75" s="93">
        <f t="shared" ref="E75:G75" si="125">E74+E44</f>
        <v>29</v>
      </c>
      <c r="F75" s="95">
        <f t="shared" si="125"/>
        <v>0</v>
      </c>
      <c r="G75" s="95">
        <f t="shared" si="125"/>
        <v>0</v>
      </c>
      <c r="H75" s="95">
        <f>H74+H44</f>
        <v>6129450622</v>
      </c>
      <c r="I75" s="95">
        <f t="shared" ref="I75:AA75" si="126">I74+I44</f>
        <v>6129450622</v>
      </c>
      <c r="J75" s="95">
        <f t="shared" si="126"/>
        <v>0</v>
      </c>
      <c r="K75" s="95">
        <f t="shared" si="126"/>
        <v>0</v>
      </c>
      <c r="L75" s="95">
        <f t="shared" si="126"/>
        <v>0</v>
      </c>
      <c r="M75" s="95">
        <f t="shared" si="126"/>
        <v>0</v>
      </c>
      <c r="N75" s="95">
        <f t="shared" si="126"/>
        <v>175057545.86488</v>
      </c>
      <c r="O75" s="95">
        <f t="shared" si="126"/>
        <v>300000</v>
      </c>
      <c r="P75" s="95">
        <f t="shared" si="126"/>
        <v>0</v>
      </c>
      <c r="Q75" s="95">
        <f>Q74+Q44</f>
        <v>191255545.86488</v>
      </c>
      <c r="R75" s="95">
        <f t="shared" si="126"/>
        <v>18995427.723106004</v>
      </c>
      <c r="S75" s="95">
        <f t="shared" si="126"/>
        <v>172260118.141774</v>
      </c>
      <c r="T75" s="95">
        <f t="shared" si="126"/>
        <v>40179891.176636502</v>
      </c>
      <c r="U75" s="95">
        <f t="shared" si="126"/>
        <v>32067997.472617172</v>
      </c>
      <c r="V75" s="95">
        <f t="shared" si="126"/>
        <v>119007657.21562634</v>
      </c>
      <c r="W75" s="95">
        <f t="shared" si="126"/>
        <v>191255545.86488003</v>
      </c>
      <c r="X75" s="95">
        <f t="shared" si="126"/>
        <v>0</v>
      </c>
      <c r="Y75" s="95">
        <f t="shared" si="126"/>
        <v>2741413.6653845245</v>
      </c>
      <c r="Z75" s="95">
        <f t="shared" si="126"/>
        <v>2097389.6112229442</v>
      </c>
      <c r="AA75" s="95">
        <f t="shared" si="126"/>
        <v>0</v>
      </c>
    </row>
    <row r="77" spans="1:27" ht="23.25" x14ac:dyDescent="0.2">
      <c r="A77" s="86" t="s">
        <v>172</v>
      </c>
      <c r="B77" s="62"/>
      <c r="C77" s="62"/>
      <c r="D77" s="57"/>
      <c r="E77" s="63"/>
      <c r="F77" s="64"/>
      <c r="G77" s="139"/>
      <c r="H77" s="66"/>
      <c r="I77" s="66"/>
      <c r="J77" s="67"/>
      <c r="K77" s="67"/>
      <c r="L77" s="68"/>
      <c r="M77" s="68"/>
      <c r="N77" s="69"/>
      <c r="O77" s="69"/>
      <c r="P77" s="69"/>
      <c r="Q77" s="69"/>
      <c r="R77" s="69"/>
      <c r="S77" s="69"/>
      <c r="T77" s="70"/>
      <c r="U77" s="71"/>
      <c r="V77" s="71"/>
    </row>
    <row r="78" spans="1:27" ht="12" x14ac:dyDescent="0.2">
      <c r="A78" s="231" t="s">
        <v>0</v>
      </c>
      <c r="B78" s="232" t="s">
        <v>1</v>
      </c>
      <c r="C78" s="229" t="s">
        <v>2</v>
      </c>
      <c r="D78" s="233" t="s">
        <v>3</v>
      </c>
      <c r="E78" s="234" t="s">
        <v>4</v>
      </c>
      <c r="F78" s="232" t="s">
        <v>5</v>
      </c>
      <c r="G78" s="237" t="s">
        <v>6</v>
      </c>
      <c r="H78" s="236" t="s">
        <v>7</v>
      </c>
      <c r="I78" s="236" t="s">
        <v>8</v>
      </c>
      <c r="J78" s="227" t="s">
        <v>9</v>
      </c>
      <c r="K78" s="227"/>
      <c r="L78" s="228" t="s">
        <v>10</v>
      </c>
      <c r="M78" s="229" t="s">
        <v>11</v>
      </c>
      <c r="N78" s="230" t="s">
        <v>12</v>
      </c>
      <c r="O78" s="230"/>
      <c r="P78" s="230"/>
      <c r="Q78" s="229" t="s">
        <v>13</v>
      </c>
      <c r="R78" s="229" t="s">
        <v>14</v>
      </c>
      <c r="S78" s="229" t="s">
        <v>15</v>
      </c>
      <c r="T78" s="36">
        <v>2021</v>
      </c>
      <c r="U78" s="37"/>
      <c r="V78" s="38" t="s">
        <v>44</v>
      </c>
    </row>
    <row r="79" spans="1:27" ht="12" x14ac:dyDescent="0.2">
      <c r="A79" s="231"/>
      <c r="B79" s="232"/>
      <c r="C79" s="229"/>
      <c r="D79" s="233"/>
      <c r="E79" s="234"/>
      <c r="F79" s="232"/>
      <c r="G79" s="237"/>
      <c r="H79" s="236"/>
      <c r="I79" s="236"/>
      <c r="J79" s="227"/>
      <c r="K79" s="227"/>
      <c r="L79" s="228"/>
      <c r="M79" s="229"/>
      <c r="N79" s="225" t="s">
        <v>16</v>
      </c>
      <c r="O79" s="225" t="s">
        <v>17</v>
      </c>
      <c r="P79" s="225" t="s">
        <v>18</v>
      </c>
      <c r="Q79" s="229"/>
      <c r="R79" s="229"/>
      <c r="S79" s="229"/>
      <c r="T79" s="96" t="s">
        <v>253</v>
      </c>
      <c r="U79" s="39">
        <v>2022</v>
      </c>
      <c r="V79" s="40"/>
    </row>
    <row r="80" spans="1:27" ht="12.75" x14ac:dyDescent="0.2">
      <c r="A80" s="154">
        <v>16</v>
      </c>
      <c r="B80" s="155" t="s">
        <v>111</v>
      </c>
      <c r="C80" s="155" t="s">
        <v>160</v>
      </c>
      <c r="D80" s="156">
        <v>44361</v>
      </c>
      <c r="E80" s="154">
        <v>1</v>
      </c>
      <c r="F80" s="155" t="s">
        <v>161</v>
      </c>
      <c r="G80" s="175">
        <v>1</v>
      </c>
      <c r="H80" s="176">
        <v>64397514</v>
      </c>
      <c r="I80" s="176">
        <f>H80*G80</f>
        <v>64397514</v>
      </c>
      <c r="J80" s="156">
        <v>44822</v>
      </c>
      <c r="K80" s="177">
        <v>44990</v>
      </c>
      <c r="L80" s="155">
        <v>6</v>
      </c>
      <c r="M80" s="99">
        <v>5.46</v>
      </c>
      <c r="N80" s="81">
        <f t="shared" ref="N80" si="127">M80*H80/1000</f>
        <v>351610.42644000001</v>
      </c>
      <c r="O80" s="81">
        <v>100000</v>
      </c>
      <c r="P80" s="81"/>
      <c r="Q80" s="81">
        <f t="shared" ref="Q80" si="128">N80+O80+P80</f>
        <v>451610.42644000001</v>
      </c>
      <c r="R80" s="81"/>
      <c r="S80" s="81">
        <f t="shared" ref="S80" si="129">Q80-R80</f>
        <v>451610.42644000001</v>
      </c>
      <c r="T80" s="182">
        <f>Q80/L80*6</f>
        <v>451610.42644000001</v>
      </c>
      <c r="U80" s="182"/>
      <c r="V80" s="182">
        <f>Q80-T80-U80</f>
        <v>0</v>
      </c>
      <c r="W80" s="2">
        <f t="shared" ref="W80:W85" si="130">T80+U80+V80</f>
        <v>451610.42644000001</v>
      </c>
      <c r="X80" s="2">
        <f t="shared" ref="X80:X85" si="131">Q80-W80</f>
        <v>0</v>
      </c>
    </row>
    <row r="81" spans="1:24" ht="12.75" x14ac:dyDescent="0.2">
      <c r="A81" s="159"/>
      <c r="B81" s="160"/>
      <c r="C81" s="160"/>
      <c r="D81" s="160"/>
      <c r="E81" s="178"/>
      <c r="F81" s="179"/>
      <c r="G81" s="179"/>
      <c r="H81" s="179"/>
      <c r="I81" s="179"/>
      <c r="J81" s="179"/>
      <c r="K81" s="179"/>
      <c r="L81" s="179"/>
      <c r="M81" s="179"/>
      <c r="N81" s="179">
        <f t="shared" ref="N81:X81" si="132">SUM(N80)</f>
        <v>351610.42644000001</v>
      </c>
      <c r="O81" s="179">
        <f t="shared" si="132"/>
        <v>100000</v>
      </c>
      <c r="P81" s="179">
        <f t="shared" si="132"/>
        <v>0</v>
      </c>
      <c r="Q81" s="179">
        <f t="shared" si="132"/>
        <v>451610.42644000001</v>
      </c>
      <c r="R81" s="179">
        <f t="shared" si="132"/>
        <v>0</v>
      </c>
      <c r="S81" s="179">
        <f t="shared" si="132"/>
        <v>451610.42644000001</v>
      </c>
      <c r="T81" s="179">
        <f t="shared" si="132"/>
        <v>451610.42644000001</v>
      </c>
      <c r="U81" s="179">
        <f t="shared" si="132"/>
        <v>0</v>
      </c>
      <c r="V81" s="179">
        <f t="shared" si="132"/>
        <v>0</v>
      </c>
      <c r="W81" s="179">
        <f t="shared" si="132"/>
        <v>451610.42644000001</v>
      </c>
      <c r="X81" s="179">
        <f t="shared" si="132"/>
        <v>0</v>
      </c>
    </row>
    <row r="82" spans="1:24" ht="12.75" x14ac:dyDescent="0.2">
      <c r="A82" s="154">
        <v>17</v>
      </c>
      <c r="B82" s="155" t="s">
        <v>49</v>
      </c>
      <c r="C82" s="155" t="s">
        <v>163</v>
      </c>
      <c r="D82" s="156">
        <v>44377</v>
      </c>
      <c r="E82" s="154">
        <v>1</v>
      </c>
      <c r="F82" s="155" t="s">
        <v>164</v>
      </c>
      <c r="G82" s="175">
        <v>1</v>
      </c>
      <c r="H82" s="176">
        <v>179133550</v>
      </c>
      <c r="I82" s="176">
        <f>H82*G82</f>
        <v>179133550</v>
      </c>
      <c r="J82" s="156">
        <v>44373</v>
      </c>
      <c r="K82" s="177">
        <v>46280</v>
      </c>
      <c r="L82" s="155">
        <v>63</v>
      </c>
      <c r="M82" s="99">
        <v>25.48</v>
      </c>
      <c r="N82" s="81">
        <f t="shared" ref="N82" si="133">M82*H82/1000</f>
        <v>4564322.8540000003</v>
      </c>
      <c r="O82" s="81"/>
      <c r="P82" s="81"/>
      <c r="Q82" s="81">
        <f t="shared" ref="Q82" si="134">N82+O82+P82</f>
        <v>4564322.8540000003</v>
      </c>
      <c r="R82" s="81">
        <f t="shared" ref="R82" si="135">10%*N82</f>
        <v>456432.28540000005</v>
      </c>
      <c r="S82" s="81">
        <f t="shared" ref="S82" si="136">Q82-R82</f>
        <v>4107890.5686000003</v>
      </c>
      <c r="T82" s="182">
        <f>Q82/L82*7</f>
        <v>507146.98377777787</v>
      </c>
      <c r="U82" s="182">
        <f t="shared" ref="U82" si="137">Q82/L82*12</f>
        <v>869394.82933333353</v>
      </c>
      <c r="V82" s="182">
        <f t="shared" ref="V82" si="138">Q82-T82-U82</f>
        <v>3187781.0408888888</v>
      </c>
      <c r="W82" s="2">
        <f t="shared" si="130"/>
        <v>4564322.8540000003</v>
      </c>
      <c r="X82" s="2">
        <f t="shared" si="131"/>
        <v>0</v>
      </c>
    </row>
    <row r="83" spans="1:24" ht="12.75" x14ac:dyDescent="0.2">
      <c r="A83" s="159"/>
      <c r="B83" s="160"/>
      <c r="C83" s="160"/>
      <c r="D83" s="160"/>
      <c r="E83" s="178">
        <f>SUM(E82)</f>
        <v>1</v>
      </c>
      <c r="F83" s="179"/>
      <c r="G83" s="179"/>
      <c r="H83" s="179">
        <f>SUM(H82)</f>
        <v>179133550</v>
      </c>
      <c r="I83" s="179">
        <f>SUM(I82)</f>
        <v>179133550</v>
      </c>
      <c r="J83" s="179"/>
      <c r="K83" s="179"/>
      <c r="L83" s="179"/>
      <c r="M83" s="179"/>
      <c r="N83" s="179">
        <f t="shared" ref="N83:X83" si="139">SUM(N82)</f>
        <v>4564322.8540000003</v>
      </c>
      <c r="O83" s="179">
        <f t="shared" si="139"/>
        <v>0</v>
      </c>
      <c r="P83" s="179">
        <f t="shared" si="139"/>
        <v>0</v>
      </c>
      <c r="Q83" s="179">
        <f t="shared" si="139"/>
        <v>4564322.8540000003</v>
      </c>
      <c r="R83" s="179">
        <f t="shared" si="139"/>
        <v>456432.28540000005</v>
      </c>
      <c r="S83" s="179">
        <f t="shared" si="139"/>
        <v>4107890.5686000003</v>
      </c>
      <c r="T83" s="179">
        <f t="shared" si="139"/>
        <v>507146.98377777787</v>
      </c>
      <c r="U83" s="179">
        <f t="shared" si="139"/>
        <v>869394.82933333353</v>
      </c>
      <c r="V83" s="179">
        <f t="shared" si="139"/>
        <v>3187781.0408888888</v>
      </c>
      <c r="W83" s="179">
        <f t="shared" si="139"/>
        <v>4564322.8540000003</v>
      </c>
      <c r="X83" s="179">
        <f t="shared" si="139"/>
        <v>0</v>
      </c>
    </row>
    <row r="84" spans="1:24" ht="12" x14ac:dyDescent="0.2">
      <c r="A84" s="83"/>
      <c r="B84" s="83"/>
      <c r="C84" s="83" t="s">
        <v>147</v>
      </c>
      <c r="D84" s="84"/>
      <c r="E84" s="85">
        <f>E81+E83</f>
        <v>1</v>
      </c>
      <c r="F84" s="87"/>
      <c r="G84" s="87"/>
      <c r="H84" s="87">
        <f t="shared" ref="H84:V84" si="140">H81+H83</f>
        <v>179133550</v>
      </c>
      <c r="I84" s="87">
        <f t="shared" si="140"/>
        <v>179133550</v>
      </c>
      <c r="J84" s="87"/>
      <c r="K84" s="87"/>
      <c r="L84" s="87"/>
      <c r="M84" s="87"/>
      <c r="N84" s="87">
        <f t="shared" si="140"/>
        <v>4915933.2804399999</v>
      </c>
      <c r="O84" s="87">
        <f t="shared" si="140"/>
        <v>100000</v>
      </c>
      <c r="P84" s="87">
        <f t="shared" si="140"/>
        <v>0</v>
      </c>
      <c r="Q84" s="87">
        <f t="shared" si="140"/>
        <v>5015933.2804399999</v>
      </c>
      <c r="R84" s="87">
        <f t="shared" si="140"/>
        <v>456432.28540000005</v>
      </c>
      <c r="S84" s="87">
        <f t="shared" si="140"/>
        <v>4559500.9950400004</v>
      </c>
      <c r="T84" s="87">
        <f t="shared" si="140"/>
        <v>958757.41021777783</v>
      </c>
      <c r="U84" s="87">
        <f t="shared" si="140"/>
        <v>869394.82933333353</v>
      </c>
      <c r="V84" s="87">
        <f t="shared" si="140"/>
        <v>3187781.0408888888</v>
      </c>
      <c r="W84" s="87">
        <f t="shared" ref="W84:X84" si="141">W81+W83</f>
        <v>5015933.2804399999</v>
      </c>
      <c r="X84" s="87">
        <f t="shared" si="141"/>
        <v>0</v>
      </c>
    </row>
    <row r="85" spans="1:24" ht="12" x14ac:dyDescent="0.2">
      <c r="A85" s="83"/>
      <c r="B85" s="83"/>
      <c r="C85" s="83" t="s">
        <v>148</v>
      </c>
      <c r="D85" s="84"/>
      <c r="E85" s="95">
        <f t="shared" ref="E85:P85" si="142">E84+E75</f>
        <v>30</v>
      </c>
      <c r="F85" s="95">
        <f t="shared" si="142"/>
        <v>0</v>
      </c>
      <c r="G85" s="95">
        <f t="shared" si="142"/>
        <v>0</v>
      </c>
      <c r="H85" s="95">
        <f t="shared" si="142"/>
        <v>6308584172</v>
      </c>
      <c r="I85" s="95">
        <f t="shared" si="142"/>
        <v>6308584172</v>
      </c>
      <c r="J85" s="95">
        <f t="shared" si="142"/>
        <v>0</v>
      </c>
      <c r="K85" s="95">
        <f t="shared" si="142"/>
        <v>0</v>
      </c>
      <c r="L85" s="95">
        <f t="shared" si="142"/>
        <v>0</v>
      </c>
      <c r="M85" s="95">
        <f t="shared" si="142"/>
        <v>0</v>
      </c>
      <c r="N85" s="95">
        <f t="shared" si="142"/>
        <v>179973479.14532</v>
      </c>
      <c r="O85" s="95">
        <f t="shared" si="142"/>
        <v>400000</v>
      </c>
      <c r="P85" s="95">
        <f t="shared" si="142"/>
        <v>0</v>
      </c>
      <c r="Q85" s="95">
        <f>Q84+Q75</f>
        <v>196271479.14532</v>
      </c>
      <c r="R85" s="95">
        <f t="shared" ref="R85:X85" si="143">R84+R75</f>
        <v>19451860.008506004</v>
      </c>
      <c r="S85" s="95">
        <f t="shared" si="143"/>
        <v>176819619.136814</v>
      </c>
      <c r="T85" s="95">
        <f t="shared" si="143"/>
        <v>41138648.586854279</v>
      </c>
      <c r="U85" s="95">
        <f t="shared" si="143"/>
        <v>32937392.301950507</v>
      </c>
      <c r="V85" s="95">
        <f t="shared" si="143"/>
        <v>122195438.25651523</v>
      </c>
      <c r="W85" s="95">
        <f t="shared" si="143"/>
        <v>196271479.14532003</v>
      </c>
      <c r="X85" s="95">
        <f t="shared" si="143"/>
        <v>0</v>
      </c>
    </row>
    <row r="86" spans="1:24" ht="12" x14ac:dyDescent="0.2">
      <c r="T86" s="181"/>
      <c r="U86" s="181"/>
      <c r="V86" s="181"/>
    </row>
    <row r="87" spans="1:24" ht="23.25" x14ac:dyDescent="0.2">
      <c r="A87" s="86" t="s">
        <v>201</v>
      </c>
      <c r="B87" s="62"/>
      <c r="C87" s="62"/>
      <c r="D87" s="57"/>
      <c r="E87" s="63"/>
      <c r="F87" s="64"/>
      <c r="G87" s="139"/>
      <c r="H87" s="66"/>
      <c r="I87" s="66"/>
      <c r="J87" s="67"/>
      <c r="K87" s="67"/>
      <c r="L87" s="68"/>
      <c r="M87" s="68"/>
      <c r="N87" s="69"/>
      <c r="O87" s="69"/>
      <c r="P87" s="69"/>
      <c r="Q87" s="69"/>
      <c r="R87" s="69"/>
      <c r="S87" s="69"/>
      <c r="T87" s="70"/>
      <c r="U87" s="71"/>
      <c r="V87" s="71"/>
    </row>
    <row r="88" spans="1:24" ht="12" x14ac:dyDescent="0.2">
      <c r="A88" s="231" t="s">
        <v>0</v>
      </c>
      <c r="B88" s="232" t="s">
        <v>1</v>
      </c>
      <c r="C88" s="229" t="s">
        <v>2</v>
      </c>
      <c r="D88" s="233" t="s">
        <v>3</v>
      </c>
      <c r="E88" s="234" t="s">
        <v>4</v>
      </c>
      <c r="F88" s="232" t="s">
        <v>5</v>
      </c>
      <c r="G88" s="237" t="s">
        <v>6</v>
      </c>
      <c r="H88" s="236" t="s">
        <v>7</v>
      </c>
      <c r="I88" s="236" t="s">
        <v>8</v>
      </c>
      <c r="J88" s="227" t="s">
        <v>9</v>
      </c>
      <c r="K88" s="227"/>
      <c r="L88" s="228" t="s">
        <v>10</v>
      </c>
      <c r="M88" s="229" t="s">
        <v>11</v>
      </c>
      <c r="N88" s="230" t="s">
        <v>12</v>
      </c>
      <c r="O88" s="230"/>
      <c r="P88" s="230"/>
      <c r="Q88" s="229" t="s">
        <v>13</v>
      </c>
      <c r="R88" s="229" t="s">
        <v>14</v>
      </c>
      <c r="S88" s="229" t="s">
        <v>15</v>
      </c>
      <c r="T88" s="36">
        <v>2021</v>
      </c>
      <c r="U88" s="37"/>
      <c r="V88" s="38" t="s">
        <v>44</v>
      </c>
    </row>
    <row r="89" spans="1:24" ht="12" x14ac:dyDescent="0.2">
      <c r="A89" s="231"/>
      <c r="B89" s="232"/>
      <c r="C89" s="229"/>
      <c r="D89" s="233"/>
      <c r="E89" s="234"/>
      <c r="F89" s="232"/>
      <c r="G89" s="237"/>
      <c r="H89" s="236"/>
      <c r="I89" s="236"/>
      <c r="J89" s="227"/>
      <c r="K89" s="227"/>
      <c r="L89" s="228"/>
      <c r="M89" s="229"/>
      <c r="N89" s="225" t="s">
        <v>16</v>
      </c>
      <c r="O89" s="225" t="s">
        <v>17</v>
      </c>
      <c r="P89" s="225" t="s">
        <v>18</v>
      </c>
      <c r="Q89" s="229"/>
      <c r="R89" s="229"/>
      <c r="S89" s="229"/>
      <c r="T89" s="96" t="s">
        <v>254</v>
      </c>
      <c r="U89" s="39">
        <v>2022</v>
      </c>
      <c r="V89" s="40"/>
    </row>
    <row r="90" spans="1:24" ht="12.75" x14ac:dyDescent="0.2">
      <c r="A90" s="154">
        <v>18</v>
      </c>
      <c r="B90" s="155" t="s">
        <v>128</v>
      </c>
      <c r="C90" s="155" t="s">
        <v>178</v>
      </c>
      <c r="D90" s="156">
        <v>44391</v>
      </c>
      <c r="E90" s="154">
        <v>1</v>
      </c>
      <c r="F90" s="155" t="s">
        <v>179</v>
      </c>
      <c r="G90" s="175">
        <v>1</v>
      </c>
      <c r="H90" s="176">
        <v>380000000</v>
      </c>
      <c r="I90" s="176">
        <f>H90*G90</f>
        <v>380000000</v>
      </c>
      <c r="J90" s="156">
        <v>44350</v>
      </c>
      <c r="K90" s="77">
        <f t="shared" ref="K90:K105" si="144">IFERROR(VALUE(DAY(J90)&amp;" "&amp;TEXT(EOMONTH(J90,L90)-29,"mmm")&amp;" "&amp;YEAR(EOMONTH(J90,L90)-29)),"-")</f>
        <v>48002</v>
      </c>
      <c r="L90" s="155">
        <v>120</v>
      </c>
      <c r="M90" s="99">
        <v>25.48</v>
      </c>
      <c r="N90" s="81">
        <f t="shared" ref="N90:N105" si="145">M90*H90/1000</f>
        <v>9682400</v>
      </c>
      <c r="O90" s="81"/>
      <c r="P90" s="81"/>
      <c r="Q90" s="81">
        <f t="shared" ref="Q90:Q105" si="146">N90+O90+P90</f>
        <v>9682400</v>
      </c>
      <c r="R90" s="81">
        <f t="shared" ref="R90:R105" si="147">10%*N90</f>
        <v>968240</v>
      </c>
      <c r="S90" s="81">
        <f t="shared" ref="S90:S105" si="148">Q90-R90</f>
        <v>8714160</v>
      </c>
      <c r="T90" s="182">
        <f>Q90/L90*7</f>
        <v>564806.66666666674</v>
      </c>
      <c r="U90" s="182">
        <f>Q90/L90*12</f>
        <v>968240</v>
      </c>
      <c r="V90" s="182">
        <f>Q90-T90-U90</f>
        <v>8149353.333333334</v>
      </c>
      <c r="W90" s="181">
        <f>T90+U90+V90</f>
        <v>9682400</v>
      </c>
      <c r="X90" s="181">
        <f>Q90-W90</f>
        <v>0</v>
      </c>
    </row>
    <row r="91" spans="1:24" ht="12.75" x14ac:dyDescent="0.2">
      <c r="A91" s="168"/>
      <c r="B91" s="168"/>
      <c r="C91" s="168"/>
      <c r="D91" s="107"/>
      <c r="E91" s="154">
        <v>1</v>
      </c>
      <c r="F91" s="155" t="s">
        <v>180</v>
      </c>
      <c r="G91" s="175">
        <v>1</v>
      </c>
      <c r="H91" s="176">
        <v>445000000</v>
      </c>
      <c r="I91" s="176">
        <f t="shared" ref="I91:I105" si="149">H91*G91</f>
        <v>445000000</v>
      </c>
      <c r="J91" s="156">
        <v>44350</v>
      </c>
      <c r="K91" s="77">
        <f t="shared" si="144"/>
        <v>49312</v>
      </c>
      <c r="L91" s="155">
        <v>164</v>
      </c>
      <c r="M91" s="99">
        <v>35.409999999999997</v>
      </c>
      <c r="N91" s="81">
        <f t="shared" si="145"/>
        <v>15757449.999999998</v>
      </c>
      <c r="O91" s="81"/>
      <c r="P91" s="81"/>
      <c r="Q91" s="81">
        <f t="shared" si="146"/>
        <v>15757449.999999998</v>
      </c>
      <c r="R91" s="81">
        <f t="shared" si="147"/>
        <v>1575745</v>
      </c>
      <c r="S91" s="81">
        <f t="shared" si="148"/>
        <v>14181704.999999998</v>
      </c>
      <c r="T91" s="182">
        <f t="shared" ref="T91:T105" si="150">Q91/L91*7</f>
        <v>672574.08536585351</v>
      </c>
      <c r="U91" s="182">
        <f t="shared" ref="U91:U109" si="151">Q91/L91*12</f>
        <v>1152984.1463414631</v>
      </c>
      <c r="V91" s="182">
        <f t="shared" ref="V91:V105" si="152">Q91-T91-U91</f>
        <v>13931891.76829268</v>
      </c>
      <c r="W91" s="181">
        <f t="shared" ref="W91:W105" si="153">T91+U91+V91</f>
        <v>15757449.999999996</v>
      </c>
      <c r="X91" s="181">
        <f t="shared" ref="X91:X105" si="154">Q91-W91</f>
        <v>0</v>
      </c>
    </row>
    <row r="92" spans="1:24" ht="12.75" x14ac:dyDescent="0.2">
      <c r="A92" s="168"/>
      <c r="B92" s="168"/>
      <c r="C92" s="168"/>
      <c r="D92" s="107"/>
      <c r="E92" s="154">
        <v>1</v>
      </c>
      <c r="F92" s="155" t="s">
        <v>181</v>
      </c>
      <c r="G92" s="175">
        <v>1</v>
      </c>
      <c r="H92" s="176">
        <v>500000000</v>
      </c>
      <c r="I92" s="176">
        <f t="shared" si="149"/>
        <v>500000000</v>
      </c>
      <c r="J92" s="156">
        <v>44350</v>
      </c>
      <c r="K92" s="77">
        <f t="shared" si="144"/>
        <v>49463</v>
      </c>
      <c r="L92" s="155">
        <v>168</v>
      </c>
      <c r="M92" s="99">
        <v>35.409999999999997</v>
      </c>
      <c r="N92" s="81">
        <f t="shared" si="145"/>
        <v>17705000</v>
      </c>
      <c r="O92" s="81"/>
      <c r="P92" s="81"/>
      <c r="Q92" s="81">
        <f t="shared" si="146"/>
        <v>17705000</v>
      </c>
      <c r="R92" s="81">
        <f t="shared" si="147"/>
        <v>1770500</v>
      </c>
      <c r="S92" s="81">
        <f t="shared" si="148"/>
        <v>15934500</v>
      </c>
      <c r="T92" s="182">
        <f t="shared" si="150"/>
        <v>737708.33333333337</v>
      </c>
      <c r="U92" s="182">
        <f t="shared" si="151"/>
        <v>1264642.8571428573</v>
      </c>
      <c r="V92" s="182">
        <f t="shared" si="152"/>
        <v>15702648.80952381</v>
      </c>
      <c r="W92" s="181">
        <f t="shared" si="153"/>
        <v>17705000</v>
      </c>
      <c r="X92" s="181">
        <f t="shared" si="154"/>
        <v>0</v>
      </c>
    </row>
    <row r="93" spans="1:24" ht="12.75" x14ac:dyDescent="0.2">
      <c r="A93" s="168"/>
      <c r="B93" s="168"/>
      <c r="C93" s="168"/>
      <c r="D93" s="107"/>
      <c r="E93" s="154">
        <v>1</v>
      </c>
      <c r="F93" s="155" t="s">
        <v>182</v>
      </c>
      <c r="G93" s="175">
        <v>1</v>
      </c>
      <c r="H93" s="176">
        <v>330000000</v>
      </c>
      <c r="I93" s="176">
        <f t="shared" si="149"/>
        <v>330000000</v>
      </c>
      <c r="J93" s="156">
        <v>44350</v>
      </c>
      <c r="K93" s="77">
        <f t="shared" si="144"/>
        <v>49829</v>
      </c>
      <c r="L93" s="155">
        <v>180</v>
      </c>
      <c r="M93" s="99">
        <v>37.520000000000003</v>
      </c>
      <c r="N93" s="81">
        <f t="shared" si="145"/>
        <v>12381600.000000002</v>
      </c>
      <c r="O93" s="81"/>
      <c r="P93" s="81"/>
      <c r="Q93" s="81">
        <f t="shared" si="146"/>
        <v>12381600.000000002</v>
      </c>
      <c r="R93" s="81">
        <f t="shared" si="147"/>
        <v>1238160.0000000002</v>
      </c>
      <c r="S93" s="81">
        <f t="shared" si="148"/>
        <v>11143440.000000002</v>
      </c>
      <c r="T93" s="182">
        <f t="shared" si="150"/>
        <v>481506.66666666669</v>
      </c>
      <c r="U93" s="182">
        <f t="shared" si="151"/>
        <v>825440</v>
      </c>
      <c r="V93" s="182">
        <f t="shared" si="152"/>
        <v>11074653.333333336</v>
      </c>
      <c r="W93" s="181">
        <f t="shared" si="153"/>
        <v>12381600.000000002</v>
      </c>
      <c r="X93" s="181">
        <f t="shared" si="154"/>
        <v>0</v>
      </c>
    </row>
    <row r="94" spans="1:24" ht="12.75" x14ac:dyDescent="0.2">
      <c r="A94" s="168"/>
      <c r="B94" s="168"/>
      <c r="C94" s="168"/>
      <c r="D94" s="107"/>
      <c r="E94" s="154">
        <v>1</v>
      </c>
      <c r="F94" s="155" t="s">
        <v>193</v>
      </c>
      <c r="G94" s="175">
        <v>1</v>
      </c>
      <c r="H94" s="176">
        <v>331000000</v>
      </c>
      <c r="I94" s="176">
        <f t="shared" si="149"/>
        <v>331000000</v>
      </c>
      <c r="J94" s="156">
        <v>44350</v>
      </c>
      <c r="K94" s="77">
        <f t="shared" si="144"/>
        <v>49281</v>
      </c>
      <c r="L94" s="155">
        <v>162</v>
      </c>
      <c r="M94" s="99">
        <v>35.409999999999997</v>
      </c>
      <c r="N94" s="81">
        <f t="shared" si="145"/>
        <v>11720709.999999998</v>
      </c>
      <c r="O94" s="81"/>
      <c r="P94" s="81"/>
      <c r="Q94" s="81">
        <f t="shared" si="146"/>
        <v>11720709.999999998</v>
      </c>
      <c r="R94" s="81">
        <f t="shared" si="147"/>
        <v>1172070.9999999998</v>
      </c>
      <c r="S94" s="81">
        <f t="shared" si="148"/>
        <v>10548638.999999998</v>
      </c>
      <c r="T94" s="182">
        <f t="shared" si="150"/>
        <v>506450.43209876539</v>
      </c>
      <c r="U94" s="182">
        <f t="shared" si="151"/>
        <v>868200.74074074067</v>
      </c>
      <c r="V94" s="182">
        <f t="shared" si="152"/>
        <v>10346058.827160493</v>
      </c>
      <c r="W94" s="181">
        <f t="shared" si="153"/>
        <v>11720709.999999998</v>
      </c>
      <c r="X94" s="181">
        <f t="shared" si="154"/>
        <v>0</v>
      </c>
    </row>
    <row r="95" spans="1:24" ht="12.75" x14ac:dyDescent="0.2">
      <c r="A95" s="168"/>
      <c r="B95" s="168"/>
      <c r="C95" s="168"/>
      <c r="D95" s="107"/>
      <c r="E95" s="154">
        <v>1</v>
      </c>
      <c r="F95" s="155" t="s">
        <v>183</v>
      </c>
      <c r="G95" s="175">
        <v>1</v>
      </c>
      <c r="H95" s="176">
        <v>230000000</v>
      </c>
      <c r="I95" s="176">
        <f t="shared" si="149"/>
        <v>230000000</v>
      </c>
      <c r="J95" s="156">
        <v>44350</v>
      </c>
      <c r="K95" s="77">
        <f t="shared" si="144"/>
        <v>48002</v>
      </c>
      <c r="L95" s="155">
        <v>120</v>
      </c>
      <c r="M95" s="99">
        <v>25.48</v>
      </c>
      <c r="N95" s="81">
        <f t="shared" si="145"/>
        <v>5860400</v>
      </c>
      <c r="O95" s="81"/>
      <c r="P95" s="81"/>
      <c r="Q95" s="81">
        <f t="shared" si="146"/>
        <v>5860400</v>
      </c>
      <c r="R95" s="81">
        <f t="shared" si="147"/>
        <v>586040</v>
      </c>
      <c r="S95" s="81">
        <f t="shared" si="148"/>
        <v>5274360</v>
      </c>
      <c r="T95" s="182">
        <f t="shared" si="150"/>
        <v>341856.66666666663</v>
      </c>
      <c r="U95" s="182">
        <f t="shared" si="151"/>
        <v>586040</v>
      </c>
      <c r="V95" s="182">
        <f t="shared" si="152"/>
        <v>4932503.333333333</v>
      </c>
      <c r="W95" s="181">
        <f t="shared" si="153"/>
        <v>5860400</v>
      </c>
      <c r="X95" s="181">
        <f t="shared" si="154"/>
        <v>0</v>
      </c>
    </row>
    <row r="96" spans="1:24" ht="12.75" x14ac:dyDescent="0.2">
      <c r="A96" s="168"/>
      <c r="B96" s="168"/>
      <c r="C96" s="168"/>
      <c r="D96" s="107"/>
      <c r="E96" s="154">
        <v>1</v>
      </c>
      <c r="F96" s="155" t="s">
        <v>184</v>
      </c>
      <c r="G96" s="175">
        <v>1</v>
      </c>
      <c r="H96" s="176">
        <v>360000000</v>
      </c>
      <c r="I96" s="176">
        <f t="shared" si="149"/>
        <v>360000000</v>
      </c>
      <c r="J96" s="156">
        <v>44351</v>
      </c>
      <c r="K96" s="77">
        <f t="shared" si="144"/>
        <v>49647</v>
      </c>
      <c r="L96" s="155">
        <v>174</v>
      </c>
      <c r="M96" s="99">
        <v>37.520000000000003</v>
      </c>
      <c r="N96" s="81">
        <f t="shared" si="145"/>
        <v>13507200.000000002</v>
      </c>
      <c r="O96" s="81"/>
      <c r="P96" s="81"/>
      <c r="Q96" s="81">
        <f t="shared" si="146"/>
        <v>13507200.000000002</v>
      </c>
      <c r="R96" s="81">
        <f t="shared" si="147"/>
        <v>1350720.0000000002</v>
      </c>
      <c r="S96" s="81">
        <f t="shared" si="148"/>
        <v>12156480.000000002</v>
      </c>
      <c r="T96" s="182">
        <f t="shared" si="150"/>
        <v>543393.10344827594</v>
      </c>
      <c r="U96" s="182">
        <f t="shared" si="151"/>
        <v>931531.03448275873</v>
      </c>
      <c r="V96" s="182">
        <f t="shared" si="152"/>
        <v>12032275.862068968</v>
      </c>
      <c r="W96" s="181">
        <f t="shared" si="153"/>
        <v>13507200.000000002</v>
      </c>
      <c r="X96" s="181">
        <f t="shared" si="154"/>
        <v>0</v>
      </c>
    </row>
    <row r="97" spans="1:24" ht="12.75" x14ac:dyDescent="0.2">
      <c r="A97" s="168"/>
      <c r="B97" s="168"/>
      <c r="C97" s="168"/>
      <c r="D97" s="107"/>
      <c r="E97" s="154">
        <v>1</v>
      </c>
      <c r="F97" s="155" t="s">
        <v>185</v>
      </c>
      <c r="G97" s="175">
        <v>1</v>
      </c>
      <c r="H97" s="176">
        <v>310000000</v>
      </c>
      <c r="I97" s="176">
        <f t="shared" si="149"/>
        <v>310000000</v>
      </c>
      <c r="J97" s="156">
        <v>44354</v>
      </c>
      <c r="K97" s="77">
        <f t="shared" si="144"/>
        <v>48372</v>
      </c>
      <c r="L97" s="155">
        <v>132</v>
      </c>
      <c r="M97" s="169">
        <v>27.98</v>
      </c>
      <c r="N97" s="81">
        <f t="shared" si="145"/>
        <v>8673800</v>
      </c>
      <c r="O97" s="81"/>
      <c r="P97" s="81"/>
      <c r="Q97" s="81">
        <f t="shared" si="146"/>
        <v>8673800</v>
      </c>
      <c r="R97" s="81">
        <f t="shared" si="147"/>
        <v>867380</v>
      </c>
      <c r="S97" s="81">
        <f t="shared" si="148"/>
        <v>7806420</v>
      </c>
      <c r="T97" s="182">
        <f t="shared" si="150"/>
        <v>459974.24242424243</v>
      </c>
      <c r="U97" s="182">
        <f t="shared" si="151"/>
        <v>788527.27272727271</v>
      </c>
      <c r="V97" s="182">
        <f t="shared" si="152"/>
        <v>7425298.4848484853</v>
      </c>
      <c r="W97" s="181">
        <f t="shared" si="153"/>
        <v>8673800</v>
      </c>
      <c r="X97" s="181">
        <f t="shared" si="154"/>
        <v>0</v>
      </c>
    </row>
    <row r="98" spans="1:24" ht="12.75" x14ac:dyDescent="0.2">
      <c r="A98" s="168"/>
      <c r="B98" s="168"/>
      <c r="C98" s="168"/>
      <c r="D98" s="107"/>
      <c r="E98" s="154">
        <v>1</v>
      </c>
      <c r="F98" s="155" t="s">
        <v>186</v>
      </c>
      <c r="G98" s="175">
        <v>1</v>
      </c>
      <c r="H98" s="176">
        <v>350000000</v>
      </c>
      <c r="I98" s="176">
        <f t="shared" si="149"/>
        <v>350000000</v>
      </c>
      <c r="J98" s="156">
        <v>44354</v>
      </c>
      <c r="K98" s="77">
        <f t="shared" si="144"/>
        <v>48737</v>
      </c>
      <c r="L98" s="155">
        <v>144</v>
      </c>
      <c r="M98" s="99">
        <v>30.46</v>
      </c>
      <c r="N98" s="81">
        <f t="shared" si="145"/>
        <v>10661000</v>
      </c>
      <c r="O98" s="81"/>
      <c r="P98" s="81"/>
      <c r="Q98" s="81">
        <f t="shared" si="146"/>
        <v>10661000</v>
      </c>
      <c r="R98" s="81">
        <f t="shared" si="147"/>
        <v>1066100</v>
      </c>
      <c r="S98" s="81">
        <f t="shared" si="148"/>
        <v>9594900</v>
      </c>
      <c r="T98" s="182">
        <f t="shared" si="150"/>
        <v>518243.0555555555</v>
      </c>
      <c r="U98" s="182">
        <f t="shared" si="151"/>
        <v>888416.66666666663</v>
      </c>
      <c r="V98" s="182">
        <f t="shared" si="152"/>
        <v>9254340.277777778</v>
      </c>
      <c r="W98" s="181">
        <f t="shared" si="153"/>
        <v>10661000</v>
      </c>
      <c r="X98" s="181">
        <f t="shared" si="154"/>
        <v>0</v>
      </c>
    </row>
    <row r="99" spans="1:24" ht="12.75" x14ac:dyDescent="0.2">
      <c r="A99" s="168"/>
      <c r="B99" s="168"/>
      <c r="C99" s="168"/>
      <c r="D99" s="107"/>
      <c r="E99" s="154">
        <v>1</v>
      </c>
      <c r="F99" s="155" t="s">
        <v>187</v>
      </c>
      <c r="G99" s="175">
        <v>1</v>
      </c>
      <c r="H99" s="176">
        <v>400000000</v>
      </c>
      <c r="I99" s="176">
        <f t="shared" si="149"/>
        <v>400000000</v>
      </c>
      <c r="J99" s="156">
        <v>44354</v>
      </c>
      <c r="K99" s="77">
        <f t="shared" si="144"/>
        <v>49833</v>
      </c>
      <c r="L99" s="155">
        <v>180</v>
      </c>
      <c r="M99" s="99">
        <v>37.520000000000003</v>
      </c>
      <c r="N99" s="81">
        <f t="shared" si="145"/>
        <v>15008000.000000002</v>
      </c>
      <c r="O99" s="81"/>
      <c r="P99" s="81"/>
      <c r="Q99" s="81">
        <f t="shared" si="146"/>
        <v>15008000.000000002</v>
      </c>
      <c r="R99" s="81">
        <f t="shared" si="147"/>
        <v>1500800.0000000002</v>
      </c>
      <c r="S99" s="81">
        <f t="shared" si="148"/>
        <v>13507200.000000002</v>
      </c>
      <c r="T99" s="182">
        <f t="shared" si="150"/>
        <v>583644.4444444445</v>
      </c>
      <c r="U99" s="182">
        <f t="shared" si="151"/>
        <v>1000533.3333333334</v>
      </c>
      <c r="V99" s="182">
        <f t="shared" si="152"/>
        <v>13423822.222222224</v>
      </c>
      <c r="W99" s="181">
        <f t="shared" si="153"/>
        <v>15008000.000000002</v>
      </c>
      <c r="X99" s="181">
        <f t="shared" si="154"/>
        <v>0</v>
      </c>
    </row>
    <row r="100" spans="1:24" ht="12.75" x14ac:dyDescent="0.2">
      <c r="A100" s="168"/>
      <c r="B100" s="168"/>
      <c r="C100" s="168"/>
      <c r="D100" s="107"/>
      <c r="E100" s="154">
        <v>1</v>
      </c>
      <c r="F100" s="155" t="s">
        <v>188</v>
      </c>
      <c r="G100" s="175">
        <v>1</v>
      </c>
      <c r="H100" s="176">
        <v>310000000</v>
      </c>
      <c r="I100" s="176">
        <f t="shared" si="149"/>
        <v>310000000</v>
      </c>
      <c r="J100" s="156">
        <v>44355</v>
      </c>
      <c r="K100" s="77">
        <f t="shared" si="144"/>
        <v>47825</v>
      </c>
      <c r="L100" s="155">
        <v>114</v>
      </c>
      <c r="M100" s="99">
        <v>25.48</v>
      </c>
      <c r="N100" s="81">
        <f t="shared" si="145"/>
        <v>7898800</v>
      </c>
      <c r="O100" s="81"/>
      <c r="P100" s="81"/>
      <c r="Q100" s="81">
        <f t="shared" si="146"/>
        <v>7898800</v>
      </c>
      <c r="R100" s="81">
        <f t="shared" si="147"/>
        <v>789880</v>
      </c>
      <c r="S100" s="81">
        <f t="shared" si="148"/>
        <v>7108920</v>
      </c>
      <c r="T100" s="182">
        <f t="shared" si="150"/>
        <v>485014.03508771933</v>
      </c>
      <c r="U100" s="182">
        <f t="shared" si="151"/>
        <v>831452.63157894742</v>
      </c>
      <c r="V100" s="182">
        <f t="shared" si="152"/>
        <v>6582333.333333333</v>
      </c>
      <c r="W100" s="181">
        <f t="shared" si="153"/>
        <v>7898800</v>
      </c>
      <c r="X100" s="181">
        <f t="shared" si="154"/>
        <v>0</v>
      </c>
    </row>
    <row r="101" spans="1:24" ht="12.75" x14ac:dyDescent="0.2">
      <c r="A101" s="168"/>
      <c r="B101" s="168"/>
      <c r="C101" s="168"/>
      <c r="D101" s="107"/>
      <c r="E101" s="154">
        <v>1</v>
      </c>
      <c r="F101" s="155" t="s">
        <v>189</v>
      </c>
      <c r="G101" s="175">
        <v>1</v>
      </c>
      <c r="H101" s="176">
        <v>165000000</v>
      </c>
      <c r="I101" s="176">
        <f t="shared" si="149"/>
        <v>165000000</v>
      </c>
      <c r="J101" s="156">
        <v>44355</v>
      </c>
      <c r="K101" s="77">
        <f t="shared" si="144"/>
        <v>47277</v>
      </c>
      <c r="L101" s="155">
        <v>96</v>
      </c>
      <c r="M101" s="99">
        <v>20.93</v>
      </c>
      <c r="N101" s="81">
        <f t="shared" si="145"/>
        <v>3453450</v>
      </c>
      <c r="O101" s="81"/>
      <c r="P101" s="81"/>
      <c r="Q101" s="81">
        <f t="shared" si="146"/>
        <v>3453450</v>
      </c>
      <c r="R101" s="81">
        <f t="shared" si="147"/>
        <v>345345</v>
      </c>
      <c r="S101" s="81">
        <f t="shared" si="148"/>
        <v>3108105</v>
      </c>
      <c r="T101" s="182">
        <f t="shared" si="150"/>
        <v>251814.0625</v>
      </c>
      <c r="U101" s="182">
        <f t="shared" si="151"/>
        <v>431681.25</v>
      </c>
      <c r="V101" s="182">
        <f t="shared" si="152"/>
        <v>2769954.6875</v>
      </c>
      <c r="W101" s="181">
        <f t="shared" si="153"/>
        <v>3453450</v>
      </c>
      <c r="X101" s="181">
        <f t="shared" si="154"/>
        <v>0</v>
      </c>
    </row>
    <row r="102" spans="1:24" ht="12.75" x14ac:dyDescent="0.2">
      <c r="A102" s="168"/>
      <c r="B102" s="168"/>
      <c r="C102" s="168"/>
      <c r="D102" s="107"/>
      <c r="E102" s="154">
        <v>1</v>
      </c>
      <c r="F102" s="155" t="s">
        <v>190</v>
      </c>
      <c r="G102" s="175">
        <v>1</v>
      </c>
      <c r="H102" s="176">
        <v>300000000</v>
      </c>
      <c r="I102" s="176">
        <f t="shared" si="149"/>
        <v>300000000</v>
      </c>
      <c r="J102" s="156">
        <v>44355</v>
      </c>
      <c r="K102" s="77">
        <f t="shared" si="144"/>
        <v>49834</v>
      </c>
      <c r="L102" s="155">
        <v>180</v>
      </c>
      <c r="M102" s="99">
        <v>37.520000000000003</v>
      </c>
      <c r="N102" s="81">
        <f t="shared" si="145"/>
        <v>11256000</v>
      </c>
      <c r="O102" s="81"/>
      <c r="P102" s="81"/>
      <c r="Q102" s="81">
        <f t="shared" si="146"/>
        <v>11256000</v>
      </c>
      <c r="R102" s="81">
        <f t="shared" si="147"/>
        <v>1125600</v>
      </c>
      <c r="S102" s="81">
        <f t="shared" si="148"/>
        <v>10130400</v>
      </c>
      <c r="T102" s="182">
        <f t="shared" si="150"/>
        <v>437733.33333333337</v>
      </c>
      <c r="U102" s="182">
        <f t="shared" si="151"/>
        <v>750400</v>
      </c>
      <c r="V102" s="182">
        <f t="shared" si="152"/>
        <v>10067866.666666666</v>
      </c>
      <c r="W102" s="181">
        <f t="shared" si="153"/>
        <v>11256000</v>
      </c>
      <c r="X102" s="181">
        <f t="shared" si="154"/>
        <v>0</v>
      </c>
    </row>
    <row r="103" spans="1:24" ht="12.75" x14ac:dyDescent="0.2">
      <c r="A103" s="168"/>
      <c r="B103" s="168"/>
      <c r="C103" s="168"/>
      <c r="D103" s="107"/>
      <c r="E103" s="154">
        <v>1</v>
      </c>
      <c r="F103" s="155" t="s">
        <v>191</v>
      </c>
      <c r="G103" s="175">
        <v>1</v>
      </c>
      <c r="H103" s="176">
        <v>25000000</v>
      </c>
      <c r="I103" s="176">
        <f t="shared" si="149"/>
        <v>25000000</v>
      </c>
      <c r="J103" s="156">
        <v>44361</v>
      </c>
      <c r="K103" s="77">
        <f t="shared" si="144"/>
        <v>45274</v>
      </c>
      <c r="L103" s="155">
        <v>30</v>
      </c>
      <c r="M103" s="99">
        <v>9.1</v>
      </c>
      <c r="N103" s="81">
        <f t="shared" si="145"/>
        <v>227500</v>
      </c>
      <c r="O103" s="81"/>
      <c r="P103" s="81"/>
      <c r="Q103" s="81">
        <f t="shared" si="146"/>
        <v>227500</v>
      </c>
      <c r="R103" s="81">
        <f t="shared" si="147"/>
        <v>22750</v>
      </c>
      <c r="S103" s="81">
        <f t="shared" si="148"/>
        <v>204750</v>
      </c>
      <c r="T103" s="182">
        <f t="shared" si="150"/>
        <v>53083.333333333328</v>
      </c>
      <c r="U103" s="182">
        <f t="shared" si="151"/>
        <v>91000</v>
      </c>
      <c r="V103" s="182">
        <f t="shared" si="152"/>
        <v>83416.666666666686</v>
      </c>
      <c r="W103" s="181">
        <f t="shared" si="153"/>
        <v>227500</v>
      </c>
      <c r="X103" s="181">
        <f t="shared" si="154"/>
        <v>0</v>
      </c>
    </row>
    <row r="104" spans="1:24" ht="12.75" x14ac:dyDescent="0.2">
      <c r="A104" s="168"/>
      <c r="B104" s="168"/>
      <c r="C104" s="168"/>
      <c r="D104" s="107"/>
      <c r="E104" s="154">
        <v>1</v>
      </c>
      <c r="F104" s="155" t="s">
        <v>192</v>
      </c>
      <c r="G104" s="175">
        <v>1</v>
      </c>
      <c r="H104" s="176">
        <v>170000000</v>
      </c>
      <c r="I104" s="176">
        <f t="shared" si="149"/>
        <v>170000000</v>
      </c>
      <c r="J104" s="156">
        <v>44362</v>
      </c>
      <c r="K104" s="77">
        <f t="shared" si="144"/>
        <v>48014</v>
      </c>
      <c r="L104" s="155">
        <v>120</v>
      </c>
      <c r="M104" s="99">
        <v>25.48</v>
      </c>
      <c r="N104" s="81">
        <f t="shared" si="145"/>
        <v>4331600</v>
      </c>
      <c r="O104" s="81"/>
      <c r="P104" s="81"/>
      <c r="Q104" s="81">
        <f t="shared" si="146"/>
        <v>4331600</v>
      </c>
      <c r="R104" s="81">
        <f t="shared" si="147"/>
        <v>433160</v>
      </c>
      <c r="S104" s="81">
        <f t="shared" si="148"/>
        <v>3898440</v>
      </c>
      <c r="T104" s="182">
        <f t="shared" si="150"/>
        <v>252676.66666666666</v>
      </c>
      <c r="U104" s="182">
        <f t="shared" si="151"/>
        <v>433160</v>
      </c>
      <c r="V104" s="182">
        <f t="shared" si="152"/>
        <v>3645763.3333333335</v>
      </c>
      <c r="W104" s="181">
        <f t="shared" si="153"/>
        <v>4331600</v>
      </c>
      <c r="X104" s="181">
        <f t="shared" si="154"/>
        <v>0</v>
      </c>
    </row>
    <row r="105" spans="1:24" ht="12.75" x14ac:dyDescent="0.2">
      <c r="A105" s="168"/>
      <c r="B105" s="168"/>
      <c r="C105" s="168"/>
      <c r="D105" s="107"/>
      <c r="E105" s="154">
        <v>1</v>
      </c>
      <c r="F105" s="155" t="s">
        <v>194</v>
      </c>
      <c r="G105" s="175">
        <v>1</v>
      </c>
      <c r="H105" s="188">
        <v>343000000</v>
      </c>
      <c r="I105" s="188">
        <f t="shared" si="149"/>
        <v>343000000</v>
      </c>
      <c r="J105" s="189">
        <v>44363</v>
      </c>
      <c r="K105" s="77">
        <f t="shared" si="144"/>
        <v>49476</v>
      </c>
      <c r="L105" s="187">
        <v>168</v>
      </c>
      <c r="M105" s="99">
        <v>35.409999999999997</v>
      </c>
      <c r="N105" s="190">
        <f t="shared" si="145"/>
        <v>12145629.999999998</v>
      </c>
      <c r="O105" s="190"/>
      <c r="P105" s="190"/>
      <c r="Q105" s="190">
        <f t="shared" si="146"/>
        <v>12145629.999999998</v>
      </c>
      <c r="R105" s="81">
        <f t="shared" si="147"/>
        <v>1214562.9999999998</v>
      </c>
      <c r="S105" s="190">
        <f t="shared" si="148"/>
        <v>10931066.999999998</v>
      </c>
      <c r="T105" s="182">
        <f t="shared" si="150"/>
        <v>506067.91666666663</v>
      </c>
      <c r="U105" s="182">
        <f t="shared" si="151"/>
        <v>867544.99999999988</v>
      </c>
      <c r="V105" s="182">
        <f t="shared" si="152"/>
        <v>10772017.083333332</v>
      </c>
      <c r="W105" s="181">
        <f t="shared" si="153"/>
        <v>12145629.999999998</v>
      </c>
      <c r="X105" s="181">
        <f t="shared" si="154"/>
        <v>0</v>
      </c>
    </row>
    <row r="106" spans="1:24" ht="12" x14ac:dyDescent="0.2">
      <c r="A106" s="91"/>
      <c r="B106" s="91"/>
      <c r="C106" s="91"/>
      <c r="D106" s="59"/>
      <c r="E106" s="85">
        <f>SUM(E90:E105)</f>
        <v>16</v>
      </c>
      <c r="F106" s="91"/>
      <c r="G106" s="91"/>
      <c r="H106" s="91">
        <f>SUM(H90:H105)</f>
        <v>4949000000</v>
      </c>
      <c r="I106" s="91">
        <f>SUM(I90:I105)</f>
        <v>4949000000</v>
      </c>
      <c r="J106" s="91"/>
      <c r="K106" s="91"/>
      <c r="L106" s="91"/>
      <c r="M106" s="91"/>
      <c r="N106" s="91">
        <f t="shared" ref="N106:X106" si="155">SUM(N90:N105)</f>
        <v>160270540</v>
      </c>
      <c r="O106" s="91">
        <f t="shared" si="155"/>
        <v>0</v>
      </c>
      <c r="P106" s="91">
        <f t="shared" si="155"/>
        <v>0</v>
      </c>
      <c r="Q106" s="91">
        <f t="shared" si="155"/>
        <v>160270540</v>
      </c>
      <c r="R106" s="91">
        <f t="shared" si="155"/>
        <v>16027054</v>
      </c>
      <c r="S106" s="91">
        <f t="shared" si="155"/>
        <v>144243486</v>
      </c>
      <c r="T106" s="91">
        <f t="shared" si="155"/>
        <v>7396547.0442581903</v>
      </c>
      <c r="U106" s="91">
        <f t="shared" si="155"/>
        <v>12679794.933014039</v>
      </c>
      <c r="V106" s="91">
        <f t="shared" si="155"/>
        <v>140194198.02272779</v>
      </c>
      <c r="W106" s="91">
        <f t="shared" si="155"/>
        <v>160270540</v>
      </c>
      <c r="X106" s="91">
        <f t="shared" si="155"/>
        <v>0</v>
      </c>
    </row>
    <row r="107" spans="1:24" ht="12.75" x14ac:dyDescent="0.2">
      <c r="A107" s="154"/>
      <c r="B107" s="155" t="s">
        <v>46</v>
      </c>
      <c r="C107" s="155" t="s">
        <v>206</v>
      </c>
      <c r="D107" s="156">
        <v>44407</v>
      </c>
      <c r="E107" s="154">
        <v>1</v>
      </c>
      <c r="F107" s="155" t="s">
        <v>53</v>
      </c>
      <c r="G107" s="175">
        <v>1</v>
      </c>
      <c r="H107" s="176">
        <v>70717947</v>
      </c>
      <c r="I107" s="176">
        <f>H107*G107</f>
        <v>70717947</v>
      </c>
      <c r="J107" s="156">
        <v>46914</v>
      </c>
      <c r="K107" s="156">
        <v>47279</v>
      </c>
      <c r="L107" s="155">
        <v>12</v>
      </c>
      <c r="M107" s="195">
        <v>5.46</v>
      </c>
      <c r="N107" s="176">
        <f>M107*H107/1000</f>
        <v>386119.99062</v>
      </c>
      <c r="O107" s="176">
        <v>100000</v>
      </c>
      <c r="P107" s="176"/>
      <c r="Q107" s="176">
        <f>N107+O107+P107</f>
        <v>486119.99062</v>
      </c>
      <c r="R107" s="196"/>
      <c r="S107" s="176">
        <f>Q107-R107</f>
        <v>486119.99062</v>
      </c>
      <c r="T107" s="182">
        <f>Q107/L107*6</f>
        <v>243059.99530999997</v>
      </c>
      <c r="U107" s="182">
        <f>Q107/L107*6</f>
        <v>243059.99530999997</v>
      </c>
      <c r="V107" s="182">
        <f t="shared" ref="V107" si="156">Q107-T107-U107</f>
        <v>0</v>
      </c>
      <c r="W107" s="181">
        <f t="shared" ref="W107" si="157">T107+U107+V107</f>
        <v>486119.99061999994</v>
      </c>
      <c r="X107" s="181">
        <f t="shared" ref="X107" si="158">Q107-W107</f>
        <v>0</v>
      </c>
    </row>
    <row r="108" spans="1:24" ht="12.75" x14ac:dyDescent="0.2">
      <c r="A108" s="198"/>
      <c r="B108" s="199"/>
      <c r="C108" s="199"/>
      <c r="D108" s="199"/>
      <c r="E108" s="200"/>
      <c r="F108" s="201"/>
      <c r="G108" s="201"/>
      <c r="H108" s="201"/>
      <c r="I108" s="201"/>
      <c r="J108" s="201"/>
      <c r="K108" s="201"/>
      <c r="L108" s="201"/>
      <c r="M108" s="201"/>
      <c r="N108" s="201">
        <f t="shared" ref="N108:X108" si="159">SUM(N107:N107)</f>
        <v>386119.99062</v>
      </c>
      <c r="O108" s="201">
        <f t="shared" si="159"/>
        <v>100000</v>
      </c>
      <c r="P108" s="201">
        <f t="shared" si="159"/>
        <v>0</v>
      </c>
      <c r="Q108" s="201">
        <f t="shared" si="159"/>
        <v>486119.99062</v>
      </c>
      <c r="R108" s="201">
        <f t="shared" si="159"/>
        <v>0</v>
      </c>
      <c r="S108" s="201">
        <f t="shared" si="159"/>
        <v>486119.99062</v>
      </c>
      <c r="T108" s="201">
        <f t="shared" si="159"/>
        <v>243059.99530999997</v>
      </c>
      <c r="U108" s="201">
        <f t="shared" si="159"/>
        <v>243059.99530999997</v>
      </c>
      <c r="V108" s="201">
        <f t="shared" si="159"/>
        <v>0</v>
      </c>
      <c r="W108" s="201">
        <f t="shared" si="159"/>
        <v>486119.99061999994</v>
      </c>
      <c r="X108" s="201">
        <f t="shared" si="159"/>
        <v>0</v>
      </c>
    </row>
    <row r="109" spans="1:24" ht="12.75" x14ac:dyDescent="0.2">
      <c r="A109" s="154"/>
      <c r="B109" s="155" t="s">
        <v>122</v>
      </c>
      <c r="C109" s="155" t="s">
        <v>207</v>
      </c>
      <c r="D109" s="156">
        <v>44407</v>
      </c>
      <c r="E109" s="154">
        <v>1</v>
      </c>
      <c r="F109" s="155" t="s">
        <v>208</v>
      </c>
      <c r="G109" s="175">
        <v>1</v>
      </c>
      <c r="H109" s="176">
        <v>30000000</v>
      </c>
      <c r="I109" s="176">
        <f>H109*G109</f>
        <v>30000000</v>
      </c>
      <c r="J109" s="156">
        <v>44406</v>
      </c>
      <c r="K109" s="156">
        <v>45136</v>
      </c>
      <c r="L109" s="155">
        <v>24</v>
      </c>
      <c r="M109" s="195">
        <v>10.57</v>
      </c>
      <c r="N109" s="176">
        <f>M109*H109/1000</f>
        <v>317100</v>
      </c>
      <c r="O109" s="176"/>
      <c r="P109" s="176"/>
      <c r="Q109" s="190">
        <f t="shared" ref="Q109" si="160">N109+O109+P109</f>
        <v>317100</v>
      </c>
      <c r="R109" s="81">
        <f t="shared" ref="R109" si="161">10%*N109</f>
        <v>31710</v>
      </c>
      <c r="S109" s="190">
        <f t="shared" ref="S109" si="162">Q109-R109</f>
        <v>285390</v>
      </c>
      <c r="T109" s="182">
        <f>Q109/L109*6</f>
        <v>79275</v>
      </c>
      <c r="U109" s="182">
        <f t="shared" si="151"/>
        <v>158550</v>
      </c>
      <c r="V109" s="182">
        <f t="shared" ref="V109" si="163">Q109-T109-U109</f>
        <v>79275</v>
      </c>
      <c r="W109" s="181">
        <f t="shared" ref="W109" si="164">T109+U109+V109</f>
        <v>317100</v>
      </c>
      <c r="X109" s="181">
        <f t="shared" ref="X109" si="165">Q109-W109</f>
        <v>0</v>
      </c>
    </row>
    <row r="110" spans="1:24" ht="12.75" x14ac:dyDescent="0.2">
      <c r="A110" s="198"/>
      <c r="B110" s="199"/>
      <c r="C110" s="199"/>
      <c r="D110" s="199"/>
      <c r="E110" s="200">
        <f>SUM(E109:E109)</f>
        <v>1</v>
      </c>
      <c r="F110" s="201">
        <f>SUM(F109:F109)</f>
        <v>0</v>
      </c>
      <c r="G110" s="201"/>
      <c r="H110" s="201">
        <f>SUM(H109:H109)</f>
        <v>30000000</v>
      </c>
      <c r="I110" s="201">
        <f>SUM(I109:I109)</f>
        <v>30000000</v>
      </c>
      <c r="J110" s="201"/>
      <c r="K110" s="201"/>
      <c r="L110" s="201"/>
      <c r="M110" s="201"/>
      <c r="N110" s="201">
        <f t="shared" ref="N110:X110" si="166">SUM(N109:N109)</f>
        <v>317100</v>
      </c>
      <c r="O110" s="201">
        <f t="shared" si="166"/>
        <v>0</v>
      </c>
      <c r="P110" s="201">
        <f t="shared" si="166"/>
        <v>0</v>
      </c>
      <c r="Q110" s="201">
        <f t="shared" si="166"/>
        <v>317100</v>
      </c>
      <c r="R110" s="201">
        <f t="shared" si="166"/>
        <v>31710</v>
      </c>
      <c r="S110" s="201">
        <f t="shared" si="166"/>
        <v>285390</v>
      </c>
      <c r="T110" s="201">
        <f t="shared" si="166"/>
        <v>79275</v>
      </c>
      <c r="U110" s="201">
        <f t="shared" si="166"/>
        <v>158550</v>
      </c>
      <c r="V110" s="201">
        <f t="shared" si="166"/>
        <v>79275</v>
      </c>
      <c r="W110" s="201">
        <f t="shared" si="166"/>
        <v>317100</v>
      </c>
      <c r="X110" s="201">
        <f t="shared" si="166"/>
        <v>0</v>
      </c>
    </row>
    <row r="111" spans="1:24" ht="12" x14ac:dyDescent="0.2">
      <c r="A111" s="83"/>
      <c r="B111" s="83"/>
      <c r="C111" s="83" t="s">
        <v>50</v>
      </c>
      <c r="D111" s="84"/>
      <c r="E111" s="185">
        <f t="shared" ref="E111:P111" si="167">E110+E106+E108</f>
        <v>17</v>
      </c>
      <c r="F111" s="185">
        <f t="shared" si="167"/>
        <v>0</v>
      </c>
      <c r="G111" s="185">
        <f t="shared" si="167"/>
        <v>0</v>
      </c>
      <c r="H111" s="185">
        <f t="shared" si="167"/>
        <v>4979000000</v>
      </c>
      <c r="I111" s="185">
        <f t="shared" si="167"/>
        <v>4979000000</v>
      </c>
      <c r="J111" s="185">
        <f t="shared" si="167"/>
        <v>0</v>
      </c>
      <c r="K111" s="185">
        <f t="shared" si="167"/>
        <v>0</v>
      </c>
      <c r="L111" s="185">
        <f t="shared" si="167"/>
        <v>0</v>
      </c>
      <c r="M111" s="185">
        <f t="shared" si="167"/>
        <v>0</v>
      </c>
      <c r="N111" s="185">
        <f t="shared" si="167"/>
        <v>160973759.99061999</v>
      </c>
      <c r="O111" s="185">
        <f t="shared" si="167"/>
        <v>100000</v>
      </c>
      <c r="P111" s="185">
        <f t="shared" si="167"/>
        <v>0</v>
      </c>
      <c r="Q111" s="185">
        <f>Q110+Q106+Q108</f>
        <v>161073759.99061999</v>
      </c>
      <c r="R111" s="185">
        <f t="shared" ref="R111:S111" si="168">R110+R106+R108</f>
        <v>16058764</v>
      </c>
      <c r="S111" s="185">
        <f t="shared" si="168"/>
        <v>145014995.99061999</v>
      </c>
      <c r="T111" s="185">
        <f>T110+T106+T108</f>
        <v>7718882.0395681905</v>
      </c>
      <c r="U111" s="185">
        <f t="shared" ref="U111:W111" si="169">U110+U106+U108</f>
        <v>13081404.928324038</v>
      </c>
      <c r="V111" s="185">
        <f t="shared" si="169"/>
        <v>140273473.02272779</v>
      </c>
      <c r="W111" s="185">
        <f t="shared" si="169"/>
        <v>161073759.99061999</v>
      </c>
      <c r="X111" s="185">
        <f t="shared" ref="X111" si="170">X110+X106</f>
        <v>0</v>
      </c>
    </row>
    <row r="112" spans="1:24" ht="12" x14ac:dyDescent="0.2">
      <c r="A112" s="83"/>
      <c r="B112" s="83"/>
      <c r="C112" s="83" t="s">
        <v>209</v>
      </c>
      <c r="D112" s="84"/>
      <c r="E112" s="93">
        <f>E111+E85</f>
        <v>47</v>
      </c>
      <c r="F112" s="95">
        <f t="shared" ref="F112:X112" si="171">F111+F85</f>
        <v>0</v>
      </c>
      <c r="G112" s="95">
        <f t="shared" si="171"/>
        <v>0</v>
      </c>
      <c r="H112" s="95">
        <f t="shared" si="171"/>
        <v>11287584172</v>
      </c>
      <c r="I112" s="95">
        <f t="shared" si="171"/>
        <v>11287584172</v>
      </c>
      <c r="J112" s="95"/>
      <c r="K112" s="95"/>
      <c r="L112" s="95"/>
      <c r="M112" s="95"/>
      <c r="N112" s="95">
        <f t="shared" si="171"/>
        <v>340947239.13593996</v>
      </c>
      <c r="O112" s="95">
        <f t="shared" si="171"/>
        <v>500000</v>
      </c>
      <c r="P112" s="95">
        <f t="shared" si="171"/>
        <v>0</v>
      </c>
      <c r="Q112" s="95">
        <f>Q111+Q85</f>
        <v>357345239.13593996</v>
      </c>
      <c r="R112" s="95">
        <f t="shared" si="171"/>
        <v>35510624.008506</v>
      </c>
      <c r="S112" s="95">
        <f t="shared" si="171"/>
        <v>321834615.12743402</v>
      </c>
      <c r="T112" s="95">
        <f t="shared" si="171"/>
        <v>48857530.626422472</v>
      </c>
      <c r="U112" s="95">
        <f t="shared" si="171"/>
        <v>46018797.230274543</v>
      </c>
      <c r="V112" s="95">
        <f t="shared" si="171"/>
        <v>262468911.27924302</v>
      </c>
      <c r="W112" s="95">
        <f t="shared" si="171"/>
        <v>357345239.13594002</v>
      </c>
      <c r="X112" s="95">
        <f t="shared" si="171"/>
        <v>0</v>
      </c>
    </row>
    <row r="114" spans="1:24" ht="23.25" x14ac:dyDescent="0.2">
      <c r="A114" s="86" t="s">
        <v>230</v>
      </c>
      <c r="B114" s="62"/>
      <c r="C114" s="62"/>
      <c r="D114" s="57"/>
      <c r="E114" s="63"/>
      <c r="F114" s="64"/>
      <c r="G114" s="139"/>
      <c r="H114" s="66"/>
      <c r="I114" s="66"/>
      <c r="J114" s="67"/>
      <c r="K114" s="67"/>
      <c r="L114" s="68"/>
      <c r="M114" s="68"/>
      <c r="N114" s="69"/>
      <c r="O114" s="69"/>
      <c r="P114" s="69"/>
      <c r="Q114" s="69"/>
      <c r="R114" s="69"/>
      <c r="S114" s="69"/>
      <c r="T114" s="70"/>
      <c r="U114" s="71"/>
      <c r="V114" s="71"/>
    </row>
    <row r="115" spans="1:24" ht="12" x14ac:dyDescent="0.2">
      <c r="A115" s="231" t="s">
        <v>0</v>
      </c>
      <c r="B115" s="232" t="s">
        <v>1</v>
      </c>
      <c r="C115" s="229" t="s">
        <v>2</v>
      </c>
      <c r="D115" s="233" t="s">
        <v>3</v>
      </c>
      <c r="E115" s="234" t="s">
        <v>4</v>
      </c>
      <c r="F115" s="232" t="s">
        <v>5</v>
      </c>
      <c r="G115" s="237" t="s">
        <v>6</v>
      </c>
      <c r="H115" s="236" t="s">
        <v>7</v>
      </c>
      <c r="I115" s="236" t="s">
        <v>8</v>
      </c>
      <c r="J115" s="227" t="s">
        <v>9</v>
      </c>
      <c r="K115" s="227"/>
      <c r="L115" s="228" t="s">
        <v>10</v>
      </c>
      <c r="M115" s="229" t="s">
        <v>11</v>
      </c>
      <c r="N115" s="230" t="s">
        <v>12</v>
      </c>
      <c r="O115" s="230"/>
      <c r="P115" s="230"/>
      <c r="Q115" s="229" t="s">
        <v>13</v>
      </c>
      <c r="R115" s="229" t="s">
        <v>14</v>
      </c>
      <c r="S115" s="229" t="s">
        <v>15</v>
      </c>
      <c r="T115" s="36">
        <v>2021</v>
      </c>
      <c r="U115" s="37"/>
      <c r="V115" s="38" t="s">
        <v>44</v>
      </c>
    </row>
    <row r="116" spans="1:24" ht="12" x14ac:dyDescent="0.2">
      <c r="A116" s="231"/>
      <c r="B116" s="232"/>
      <c r="C116" s="229"/>
      <c r="D116" s="233"/>
      <c r="E116" s="234"/>
      <c r="F116" s="232"/>
      <c r="G116" s="237"/>
      <c r="H116" s="236"/>
      <c r="I116" s="236"/>
      <c r="J116" s="227"/>
      <c r="K116" s="227"/>
      <c r="L116" s="228"/>
      <c r="M116" s="229"/>
      <c r="N116" s="225" t="s">
        <v>16</v>
      </c>
      <c r="O116" s="225" t="s">
        <v>17</v>
      </c>
      <c r="P116" s="225" t="s">
        <v>18</v>
      </c>
      <c r="Q116" s="229"/>
      <c r="R116" s="229"/>
      <c r="S116" s="229"/>
      <c r="T116" s="96" t="s">
        <v>246</v>
      </c>
      <c r="U116" s="39">
        <v>2022</v>
      </c>
      <c r="V116" s="40"/>
    </row>
    <row r="117" spans="1:24" ht="12.75" x14ac:dyDescent="0.2">
      <c r="A117" s="154">
        <v>21</v>
      </c>
      <c r="B117" s="155" t="s">
        <v>19</v>
      </c>
      <c r="C117" s="155" t="s">
        <v>211</v>
      </c>
      <c r="D117" s="156">
        <v>44463</v>
      </c>
      <c r="E117" s="154">
        <v>1</v>
      </c>
      <c r="F117" s="155" t="s">
        <v>212</v>
      </c>
      <c r="G117" s="175">
        <v>1</v>
      </c>
      <c r="H117" s="176">
        <v>25237639</v>
      </c>
      <c r="I117" s="176">
        <f>H117*G117</f>
        <v>25237639</v>
      </c>
      <c r="J117" s="205">
        <v>44611</v>
      </c>
      <c r="K117" s="205">
        <v>44895</v>
      </c>
      <c r="L117" s="155">
        <v>9</v>
      </c>
      <c r="M117" s="195">
        <v>5.46</v>
      </c>
      <c r="N117" s="176">
        <f>M117*H117/1000</f>
        <v>137797.50894</v>
      </c>
      <c r="O117" s="176">
        <v>100000</v>
      </c>
      <c r="P117" s="176"/>
      <c r="Q117" s="176">
        <f>N117+O117+P117</f>
        <v>237797.50894</v>
      </c>
      <c r="R117" s="196"/>
      <c r="S117" s="176">
        <f>Q117-R117</f>
        <v>237797.50894</v>
      </c>
      <c r="T117" s="182">
        <f>Q117/L117*4</f>
        <v>105687.78175111111</v>
      </c>
      <c r="U117" s="182">
        <f>Q117/L117*5</f>
        <v>132109.72718888888</v>
      </c>
      <c r="V117" s="182">
        <f t="shared" ref="V117" si="172">Q117-T117-U117</f>
        <v>0</v>
      </c>
      <c r="W117" s="181">
        <f t="shared" ref="W117" si="173">T117+U117+V117</f>
        <v>237797.50893999997</v>
      </c>
      <c r="X117" s="181">
        <f t="shared" ref="X117" si="174">Q117-W117</f>
        <v>0</v>
      </c>
    </row>
    <row r="118" spans="1:24" ht="12.75" x14ac:dyDescent="0.2">
      <c r="A118" s="198"/>
      <c r="B118" s="199"/>
      <c r="C118" s="199"/>
      <c r="D118" s="199"/>
      <c r="E118" s="200"/>
      <c r="F118" s="201"/>
      <c r="G118" s="201"/>
      <c r="H118" s="201"/>
      <c r="I118" s="201"/>
      <c r="J118" s="201"/>
      <c r="K118" s="201"/>
      <c r="L118" s="201"/>
      <c r="M118" s="201"/>
      <c r="N118" s="201">
        <f t="shared" ref="N118:X118" si="175">SUM(N117:N117)</f>
        <v>137797.50894</v>
      </c>
      <c r="O118" s="201">
        <f t="shared" si="175"/>
        <v>100000</v>
      </c>
      <c r="P118" s="201">
        <f t="shared" si="175"/>
        <v>0</v>
      </c>
      <c r="Q118" s="201">
        <f t="shared" si="175"/>
        <v>237797.50894</v>
      </c>
      <c r="R118" s="201">
        <f t="shared" si="175"/>
        <v>0</v>
      </c>
      <c r="S118" s="201">
        <f t="shared" si="175"/>
        <v>237797.50894</v>
      </c>
      <c r="T118" s="201">
        <f t="shared" si="175"/>
        <v>105687.78175111111</v>
      </c>
      <c r="U118" s="201">
        <f t="shared" si="175"/>
        <v>132109.72718888888</v>
      </c>
      <c r="V118" s="201">
        <f t="shared" si="175"/>
        <v>0</v>
      </c>
      <c r="W118" s="201">
        <f t="shared" si="175"/>
        <v>237797.50893999997</v>
      </c>
      <c r="X118" s="201">
        <f t="shared" si="175"/>
        <v>0</v>
      </c>
    </row>
    <row r="119" spans="1:24" ht="12.75" x14ac:dyDescent="0.2">
      <c r="A119" s="154">
        <v>22</v>
      </c>
      <c r="B119" s="155" t="s">
        <v>213</v>
      </c>
      <c r="C119" s="155" t="s">
        <v>214</v>
      </c>
      <c r="D119" s="156">
        <v>44468</v>
      </c>
      <c r="E119" s="154">
        <v>1</v>
      </c>
      <c r="F119" s="155" t="s">
        <v>215</v>
      </c>
      <c r="G119" s="175">
        <v>1</v>
      </c>
      <c r="H119" s="176">
        <v>13910250</v>
      </c>
      <c r="I119" s="176">
        <f>H119*G119</f>
        <v>13910250</v>
      </c>
      <c r="J119" s="205">
        <v>44447</v>
      </c>
      <c r="K119" s="205">
        <v>44812</v>
      </c>
      <c r="L119" s="155">
        <v>12</v>
      </c>
      <c r="M119" s="195">
        <v>60.9</v>
      </c>
      <c r="N119" s="176">
        <f>M119*H119/1000</f>
        <v>847134.22499999998</v>
      </c>
      <c r="O119" s="176"/>
      <c r="P119" s="176"/>
      <c r="Q119" s="190">
        <f t="shared" ref="Q119" si="176">N119+O119+P119</f>
        <v>847134.22499999998</v>
      </c>
      <c r="R119" s="81">
        <f t="shared" ref="R119:R129" si="177">10%*N119</f>
        <v>84713.422500000001</v>
      </c>
      <c r="S119" s="190">
        <f t="shared" ref="S119" si="178">Q119-R119</f>
        <v>762420.80249999999</v>
      </c>
      <c r="T119" s="182">
        <f>Q119/L119*4</f>
        <v>282378.07500000001</v>
      </c>
      <c r="U119" s="182">
        <f>Q119/L119*8</f>
        <v>564756.15</v>
      </c>
      <c r="V119" s="182">
        <f t="shared" ref="V119:V132" si="179">Q119-T119-U119</f>
        <v>0</v>
      </c>
      <c r="W119" s="181">
        <f t="shared" ref="W119:W132" si="180">T119+U119+V119</f>
        <v>847134.22500000009</v>
      </c>
      <c r="X119" s="181">
        <f t="shared" ref="X119:X132" si="181">Q119-W119</f>
        <v>0</v>
      </c>
    </row>
    <row r="120" spans="1:24" ht="12.75" x14ac:dyDescent="0.2">
      <c r="A120" s="198"/>
      <c r="B120" s="199"/>
      <c r="C120" s="199"/>
      <c r="D120" s="199"/>
      <c r="E120" s="200">
        <f>SUM(E119:E119)</f>
        <v>1</v>
      </c>
      <c r="F120" s="201"/>
      <c r="G120" s="201"/>
      <c r="H120" s="201">
        <f>SUM(H119:H119)</f>
        <v>13910250</v>
      </c>
      <c r="I120" s="201">
        <f>SUM(I119:I119)</f>
        <v>13910250</v>
      </c>
      <c r="J120" s="201"/>
      <c r="K120" s="201"/>
      <c r="L120" s="201"/>
      <c r="M120" s="201"/>
      <c r="N120" s="201">
        <f t="shared" ref="N120:X120" si="182">SUM(N119:N119)</f>
        <v>847134.22499999998</v>
      </c>
      <c r="O120" s="201">
        <f t="shared" si="182"/>
        <v>0</v>
      </c>
      <c r="P120" s="201">
        <f t="shared" si="182"/>
        <v>0</v>
      </c>
      <c r="Q120" s="201">
        <f t="shared" si="182"/>
        <v>847134.22499999998</v>
      </c>
      <c r="R120" s="201">
        <f t="shared" si="182"/>
        <v>84713.422500000001</v>
      </c>
      <c r="S120" s="201">
        <f t="shared" si="182"/>
        <v>762420.80249999999</v>
      </c>
      <c r="T120" s="201">
        <f t="shared" si="182"/>
        <v>282378.07500000001</v>
      </c>
      <c r="U120" s="201">
        <f t="shared" si="182"/>
        <v>564756.15</v>
      </c>
      <c r="V120" s="201">
        <f t="shared" si="182"/>
        <v>0</v>
      </c>
      <c r="W120" s="201">
        <f t="shared" si="182"/>
        <v>847134.22500000009</v>
      </c>
      <c r="X120" s="201">
        <f t="shared" si="182"/>
        <v>0</v>
      </c>
    </row>
    <row r="121" spans="1:24" ht="12.75" x14ac:dyDescent="0.2">
      <c r="A121" s="154">
        <v>23</v>
      </c>
      <c r="B121" s="155" t="s">
        <v>49</v>
      </c>
      <c r="C121" s="155" t="s">
        <v>216</v>
      </c>
      <c r="D121" s="156">
        <v>44467</v>
      </c>
      <c r="E121" s="154">
        <v>1</v>
      </c>
      <c r="F121" s="155" t="s">
        <v>217</v>
      </c>
      <c r="G121" s="175">
        <v>1</v>
      </c>
      <c r="H121" s="176">
        <v>22343000</v>
      </c>
      <c r="I121" s="176">
        <f t="shared" ref="I121:I129" si="183">H121*G121</f>
        <v>22343000</v>
      </c>
      <c r="J121" s="205">
        <v>44456</v>
      </c>
      <c r="K121" s="205">
        <v>45552</v>
      </c>
      <c r="L121" s="155">
        <v>36</v>
      </c>
      <c r="M121" s="195">
        <v>11.5</v>
      </c>
      <c r="N121" s="176">
        <f>M121*H121/1000</f>
        <v>256944.5</v>
      </c>
      <c r="O121" s="176"/>
      <c r="P121" s="176"/>
      <c r="Q121" s="176">
        <f>N121+O121+P121</f>
        <v>256944.5</v>
      </c>
      <c r="R121" s="81">
        <f t="shared" si="177"/>
        <v>25694.45</v>
      </c>
      <c r="S121" s="176">
        <f>Q121-R121</f>
        <v>231250.05</v>
      </c>
      <c r="T121" s="182">
        <f t="shared" ref="T121:T129" si="184">Q121/L121*4</f>
        <v>28549.388888888891</v>
      </c>
      <c r="U121" s="182">
        <f t="shared" ref="U121:U132" si="185">Q121/L121*12</f>
        <v>85648.166666666672</v>
      </c>
      <c r="V121" s="182">
        <f t="shared" si="179"/>
        <v>142746.94444444444</v>
      </c>
      <c r="W121" s="181">
        <f t="shared" si="180"/>
        <v>256944.5</v>
      </c>
      <c r="X121" s="181">
        <f t="shared" si="181"/>
        <v>0</v>
      </c>
    </row>
    <row r="122" spans="1:24" ht="12.75" x14ac:dyDescent="0.2">
      <c r="A122" s="154"/>
      <c r="B122" s="155"/>
      <c r="C122" s="155"/>
      <c r="D122" s="156"/>
      <c r="E122" s="154">
        <v>1</v>
      </c>
      <c r="F122" s="155" t="s">
        <v>218</v>
      </c>
      <c r="G122" s="175">
        <v>1</v>
      </c>
      <c r="H122" s="176">
        <v>330000000</v>
      </c>
      <c r="I122" s="176">
        <f t="shared" si="183"/>
        <v>330000000</v>
      </c>
      <c r="J122" s="205">
        <v>44467</v>
      </c>
      <c r="K122" s="205">
        <v>46293</v>
      </c>
      <c r="L122" s="155">
        <v>180</v>
      </c>
      <c r="M122" s="195">
        <v>37.520000000000003</v>
      </c>
      <c r="N122" s="176">
        <f t="shared" ref="N122:N129" si="186">M122*H122/1000</f>
        <v>12381600.000000002</v>
      </c>
      <c r="O122" s="176"/>
      <c r="P122" s="176"/>
      <c r="Q122" s="176">
        <f t="shared" ref="Q122:Q129" si="187">N122+O122+P122</f>
        <v>12381600.000000002</v>
      </c>
      <c r="R122" s="81">
        <f t="shared" si="177"/>
        <v>1238160.0000000002</v>
      </c>
      <c r="S122" s="190">
        <f t="shared" ref="S122:S129" si="188">Q122-R122</f>
        <v>11143440.000000002</v>
      </c>
      <c r="T122" s="182">
        <f t="shared" si="184"/>
        <v>275146.66666666669</v>
      </c>
      <c r="U122" s="182">
        <f t="shared" si="185"/>
        <v>825440</v>
      </c>
      <c r="V122" s="182">
        <f t="shared" si="179"/>
        <v>11281013.333333336</v>
      </c>
      <c r="W122" s="181">
        <f t="shared" si="180"/>
        <v>12381600.000000002</v>
      </c>
      <c r="X122" s="181">
        <f t="shared" si="181"/>
        <v>0</v>
      </c>
    </row>
    <row r="123" spans="1:24" ht="12.75" x14ac:dyDescent="0.2">
      <c r="A123" s="154"/>
      <c r="B123" s="155"/>
      <c r="C123" s="155"/>
      <c r="D123" s="156"/>
      <c r="E123" s="154">
        <v>1</v>
      </c>
      <c r="F123" s="155" t="s">
        <v>219</v>
      </c>
      <c r="G123" s="175">
        <v>1</v>
      </c>
      <c r="H123" s="176">
        <v>35000000</v>
      </c>
      <c r="I123" s="176">
        <f t="shared" si="183"/>
        <v>35000000</v>
      </c>
      <c r="J123" s="205">
        <v>44447</v>
      </c>
      <c r="K123" s="205">
        <v>46273</v>
      </c>
      <c r="L123" s="155">
        <v>60</v>
      </c>
      <c r="M123" s="195">
        <v>18.2</v>
      </c>
      <c r="N123" s="176">
        <f t="shared" si="186"/>
        <v>637000</v>
      </c>
      <c r="O123" s="176"/>
      <c r="P123" s="176"/>
      <c r="Q123" s="176">
        <f t="shared" si="187"/>
        <v>637000</v>
      </c>
      <c r="R123" s="81">
        <f t="shared" si="177"/>
        <v>63700</v>
      </c>
      <c r="S123" s="190">
        <f t="shared" si="188"/>
        <v>573300</v>
      </c>
      <c r="T123" s="182">
        <f t="shared" si="184"/>
        <v>42466.666666666664</v>
      </c>
      <c r="U123" s="182">
        <f t="shared" si="185"/>
        <v>127400</v>
      </c>
      <c r="V123" s="182">
        <f t="shared" si="179"/>
        <v>467133.33333333337</v>
      </c>
      <c r="W123" s="181">
        <f t="shared" si="180"/>
        <v>637000</v>
      </c>
      <c r="X123" s="181">
        <f t="shared" si="181"/>
        <v>0</v>
      </c>
    </row>
    <row r="124" spans="1:24" ht="12.75" x14ac:dyDescent="0.2">
      <c r="A124" s="154"/>
      <c r="B124" s="155"/>
      <c r="C124" s="155"/>
      <c r="D124" s="156"/>
      <c r="E124" s="154">
        <v>1</v>
      </c>
      <c r="F124" s="155" t="s">
        <v>220</v>
      </c>
      <c r="G124" s="175">
        <v>1</v>
      </c>
      <c r="H124" s="176">
        <v>250000000</v>
      </c>
      <c r="I124" s="176">
        <f t="shared" si="183"/>
        <v>250000000</v>
      </c>
      <c r="J124" s="205">
        <v>44446</v>
      </c>
      <c r="K124" s="205">
        <v>49194</v>
      </c>
      <c r="L124" s="155">
        <v>156</v>
      </c>
      <c r="M124" s="195">
        <v>32.94</v>
      </c>
      <c r="N124" s="176">
        <f t="shared" si="186"/>
        <v>8234999.9999999991</v>
      </c>
      <c r="O124" s="176"/>
      <c r="P124" s="176"/>
      <c r="Q124" s="176">
        <f t="shared" si="187"/>
        <v>8234999.9999999991</v>
      </c>
      <c r="R124" s="81">
        <f t="shared" si="177"/>
        <v>823500</v>
      </c>
      <c r="S124" s="190">
        <f t="shared" si="188"/>
        <v>7411499.9999999991</v>
      </c>
      <c r="T124" s="182">
        <f t="shared" si="184"/>
        <v>211153.84615384613</v>
      </c>
      <c r="U124" s="182">
        <f t="shared" si="185"/>
        <v>633461.53846153838</v>
      </c>
      <c r="V124" s="182">
        <f t="shared" si="179"/>
        <v>7390384.615384615</v>
      </c>
      <c r="W124" s="181">
        <f t="shared" si="180"/>
        <v>8235000</v>
      </c>
      <c r="X124" s="181">
        <f t="shared" si="181"/>
        <v>0</v>
      </c>
    </row>
    <row r="125" spans="1:24" ht="12.75" x14ac:dyDescent="0.2">
      <c r="A125" s="154"/>
      <c r="B125" s="155"/>
      <c r="C125" s="155"/>
      <c r="D125" s="156"/>
      <c r="E125" s="154">
        <v>1</v>
      </c>
      <c r="F125" s="155" t="s">
        <v>221</v>
      </c>
      <c r="G125" s="175">
        <v>1</v>
      </c>
      <c r="H125" s="176">
        <v>270000000</v>
      </c>
      <c r="I125" s="176">
        <f t="shared" si="183"/>
        <v>270000000</v>
      </c>
      <c r="J125" s="205">
        <v>44446</v>
      </c>
      <c r="K125" s="205">
        <v>48098</v>
      </c>
      <c r="L125" s="155">
        <v>120</v>
      </c>
      <c r="M125" s="195">
        <v>25.48</v>
      </c>
      <c r="N125" s="176">
        <f t="shared" si="186"/>
        <v>6879600</v>
      </c>
      <c r="O125" s="176"/>
      <c r="P125" s="176"/>
      <c r="Q125" s="176">
        <f t="shared" si="187"/>
        <v>6879600</v>
      </c>
      <c r="R125" s="81">
        <f t="shared" si="177"/>
        <v>687960</v>
      </c>
      <c r="S125" s="190">
        <f t="shared" si="188"/>
        <v>6191640</v>
      </c>
      <c r="T125" s="182">
        <f t="shared" si="184"/>
        <v>229320</v>
      </c>
      <c r="U125" s="182">
        <f t="shared" si="185"/>
        <v>687960</v>
      </c>
      <c r="V125" s="182">
        <f t="shared" si="179"/>
        <v>5962320</v>
      </c>
      <c r="W125" s="181">
        <f t="shared" si="180"/>
        <v>6879600</v>
      </c>
      <c r="X125" s="181">
        <f t="shared" si="181"/>
        <v>0</v>
      </c>
    </row>
    <row r="126" spans="1:24" ht="12.75" x14ac:dyDescent="0.2">
      <c r="A126" s="154"/>
      <c r="B126" s="155"/>
      <c r="C126" s="155"/>
      <c r="D126" s="156"/>
      <c r="E126" s="154">
        <v>1</v>
      </c>
      <c r="F126" s="155" t="s">
        <v>222</v>
      </c>
      <c r="G126" s="175">
        <v>1</v>
      </c>
      <c r="H126" s="176">
        <v>310000000</v>
      </c>
      <c r="I126" s="176">
        <f t="shared" si="183"/>
        <v>310000000</v>
      </c>
      <c r="J126" s="205">
        <v>44453</v>
      </c>
      <c r="K126" s="205">
        <v>48105</v>
      </c>
      <c r="L126" s="155">
        <v>120</v>
      </c>
      <c r="M126" s="195">
        <v>25.48</v>
      </c>
      <c r="N126" s="176">
        <f t="shared" si="186"/>
        <v>7898800</v>
      </c>
      <c r="O126" s="176"/>
      <c r="P126" s="176"/>
      <c r="Q126" s="176">
        <f t="shared" si="187"/>
        <v>7898800</v>
      </c>
      <c r="R126" s="81">
        <f t="shared" si="177"/>
        <v>789880</v>
      </c>
      <c r="S126" s="190">
        <f t="shared" si="188"/>
        <v>7108920</v>
      </c>
      <c r="T126" s="182">
        <f t="shared" si="184"/>
        <v>263293.33333333331</v>
      </c>
      <c r="U126" s="182">
        <f t="shared" si="185"/>
        <v>789880</v>
      </c>
      <c r="V126" s="182">
        <f t="shared" si="179"/>
        <v>6845626.666666667</v>
      </c>
      <c r="W126" s="181">
        <f t="shared" si="180"/>
        <v>7898800</v>
      </c>
      <c r="X126" s="181">
        <f t="shared" si="181"/>
        <v>0</v>
      </c>
    </row>
    <row r="127" spans="1:24" ht="12.75" x14ac:dyDescent="0.2">
      <c r="A127" s="154"/>
      <c r="B127" s="155"/>
      <c r="C127" s="155"/>
      <c r="D127" s="156"/>
      <c r="E127" s="154">
        <v>1</v>
      </c>
      <c r="F127" s="155" t="s">
        <v>223</v>
      </c>
      <c r="G127" s="175">
        <v>1</v>
      </c>
      <c r="H127" s="176">
        <v>50000000</v>
      </c>
      <c r="I127" s="176">
        <f t="shared" si="183"/>
        <v>50000000</v>
      </c>
      <c r="J127" s="205">
        <v>44460</v>
      </c>
      <c r="K127" s="205">
        <v>48112</v>
      </c>
      <c r="L127" s="155">
        <v>36</v>
      </c>
      <c r="M127" s="195">
        <v>9.1</v>
      </c>
      <c r="N127" s="176">
        <f t="shared" si="186"/>
        <v>455000</v>
      </c>
      <c r="O127" s="176"/>
      <c r="P127" s="176"/>
      <c r="Q127" s="176">
        <f t="shared" si="187"/>
        <v>455000</v>
      </c>
      <c r="R127" s="81">
        <f t="shared" si="177"/>
        <v>45500</v>
      </c>
      <c r="S127" s="190">
        <f t="shared" si="188"/>
        <v>409500</v>
      </c>
      <c r="T127" s="182">
        <f t="shared" si="184"/>
        <v>50555.555555555555</v>
      </c>
      <c r="U127" s="182">
        <f t="shared" si="185"/>
        <v>151666.66666666666</v>
      </c>
      <c r="V127" s="182">
        <f t="shared" si="179"/>
        <v>252777.77777777778</v>
      </c>
      <c r="W127" s="181">
        <f t="shared" si="180"/>
        <v>455000</v>
      </c>
      <c r="X127" s="181">
        <f t="shared" si="181"/>
        <v>0</v>
      </c>
    </row>
    <row r="128" spans="1:24" ht="12.75" x14ac:dyDescent="0.2">
      <c r="A128" s="154"/>
      <c r="B128" s="155"/>
      <c r="C128" s="155"/>
      <c r="D128" s="156"/>
      <c r="E128" s="154">
        <v>1</v>
      </c>
      <c r="F128" s="155" t="s">
        <v>224</v>
      </c>
      <c r="G128" s="175">
        <v>1</v>
      </c>
      <c r="H128" s="176">
        <v>334000000</v>
      </c>
      <c r="I128" s="176">
        <f t="shared" si="183"/>
        <v>334000000</v>
      </c>
      <c r="J128" s="205">
        <v>44453</v>
      </c>
      <c r="K128" s="205">
        <v>44453</v>
      </c>
      <c r="L128" s="155">
        <v>180</v>
      </c>
      <c r="M128" s="195">
        <v>35.409999999999997</v>
      </c>
      <c r="N128" s="176">
        <f t="shared" si="186"/>
        <v>11826939.999999998</v>
      </c>
      <c r="O128" s="176"/>
      <c r="P128" s="176"/>
      <c r="Q128" s="176">
        <f t="shared" si="187"/>
        <v>11826939.999999998</v>
      </c>
      <c r="R128" s="81">
        <f t="shared" si="177"/>
        <v>1182693.9999999998</v>
      </c>
      <c r="S128" s="190">
        <f t="shared" si="188"/>
        <v>10644245.999999998</v>
      </c>
      <c r="T128" s="182">
        <f t="shared" si="184"/>
        <v>262820.88888888888</v>
      </c>
      <c r="U128" s="182">
        <f t="shared" si="185"/>
        <v>788462.66666666663</v>
      </c>
      <c r="V128" s="182">
        <f t="shared" si="179"/>
        <v>10775656.444444444</v>
      </c>
      <c r="W128" s="181">
        <f t="shared" si="180"/>
        <v>11826940</v>
      </c>
      <c r="X128" s="181">
        <f t="shared" si="181"/>
        <v>0</v>
      </c>
    </row>
    <row r="129" spans="1:24" ht="12.75" x14ac:dyDescent="0.2">
      <c r="A129" s="154"/>
      <c r="B129" s="155"/>
      <c r="C129" s="155"/>
      <c r="D129" s="156"/>
      <c r="E129" s="154">
        <v>1</v>
      </c>
      <c r="F129" s="155" t="s">
        <v>225</v>
      </c>
      <c r="G129" s="175">
        <v>1</v>
      </c>
      <c r="H129" s="176">
        <v>230000000</v>
      </c>
      <c r="I129" s="176">
        <f t="shared" si="183"/>
        <v>230000000</v>
      </c>
      <c r="J129" s="205">
        <v>44436</v>
      </c>
      <c r="K129" s="205">
        <v>44436</v>
      </c>
      <c r="L129" s="155">
        <v>84</v>
      </c>
      <c r="M129" s="195">
        <v>25.48</v>
      </c>
      <c r="N129" s="176">
        <f t="shared" si="186"/>
        <v>5860400</v>
      </c>
      <c r="O129" s="176"/>
      <c r="P129" s="176"/>
      <c r="Q129" s="176">
        <f t="shared" si="187"/>
        <v>5860400</v>
      </c>
      <c r="R129" s="81">
        <f t="shared" si="177"/>
        <v>586040</v>
      </c>
      <c r="S129" s="190">
        <f t="shared" si="188"/>
        <v>5274360</v>
      </c>
      <c r="T129" s="182">
        <f t="shared" si="184"/>
        <v>279066.66666666669</v>
      </c>
      <c r="U129" s="182">
        <f t="shared" si="185"/>
        <v>837200</v>
      </c>
      <c r="V129" s="182">
        <f t="shared" si="179"/>
        <v>4744133.333333333</v>
      </c>
      <c r="W129" s="181">
        <f t="shared" si="180"/>
        <v>5860400</v>
      </c>
      <c r="X129" s="181">
        <f t="shared" si="181"/>
        <v>0</v>
      </c>
    </row>
    <row r="130" spans="1:24" ht="12.75" x14ac:dyDescent="0.2">
      <c r="A130" s="198"/>
      <c r="B130" s="199"/>
      <c r="C130" s="199"/>
      <c r="D130" s="199"/>
      <c r="E130" s="201">
        <f t="shared" ref="E130:X130" si="189">SUM(E121:E129)</f>
        <v>9</v>
      </c>
      <c r="F130" s="201">
        <f t="shared" si="189"/>
        <v>0</v>
      </c>
      <c r="G130" s="201">
        <f t="shared" si="189"/>
        <v>9</v>
      </c>
      <c r="H130" s="201">
        <f t="shared" si="189"/>
        <v>1831343000</v>
      </c>
      <c r="I130" s="201">
        <f t="shared" si="189"/>
        <v>1831343000</v>
      </c>
      <c r="J130" s="201"/>
      <c r="K130" s="201"/>
      <c r="L130" s="201"/>
      <c r="M130" s="201"/>
      <c r="N130" s="201">
        <f t="shared" si="189"/>
        <v>54431284.5</v>
      </c>
      <c r="O130" s="201">
        <f t="shared" si="189"/>
        <v>0</v>
      </c>
      <c r="P130" s="201">
        <f t="shared" si="189"/>
        <v>0</v>
      </c>
      <c r="Q130" s="201">
        <f t="shared" si="189"/>
        <v>54431284.5</v>
      </c>
      <c r="R130" s="201">
        <f t="shared" si="189"/>
        <v>5443128.4500000002</v>
      </c>
      <c r="S130" s="201">
        <f t="shared" si="189"/>
        <v>48988156.049999997</v>
      </c>
      <c r="T130" s="201">
        <f t="shared" si="189"/>
        <v>1642373.0128205128</v>
      </c>
      <c r="U130" s="201">
        <f t="shared" si="189"/>
        <v>4927119.038461538</v>
      </c>
      <c r="V130" s="201">
        <f t="shared" si="189"/>
        <v>47861792.448717952</v>
      </c>
      <c r="W130" s="201">
        <f t="shared" si="189"/>
        <v>54431284.5</v>
      </c>
      <c r="X130" s="201">
        <f t="shared" si="189"/>
        <v>0</v>
      </c>
    </row>
    <row r="131" spans="1:24" ht="12.75" x14ac:dyDescent="0.2">
      <c r="A131" s="154">
        <v>24</v>
      </c>
      <c r="B131" s="155" t="s">
        <v>51</v>
      </c>
      <c r="C131" s="155" t="s">
        <v>226</v>
      </c>
      <c r="D131" s="156">
        <v>44469</v>
      </c>
      <c r="E131" s="154">
        <v>1</v>
      </c>
      <c r="F131" s="155" t="s">
        <v>227</v>
      </c>
      <c r="G131" s="175">
        <v>1</v>
      </c>
      <c r="H131" s="176">
        <v>300000000</v>
      </c>
      <c r="I131" s="176">
        <f t="shared" ref="I131:I132" si="190">H131*G131</f>
        <v>300000000</v>
      </c>
      <c r="J131" s="205">
        <v>44442</v>
      </c>
      <c r="K131" s="205">
        <v>48094</v>
      </c>
      <c r="L131" s="155">
        <v>120</v>
      </c>
      <c r="M131" s="195">
        <v>25.48</v>
      </c>
      <c r="N131" s="176">
        <f t="shared" ref="N131:N132" si="191">M131*H131/1000</f>
        <v>7644000</v>
      </c>
      <c r="O131" s="176"/>
      <c r="P131" s="176"/>
      <c r="Q131" s="176">
        <f t="shared" ref="Q131:Q132" si="192">N131+O131+P131</f>
        <v>7644000</v>
      </c>
      <c r="R131" s="196"/>
      <c r="S131" s="190">
        <f t="shared" ref="S131:S132" si="193">Q131-R131</f>
        <v>7644000</v>
      </c>
      <c r="T131" s="182">
        <f t="shared" ref="T131:T132" si="194">Q131/L131*4</f>
        <v>254800</v>
      </c>
      <c r="U131" s="182">
        <f t="shared" si="185"/>
        <v>764400</v>
      </c>
      <c r="V131" s="182">
        <f t="shared" si="179"/>
        <v>6624800</v>
      </c>
      <c r="W131" s="181">
        <f t="shared" si="180"/>
        <v>7644000</v>
      </c>
      <c r="X131" s="181">
        <f t="shared" si="181"/>
        <v>0</v>
      </c>
    </row>
    <row r="132" spans="1:24" ht="12.75" x14ac:dyDescent="0.2">
      <c r="A132" s="154"/>
      <c r="B132" s="155"/>
      <c r="C132" s="155"/>
      <c r="D132" s="156"/>
      <c r="E132" s="154">
        <v>1</v>
      </c>
      <c r="F132" s="155" t="s">
        <v>228</v>
      </c>
      <c r="G132" s="175">
        <v>1</v>
      </c>
      <c r="H132" s="176">
        <v>260000000</v>
      </c>
      <c r="I132" s="176">
        <f t="shared" si="190"/>
        <v>260000000</v>
      </c>
      <c r="J132" s="205">
        <v>44466</v>
      </c>
      <c r="K132" s="205">
        <v>48118</v>
      </c>
      <c r="L132" s="155">
        <v>120</v>
      </c>
      <c r="M132" s="195">
        <v>36.4</v>
      </c>
      <c r="N132" s="176">
        <f t="shared" si="191"/>
        <v>9464000</v>
      </c>
      <c r="O132" s="176"/>
      <c r="P132" s="176"/>
      <c r="Q132" s="176">
        <f t="shared" si="192"/>
        <v>9464000</v>
      </c>
      <c r="R132" s="196"/>
      <c r="S132" s="190">
        <f t="shared" si="193"/>
        <v>9464000</v>
      </c>
      <c r="T132" s="182">
        <f t="shared" si="194"/>
        <v>315466.66666666669</v>
      </c>
      <c r="U132" s="182">
        <f t="shared" si="185"/>
        <v>946400</v>
      </c>
      <c r="V132" s="182">
        <f t="shared" si="179"/>
        <v>8202133.333333334</v>
      </c>
      <c r="W132" s="181">
        <f t="shared" si="180"/>
        <v>9464000</v>
      </c>
      <c r="X132" s="181">
        <f t="shared" si="181"/>
        <v>0</v>
      </c>
    </row>
    <row r="133" spans="1:24" ht="12.75" x14ac:dyDescent="0.2">
      <c r="A133" s="198"/>
      <c r="B133" s="199"/>
      <c r="C133" s="199"/>
      <c r="D133" s="199"/>
      <c r="E133" s="200">
        <f>SUM(E131:E132)</f>
        <v>2</v>
      </c>
      <c r="F133" s="201"/>
      <c r="G133" s="201"/>
      <c r="H133" s="201">
        <f>SUM(H131:H132)</f>
        <v>560000000</v>
      </c>
      <c r="I133" s="201">
        <f>SUM(I131:I132)</f>
        <v>560000000</v>
      </c>
      <c r="J133" s="201"/>
      <c r="K133" s="201"/>
      <c r="L133" s="201"/>
      <c r="M133" s="201"/>
      <c r="N133" s="201">
        <f t="shared" ref="N133:X133" si="195">SUM(N131:N132)</f>
        <v>17108000</v>
      </c>
      <c r="O133" s="201">
        <f t="shared" si="195"/>
        <v>0</v>
      </c>
      <c r="P133" s="201">
        <f t="shared" si="195"/>
        <v>0</v>
      </c>
      <c r="Q133" s="201">
        <f t="shared" si="195"/>
        <v>17108000</v>
      </c>
      <c r="R133" s="201">
        <f t="shared" si="195"/>
        <v>0</v>
      </c>
      <c r="S133" s="201">
        <f t="shared" si="195"/>
        <v>17108000</v>
      </c>
      <c r="T133" s="201">
        <f t="shared" si="195"/>
        <v>570266.66666666674</v>
      </c>
      <c r="U133" s="201">
        <f t="shared" si="195"/>
        <v>1710800</v>
      </c>
      <c r="V133" s="201">
        <f t="shared" si="195"/>
        <v>14826933.333333334</v>
      </c>
      <c r="W133" s="201">
        <f t="shared" si="195"/>
        <v>17108000</v>
      </c>
      <c r="X133" s="201">
        <f t="shared" si="195"/>
        <v>0</v>
      </c>
    </row>
    <row r="134" spans="1:24" ht="12" x14ac:dyDescent="0.2">
      <c r="A134" s="83"/>
      <c r="B134" s="83"/>
      <c r="C134" s="83" t="s">
        <v>52</v>
      </c>
      <c r="D134" s="84"/>
      <c r="E134" s="85">
        <f>E133+E130+E120+E118</f>
        <v>12</v>
      </c>
      <c r="F134" s="87"/>
      <c r="G134" s="87"/>
      <c r="H134" s="87">
        <f t="shared" ref="H134:X134" si="196">H133+H130+H120+H118</f>
        <v>2405253250</v>
      </c>
      <c r="I134" s="87">
        <f t="shared" si="196"/>
        <v>2405253250</v>
      </c>
      <c r="J134" s="87"/>
      <c r="K134" s="87"/>
      <c r="L134" s="87"/>
      <c r="M134" s="87"/>
      <c r="N134" s="87">
        <f t="shared" si="196"/>
        <v>72524216.23393999</v>
      </c>
      <c r="O134" s="87">
        <f t="shared" si="196"/>
        <v>100000</v>
      </c>
      <c r="P134" s="87">
        <f t="shared" si="196"/>
        <v>0</v>
      </c>
      <c r="Q134" s="87">
        <f t="shared" si="196"/>
        <v>72624216.23393999</v>
      </c>
      <c r="R134" s="87">
        <f t="shared" si="196"/>
        <v>5527841.8725000005</v>
      </c>
      <c r="S134" s="87">
        <f t="shared" si="196"/>
        <v>67096374.361439995</v>
      </c>
      <c r="T134" s="87">
        <f t="shared" si="196"/>
        <v>2600705.5362382908</v>
      </c>
      <c r="U134" s="87">
        <f t="shared" si="196"/>
        <v>7334784.9156504273</v>
      </c>
      <c r="V134" s="87">
        <f t="shared" si="196"/>
        <v>62688725.782051288</v>
      </c>
      <c r="W134" s="87">
        <f t="shared" si="196"/>
        <v>72624216.23393999</v>
      </c>
      <c r="X134" s="87">
        <f t="shared" si="196"/>
        <v>0</v>
      </c>
    </row>
    <row r="135" spans="1:24" ht="12" x14ac:dyDescent="0.2">
      <c r="A135" s="83"/>
      <c r="B135" s="83"/>
      <c r="C135" s="83" t="s">
        <v>229</v>
      </c>
      <c r="D135" s="84"/>
      <c r="E135" s="93">
        <f>E134+E112</f>
        <v>59</v>
      </c>
      <c r="F135" s="95"/>
      <c r="G135" s="95"/>
      <c r="H135" s="95">
        <f t="shared" ref="H135:X135" si="197">H134+H112</f>
        <v>13692837422</v>
      </c>
      <c r="I135" s="95">
        <f t="shared" si="197"/>
        <v>13692837422</v>
      </c>
      <c r="J135" s="95"/>
      <c r="K135" s="95"/>
      <c r="L135" s="95"/>
      <c r="M135" s="95"/>
      <c r="N135" s="95">
        <f t="shared" si="197"/>
        <v>413471455.36987996</v>
      </c>
      <c r="O135" s="95">
        <f t="shared" si="197"/>
        <v>600000</v>
      </c>
      <c r="P135" s="95">
        <f t="shared" si="197"/>
        <v>0</v>
      </c>
      <c r="Q135" s="95">
        <f>Q134+Q112</f>
        <v>429969455.36987996</v>
      </c>
      <c r="R135" s="95">
        <f t="shared" si="197"/>
        <v>41038465.881006002</v>
      </c>
      <c r="S135" s="95">
        <f t="shared" si="197"/>
        <v>388930989.48887402</v>
      </c>
      <c r="T135" s="95">
        <f t="shared" si="197"/>
        <v>51458236.162660763</v>
      </c>
      <c r="U135" s="95">
        <f t="shared" si="197"/>
        <v>53353582.145924971</v>
      </c>
      <c r="V135" s="95">
        <f t="shared" si="197"/>
        <v>325157637.06129432</v>
      </c>
      <c r="W135" s="95">
        <f t="shared" si="197"/>
        <v>429969455.36988002</v>
      </c>
      <c r="X135" s="95">
        <f t="shared" si="197"/>
        <v>0</v>
      </c>
    </row>
  </sheetData>
  <mergeCells count="128">
    <mergeCell ref="N115:P115"/>
    <mergeCell ref="Q115:Q116"/>
    <mergeCell ref="R115:R116"/>
    <mergeCell ref="S115:S116"/>
    <mergeCell ref="G115:G116"/>
    <mergeCell ref="H115:H116"/>
    <mergeCell ref="I115:I116"/>
    <mergeCell ref="J115:K116"/>
    <mergeCell ref="L115:L116"/>
    <mergeCell ref="M115:M116"/>
    <mergeCell ref="N88:P88"/>
    <mergeCell ref="Q88:Q89"/>
    <mergeCell ref="R88:R89"/>
    <mergeCell ref="S88:S89"/>
    <mergeCell ref="A115:A116"/>
    <mergeCell ref="B115:B116"/>
    <mergeCell ref="C115:C116"/>
    <mergeCell ref="D115:D116"/>
    <mergeCell ref="E115:E116"/>
    <mergeCell ref="F115:F116"/>
    <mergeCell ref="G88:G89"/>
    <mergeCell ref="H88:H89"/>
    <mergeCell ref="I88:I89"/>
    <mergeCell ref="J88:K89"/>
    <mergeCell ref="L88:L89"/>
    <mergeCell ref="M88:M89"/>
    <mergeCell ref="N78:P78"/>
    <mergeCell ref="Q78:Q79"/>
    <mergeCell ref="R78:R79"/>
    <mergeCell ref="S78:S79"/>
    <mergeCell ref="A88:A89"/>
    <mergeCell ref="B88:B89"/>
    <mergeCell ref="C88:C89"/>
    <mergeCell ref="D88:D89"/>
    <mergeCell ref="E88:E89"/>
    <mergeCell ref="F88:F89"/>
    <mergeCell ref="G78:G79"/>
    <mergeCell ref="H78:H79"/>
    <mergeCell ref="I78:I79"/>
    <mergeCell ref="J78:K79"/>
    <mergeCell ref="L78:L79"/>
    <mergeCell ref="M78:M79"/>
    <mergeCell ref="N47:P47"/>
    <mergeCell ref="Q47:Q48"/>
    <mergeCell ref="R47:R48"/>
    <mergeCell ref="S47:S48"/>
    <mergeCell ref="A78:A79"/>
    <mergeCell ref="B78:B79"/>
    <mergeCell ref="C78:C79"/>
    <mergeCell ref="D78:D79"/>
    <mergeCell ref="E78:E79"/>
    <mergeCell ref="F78:F79"/>
    <mergeCell ref="G47:G48"/>
    <mergeCell ref="H47:H48"/>
    <mergeCell ref="I47:I48"/>
    <mergeCell ref="J47:K48"/>
    <mergeCell ref="L47:L48"/>
    <mergeCell ref="M47:M48"/>
    <mergeCell ref="N27:P27"/>
    <mergeCell ref="Q27:Q28"/>
    <mergeCell ref="R27:R28"/>
    <mergeCell ref="S27:S28"/>
    <mergeCell ref="A47:A48"/>
    <mergeCell ref="B47:B48"/>
    <mergeCell ref="C47:C48"/>
    <mergeCell ref="D47:D48"/>
    <mergeCell ref="E47:E48"/>
    <mergeCell ref="F47:F48"/>
    <mergeCell ref="G27:G28"/>
    <mergeCell ref="H27:H28"/>
    <mergeCell ref="I27:I28"/>
    <mergeCell ref="J27:K28"/>
    <mergeCell ref="L27:L28"/>
    <mergeCell ref="M27:M28"/>
    <mergeCell ref="N17:P17"/>
    <mergeCell ref="Q17:Q18"/>
    <mergeCell ref="R17:R18"/>
    <mergeCell ref="S17:S18"/>
    <mergeCell ref="A27:A28"/>
    <mergeCell ref="B27:B28"/>
    <mergeCell ref="C27:C28"/>
    <mergeCell ref="D27:D28"/>
    <mergeCell ref="E27:E28"/>
    <mergeCell ref="F27:F28"/>
    <mergeCell ref="G17:G18"/>
    <mergeCell ref="H17:H18"/>
    <mergeCell ref="I17:I18"/>
    <mergeCell ref="J17:K18"/>
    <mergeCell ref="L17:L18"/>
    <mergeCell ref="M17:M18"/>
    <mergeCell ref="N9:P9"/>
    <mergeCell ref="Q9:Q10"/>
    <mergeCell ref="R9:R10"/>
    <mergeCell ref="S9:S10"/>
    <mergeCell ref="A17:A18"/>
    <mergeCell ref="B17:B18"/>
    <mergeCell ref="C17:C18"/>
    <mergeCell ref="D17:D18"/>
    <mergeCell ref="E17:E18"/>
    <mergeCell ref="F17:F18"/>
    <mergeCell ref="G9:G10"/>
    <mergeCell ref="H9:H10"/>
    <mergeCell ref="I9:I10"/>
    <mergeCell ref="J9:K10"/>
    <mergeCell ref="L9:L10"/>
    <mergeCell ref="M9:M10"/>
    <mergeCell ref="N3:P3"/>
    <mergeCell ref="Q3:Q4"/>
    <mergeCell ref="R3:R4"/>
    <mergeCell ref="S3:S4"/>
    <mergeCell ref="A9:A10"/>
    <mergeCell ref="B9:B10"/>
    <mergeCell ref="C9:C10"/>
    <mergeCell ref="D9:D10"/>
    <mergeCell ref="E9:E10"/>
    <mergeCell ref="F9:F10"/>
    <mergeCell ref="G3:G4"/>
    <mergeCell ref="H3:H4"/>
    <mergeCell ref="I3:I4"/>
    <mergeCell ref="J3:K4"/>
    <mergeCell ref="L3:L4"/>
    <mergeCell ref="M3:M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4"/>
  <sheetViews>
    <sheetView topLeftCell="A10" workbookViewId="0">
      <selection activeCell="A9" sqref="A1:XFD1048576"/>
    </sheetView>
  </sheetViews>
  <sheetFormatPr defaultRowHeight="12" x14ac:dyDescent="0.2"/>
  <cols>
    <col min="1" max="1" width="4.140625" style="3" customWidth="1"/>
    <col min="2" max="2" width="14.7109375" style="3" customWidth="1"/>
    <col min="3" max="3" width="17.28515625" style="3" customWidth="1"/>
    <col min="4" max="4" width="10.85546875" style="82" customWidth="1"/>
    <col min="5" max="5" width="7.85546875" style="97" customWidth="1"/>
    <col min="6" max="6" width="13.140625" style="3" customWidth="1"/>
    <col min="7" max="7" width="8.85546875" style="3" hidden="1" customWidth="1"/>
    <col min="8" max="8" width="12.7109375" style="3" customWidth="1"/>
    <col min="9" max="9" width="13.7109375" style="3" customWidth="1"/>
    <col min="10" max="10" width="0.28515625" style="3" hidden="1" customWidth="1"/>
    <col min="11" max="11" width="9.5703125" style="3" hidden="1" customWidth="1"/>
    <col min="12" max="12" width="4.28515625" style="3" bestFit="1" customWidth="1"/>
    <col min="13" max="13" width="5.28515625" style="3" customWidth="1"/>
    <col min="14" max="14" width="12.5703125" style="3" hidden="1" customWidth="1"/>
    <col min="15" max="16" width="9.140625" style="3" hidden="1" customWidth="1"/>
    <col min="17" max="17" width="9" style="3" hidden="1" customWidth="1"/>
    <col min="18" max="18" width="10.7109375" style="3" customWidth="1"/>
    <col min="19" max="19" width="17.28515625" style="3" hidden="1" customWidth="1"/>
    <col min="20" max="20" width="14.7109375" style="3" customWidth="1"/>
    <col min="21" max="21" width="16.5703125" style="3" customWidth="1"/>
    <col min="22" max="22" width="13" style="3" customWidth="1"/>
    <col min="23" max="16384" width="9.140625" style="3"/>
  </cols>
  <sheetData>
    <row r="2" spans="1:26" ht="14.25" customHeight="1" x14ac:dyDescent="0.2">
      <c r="A2" s="86" t="s">
        <v>76</v>
      </c>
      <c r="B2" s="62"/>
      <c r="C2" s="62"/>
      <c r="D2" s="57"/>
      <c r="E2" s="63"/>
      <c r="F2" s="64"/>
      <c r="G2" s="65"/>
      <c r="H2" s="66"/>
      <c r="I2" s="66"/>
      <c r="J2" s="67"/>
      <c r="K2" s="67"/>
      <c r="L2" s="68"/>
      <c r="M2" s="68"/>
      <c r="N2" s="69"/>
      <c r="O2" s="69"/>
      <c r="P2" s="69"/>
      <c r="Q2" s="69"/>
      <c r="R2" s="69"/>
      <c r="S2" s="69"/>
      <c r="T2" s="70"/>
      <c r="U2" s="71"/>
      <c r="V2" s="71"/>
    </row>
    <row r="3" spans="1:26" ht="14.25" customHeight="1" x14ac:dyDescent="0.2">
      <c r="A3" s="231" t="s">
        <v>0</v>
      </c>
      <c r="B3" s="232" t="s">
        <v>1</v>
      </c>
      <c r="C3" s="229" t="s">
        <v>2</v>
      </c>
      <c r="D3" s="233" t="s">
        <v>3</v>
      </c>
      <c r="E3" s="234" t="s">
        <v>4</v>
      </c>
      <c r="F3" s="232" t="s">
        <v>5</v>
      </c>
      <c r="G3" s="235" t="s">
        <v>6</v>
      </c>
      <c r="H3" s="236" t="s">
        <v>7</v>
      </c>
      <c r="I3" s="236" t="s">
        <v>8</v>
      </c>
      <c r="J3" s="227" t="s">
        <v>9</v>
      </c>
      <c r="K3" s="227"/>
      <c r="L3" s="228" t="s">
        <v>10</v>
      </c>
      <c r="M3" s="229" t="s">
        <v>11</v>
      </c>
      <c r="N3" s="230" t="s">
        <v>12</v>
      </c>
      <c r="O3" s="230"/>
      <c r="P3" s="230"/>
      <c r="Q3" s="229" t="s">
        <v>13</v>
      </c>
      <c r="R3" s="229" t="s">
        <v>14</v>
      </c>
      <c r="S3" s="229" t="s">
        <v>15</v>
      </c>
      <c r="T3" s="36">
        <v>2021</v>
      </c>
      <c r="U3" s="37"/>
      <c r="V3" s="38" t="s">
        <v>44</v>
      </c>
    </row>
    <row r="4" spans="1:26" ht="14.25" customHeight="1" x14ac:dyDescent="0.2">
      <c r="A4" s="231"/>
      <c r="B4" s="232"/>
      <c r="C4" s="229"/>
      <c r="D4" s="233"/>
      <c r="E4" s="234"/>
      <c r="F4" s="232"/>
      <c r="G4" s="235"/>
      <c r="H4" s="236"/>
      <c r="I4" s="236"/>
      <c r="J4" s="227"/>
      <c r="K4" s="227"/>
      <c r="L4" s="228"/>
      <c r="M4" s="229"/>
      <c r="N4" s="145" t="s">
        <v>16</v>
      </c>
      <c r="O4" s="145" t="s">
        <v>17</v>
      </c>
      <c r="P4" s="145" t="s">
        <v>18</v>
      </c>
      <c r="Q4" s="229"/>
      <c r="R4" s="229"/>
      <c r="S4" s="229"/>
      <c r="T4" s="96" t="s">
        <v>97</v>
      </c>
      <c r="U4" s="39" t="s">
        <v>98</v>
      </c>
      <c r="V4" s="40"/>
    </row>
    <row r="5" spans="1:26" x14ac:dyDescent="0.2">
      <c r="A5" s="72">
        <v>1</v>
      </c>
      <c r="B5" s="73" t="s">
        <v>49</v>
      </c>
      <c r="C5" s="73" t="s">
        <v>55</v>
      </c>
      <c r="D5" s="58">
        <v>44225</v>
      </c>
      <c r="E5" s="74">
        <v>1</v>
      </c>
      <c r="F5" s="73" t="s">
        <v>56</v>
      </c>
      <c r="G5" s="75">
        <v>1</v>
      </c>
      <c r="H5" s="42">
        <v>200000000</v>
      </c>
      <c r="I5" s="42">
        <f>H5*G5</f>
        <v>200000000</v>
      </c>
      <c r="J5" s="76">
        <v>44207</v>
      </c>
      <c r="K5" s="77">
        <f>IFERROR(VALUE(DAY(J5)&amp;" "&amp;TEXT(EOMONTH(J5,L5)-29,"mmm")&amp;" "&amp;YEAR(EOMONTH(J5,L5)-29)),"-")</f>
        <v>47494</v>
      </c>
      <c r="L5" s="78">
        <v>108</v>
      </c>
      <c r="M5" s="99">
        <v>23.21</v>
      </c>
      <c r="N5" s="81">
        <f t="shared" ref="N5" si="0">M5*H5/1000</f>
        <v>4642000</v>
      </c>
      <c r="O5" s="81"/>
      <c r="P5" s="81"/>
      <c r="Q5" s="81">
        <f t="shared" ref="Q5" si="1">N5+O5+P5</f>
        <v>4642000</v>
      </c>
      <c r="R5" s="81">
        <f t="shared" ref="R5" si="2">10%*N5</f>
        <v>464200</v>
      </c>
      <c r="S5" s="81">
        <f t="shared" ref="S5" si="3">Q5-R5</f>
        <v>4177800</v>
      </c>
      <c r="T5" s="42">
        <f>R5*10%+(Y5*3)</f>
        <v>58133.457943925234</v>
      </c>
      <c r="U5" s="1">
        <f t="shared" ref="U5" si="4">Y5*12</f>
        <v>46853.831775700935</v>
      </c>
      <c r="V5" s="34">
        <f t="shared" ref="V5" si="5">R5-T5-U5</f>
        <v>359212.71028037381</v>
      </c>
      <c r="W5" s="35">
        <f t="shared" ref="W5" si="6">T5+U5+V5</f>
        <v>464200</v>
      </c>
      <c r="X5" s="35">
        <f t="shared" ref="X5" si="7">R5-W5</f>
        <v>0</v>
      </c>
      <c r="Y5" s="35">
        <v>3904.4859813084113</v>
      </c>
      <c r="Z5" s="41">
        <f t="shared" ref="Z5" si="8">(R5-T5)/(L5-1)</f>
        <v>3795.0144117390164</v>
      </c>
    </row>
    <row r="6" spans="1:26" x14ac:dyDescent="0.2">
      <c r="A6" s="79"/>
      <c r="B6" s="59"/>
      <c r="C6" s="59"/>
      <c r="D6" s="59"/>
      <c r="E6" s="80">
        <f>SUM(E5:E5)</f>
        <v>1</v>
      </c>
      <c r="F6" s="80"/>
      <c r="G6" s="80"/>
      <c r="H6" s="79">
        <f>SUM(H5:H5)</f>
        <v>200000000</v>
      </c>
      <c r="I6" s="79">
        <f>SUM(I5:I5)</f>
        <v>200000000</v>
      </c>
      <c r="J6" s="79"/>
      <c r="K6" s="79"/>
      <c r="L6" s="79"/>
      <c r="M6" s="79"/>
      <c r="N6" s="79">
        <f t="shared" ref="N6:Z6" si="9">SUM(N5:N5)</f>
        <v>4642000</v>
      </c>
      <c r="O6" s="79">
        <f t="shared" si="9"/>
        <v>0</v>
      </c>
      <c r="P6" s="79">
        <f t="shared" si="9"/>
        <v>0</v>
      </c>
      <c r="Q6" s="79">
        <f t="shared" si="9"/>
        <v>4642000</v>
      </c>
      <c r="R6" s="79">
        <f t="shared" si="9"/>
        <v>464200</v>
      </c>
      <c r="S6" s="79">
        <f t="shared" si="9"/>
        <v>4177800</v>
      </c>
      <c r="T6" s="79">
        <f t="shared" si="9"/>
        <v>58133.457943925234</v>
      </c>
      <c r="U6" s="79">
        <f t="shared" si="9"/>
        <v>46853.831775700935</v>
      </c>
      <c r="V6" s="79">
        <f t="shared" si="9"/>
        <v>359212.71028037381</v>
      </c>
      <c r="W6" s="79">
        <f t="shared" si="9"/>
        <v>464200</v>
      </c>
      <c r="X6" s="79">
        <f t="shared" si="9"/>
        <v>0</v>
      </c>
      <c r="Y6" s="79">
        <f t="shared" si="9"/>
        <v>3904.4859813084113</v>
      </c>
      <c r="Z6" s="79">
        <f t="shared" si="9"/>
        <v>3795.0144117390164</v>
      </c>
    </row>
    <row r="8" spans="1:26" ht="14.25" customHeight="1" x14ac:dyDescent="0.2">
      <c r="A8" s="86" t="s">
        <v>74</v>
      </c>
      <c r="B8" s="62"/>
      <c r="C8" s="62"/>
      <c r="D8" s="57"/>
      <c r="E8" s="63"/>
      <c r="F8" s="64"/>
      <c r="G8" s="65"/>
      <c r="H8" s="66"/>
      <c r="I8" s="66"/>
      <c r="J8" s="67"/>
      <c r="K8" s="67"/>
      <c r="L8" s="68"/>
      <c r="M8" s="68"/>
      <c r="N8" s="69"/>
      <c r="O8" s="69"/>
      <c r="P8" s="69"/>
      <c r="Q8" s="69"/>
      <c r="R8" s="69"/>
      <c r="S8" s="69"/>
      <c r="T8" s="70"/>
      <c r="U8" s="71"/>
      <c r="V8" s="71"/>
    </row>
    <row r="9" spans="1:26" ht="14.25" customHeight="1" x14ac:dyDescent="0.2">
      <c r="A9" s="231" t="s">
        <v>0</v>
      </c>
      <c r="B9" s="232" t="s">
        <v>1</v>
      </c>
      <c r="C9" s="229" t="s">
        <v>2</v>
      </c>
      <c r="D9" s="233" t="s">
        <v>3</v>
      </c>
      <c r="E9" s="234" t="s">
        <v>4</v>
      </c>
      <c r="F9" s="232" t="s">
        <v>5</v>
      </c>
      <c r="G9" s="235" t="s">
        <v>6</v>
      </c>
      <c r="H9" s="236" t="s">
        <v>7</v>
      </c>
      <c r="I9" s="236" t="s">
        <v>8</v>
      </c>
      <c r="J9" s="227" t="s">
        <v>9</v>
      </c>
      <c r="K9" s="227"/>
      <c r="L9" s="228" t="s">
        <v>10</v>
      </c>
      <c r="M9" s="229" t="s">
        <v>11</v>
      </c>
      <c r="N9" s="230" t="s">
        <v>12</v>
      </c>
      <c r="O9" s="230"/>
      <c r="P9" s="230"/>
      <c r="Q9" s="229" t="s">
        <v>13</v>
      </c>
      <c r="R9" s="229" t="s">
        <v>14</v>
      </c>
      <c r="S9" s="229" t="s">
        <v>15</v>
      </c>
      <c r="T9" s="36">
        <v>2021</v>
      </c>
      <c r="U9" s="37"/>
      <c r="V9" s="38" t="s">
        <v>44</v>
      </c>
    </row>
    <row r="10" spans="1:26" ht="14.25" customHeight="1" x14ac:dyDescent="0.2">
      <c r="A10" s="231"/>
      <c r="B10" s="232"/>
      <c r="C10" s="229"/>
      <c r="D10" s="233"/>
      <c r="E10" s="234"/>
      <c r="F10" s="232"/>
      <c r="G10" s="235"/>
      <c r="H10" s="236"/>
      <c r="I10" s="236"/>
      <c r="J10" s="227"/>
      <c r="K10" s="227"/>
      <c r="L10" s="228"/>
      <c r="M10" s="229"/>
      <c r="N10" s="145" t="s">
        <v>16</v>
      </c>
      <c r="O10" s="145" t="s">
        <v>17</v>
      </c>
      <c r="P10" s="145" t="s">
        <v>18</v>
      </c>
      <c r="Q10" s="229"/>
      <c r="R10" s="229"/>
      <c r="S10" s="229"/>
      <c r="T10" s="96" t="s">
        <v>99</v>
      </c>
      <c r="U10" s="39" t="s">
        <v>119</v>
      </c>
      <c r="V10" s="40"/>
    </row>
    <row r="11" spans="1:26" x14ac:dyDescent="0.2">
      <c r="A11" s="74">
        <v>2</v>
      </c>
      <c r="B11" s="107" t="s">
        <v>59</v>
      </c>
      <c r="C11" s="107" t="s">
        <v>60</v>
      </c>
      <c r="D11" s="110">
        <v>44237</v>
      </c>
      <c r="E11" s="74">
        <v>1</v>
      </c>
      <c r="F11" s="107" t="s">
        <v>61</v>
      </c>
      <c r="G11" s="111">
        <v>1</v>
      </c>
      <c r="H11" s="112">
        <v>300000000</v>
      </c>
      <c r="I11" s="112">
        <f>H11*G11</f>
        <v>300000000</v>
      </c>
      <c r="J11" s="110">
        <v>44222</v>
      </c>
      <c r="K11" s="77">
        <f>IFERROR(VALUE(DAY(J11)&amp;" "&amp;TEXT(EOMONTH(J11,L11)-29,"mmm")&amp;" "&amp;YEAR(EOMONTH(J11,L11)-29)),"-")</f>
        <v>49700</v>
      </c>
      <c r="L11" s="107">
        <v>180</v>
      </c>
      <c r="M11" s="99">
        <v>37.520000000000003</v>
      </c>
      <c r="N11" s="81">
        <f t="shared" ref="N11" si="10">M11*H11/1000</f>
        <v>11256000</v>
      </c>
      <c r="O11" s="81"/>
      <c r="P11" s="81"/>
      <c r="Q11" s="81">
        <f t="shared" ref="Q11" si="11">N11+O11+P11</f>
        <v>11256000</v>
      </c>
      <c r="R11" s="81">
        <f t="shared" ref="R11" si="12">10%*N11</f>
        <v>1125600</v>
      </c>
      <c r="S11" s="81">
        <f t="shared" ref="S11" si="13">Q11-R11</f>
        <v>10130400</v>
      </c>
      <c r="T11" s="42">
        <f>(R11*10%)+(Y11*2)</f>
        <v>123878.88268156425</v>
      </c>
      <c r="U11" s="1">
        <f t="shared" ref="U11" si="14">Y11*12</f>
        <v>67913.296089385476</v>
      </c>
      <c r="V11" s="34">
        <f t="shared" ref="V11" si="15">R11-T11-U11</f>
        <v>933807.82122905029</v>
      </c>
      <c r="W11" s="35">
        <f t="shared" ref="W11" si="16">T11+U11+V11</f>
        <v>1125600</v>
      </c>
      <c r="X11" s="35">
        <f t="shared" ref="X11" si="17">R11-W11</f>
        <v>0</v>
      </c>
      <c r="Y11" s="35">
        <v>5659.441340782123</v>
      </c>
      <c r="Z11" s="41">
        <f t="shared" ref="Z11" si="18">(R11-T11)/(L11-1)</f>
        <v>5596.2073593208706</v>
      </c>
    </row>
    <row r="12" spans="1:26" x14ac:dyDescent="0.2">
      <c r="A12" s="79"/>
      <c r="B12" s="59"/>
      <c r="C12" s="59"/>
      <c r="D12" s="59"/>
      <c r="E12" s="80">
        <f>SUM(E11:E11)</f>
        <v>1</v>
      </c>
      <c r="F12" s="80"/>
      <c r="G12" s="80"/>
      <c r="H12" s="79">
        <f>SUM(H11:H11)</f>
        <v>300000000</v>
      </c>
      <c r="I12" s="79">
        <f>SUM(I11:I11)</f>
        <v>300000000</v>
      </c>
      <c r="J12" s="79"/>
      <c r="K12" s="79"/>
      <c r="L12" s="79"/>
      <c r="M12" s="79"/>
      <c r="N12" s="79">
        <f t="shared" ref="N12:Z12" si="19">SUM(N11:N11)</f>
        <v>11256000</v>
      </c>
      <c r="O12" s="79">
        <f t="shared" si="19"/>
        <v>0</v>
      </c>
      <c r="P12" s="79">
        <f t="shared" si="19"/>
        <v>0</v>
      </c>
      <c r="Q12" s="79">
        <f t="shared" si="19"/>
        <v>11256000</v>
      </c>
      <c r="R12" s="79">
        <f t="shared" si="19"/>
        <v>1125600</v>
      </c>
      <c r="S12" s="79">
        <f t="shared" si="19"/>
        <v>10130400</v>
      </c>
      <c r="T12" s="79">
        <f t="shared" si="19"/>
        <v>123878.88268156425</v>
      </c>
      <c r="U12" s="79">
        <f t="shared" si="19"/>
        <v>67913.296089385476</v>
      </c>
      <c r="V12" s="79">
        <f t="shared" si="19"/>
        <v>933807.82122905029</v>
      </c>
      <c r="W12" s="79">
        <f t="shared" si="19"/>
        <v>1125600</v>
      </c>
      <c r="X12" s="79">
        <f t="shared" si="19"/>
        <v>0</v>
      </c>
      <c r="Y12" s="79">
        <f t="shared" si="19"/>
        <v>5659.441340782123</v>
      </c>
      <c r="Z12" s="79">
        <f t="shared" si="19"/>
        <v>5596.2073593208706</v>
      </c>
    </row>
    <row r="13" spans="1:26" x14ac:dyDescent="0.2">
      <c r="A13" s="89"/>
      <c r="B13" s="89"/>
      <c r="C13" s="89" t="s">
        <v>73</v>
      </c>
      <c r="D13" s="90"/>
      <c r="E13" s="85">
        <f>E6+E12</f>
        <v>2</v>
      </c>
      <c r="F13" s="87">
        <f t="shared" ref="F13:G13" si="20">F6</f>
        <v>0</v>
      </c>
      <c r="G13" s="87">
        <f t="shared" si="20"/>
        <v>0</v>
      </c>
      <c r="H13" s="87">
        <f>H6+H12</f>
        <v>500000000</v>
      </c>
      <c r="I13" s="87">
        <f t="shared" ref="I13:Z13" si="21">I6+I12</f>
        <v>500000000</v>
      </c>
      <c r="J13" s="87">
        <f t="shared" si="21"/>
        <v>0</v>
      </c>
      <c r="K13" s="87">
        <f t="shared" si="21"/>
        <v>0</v>
      </c>
      <c r="L13" s="87">
        <f t="shared" si="21"/>
        <v>0</v>
      </c>
      <c r="M13" s="87">
        <f t="shared" si="21"/>
        <v>0</v>
      </c>
      <c r="N13" s="87">
        <f t="shared" si="21"/>
        <v>15898000</v>
      </c>
      <c r="O13" s="87">
        <f t="shared" si="21"/>
        <v>0</v>
      </c>
      <c r="P13" s="87">
        <f t="shared" si="21"/>
        <v>0</v>
      </c>
      <c r="Q13" s="87">
        <f t="shared" si="21"/>
        <v>15898000</v>
      </c>
      <c r="R13" s="87">
        <f t="shared" si="21"/>
        <v>1589800</v>
      </c>
      <c r="S13" s="87">
        <f t="shared" si="21"/>
        <v>14308200</v>
      </c>
      <c r="T13" s="87">
        <f t="shared" si="21"/>
        <v>182012.34062548948</v>
      </c>
      <c r="U13" s="87">
        <f t="shared" si="21"/>
        <v>114767.12786508641</v>
      </c>
      <c r="V13" s="87">
        <f t="shared" si="21"/>
        <v>1293020.5315094241</v>
      </c>
      <c r="W13" s="87">
        <f t="shared" si="21"/>
        <v>1589800</v>
      </c>
      <c r="X13" s="87">
        <f t="shared" si="21"/>
        <v>0</v>
      </c>
      <c r="Y13" s="87">
        <f t="shared" si="21"/>
        <v>9563.9273220905343</v>
      </c>
      <c r="Z13" s="87">
        <f t="shared" si="21"/>
        <v>9391.221771059887</v>
      </c>
    </row>
    <row r="16" spans="1:26" ht="14.25" customHeight="1" x14ac:dyDescent="0.2">
      <c r="A16" s="86" t="s">
        <v>91</v>
      </c>
      <c r="B16" s="62"/>
      <c r="C16" s="62"/>
      <c r="D16" s="57"/>
      <c r="E16" s="63"/>
      <c r="F16" s="64"/>
      <c r="G16" s="65"/>
      <c r="H16" s="66"/>
      <c r="I16" s="66"/>
      <c r="J16" s="67"/>
      <c r="K16" s="67"/>
      <c r="L16" s="68"/>
      <c r="M16" s="68"/>
      <c r="N16" s="69"/>
      <c r="O16" s="69"/>
      <c r="P16" s="69"/>
      <c r="Q16" s="69"/>
      <c r="R16" s="69"/>
      <c r="S16" s="69"/>
      <c r="T16" s="70"/>
      <c r="U16" s="71"/>
      <c r="V16" s="71"/>
    </row>
    <row r="17" spans="1:26" ht="14.25" customHeight="1" x14ac:dyDescent="0.2">
      <c r="A17" s="231" t="s">
        <v>0</v>
      </c>
      <c r="B17" s="232" t="s">
        <v>1</v>
      </c>
      <c r="C17" s="229" t="s">
        <v>2</v>
      </c>
      <c r="D17" s="233" t="s">
        <v>3</v>
      </c>
      <c r="E17" s="234" t="s">
        <v>4</v>
      </c>
      <c r="F17" s="232" t="s">
        <v>5</v>
      </c>
      <c r="G17" s="235" t="s">
        <v>6</v>
      </c>
      <c r="H17" s="236" t="s">
        <v>7</v>
      </c>
      <c r="I17" s="236" t="s">
        <v>8</v>
      </c>
      <c r="J17" s="227" t="s">
        <v>9</v>
      </c>
      <c r="K17" s="227"/>
      <c r="L17" s="228" t="s">
        <v>10</v>
      </c>
      <c r="M17" s="229" t="s">
        <v>11</v>
      </c>
      <c r="N17" s="230" t="s">
        <v>12</v>
      </c>
      <c r="O17" s="230"/>
      <c r="P17" s="230"/>
      <c r="Q17" s="229" t="s">
        <v>13</v>
      </c>
      <c r="R17" s="229" t="s">
        <v>14</v>
      </c>
      <c r="S17" s="229" t="s">
        <v>15</v>
      </c>
      <c r="T17" s="36">
        <v>2021</v>
      </c>
      <c r="U17" s="37"/>
      <c r="V17" s="38" t="s">
        <v>44</v>
      </c>
    </row>
    <row r="18" spans="1:26" ht="14.25" customHeight="1" x14ac:dyDescent="0.2">
      <c r="A18" s="231"/>
      <c r="B18" s="232"/>
      <c r="C18" s="229"/>
      <c r="D18" s="233"/>
      <c r="E18" s="234"/>
      <c r="F18" s="232"/>
      <c r="G18" s="235"/>
      <c r="H18" s="236"/>
      <c r="I18" s="236"/>
      <c r="J18" s="227"/>
      <c r="K18" s="227"/>
      <c r="L18" s="228"/>
      <c r="M18" s="229"/>
      <c r="N18" s="145" t="s">
        <v>16</v>
      </c>
      <c r="O18" s="145" t="s">
        <v>17</v>
      </c>
      <c r="P18" s="145" t="s">
        <v>18</v>
      </c>
      <c r="Q18" s="229"/>
      <c r="R18" s="229"/>
      <c r="S18" s="229"/>
      <c r="T18" s="96" t="s">
        <v>100</v>
      </c>
      <c r="U18" s="39" t="s">
        <v>119</v>
      </c>
      <c r="V18" s="40"/>
    </row>
    <row r="19" spans="1:26" x14ac:dyDescent="0.2">
      <c r="A19" s="74">
        <v>3</v>
      </c>
      <c r="B19" s="107" t="s">
        <v>49</v>
      </c>
      <c r="C19" s="107" t="s">
        <v>78</v>
      </c>
      <c r="D19" s="110">
        <v>44237</v>
      </c>
      <c r="E19" s="74">
        <v>1</v>
      </c>
      <c r="F19" s="107" t="s">
        <v>79</v>
      </c>
      <c r="G19" s="111">
        <v>1</v>
      </c>
      <c r="H19" s="112">
        <v>40000000</v>
      </c>
      <c r="I19" s="112">
        <f>H19*G19</f>
        <v>40000000</v>
      </c>
      <c r="J19" s="110">
        <v>44245</v>
      </c>
      <c r="K19" s="77">
        <f>IFERROR(VALUE(DAY(J19)&amp;" "&amp;TEXT(EOMONTH(J19,L19)-29,"mmm")&amp;" "&amp;YEAR(EOMONTH(J19,L19)-29)),"-")</f>
        <v>44944</v>
      </c>
      <c r="L19" s="107">
        <v>24</v>
      </c>
      <c r="M19" s="99">
        <v>21.1</v>
      </c>
      <c r="N19" s="81">
        <f t="shared" ref="N19" si="22">M19*H19/1000</f>
        <v>844000</v>
      </c>
      <c r="O19" s="81"/>
      <c r="P19" s="81"/>
      <c r="Q19" s="81">
        <f t="shared" ref="Q19" si="23">N19+O19+P19</f>
        <v>844000</v>
      </c>
      <c r="R19" s="81">
        <f t="shared" ref="R19" si="24">10%*N19</f>
        <v>84400</v>
      </c>
      <c r="S19" s="81">
        <f t="shared" ref="S19" si="25">Q19-R19</f>
        <v>759600</v>
      </c>
      <c r="T19" s="42">
        <f>R19*10%+Y19</f>
        <v>11742.608695652174</v>
      </c>
      <c r="U19" s="1">
        <f>Y19*12</f>
        <v>39631.304347826088</v>
      </c>
      <c r="V19" s="34">
        <f t="shared" ref="V19" si="26">R19-T19-U19</f>
        <v>33026.086956521736</v>
      </c>
      <c r="W19" s="35">
        <f t="shared" ref="W19" si="27">T19+U19+V19</f>
        <v>84400</v>
      </c>
      <c r="X19" s="35">
        <f t="shared" ref="X19" si="28">R19-W19</f>
        <v>0</v>
      </c>
      <c r="Y19" s="35">
        <v>3302.608695652174</v>
      </c>
      <c r="Z19" s="41">
        <f>(R19-T19)/(L19-1)</f>
        <v>3159.0170132325143</v>
      </c>
    </row>
    <row r="20" spans="1:26" x14ac:dyDescent="0.2">
      <c r="A20" s="88"/>
      <c r="B20" s="84"/>
      <c r="C20" s="84"/>
      <c r="D20" s="84"/>
      <c r="E20" s="88">
        <f>SUM(E19:E19)</f>
        <v>1</v>
      </c>
      <c r="F20" s="84"/>
      <c r="G20" s="115"/>
      <c r="H20" s="59">
        <f>SUM(H19:H19)</f>
        <v>40000000</v>
      </c>
      <c r="I20" s="59">
        <f>SUM(I19:I19)</f>
        <v>40000000</v>
      </c>
      <c r="J20" s="59"/>
      <c r="K20" s="59"/>
      <c r="L20" s="59"/>
      <c r="M20" s="59"/>
      <c r="N20" s="59">
        <f t="shared" ref="N20:Z20" si="29">SUM(N19:N19)</f>
        <v>844000</v>
      </c>
      <c r="O20" s="59">
        <f t="shared" si="29"/>
        <v>0</v>
      </c>
      <c r="P20" s="59">
        <f t="shared" si="29"/>
        <v>0</v>
      </c>
      <c r="Q20" s="59">
        <f t="shared" si="29"/>
        <v>844000</v>
      </c>
      <c r="R20" s="59">
        <f t="shared" si="29"/>
        <v>84400</v>
      </c>
      <c r="S20" s="59">
        <f t="shared" si="29"/>
        <v>759600</v>
      </c>
      <c r="T20" s="59">
        <f t="shared" si="29"/>
        <v>11742.608695652174</v>
      </c>
      <c r="U20" s="59">
        <f t="shared" si="29"/>
        <v>39631.304347826088</v>
      </c>
      <c r="V20" s="59">
        <f t="shared" si="29"/>
        <v>33026.086956521736</v>
      </c>
      <c r="W20" s="59">
        <f t="shared" si="29"/>
        <v>84400</v>
      </c>
      <c r="X20" s="59">
        <f t="shared" si="29"/>
        <v>0</v>
      </c>
      <c r="Y20" s="59">
        <f t="shared" si="29"/>
        <v>3302.608695652174</v>
      </c>
      <c r="Z20" s="59">
        <f t="shared" si="29"/>
        <v>3159.0170132325143</v>
      </c>
    </row>
    <row r="21" spans="1:26" x14ac:dyDescent="0.2">
      <c r="A21" s="74">
        <v>4</v>
      </c>
      <c r="B21" s="107" t="s">
        <v>84</v>
      </c>
      <c r="C21" s="107" t="s">
        <v>85</v>
      </c>
      <c r="D21" s="110">
        <v>44286</v>
      </c>
      <c r="E21" s="74">
        <v>1</v>
      </c>
      <c r="F21" s="107" t="s">
        <v>86</v>
      </c>
      <c r="G21" s="111">
        <v>1</v>
      </c>
      <c r="H21" s="112">
        <v>300000000</v>
      </c>
      <c r="I21" s="112">
        <f>H21*G21</f>
        <v>300000000</v>
      </c>
      <c r="J21" s="110">
        <v>44263</v>
      </c>
      <c r="K21" s="77">
        <f t="shared" ref="K21" si="30">IFERROR(VALUE(DAY(J21)&amp;" "&amp;TEXT(EOMONTH(J21,L21)-29,"mmm")&amp;" "&amp;YEAR(EOMONTH(J21,L21)-29)),"-")</f>
        <v>44993</v>
      </c>
      <c r="L21" s="107">
        <v>24</v>
      </c>
      <c r="M21" s="99">
        <v>51.12</v>
      </c>
      <c r="N21" s="81">
        <f t="shared" ref="N21" si="31">M21*H21/1000</f>
        <v>15336000</v>
      </c>
      <c r="O21" s="81"/>
      <c r="P21" s="81"/>
      <c r="Q21" s="81">
        <f t="shared" ref="Q21" si="32">N21+O21+P21</f>
        <v>15336000</v>
      </c>
      <c r="R21" s="81">
        <f t="shared" ref="R21" si="33">10%*N21</f>
        <v>1533600</v>
      </c>
      <c r="S21" s="81">
        <f t="shared" ref="S21" si="34">Q21-R21</f>
        <v>13802400</v>
      </c>
      <c r="T21" s="42"/>
      <c r="U21" s="1"/>
      <c r="V21" s="34"/>
      <c r="W21" s="35"/>
      <c r="X21" s="35"/>
      <c r="Y21" s="35"/>
      <c r="Z21" s="41"/>
    </row>
    <row r="22" spans="1:26" x14ac:dyDescent="0.2">
      <c r="A22" s="88"/>
      <c r="B22" s="84"/>
      <c r="C22" s="84"/>
      <c r="D22" s="84"/>
      <c r="E22" s="88"/>
      <c r="F22" s="84"/>
      <c r="G22" s="115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>
        <f t="shared" ref="S22:Z22" si="35">SUM(S21:S21)</f>
        <v>13802400</v>
      </c>
      <c r="T22" s="59">
        <f t="shared" si="35"/>
        <v>0</v>
      </c>
      <c r="U22" s="59">
        <f t="shared" si="35"/>
        <v>0</v>
      </c>
      <c r="V22" s="59">
        <f t="shared" si="35"/>
        <v>0</v>
      </c>
      <c r="W22" s="59">
        <f t="shared" si="35"/>
        <v>0</v>
      </c>
      <c r="X22" s="59">
        <f t="shared" si="35"/>
        <v>0</v>
      </c>
      <c r="Y22" s="59">
        <f t="shared" si="35"/>
        <v>0</v>
      </c>
      <c r="Z22" s="59">
        <f t="shared" si="35"/>
        <v>0</v>
      </c>
    </row>
    <row r="23" spans="1:26" x14ac:dyDescent="0.2">
      <c r="A23" s="83"/>
      <c r="B23" s="83"/>
      <c r="C23" s="83" t="s">
        <v>92</v>
      </c>
      <c r="D23" s="84"/>
      <c r="E23" s="85">
        <f>E22+E20</f>
        <v>1</v>
      </c>
      <c r="F23" s="87"/>
      <c r="G23" s="87"/>
      <c r="H23" s="87">
        <f t="shared" ref="H23:Z23" si="36">H22+H20</f>
        <v>40000000</v>
      </c>
      <c r="I23" s="87">
        <f t="shared" si="36"/>
        <v>40000000</v>
      </c>
      <c r="J23" s="87">
        <f t="shared" si="36"/>
        <v>0</v>
      </c>
      <c r="K23" s="87">
        <f t="shared" si="36"/>
        <v>0</v>
      </c>
      <c r="L23" s="87"/>
      <c r="M23" s="87"/>
      <c r="N23" s="87">
        <f t="shared" si="36"/>
        <v>844000</v>
      </c>
      <c r="O23" s="87">
        <f t="shared" si="36"/>
        <v>0</v>
      </c>
      <c r="P23" s="87">
        <f t="shared" si="36"/>
        <v>0</v>
      </c>
      <c r="Q23" s="87">
        <f t="shared" si="36"/>
        <v>844000</v>
      </c>
      <c r="R23" s="87">
        <f t="shared" si="36"/>
        <v>84400</v>
      </c>
      <c r="S23" s="87">
        <f t="shared" si="36"/>
        <v>14562000</v>
      </c>
      <c r="T23" s="87">
        <f t="shared" si="36"/>
        <v>11742.608695652174</v>
      </c>
      <c r="U23" s="87">
        <f t="shared" si="36"/>
        <v>39631.304347826088</v>
      </c>
      <c r="V23" s="87">
        <f t="shared" si="36"/>
        <v>33026.086956521736</v>
      </c>
      <c r="W23" s="87">
        <f t="shared" si="36"/>
        <v>84400</v>
      </c>
      <c r="X23" s="87">
        <f t="shared" si="36"/>
        <v>0</v>
      </c>
      <c r="Y23" s="87">
        <f t="shared" si="36"/>
        <v>3302.608695652174</v>
      </c>
      <c r="Z23" s="87">
        <f t="shared" si="36"/>
        <v>3159.0170132325143</v>
      </c>
    </row>
    <row r="24" spans="1:26" s="94" customFormat="1" x14ac:dyDescent="0.2">
      <c r="A24" s="83"/>
      <c r="B24" s="83"/>
      <c r="C24" s="83" t="s">
        <v>93</v>
      </c>
      <c r="D24" s="84"/>
      <c r="E24" s="85">
        <f>E23+E13</f>
        <v>3</v>
      </c>
      <c r="F24" s="87">
        <f t="shared" ref="F24:Z24" si="37">F23+F13</f>
        <v>0</v>
      </c>
      <c r="G24" s="87">
        <f t="shared" si="37"/>
        <v>0</v>
      </c>
      <c r="H24" s="87">
        <f t="shared" si="37"/>
        <v>540000000</v>
      </c>
      <c r="I24" s="87">
        <f t="shared" si="37"/>
        <v>540000000</v>
      </c>
      <c r="J24" s="87">
        <f t="shared" si="37"/>
        <v>0</v>
      </c>
      <c r="K24" s="87">
        <f t="shared" si="37"/>
        <v>0</v>
      </c>
      <c r="L24" s="87">
        <f t="shared" si="37"/>
        <v>0</v>
      </c>
      <c r="M24" s="87">
        <f t="shared" si="37"/>
        <v>0</v>
      </c>
      <c r="N24" s="87">
        <f t="shared" si="37"/>
        <v>16742000</v>
      </c>
      <c r="O24" s="87">
        <f t="shared" si="37"/>
        <v>0</v>
      </c>
      <c r="P24" s="87">
        <f t="shared" si="37"/>
        <v>0</v>
      </c>
      <c r="Q24" s="87">
        <f t="shared" si="37"/>
        <v>16742000</v>
      </c>
      <c r="R24" s="87">
        <f>R23+R13</f>
        <v>1674200</v>
      </c>
      <c r="S24" s="87">
        <f t="shared" si="37"/>
        <v>28870200</v>
      </c>
      <c r="T24" s="87">
        <f t="shared" si="37"/>
        <v>193754.94932114164</v>
      </c>
      <c r="U24" s="87">
        <f t="shared" si="37"/>
        <v>154398.43221291251</v>
      </c>
      <c r="V24" s="87">
        <f t="shared" si="37"/>
        <v>1326046.6184659458</v>
      </c>
      <c r="W24" s="87">
        <f t="shared" si="37"/>
        <v>1674200</v>
      </c>
      <c r="X24" s="87">
        <f t="shared" si="37"/>
        <v>0</v>
      </c>
      <c r="Y24" s="87">
        <f t="shared" si="37"/>
        <v>12866.536017742708</v>
      </c>
      <c r="Z24" s="87">
        <f t="shared" si="37"/>
        <v>12550.238784292402</v>
      </c>
    </row>
    <row r="26" spans="1:26" ht="14.25" customHeight="1" x14ac:dyDescent="0.2">
      <c r="A26" s="86" t="s">
        <v>120</v>
      </c>
      <c r="B26" s="62"/>
      <c r="C26" s="62"/>
      <c r="D26" s="57"/>
      <c r="E26" s="63"/>
      <c r="F26" s="64"/>
      <c r="G26" s="65"/>
      <c r="H26" s="66"/>
      <c r="I26" s="66"/>
      <c r="J26" s="67"/>
      <c r="K26" s="67"/>
      <c r="L26" s="68"/>
      <c r="M26" s="68"/>
      <c r="N26" s="69"/>
      <c r="O26" s="69"/>
      <c r="P26" s="69"/>
      <c r="Q26" s="69"/>
      <c r="R26" s="69"/>
      <c r="S26" s="69"/>
      <c r="T26" s="70"/>
      <c r="U26" s="71"/>
      <c r="V26" s="71"/>
    </row>
    <row r="27" spans="1:26" ht="14.25" customHeight="1" x14ac:dyDescent="0.2">
      <c r="A27" s="231" t="s">
        <v>0</v>
      </c>
      <c r="B27" s="232" t="s">
        <v>1</v>
      </c>
      <c r="C27" s="229" t="s">
        <v>2</v>
      </c>
      <c r="D27" s="233" t="s">
        <v>3</v>
      </c>
      <c r="E27" s="234" t="s">
        <v>4</v>
      </c>
      <c r="F27" s="232" t="s">
        <v>5</v>
      </c>
      <c r="G27" s="235" t="s">
        <v>6</v>
      </c>
      <c r="H27" s="236" t="s">
        <v>7</v>
      </c>
      <c r="I27" s="236" t="s">
        <v>8</v>
      </c>
      <c r="J27" s="227" t="s">
        <v>9</v>
      </c>
      <c r="K27" s="227"/>
      <c r="L27" s="228" t="s">
        <v>10</v>
      </c>
      <c r="M27" s="229" t="s">
        <v>11</v>
      </c>
      <c r="N27" s="230" t="s">
        <v>12</v>
      </c>
      <c r="O27" s="230"/>
      <c r="P27" s="230"/>
      <c r="Q27" s="229" t="s">
        <v>13</v>
      </c>
      <c r="R27" s="229" t="s">
        <v>14</v>
      </c>
      <c r="S27" s="229" t="s">
        <v>15</v>
      </c>
      <c r="T27" s="36">
        <v>2021</v>
      </c>
      <c r="U27" s="37"/>
      <c r="V27" s="38" t="s">
        <v>44</v>
      </c>
    </row>
    <row r="28" spans="1:26" ht="14.25" customHeight="1" x14ac:dyDescent="0.2">
      <c r="A28" s="231"/>
      <c r="B28" s="232"/>
      <c r="C28" s="229"/>
      <c r="D28" s="233"/>
      <c r="E28" s="234"/>
      <c r="F28" s="232"/>
      <c r="G28" s="235"/>
      <c r="H28" s="236"/>
      <c r="I28" s="236"/>
      <c r="J28" s="227"/>
      <c r="K28" s="227"/>
      <c r="L28" s="228"/>
      <c r="M28" s="229"/>
      <c r="N28" s="146" t="s">
        <v>16</v>
      </c>
      <c r="O28" s="146" t="s">
        <v>17</v>
      </c>
      <c r="P28" s="146" t="s">
        <v>18</v>
      </c>
      <c r="Q28" s="229"/>
      <c r="R28" s="229"/>
      <c r="S28" s="229"/>
      <c r="T28" s="96" t="s">
        <v>118</v>
      </c>
      <c r="U28" s="39" t="s">
        <v>119</v>
      </c>
      <c r="V28" s="40"/>
    </row>
    <row r="29" spans="1:26" x14ac:dyDescent="0.2">
      <c r="A29" s="74">
        <v>5</v>
      </c>
      <c r="B29" s="107" t="s">
        <v>46</v>
      </c>
      <c r="C29" s="107" t="s">
        <v>96</v>
      </c>
      <c r="D29" s="110">
        <v>44313</v>
      </c>
      <c r="E29" s="74">
        <v>1</v>
      </c>
      <c r="F29" s="107" t="s">
        <v>47</v>
      </c>
      <c r="G29" s="111">
        <v>1</v>
      </c>
      <c r="H29" s="112">
        <v>57599206</v>
      </c>
      <c r="I29" s="112">
        <f>H29*G29</f>
        <v>57599206</v>
      </c>
      <c r="J29" s="110">
        <v>46069</v>
      </c>
      <c r="K29" s="77">
        <v>46446</v>
      </c>
      <c r="L29" s="107">
        <v>12</v>
      </c>
      <c r="M29" s="99">
        <v>9.1</v>
      </c>
      <c r="N29" s="81">
        <f t="shared" ref="N29:N30" si="38">M29*H29/1000</f>
        <v>524152.77459999995</v>
      </c>
      <c r="O29" s="81">
        <v>100000</v>
      </c>
      <c r="P29" s="81"/>
      <c r="Q29" s="81">
        <f t="shared" ref="Q29:Q30" si="39">N29+O29+P29</f>
        <v>624152.77459999989</v>
      </c>
      <c r="R29" s="81"/>
      <c r="S29" s="81">
        <f t="shared" ref="S29:S30" si="40">Q29-R29</f>
        <v>624152.77459999989</v>
      </c>
      <c r="T29" s="42">
        <f>R29*10%</f>
        <v>0</v>
      </c>
      <c r="U29" s="1">
        <f>Y29*12</f>
        <v>0</v>
      </c>
      <c r="V29" s="34">
        <f t="shared" ref="V29" si="41">R29-T29-U29</f>
        <v>0</v>
      </c>
      <c r="W29" s="35">
        <f t="shared" ref="W29" si="42">T29+U29+V29</f>
        <v>0</v>
      </c>
      <c r="X29" s="35">
        <f t="shared" ref="X29" si="43">R29-W29</f>
        <v>0</v>
      </c>
      <c r="Y29" s="35">
        <v>0</v>
      </c>
      <c r="Z29" s="41">
        <f>(R29-T29)/(L29-1)</f>
        <v>0</v>
      </c>
    </row>
    <row r="30" spans="1:26" x14ac:dyDescent="0.2">
      <c r="A30" s="74"/>
      <c r="B30" s="107"/>
      <c r="C30" s="107"/>
      <c r="D30" s="110"/>
      <c r="E30" s="74">
        <v>1</v>
      </c>
      <c r="F30" s="107" t="s">
        <v>48</v>
      </c>
      <c r="G30" s="111">
        <v>1</v>
      </c>
      <c r="H30" s="112">
        <v>11844392</v>
      </c>
      <c r="I30" s="112">
        <f>H30*G30</f>
        <v>11844392</v>
      </c>
      <c r="J30" s="110">
        <v>46523</v>
      </c>
      <c r="K30" s="77">
        <v>46768</v>
      </c>
      <c r="L30" s="107">
        <v>8</v>
      </c>
      <c r="M30" s="99">
        <v>5.46</v>
      </c>
      <c r="N30" s="81">
        <f t="shared" si="38"/>
        <v>64670.380320000004</v>
      </c>
      <c r="O30" s="81">
        <v>100000</v>
      </c>
      <c r="P30" s="81"/>
      <c r="Q30" s="81">
        <f t="shared" si="39"/>
        <v>164670.38032</v>
      </c>
      <c r="R30" s="81"/>
      <c r="S30" s="81">
        <f t="shared" si="40"/>
        <v>164670.38032</v>
      </c>
      <c r="T30" s="42">
        <f t="shared" ref="T30:T41" si="44">R30*10%</f>
        <v>0</v>
      </c>
      <c r="U30" s="1">
        <f t="shared" ref="U30:U41" si="45">Y30*12</f>
        <v>0</v>
      </c>
      <c r="V30" s="34">
        <f t="shared" ref="V30:V41" si="46">R30-T30-U30</f>
        <v>0</v>
      </c>
      <c r="W30" s="35">
        <f t="shared" ref="W30:W41" si="47">T30+U30+V30</f>
        <v>0</v>
      </c>
      <c r="X30" s="35">
        <f t="shared" ref="X30:X41" si="48">R30-W30</f>
        <v>0</v>
      </c>
      <c r="Y30" s="35">
        <v>0</v>
      </c>
      <c r="Z30" s="41">
        <f t="shared" ref="Z30:Z41" si="49">(R30-T30)/(L30-1)</f>
        <v>0</v>
      </c>
    </row>
    <row r="31" spans="1:26" x14ac:dyDescent="0.2">
      <c r="A31" s="88"/>
      <c r="B31" s="84"/>
      <c r="C31" s="84"/>
      <c r="D31" s="84"/>
      <c r="E31" s="88"/>
      <c r="F31" s="84"/>
      <c r="G31" s="115"/>
      <c r="H31" s="59"/>
      <c r="I31" s="59"/>
      <c r="J31" s="59"/>
      <c r="K31" s="59"/>
      <c r="L31" s="59"/>
      <c r="M31" s="59"/>
      <c r="N31" s="59">
        <f t="shared" ref="N31:Z31" si="50">SUM(N29:N30)</f>
        <v>588823.15492</v>
      </c>
      <c r="O31" s="59">
        <f t="shared" si="50"/>
        <v>200000</v>
      </c>
      <c r="P31" s="59">
        <f t="shared" si="50"/>
        <v>0</v>
      </c>
      <c r="Q31" s="59">
        <f t="shared" si="50"/>
        <v>788823.15491999988</v>
      </c>
      <c r="R31" s="59">
        <f t="shared" si="50"/>
        <v>0</v>
      </c>
      <c r="S31" s="59">
        <f t="shared" si="50"/>
        <v>788823.15491999988</v>
      </c>
      <c r="T31" s="59">
        <f t="shared" si="50"/>
        <v>0</v>
      </c>
      <c r="U31" s="59">
        <f t="shared" si="50"/>
        <v>0</v>
      </c>
      <c r="V31" s="59">
        <f t="shared" si="50"/>
        <v>0</v>
      </c>
      <c r="W31" s="59">
        <f t="shared" si="50"/>
        <v>0</v>
      </c>
      <c r="X31" s="59">
        <f t="shared" si="50"/>
        <v>0</v>
      </c>
      <c r="Y31" s="59">
        <f t="shared" si="50"/>
        <v>0</v>
      </c>
      <c r="Z31" s="59">
        <f t="shared" si="50"/>
        <v>0</v>
      </c>
    </row>
    <row r="32" spans="1:26" x14ac:dyDescent="0.2">
      <c r="A32" s="74">
        <v>6</v>
      </c>
      <c r="B32" s="107" t="s">
        <v>49</v>
      </c>
      <c r="C32" s="107" t="s">
        <v>101</v>
      </c>
      <c r="D32" s="110">
        <v>44301</v>
      </c>
      <c r="E32" s="74">
        <v>1</v>
      </c>
      <c r="F32" s="107" t="s">
        <v>102</v>
      </c>
      <c r="G32" s="111">
        <v>1</v>
      </c>
      <c r="H32" s="112">
        <v>35000000</v>
      </c>
      <c r="I32" s="112">
        <f>H32*G32</f>
        <v>35000000</v>
      </c>
      <c r="J32" s="110">
        <v>44278</v>
      </c>
      <c r="K32" s="77">
        <f t="shared" ref="K32" si="51">IFERROR(VALUE(DAY(J32)&amp;" "&amp;TEXT(EOMONTH(J32,L32)-29,"mmm")&amp;" "&amp;YEAR(EOMONTH(J32,L32)-29)),"-")</f>
        <v>45374</v>
      </c>
      <c r="L32" s="107">
        <v>36</v>
      </c>
      <c r="M32" s="99">
        <v>31.16</v>
      </c>
      <c r="N32" s="81">
        <f t="shared" ref="N32" si="52">M32*H32/1000</f>
        <v>1090600</v>
      </c>
      <c r="O32" s="81"/>
      <c r="P32" s="81"/>
      <c r="Q32" s="81">
        <f t="shared" ref="Q32" si="53">N32+O32+P32</f>
        <v>1090600</v>
      </c>
      <c r="R32" s="81">
        <f t="shared" ref="R32" si="54">10%*N32</f>
        <v>109060</v>
      </c>
      <c r="S32" s="81">
        <f t="shared" ref="S32" si="55">Q32-R32</f>
        <v>981540</v>
      </c>
      <c r="T32" s="42">
        <f t="shared" si="44"/>
        <v>10906</v>
      </c>
      <c r="U32" s="1">
        <f t="shared" si="45"/>
        <v>33652.800000000003</v>
      </c>
      <c r="V32" s="34">
        <f t="shared" si="46"/>
        <v>64501.2</v>
      </c>
      <c r="W32" s="35">
        <f t="shared" si="47"/>
        <v>109060</v>
      </c>
      <c r="X32" s="35">
        <f t="shared" si="48"/>
        <v>0</v>
      </c>
      <c r="Y32" s="35">
        <v>2804.4</v>
      </c>
      <c r="Z32" s="41">
        <f t="shared" si="49"/>
        <v>2804.4</v>
      </c>
    </row>
    <row r="33" spans="1:26" x14ac:dyDescent="0.2">
      <c r="A33" s="88"/>
      <c r="B33" s="84"/>
      <c r="C33" s="84"/>
      <c r="D33" s="84"/>
      <c r="E33" s="88">
        <f>SUM(E32:E32)</f>
        <v>1</v>
      </c>
      <c r="F33" s="84"/>
      <c r="G33" s="115"/>
      <c r="H33" s="59">
        <f>SUM(H32:H32)</f>
        <v>35000000</v>
      </c>
      <c r="I33" s="59">
        <f>SUM(I32:I32)</f>
        <v>35000000</v>
      </c>
      <c r="J33" s="59"/>
      <c r="K33" s="59"/>
      <c r="L33" s="59"/>
      <c r="M33" s="59"/>
      <c r="N33" s="59">
        <f t="shared" ref="N33:Z33" si="56">SUM(N32:N32)</f>
        <v>1090600</v>
      </c>
      <c r="O33" s="59">
        <f t="shared" si="56"/>
        <v>0</v>
      </c>
      <c r="P33" s="59">
        <f t="shared" si="56"/>
        <v>0</v>
      </c>
      <c r="Q33" s="59">
        <f t="shared" si="56"/>
        <v>1090600</v>
      </c>
      <c r="R33" s="59">
        <f t="shared" si="56"/>
        <v>109060</v>
      </c>
      <c r="S33" s="59">
        <f t="shared" si="56"/>
        <v>981540</v>
      </c>
      <c r="T33" s="59">
        <f t="shared" si="56"/>
        <v>10906</v>
      </c>
      <c r="U33" s="59">
        <f t="shared" si="56"/>
        <v>33652.800000000003</v>
      </c>
      <c r="V33" s="59">
        <f t="shared" si="56"/>
        <v>64501.2</v>
      </c>
      <c r="W33" s="59">
        <f t="shared" si="56"/>
        <v>109060</v>
      </c>
      <c r="X33" s="59">
        <f t="shared" si="56"/>
        <v>0</v>
      </c>
      <c r="Y33" s="59">
        <f t="shared" si="56"/>
        <v>2804.4</v>
      </c>
      <c r="Z33" s="59">
        <f t="shared" si="56"/>
        <v>2804.4</v>
      </c>
    </row>
    <row r="34" spans="1:26" x14ac:dyDescent="0.2">
      <c r="A34" s="74">
        <v>7</v>
      </c>
      <c r="B34" s="107" t="s">
        <v>49</v>
      </c>
      <c r="C34" s="107" t="s">
        <v>103</v>
      </c>
      <c r="D34" s="110">
        <v>44316</v>
      </c>
      <c r="E34" s="74">
        <v>1</v>
      </c>
      <c r="F34" s="107" t="s">
        <v>104</v>
      </c>
      <c r="G34" s="111">
        <v>1</v>
      </c>
      <c r="H34" s="112">
        <v>83000000</v>
      </c>
      <c r="I34" s="112">
        <f>H34*G34</f>
        <v>83000000</v>
      </c>
      <c r="J34" s="110">
        <v>44315</v>
      </c>
      <c r="K34" s="77">
        <f>IFERROR(VALUE(DAY(J34)&amp;" "&amp;TEXT(EOMONTH(J34,L34)-29,"mmm")&amp;" "&amp;YEAR(EOMONTH(J34,L34)-29)),"-")</f>
        <v>46506</v>
      </c>
      <c r="L34" s="107">
        <v>72</v>
      </c>
      <c r="M34" s="99">
        <v>50.64</v>
      </c>
      <c r="N34" s="81">
        <f t="shared" ref="N34" si="57">M34*H34/1000</f>
        <v>4203120</v>
      </c>
      <c r="O34" s="81"/>
      <c r="P34" s="81"/>
      <c r="Q34" s="81">
        <f t="shared" ref="Q34" si="58">N34+O34+P34</f>
        <v>4203120</v>
      </c>
      <c r="R34" s="81">
        <f t="shared" ref="R34" si="59">10%*N34</f>
        <v>420312</v>
      </c>
      <c r="S34" s="81">
        <f t="shared" ref="S34" si="60">Q34-R34</f>
        <v>3782808</v>
      </c>
      <c r="T34" s="42">
        <f t="shared" si="44"/>
        <v>42031.200000000004</v>
      </c>
      <c r="U34" s="1">
        <f t="shared" si="45"/>
        <v>63934.78309859155</v>
      </c>
      <c r="V34" s="34">
        <f t="shared" si="46"/>
        <v>314346.01690140844</v>
      </c>
      <c r="W34" s="35">
        <f t="shared" si="47"/>
        <v>420312</v>
      </c>
      <c r="X34" s="35">
        <f t="shared" si="48"/>
        <v>0</v>
      </c>
      <c r="Y34" s="35">
        <v>5327.8985915492958</v>
      </c>
      <c r="Z34" s="41">
        <f t="shared" si="49"/>
        <v>5327.8985915492958</v>
      </c>
    </row>
    <row r="35" spans="1:26" x14ac:dyDescent="0.2">
      <c r="A35" s="150"/>
      <c r="B35" s="90"/>
      <c r="C35" s="90"/>
      <c r="D35" s="90"/>
      <c r="E35" s="150">
        <f>SUM(E34:E34)</f>
        <v>1</v>
      </c>
      <c r="F35" s="90"/>
      <c r="G35" s="151"/>
      <c r="H35" s="152">
        <f>SUM(H34:H34)</f>
        <v>83000000</v>
      </c>
      <c r="I35" s="152">
        <f>SUM(I34:I34)</f>
        <v>83000000</v>
      </c>
      <c r="J35" s="152"/>
      <c r="K35" s="152"/>
      <c r="L35" s="152"/>
      <c r="M35" s="152"/>
      <c r="N35" s="152">
        <f t="shared" ref="N35:Z35" si="61">SUM(N34:N34)</f>
        <v>4203120</v>
      </c>
      <c r="O35" s="152">
        <f t="shared" si="61"/>
        <v>0</v>
      </c>
      <c r="P35" s="152">
        <f t="shared" si="61"/>
        <v>0</v>
      </c>
      <c r="Q35" s="152">
        <f t="shared" si="61"/>
        <v>4203120</v>
      </c>
      <c r="R35" s="152">
        <f t="shared" si="61"/>
        <v>420312</v>
      </c>
      <c r="S35" s="152">
        <f t="shared" si="61"/>
        <v>3782808</v>
      </c>
      <c r="T35" s="152">
        <f t="shared" si="61"/>
        <v>42031.200000000004</v>
      </c>
      <c r="U35" s="152">
        <f t="shared" si="61"/>
        <v>63934.78309859155</v>
      </c>
      <c r="V35" s="152">
        <f t="shared" si="61"/>
        <v>314346.01690140844</v>
      </c>
      <c r="W35" s="152">
        <f t="shared" si="61"/>
        <v>420312</v>
      </c>
      <c r="X35" s="152">
        <f t="shared" si="61"/>
        <v>0</v>
      </c>
      <c r="Y35" s="152">
        <f t="shared" si="61"/>
        <v>5327.8985915492958</v>
      </c>
      <c r="Z35" s="152">
        <f t="shared" si="61"/>
        <v>5327.8985915492958</v>
      </c>
    </row>
    <row r="36" spans="1:26" x14ac:dyDescent="0.2">
      <c r="A36" s="74">
        <v>8</v>
      </c>
      <c r="B36" s="107" t="s">
        <v>49</v>
      </c>
      <c r="C36" s="107" t="s">
        <v>105</v>
      </c>
      <c r="D36" s="110">
        <v>44316</v>
      </c>
      <c r="E36" s="74">
        <v>1</v>
      </c>
      <c r="F36" s="107" t="s">
        <v>106</v>
      </c>
      <c r="G36" s="111">
        <v>1</v>
      </c>
      <c r="H36" s="112">
        <v>35000000</v>
      </c>
      <c r="I36" s="112">
        <f>H36*G36</f>
        <v>35000000</v>
      </c>
      <c r="J36" s="110">
        <v>44313</v>
      </c>
      <c r="K36" s="77">
        <f>IFERROR(VALUE(DAY(J36)&amp;" "&amp;TEXT(EOMONTH(J36,L36)-29,"mmm")&amp;" "&amp;YEAR(EOMONTH(J36,L36)-29)),"-")</f>
        <v>45409</v>
      </c>
      <c r="L36" s="107">
        <v>36</v>
      </c>
      <c r="M36" s="99">
        <v>30.71</v>
      </c>
      <c r="N36" s="81">
        <f t="shared" ref="N36" si="62">M36*H36/1000</f>
        <v>1074850</v>
      </c>
      <c r="O36" s="81"/>
      <c r="P36" s="81"/>
      <c r="Q36" s="81">
        <f t="shared" ref="Q36" si="63">N36+O36+P36</f>
        <v>1074850</v>
      </c>
      <c r="R36" s="81">
        <f t="shared" ref="R36" si="64">10%*N36</f>
        <v>107485</v>
      </c>
      <c r="S36" s="81">
        <f t="shared" ref="S36" si="65">Q36-R36</f>
        <v>967365</v>
      </c>
      <c r="T36" s="42">
        <f t="shared" si="44"/>
        <v>10748.5</v>
      </c>
      <c r="U36" s="1">
        <f t="shared" si="45"/>
        <v>33166.800000000003</v>
      </c>
      <c r="V36" s="34">
        <f t="shared" si="46"/>
        <v>63569.7</v>
      </c>
      <c r="W36" s="35">
        <f t="shared" si="47"/>
        <v>107485</v>
      </c>
      <c r="X36" s="35">
        <f t="shared" si="48"/>
        <v>0</v>
      </c>
      <c r="Y36" s="35">
        <v>2763.9</v>
      </c>
      <c r="Z36" s="41">
        <f t="shared" si="49"/>
        <v>2763.9</v>
      </c>
    </row>
    <row r="37" spans="1:26" x14ac:dyDescent="0.2">
      <c r="A37" s="150"/>
      <c r="B37" s="90"/>
      <c r="C37" s="90"/>
      <c r="D37" s="90"/>
      <c r="E37" s="150">
        <f>SUM(E36:E36)</f>
        <v>1</v>
      </c>
      <c r="F37" s="90"/>
      <c r="G37" s="151"/>
      <c r="H37" s="152">
        <f>SUM(H36:H36)</f>
        <v>35000000</v>
      </c>
      <c r="I37" s="152">
        <f>SUM(I36:I36)</f>
        <v>35000000</v>
      </c>
      <c r="J37" s="152"/>
      <c r="K37" s="152"/>
      <c r="L37" s="152"/>
      <c r="M37" s="152"/>
      <c r="N37" s="152">
        <f t="shared" ref="N37:Z37" si="66">SUM(N36:N36)</f>
        <v>1074850</v>
      </c>
      <c r="O37" s="152">
        <f t="shared" si="66"/>
        <v>0</v>
      </c>
      <c r="P37" s="152">
        <f t="shared" si="66"/>
        <v>0</v>
      </c>
      <c r="Q37" s="152">
        <f t="shared" si="66"/>
        <v>1074850</v>
      </c>
      <c r="R37" s="152">
        <f t="shared" si="66"/>
        <v>107485</v>
      </c>
      <c r="S37" s="152">
        <f t="shared" si="66"/>
        <v>967365</v>
      </c>
      <c r="T37" s="152">
        <f t="shared" si="66"/>
        <v>10748.5</v>
      </c>
      <c r="U37" s="152">
        <f t="shared" si="66"/>
        <v>33166.800000000003</v>
      </c>
      <c r="V37" s="152">
        <f t="shared" si="66"/>
        <v>63569.7</v>
      </c>
      <c r="W37" s="152">
        <f t="shared" si="66"/>
        <v>107485</v>
      </c>
      <c r="X37" s="152">
        <f t="shared" si="66"/>
        <v>0</v>
      </c>
      <c r="Y37" s="152">
        <f t="shared" si="66"/>
        <v>2763.9</v>
      </c>
      <c r="Z37" s="152">
        <f t="shared" si="66"/>
        <v>2763.9</v>
      </c>
    </row>
    <row r="38" spans="1:26" x14ac:dyDescent="0.2">
      <c r="A38" s="74">
        <v>9</v>
      </c>
      <c r="B38" s="107" t="s">
        <v>49</v>
      </c>
      <c r="C38" s="107" t="s">
        <v>108</v>
      </c>
      <c r="D38" s="110">
        <v>44316</v>
      </c>
      <c r="E38" s="74">
        <v>1</v>
      </c>
      <c r="F38" s="107" t="s">
        <v>109</v>
      </c>
      <c r="G38" s="111">
        <v>1</v>
      </c>
      <c r="H38" s="112">
        <v>220000000</v>
      </c>
      <c r="I38" s="112">
        <f>H38*G38</f>
        <v>220000000</v>
      </c>
      <c r="J38" s="110">
        <v>44300</v>
      </c>
      <c r="K38" s="77">
        <f>IFERROR(VALUE(DAY(J38)&amp;" "&amp;TEXT(EOMONTH(J38,L38)-29,"mmm")&amp;" "&amp;YEAR(EOMONTH(J38,L38)-29)),"-")</f>
        <v>47952</v>
      </c>
      <c r="L38" s="107">
        <v>120</v>
      </c>
      <c r="M38" s="99">
        <v>25.48</v>
      </c>
      <c r="N38" s="81">
        <f t="shared" ref="N38:N39" si="67">M38*H38/1000</f>
        <v>5605600</v>
      </c>
      <c r="O38" s="81"/>
      <c r="P38" s="81"/>
      <c r="Q38" s="81">
        <f t="shared" ref="Q38:Q39" si="68">N38+O38+P38</f>
        <v>5605600</v>
      </c>
      <c r="R38" s="81">
        <f t="shared" ref="R38:R39" si="69">10%*N38</f>
        <v>560560</v>
      </c>
      <c r="S38" s="81">
        <f t="shared" ref="S38:S39" si="70">Q38-R38</f>
        <v>5045040</v>
      </c>
      <c r="T38" s="42">
        <f t="shared" si="44"/>
        <v>56056</v>
      </c>
      <c r="U38" s="1">
        <f t="shared" si="45"/>
        <v>50874.352941176476</v>
      </c>
      <c r="V38" s="34">
        <f t="shared" si="46"/>
        <v>453629.6470588235</v>
      </c>
      <c r="W38" s="35">
        <f t="shared" si="47"/>
        <v>560560</v>
      </c>
      <c r="X38" s="35">
        <f t="shared" si="48"/>
        <v>0</v>
      </c>
      <c r="Y38" s="35">
        <v>4239.5294117647063</v>
      </c>
      <c r="Z38" s="41">
        <f t="shared" si="49"/>
        <v>4239.5294117647063</v>
      </c>
    </row>
    <row r="39" spans="1:26" x14ac:dyDescent="0.2">
      <c r="A39" s="74"/>
      <c r="B39" s="107"/>
      <c r="C39" s="107"/>
      <c r="D39" s="110"/>
      <c r="E39" s="74">
        <v>1</v>
      </c>
      <c r="F39" s="107" t="s">
        <v>110</v>
      </c>
      <c r="G39" s="111">
        <v>1</v>
      </c>
      <c r="H39" s="112">
        <v>160000000</v>
      </c>
      <c r="I39" s="112">
        <f>H39*G39</f>
        <v>160000000</v>
      </c>
      <c r="J39" s="110">
        <v>44305</v>
      </c>
      <c r="K39" s="77">
        <f>IFERROR(VALUE(DAY(J39)&amp;" "&amp;TEXT(EOMONTH(J39,L39)-29,"mmm")&amp;" "&amp;YEAR(EOMONTH(J39,L39)-29)),"-")</f>
        <v>45554</v>
      </c>
      <c r="L39" s="107">
        <v>41</v>
      </c>
      <c r="M39" s="99">
        <v>11.38</v>
      </c>
      <c r="N39" s="81">
        <f t="shared" si="67"/>
        <v>1820800.0000000002</v>
      </c>
      <c r="O39" s="81"/>
      <c r="P39" s="81"/>
      <c r="Q39" s="81">
        <f t="shared" si="68"/>
        <v>1820800.0000000002</v>
      </c>
      <c r="R39" s="81">
        <f t="shared" si="69"/>
        <v>182080.00000000003</v>
      </c>
      <c r="S39" s="81">
        <f t="shared" si="70"/>
        <v>1638720.0000000002</v>
      </c>
      <c r="T39" s="42">
        <f t="shared" si="44"/>
        <v>18208.000000000004</v>
      </c>
      <c r="U39" s="1">
        <f t="shared" si="45"/>
        <v>49161.600000000013</v>
      </c>
      <c r="V39" s="34">
        <f t="shared" si="46"/>
        <v>114710.40000000002</v>
      </c>
      <c r="W39" s="35">
        <f t="shared" si="47"/>
        <v>182080.00000000006</v>
      </c>
      <c r="X39" s="35">
        <f t="shared" si="48"/>
        <v>0</v>
      </c>
      <c r="Y39" s="35">
        <v>4096.8000000000011</v>
      </c>
      <c r="Z39" s="41">
        <f t="shared" si="49"/>
        <v>4096.8000000000011</v>
      </c>
    </row>
    <row r="40" spans="1:26" x14ac:dyDescent="0.2">
      <c r="A40" s="88"/>
      <c r="B40" s="84"/>
      <c r="C40" s="84"/>
      <c r="D40" s="84"/>
      <c r="E40" s="88">
        <f>SUM(E38:E39)</f>
        <v>2</v>
      </c>
      <c r="F40" s="84"/>
      <c r="G40" s="115"/>
      <c r="H40" s="79">
        <f t="shared" ref="H40:I40" si="71">SUM(H38:H39)</f>
        <v>380000000</v>
      </c>
      <c r="I40" s="79">
        <f t="shared" si="71"/>
        <v>380000000</v>
      </c>
      <c r="J40" s="59"/>
      <c r="K40" s="59"/>
      <c r="L40" s="59"/>
      <c r="M40" s="59"/>
      <c r="N40" s="79">
        <f t="shared" ref="N40:Z40" si="72">SUM(N38:N39)</f>
        <v>7426400</v>
      </c>
      <c r="O40" s="79">
        <f t="shared" si="72"/>
        <v>0</v>
      </c>
      <c r="P40" s="79">
        <f t="shared" si="72"/>
        <v>0</v>
      </c>
      <c r="Q40" s="79">
        <f t="shared" si="72"/>
        <v>7426400</v>
      </c>
      <c r="R40" s="79">
        <f t="shared" si="72"/>
        <v>742640</v>
      </c>
      <c r="S40" s="79">
        <f t="shared" si="72"/>
        <v>6683760</v>
      </c>
      <c r="T40" s="79">
        <f t="shared" si="72"/>
        <v>74264</v>
      </c>
      <c r="U40" s="79">
        <f t="shared" si="72"/>
        <v>100035.95294117648</v>
      </c>
      <c r="V40" s="79">
        <f t="shared" si="72"/>
        <v>568340.04705882352</v>
      </c>
      <c r="W40" s="79">
        <f t="shared" si="72"/>
        <v>742640</v>
      </c>
      <c r="X40" s="79">
        <f t="shared" si="72"/>
        <v>0</v>
      </c>
      <c r="Y40" s="79">
        <f t="shared" si="72"/>
        <v>8336.3294117647074</v>
      </c>
      <c r="Z40" s="79">
        <f t="shared" si="72"/>
        <v>8336.3294117647074</v>
      </c>
    </row>
    <row r="41" spans="1:26" x14ac:dyDescent="0.2">
      <c r="A41" s="74">
        <v>10</v>
      </c>
      <c r="B41" s="107" t="s">
        <v>111</v>
      </c>
      <c r="C41" s="107" t="s">
        <v>112</v>
      </c>
      <c r="D41" s="110">
        <v>44316</v>
      </c>
      <c r="E41" s="74">
        <v>1</v>
      </c>
      <c r="F41" s="107" t="s">
        <v>113</v>
      </c>
      <c r="G41" s="111">
        <v>1</v>
      </c>
      <c r="H41" s="112">
        <v>45323679</v>
      </c>
      <c r="I41" s="112">
        <f>H41*G41</f>
        <v>45323679</v>
      </c>
      <c r="J41" s="110">
        <v>45784</v>
      </c>
      <c r="K41" s="77">
        <v>46302</v>
      </c>
      <c r="L41" s="107">
        <v>17</v>
      </c>
      <c r="M41" s="99">
        <v>9.1</v>
      </c>
      <c r="N41" s="81">
        <f t="shared" ref="N41" si="73">M41*H41/1000</f>
        <v>412445.47889999999</v>
      </c>
      <c r="O41" s="81">
        <v>100000</v>
      </c>
      <c r="P41" s="81"/>
      <c r="Q41" s="81">
        <f t="shared" ref="Q41" si="74">N41+O41+P41</f>
        <v>512445.47889999999</v>
      </c>
      <c r="R41" s="81"/>
      <c r="S41" s="81">
        <f t="shared" ref="S41" si="75">Q41-R41</f>
        <v>512445.47889999999</v>
      </c>
      <c r="T41" s="42">
        <f t="shared" si="44"/>
        <v>0</v>
      </c>
      <c r="U41" s="1">
        <f t="shared" si="45"/>
        <v>0</v>
      </c>
      <c r="V41" s="34">
        <f t="shared" si="46"/>
        <v>0</v>
      </c>
      <c r="W41" s="35">
        <f t="shared" si="47"/>
        <v>0</v>
      </c>
      <c r="X41" s="35">
        <f t="shared" si="48"/>
        <v>0</v>
      </c>
      <c r="Y41" s="35">
        <v>0</v>
      </c>
      <c r="Z41" s="41">
        <f t="shared" si="49"/>
        <v>0</v>
      </c>
    </row>
    <row r="42" spans="1:26" x14ac:dyDescent="0.2">
      <c r="A42" s="150"/>
      <c r="B42" s="90"/>
      <c r="C42" s="90"/>
      <c r="D42" s="90"/>
      <c r="E42" s="150"/>
      <c r="F42" s="90"/>
      <c r="G42" s="151"/>
      <c r="H42" s="152"/>
      <c r="I42" s="152"/>
      <c r="J42" s="152"/>
      <c r="K42" s="152"/>
      <c r="L42" s="152"/>
      <c r="M42" s="152"/>
      <c r="N42" s="152">
        <f t="shared" ref="N42:Z42" si="76">SUM(N41:N41)</f>
        <v>412445.47889999999</v>
      </c>
      <c r="O42" s="152">
        <f t="shared" si="76"/>
        <v>100000</v>
      </c>
      <c r="P42" s="152">
        <f t="shared" si="76"/>
        <v>0</v>
      </c>
      <c r="Q42" s="152">
        <f t="shared" si="76"/>
        <v>512445.47889999999</v>
      </c>
      <c r="R42" s="152">
        <f t="shared" si="76"/>
        <v>0</v>
      </c>
      <c r="S42" s="152">
        <f t="shared" si="76"/>
        <v>512445.47889999999</v>
      </c>
      <c r="T42" s="152">
        <f t="shared" si="76"/>
        <v>0</v>
      </c>
      <c r="U42" s="152">
        <f t="shared" si="76"/>
        <v>0</v>
      </c>
      <c r="V42" s="152">
        <f t="shared" si="76"/>
        <v>0</v>
      </c>
      <c r="W42" s="152">
        <f t="shared" si="76"/>
        <v>0</v>
      </c>
      <c r="X42" s="152">
        <f t="shared" si="76"/>
        <v>0</v>
      </c>
      <c r="Y42" s="152">
        <f t="shared" si="76"/>
        <v>0</v>
      </c>
      <c r="Z42" s="152">
        <f t="shared" si="76"/>
        <v>0</v>
      </c>
    </row>
    <row r="43" spans="1:26" x14ac:dyDescent="0.2">
      <c r="A43" s="83"/>
      <c r="B43" s="83"/>
      <c r="C43" s="83" t="s">
        <v>115</v>
      </c>
      <c r="D43" s="84"/>
      <c r="E43" s="85">
        <f>E42+E40+E37+E35+E33+E31</f>
        <v>5</v>
      </c>
      <c r="F43" s="87"/>
      <c r="G43" s="87"/>
      <c r="H43" s="87">
        <f t="shared" ref="H43:R43" si="77">H42+H40+H37+H35+H33+H31</f>
        <v>533000000</v>
      </c>
      <c r="I43" s="87">
        <f t="shared" si="77"/>
        <v>533000000</v>
      </c>
      <c r="J43" s="87">
        <f t="shared" si="77"/>
        <v>0</v>
      </c>
      <c r="K43" s="87">
        <f t="shared" si="77"/>
        <v>0</v>
      </c>
      <c r="L43" s="87"/>
      <c r="M43" s="87"/>
      <c r="N43" s="87">
        <f t="shared" si="77"/>
        <v>14796238.633820001</v>
      </c>
      <c r="O43" s="87">
        <f t="shared" si="77"/>
        <v>300000</v>
      </c>
      <c r="P43" s="87">
        <f t="shared" si="77"/>
        <v>0</v>
      </c>
      <c r="Q43" s="87">
        <f t="shared" si="77"/>
        <v>15096238.633820001</v>
      </c>
      <c r="R43" s="87">
        <f t="shared" si="77"/>
        <v>1379497</v>
      </c>
      <c r="S43" s="87">
        <f t="shared" ref="S43:Z43" si="78">S42+S40+S37+S35+S33+S31</f>
        <v>13716741.633820001</v>
      </c>
      <c r="T43" s="87">
        <f t="shared" si="78"/>
        <v>137949.70000000001</v>
      </c>
      <c r="U43" s="87">
        <f t="shared" si="78"/>
        <v>230790.33603976801</v>
      </c>
      <c r="V43" s="87">
        <f t="shared" si="78"/>
        <v>1010756.9639602319</v>
      </c>
      <c r="W43" s="87">
        <f t="shared" si="78"/>
        <v>1379497</v>
      </c>
      <c r="X43" s="87">
        <f t="shared" si="78"/>
        <v>0</v>
      </c>
      <c r="Y43" s="87">
        <f t="shared" si="78"/>
        <v>19232.528003314004</v>
      </c>
      <c r="Z43" s="87">
        <f t="shared" si="78"/>
        <v>19232.528003314004</v>
      </c>
    </row>
    <row r="44" spans="1:26" x14ac:dyDescent="0.2">
      <c r="A44" s="83"/>
      <c r="B44" s="83"/>
      <c r="C44" s="83" t="s">
        <v>116</v>
      </c>
      <c r="D44" s="84"/>
      <c r="E44" s="93">
        <f>E43+E24</f>
        <v>8</v>
      </c>
      <c r="F44" s="95"/>
      <c r="G44" s="95"/>
      <c r="H44" s="95">
        <f t="shared" ref="H44:Q44" si="79">H43+H24</f>
        <v>1073000000</v>
      </c>
      <c r="I44" s="95">
        <f t="shared" si="79"/>
        <v>1073000000</v>
      </c>
      <c r="J44" s="95">
        <f t="shared" si="79"/>
        <v>0</v>
      </c>
      <c r="K44" s="95">
        <f t="shared" si="79"/>
        <v>0</v>
      </c>
      <c r="L44" s="95"/>
      <c r="M44" s="95"/>
      <c r="N44" s="95">
        <f t="shared" si="79"/>
        <v>31538238.633820001</v>
      </c>
      <c r="O44" s="95">
        <f t="shared" si="79"/>
        <v>300000</v>
      </c>
      <c r="P44" s="95">
        <f t="shared" si="79"/>
        <v>0</v>
      </c>
      <c r="Q44" s="95">
        <f t="shared" si="79"/>
        <v>31838238.633820001</v>
      </c>
      <c r="R44" s="95">
        <f>R43+R24</f>
        <v>3053697</v>
      </c>
      <c r="S44" s="95">
        <f t="shared" ref="S44:Z44" si="80">S43+S24</f>
        <v>42586941.633819997</v>
      </c>
      <c r="T44" s="95">
        <f t="shared" si="80"/>
        <v>331704.64932114165</v>
      </c>
      <c r="U44" s="95">
        <f t="shared" si="80"/>
        <v>385188.76825268054</v>
      </c>
      <c r="V44" s="95">
        <f t="shared" si="80"/>
        <v>2336803.5824261778</v>
      </c>
      <c r="W44" s="95">
        <f t="shared" si="80"/>
        <v>3053697</v>
      </c>
      <c r="X44" s="95">
        <f t="shared" si="80"/>
        <v>0</v>
      </c>
      <c r="Y44" s="95">
        <f t="shared" si="80"/>
        <v>32099.064021056714</v>
      </c>
      <c r="Z44" s="95">
        <f t="shared" si="80"/>
        <v>31782.766787606408</v>
      </c>
    </row>
  </sheetData>
  <mergeCells count="64">
    <mergeCell ref="N17:P17"/>
    <mergeCell ref="Q17:Q18"/>
    <mergeCell ref="R17:R18"/>
    <mergeCell ref="S17:S18"/>
    <mergeCell ref="G17:G18"/>
    <mergeCell ref="H17:H18"/>
    <mergeCell ref="I17:I18"/>
    <mergeCell ref="J17:K18"/>
    <mergeCell ref="L17:L18"/>
    <mergeCell ref="M17:M18"/>
    <mergeCell ref="N9:P9"/>
    <mergeCell ref="Q9:Q10"/>
    <mergeCell ref="R9:R10"/>
    <mergeCell ref="S9:S10"/>
    <mergeCell ref="A17:A18"/>
    <mergeCell ref="B17:B18"/>
    <mergeCell ref="C17:C18"/>
    <mergeCell ref="D17:D18"/>
    <mergeCell ref="E17:E18"/>
    <mergeCell ref="F17:F18"/>
    <mergeCell ref="G9:G10"/>
    <mergeCell ref="H9:H10"/>
    <mergeCell ref="I9:I10"/>
    <mergeCell ref="J9:K10"/>
    <mergeCell ref="L9:L10"/>
    <mergeCell ref="M9:M10"/>
    <mergeCell ref="N3:P3"/>
    <mergeCell ref="Q3:Q4"/>
    <mergeCell ref="R3:R4"/>
    <mergeCell ref="S3:S4"/>
    <mergeCell ref="A9:A10"/>
    <mergeCell ref="B9:B10"/>
    <mergeCell ref="C9:C10"/>
    <mergeCell ref="D9:D10"/>
    <mergeCell ref="E9:E10"/>
    <mergeCell ref="F9:F10"/>
    <mergeCell ref="G3:G4"/>
    <mergeCell ref="H3:H4"/>
    <mergeCell ref="I3:I4"/>
    <mergeCell ref="J3:K4"/>
    <mergeCell ref="L3:L4"/>
    <mergeCell ref="M3:M4"/>
    <mergeCell ref="F3:F4"/>
    <mergeCell ref="A3:A4"/>
    <mergeCell ref="B3:B4"/>
    <mergeCell ref="C3:C4"/>
    <mergeCell ref="D3:D4"/>
    <mergeCell ref="E3:E4"/>
    <mergeCell ref="A27:A28"/>
    <mergeCell ref="B27:B28"/>
    <mergeCell ref="C27:C28"/>
    <mergeCell ref="D27:D28"/>
    <mergeCell ref="E27:E28"/>
    <mergeCell ref="F27:F28"/>
    <mergeCell ref="G27:G28"/>
    <mergeCell ref="H27:H28"/>
    <mergeCell ref="I27:I28"/>
    <mergeCell ref="J27:K28"/>
    <mergeCell ref="S27:S28"/>
    <mergeCell ref="L27:L28"/>
    <mergeCell ref="M27:M28"/>
    <mergeCell ref="N27:P27"/>
    <mergeCell ref="Q27:Q28"/>
    <mergeCell ref="R27:R28"/>
  </mergeCells>
  <pageMargins left="0.70866141732283472" right="0.70866141732283472" top="0.54" bottom="0.74803149606299213" header="0.31496062992125984" footer="0.31496062992125984"/>
  <pageSetup paperSize="5" scale="90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75"/>
  <sheetViews>
    <sheetView topLeftCell="A48" workbookViewId="0">
      <selection activeCell="A47" sqref="A1:XFD1048576"/>
    </sheetView>
  </sheetViews>
  <sheetFormatPr defaultRowHeight="12" x14ac:dyDescent="0.2"/>
  <cols>
    <col min="1" max="1" width="4.140625" style="3" customWidth="1"/>
    <col min="2" max="2" width="14.7109375" style="3" customWidth="1"/>
    <col min="3" max="3" width="17.28515625" style="3" customWidth="1"/>
    <col min="4" max="4" width="10.85546875" style="82" customWidth="1"/>
    <col min="5" max="5" width="7.85546875" style="97" customWidth="1"/>
    <col min="6" max="6" width="24.140625" style="3" customWidth="1"/>
    <col min="7" max="7" width="8.85546875" style="3" hidden="1" customWidth="1"/>
    <col min="8" max="8" width="14" style="3" customWidth="1"/>
    <col min="9" max="9" width="13.7109375" style="3" customWidth="1"/>
    <col min="10" max="10" width="0.28515625" style="3" hidden="1" customWidth="1"/>
    <col min="11" max="11" width="9.5703125" style="3" hidden="1" customWidth="1"/>
    <col min="12" max="12" width="4.28515625" style="3" bestFit="1" customWidth="1"/>
    <col min="13" max="13" width="5.28515625" style="3" customWidth="1"/>
    <col min="14" max="14" width="12.5703125" style="3" hidden="1" customWidth="1"/>
    <col min="15" max="16" width="9.140625" style="3" hidden="1" customWidth="1"/>
    <col min="17" max="17" width="9" style="3" hidden="1" customWidth="1"/>
    <col min="18" max="18" width="10.7109375" style="3" customWidth="1"/>
    <col min="19" max="19" width="17.28515625" style="3" hidden="1" customWidth="1"/>
    <col min="20" max="20" width="14.7109375" style="3" customWidth="1"/>
    <col min="21" max="21" width="16.5703125" style="3" customWidth="1"/>
    <col min="22" max="22" width="13" style="3" customWidth="1"/>
    <col min="23" max="23" width="10.85546875" style="3" customWidth="1"/>
    <col min="24" max="16384" width="9.140625" style="3"/>
  </cols>
  <sheetData>
    <row r="2" spans="1:26" ht="14.25" customHeight="1" x14ac:dyDescent="0.2">
      <c r="A2" s="86" t="s">
        <v>76</v>
      </c>
      <c r="B2" s="62"/>
      <c r="C2" s="62"/>
      <c r="D2" s="57"/>
      <c r="E2" s="63"/>
      <c r="F2" s="64"/>
      <c r="G2" s="65"/>
      <c r="H2" s="66"/>
      <c r="I2" s="66"/>
      <c r="J2" s="67"/>
      <c r="K2" s="67"/>
      <c r="L2" s="68"/>
      <c r="M2" s="68"/>
      <c r="N2" s="69"/>
      <c r="O2" s="69"/>
      <c r="P2" s="69"/>
      <c r="Q2" s="69"/>
      <c r="R2" s="69"/>
      <c r="S2" s="69"/>
      <c r="T2" s="70"/>
      <c r="U2" s="71"/>
      <c r="V2" s="71"/>
    </row>
    <row r="3" spans="1:26" ht="14.25" customHeight="1" x14ac:dyDescent="0.2">
      <c r="A3" s="231" t="s">
        <v>0</v>
      </c>
      <c r="B3" s="232" t="s">
        <v>1</v>
      </c>
      <c r="C3" s="229" t="s">
        <v>2</v>
      </c>
      <c r="D3" s="233" t="s">
        <v>3</v>
      </c>
      <c r="E3" s="234" t="s">
        <v>4</v>
      </c>
      <c r="F3" s="232" t="s">
        <v>5</v>
      </c>
      <c r="G3" s="235" t="s">
        <v>6</v>
      </c>
      <c r="H3" s="236" t="s">
        <v>7</v>
      </c>
      <c r="I3" s="236" t="s">
        <v>8</v>
      </c>
      <c r="J3" s="227" t="s">
        <v>9</v>
      </c>
      <c r="K3" s="227"/>
      <c r="L3" s="228" t="s">
        <v>10</v>
      </c>
      <c r="M3" s="229" t="s">
        <v>11</v>
      </c>
      <c r="N3" s="230" t="s">
        <v>12</v>
      </c>
      <c r="O3" s="230"/>
      <c r="P3" s="230"/>
      <c r="Q3" s="229" t="s">
        <v>13</v>
      </c>
      <c r="R3" s="229" t="s">
        <v>14</v>
      </c>
      <c r="S3" s="229" t="s">
        <v>15</v>
      </c>
      <c r="T3" s="36">
        <v>2021</v>
      </c>
      <c r="U3" s="37"/>
      <c r="V3" s="38" t="s">
        <v>44</v>
      </c>
    </row>
    <row r="4" spans="1:26" ht="14.25" customHeight="1" x14ac:dyDescent="0.2">
      <c r="A4" s="231"/>
      <c r="B4" s="232"/>
      <c r="C4" s="229"/>
      <c r="D4" s="233"/>
      <c r="E4" s="234"/>
      <c r="F4" s="232"/>
      <c r="G4" s="235"/>
      <c r="H4" s="236"/>
      <c r="I4" s="236"/>
      <c r="J4" s="227"/>
      <c r="K4" s="227"/>
      <c r="L4" s="228"/>
      <c r="M4" s="229"/>
      <c r="N4" s="163" t="s">
        <v>16</v>
      </c>
      <c r="O4" s="163" t="s">
        <v>17</v>
      </c>
      <c r="P4" s="163" t="s">
        <v>18</v>
      </c>
      <c r="Q4" s="229"/>
      <c r="R4" s="229"/>
      <c r="S4" s="229"/>
      <c r="T4" s="96" t="s">
        <v>149</v>
      </c>
      <c r="U4" s="39" t="s">
        <v>150</v>
      </c>
      <c r="V4" s="40"/>
    </row>
    <row r="5" spans="1:26" x14ac:dyDescent="0.2">
      <c r="A5" s="72">
        <v>1</v>
      </c>
      <c r="B5" s="73" t="s">
        <v>49</v>
      </c>
      <c r="C5" s="73" t="s">
        <v>55</v>
      </c>
      <c r="D5" s="58">
        <v>44225</v>
      </c>
      <c r="E5" s="74">
        <v>1</v>
      </c>
      <c r="F5" s="73" t="s">
        <v>56</v>
      </c>
      <c r="G5" s="75">
        <v>1</v>
      </c>
      <c r="H5" s="42">
        <v>200000000</v>
      </c>
      <c r="I5" s="42">
        <f>H5*G5</f>
        <v>200000000</v>
      </c>
      <c r="J5" s="76">
        <v>44207</v>
      </c>
      <c r="K5" s="77">
        <f>IFERROR(VALUE(DAY(J5)&amp;" "&amp;TEXT(EOMONTH(J5,L5)-29,"mmm")&amp;" "&amp;YEAR(EOMONTH(J5,L5)-29)),"-")</f>
        <v>47494</v>
      </c>
      <c r="L5" s="78">
        <v>108</v>
      </c>
      <c r="M5" s="99">
        <v>23.21</v>
      </c>
      <c r="N5" s="81">
        <f t="shared" ref="N5" si="0">M5*H5/1000</f>
        <v>4642000</v>
      </c>
      <c r="O5" s="81"/>
      <c r="P5" s="81"/>
      <c r="Q5" s="81">
        <f t="shared" ref="Q5" si="1">N5+O5+P5</f>
        <v>4642000</v>
      </c>
      <c r="R5" s="81">
        <f t="shared" ref="R5" si="2">10%*N5</f>
        <v>464200</v>
      </c>
      <c r="S5" s="81">
        <f t="shared" ref="S5" si="3">Q5-R5</f>
        <v>4177800</v>
      </c>
      <c r="T5" s="42">
        <f>R5*10%+(Y5*4)</f>
        <v>62037.943925233645</v>
      </c>
      <c r="U5" s="1">
        <f t="shared" ref="U5" si="4">Y5*12</f>
        <v>46853.831775700935</v>
      </c>
      <c r="V5" s="34">
        <f t="shared" ref="V5" si="5">R5-T5-U5</f>
        <v>355308.22429906542</v>
      </c>
      <c r="W5" s="35">
        <f t="shared" ref="W5" si="6">T5+U5+V5</f>
        <v>464200</v>
      </c>
      <c r="X5" s="35">
        <f t="shared" ref="X5" si="7">R5-W5</f>
        <v>0</v>
      </c>
      <c r="Y5" s="35">
        <v>3904.4859813084113</v>
      </c>
      <c r="Z5" s="41">
        <f t="shared" ref="Z5" si="8">(R5-T5)/(L5-1)</f>
        <v>3758.5238885492181</v>
      </c>
    </row>
    <row r="6" spans="1:26" x14ac:dyDescent="0.2">
      <c r="A6" s="79"/>
      <c r="B6" s="59"/>
      <c r="C6" s="59"/>
      <c r="D6" s="59"/>
      <c r="E6" s="80">
        <f>SUM(E5:E5)</f>
        <v>1</v>
      </c>
      <c r="F6" s="80"/>
      <c r="G6" s="80"/>
      <c r="H6" s="79">
        <f>SUM(H5:H5)</f>
        <v>200000000</v>
      </c>
      <c r="I6" s="79">
        <f>SUM(I5:I5)</f>
        <v>200000000</v>
      </c>
      <c r="J6" s="79"/>
      <c r="K6" s="79"/>
      <c r="L6" s="79"/>
      <c r="M6" s="79"/>
      <c r="N6" s="79">
        <f t="shared" ref="N6:Z6" si="9">SUM(N5:N5)</f>
        <v>4642000</v>
      </c>
      <c r="O6" s="79">
        <f t="shared" si="9"/>
        <v>0</v>
      </c>
      <c r="P6" s="79">
        <f t="shared" si="9"/>
        <v>0</v>
      </c>
      <c r="Q6" s="79">
        <f t="shared" si="9"/>
        <v>4642000</v>
      </c>
      <c r="R6" s="79">
        <f t="shared" si="9"/>
        <v>464200</v>
      </c>
      <c r="S6" s="79">
        <f t="shared" si="9"/>
        <v>4177800</v>
      </c>
      <c r="T6" s="79">
        <f t="shared" si="9"/>
        <v>62037.943925233645</v>
      </c>
      <c r="U6" s="79">
        <f t="shared" si="9"/>
        <v>46853.831775700935</v>
      </c>
      <c r="V6" s="79">
        <f t="shared" si="9"/>
        <v>355308.22429906542</v>
      </c>
      <c r="W6" s="79">
        <f t="shared" si="9"/>
        <v>464200</v>
      </c>
      <c r="X6" s="79">
        <f t="shared" si="9"/>
        <v>0</v>
      </c>
      <c r="Y6" s="79">
        <f t="shared" si="9"/>
        <v>3904.4859813084113</v>
      </c>
      <c r="Z6" s="79">
        <f t="shared" si="9"/>
        <v>3758.5238885492181</v>
      </c>
    </row>
    <row r="8" spans="1:26" ht="14.25" customHeight="1" x14ac:dyDescent="0.2">
      <c r="A8" s="86" t="s">
        <v>74</v>
      </c>
      <c r="B8" s="62"/>
      <c r="C8" s="62"/>
      <c r="D8" s="57"/>
      <c r="E8" s="63"/>
      <c r="F8" s="64"/>
      <c r="G8" s="65"/>
      <c r="H8" s="66"/>
      <c r="I8" s="66"/>
      <c r="J8" s="67"/>
      <c r="K8" s="67"/>
      <c r="L8" s="68"/>
      <c r="M8" s="68"/>
      <c r="N8" s="69"/>
      <c r="O8" s="69"/>
      <c r="P8" s="69"/>
      <c r="Q8" s="69"/>
      <c r="R8" s="69"/>
      <c r="S8" s="69"/>
      <c r="T8" s="70"/>
      <c r="U8" s="71"/>
      <c r="V8" s="71"/>
    </row>
    <row r="9" spans="1:26" ht="14.25" customHeight="1" x14ac:dyDescent="0.2">
      <c r="A9" s="231" t="s">
        <v>0</v>
      </c>
      <c r="B9" s="232" t="s">
        <v>1</v>
      </c>
      <c r="C9" s="229" t="s">
        <v>2</v>
      </c>
      <c r="D9" s="233" t="s">
        <v>3</v>
      </c>
      <c r="E9" s="234" t="s">
        <v>4</v>
      </c>
      <c r="F9" s="232" t="s">
        <v>5</v>
      </c>
      <c r="G9" s="235" t="s">
        <v>6</v>
      </c>
      <c r="H9" s="236" t="s">
        <v>7</v>
      </c>
      <c r="I9" s="236" t="s">
        <v>8</v>
      </c>
      <c r="J9" s="227" t="s">
        <v>9</v>
      </c>
      <c r="K9" s="227"/>
      <c r="L9" s="228" t="s">
        <v>10</v>
      </c>
      <c r="M9" s="229" t="s">
        <v>11</v>
      </c>
      <c r="N9" s="230" t="s">
        <v>12</v>
      </c>
      <c r="O9" s="230"/>
      <c r="P9" s="230"/>
      <c r="Q9" s="229" t="s">
        <v>13</v>
      </c>
      <c r="R9" s="229" t="s">
        <v>14</v>
      </c>
      <c r="S9" s="229" t="s">
        <v>15</v>
      </c>
      <c r="T9" s="36">
        <v>2021</v>
      </c>
      <c r="U9" s="37"/>
      <c r="V9" s="38" t="s">
        <v>44</v>
      </c>
    </row>
    <row r="10" spans="1:26" ht="14.25" customHeight="1" x14ac:dyDescent="0.2">
      <c r="A10" s="231"/>
      <c r="B10" s="232"/>
      <c r="C10" s="229"/>
      <c r="D10" s="233"/>
      <c r="E10" s="234"/>
      <c r="F10" s="232"/>
      <c r="G10" s="235"/>
      <c r="H10" s="236"/>
      <c r="I10" s="236"/>
      <c r="J10" s="227"/>
      <c r="K10" s="227"/>
      <c r="L10" s="228"/>
      <c r="M10" s="229"/>
      <c r="N10" s="163" t="s">
        <v>16</v>
      </c>
      <c r="O10" s="163" t="s">
        <v>17</v>
      </c>
      <c r="P10" s="163" t="s">
        <v>18</v>
      </c>
      <c r="Q10" s="229"/>
      <c r="R10" s="229"/>
      <c r="S10" s="229"/>
      <c r="T10" s="96" t="s">
        <v>151</v>
      </c>
      <c r="U10" s="39" t="s">
        <v>150</v>
      </c>
      <c r="V10" s="40"/>
    </row>
    <row r="11" spans="1:26" x14ac:dyDescent="0.2">
      <c r="A11" s="74">
        <v>2</v>
      </c>
      <c r="B11" s="107" t="s">
        <v>59</v>
      </c>
      <c r="C11" s="107" t="s">
        <v>60</v>
      </c>
      <c r="D11" s="110">
        <v>44237</v>
      </c>
      <c r="E11" s="74">
        <v>1</v>
      </c>
      <c r="F11" s="107" t="s">
        <v>61</v>
      </c>
      <c r="G11" s="111">
        <v>1</v>
      </c>
      <c r="H11" s="112">
        <v>300000000</v>
      </c>
      <c r="I11" s="112">
        <f>H11*G11</f>
        <v>300000000</v>
      </c>
      <c r="J11" s="110">
        <v>44222</v>
      </c>
      <c r="K11" s="77">
        <f>IFERROR(VALUE(DAY(J11)&amp;" "&amp;TEXT(EOMONTH(J11,L11)-29,"mmm")&amp;" "&amp;YEAR(EOMONTH(J11,L11)-29)),"-")</f>
        <v>49700</v>
      </c>
      <c r="L11" s="107">
        <v>180</v>
      </c>
      <c r="M11" s="99">
        <v>37.520000000000003</v>
      </c>
      <c r="N11" s="81">
        <f t="shared" ref="N11" si="10">M11*H11/1000</f>
        <v>11256000</v>
      </c>
      <c r="O11" s="81"/>
      <c r="P11" s="81"/>
      <c r="Q11" s="81">
        <f t="shared" ref="Q11" si="11">N11+O11+P11</f>
        <v>11256000</v>
      </c>
      <c r="R11" s="81">
        <f t="shared" ref="R11" si="12">10%*N11</f>
        <v>1125600</v>
      </c>
      <c r="S11" s="81">
        <f t="shared" ref="S11" si="13">Q11-R11</f>
        <v>10130400</v>
      </c>
      <c r="T11" s="42">
        <f>(R11*10%)+(Y11*3)</f>
        <v>129538.32402234637</v>
      </c>
      <c r="U11" s="1">
        <f t="shared" ref="U11" si="14">Y11*12</f>
        <v>67913.296089385476</v>
      </c>
      <c r="V11" s="34">
        <f t="shared" ref="V11" si="15">R11-T11-U11</f>
        <v>928148.37988826807</v>
      </c>
      <c r="W11" s="35">
        <f t="shared" ref="W11" si="16">T11+U11+V11</f>
        <v>1125600</v>
      </c>
      <c r="X11" s="35">
        <f t="shared" ref="X11" si="17">R11-W11</f>
        <v>0</v>
      </c>
      <c r="Y11" s="35">
        <v>5659.441340782123</v>
      </c>
      <c r="Z11" s="41">
        <f t="shared" ref="Z11" si="18">(R11-T11)/(L11-1)</f>
        <v>5564.5903685902431</v>
      </c>
    </row>
    <row r="12" spans="1:26" x14ac:dyDescent="0.2">
      <c r="A12" s="79"/>
      <c r="B12" s="59"/>
      <c r="C12" s="59"/>
      <c r="D12" s="59"/>
      <c r="E12" s="80">
        <f>SUM(E11:E11)</f>
        <v>1</v>
      </c>
      <c r="F12" s="80"/>
      <c r="G12" s="80"/>
      <c r="H12" s="79">
        <f>SUM(H11:H11)</f>
        <v>300000000</v>
      </c>
      <c r="I12" s="79">
        <f>SUM(I11:I11)</f>
        <v>300000000</v>
      </c>
      <c r="J12" s="79"/>
      <c r="K12" s="79"/>
      <c r="L12" s="79"/>
      <c r="M12" s="79"/>
      <c r="N12" s="79">
        <f t="shared" ref="N12:Z12" si="19">SUM(N11:N11)</f>
        <v>11256000</v>
      </c>
      <c r="O12" s="79">
        <f t="shared" si="19"/>
        <v>0</v>
      </c>
      <c r="P12" s="79">
        <f t="shared" si="19"/>
        <v>0</v>
      </c>
      <c r="Q12" s="79">
        <f t="shared" si="19"/>
        <v>11256000</v>
      </c>
      <c r="R12" s="79">
        <f t="shared" si="19"/>
        <v>1125600</v>
      </c>
      <c r="S12" s="79">
        <f t="shared" si="19"/>
        <v>10130400</v>
      </c>
      <c r="T12" s="79">
        <f t="shared" si="19"/>
        <v>129538.32402234637</v>
      </c>
      <c r="U12" s="79">
        <f t="shared" si="19"/>
        <v>67913.296089385476</v>
      </c>
      <c r="V12" s="79">
        <f t="shared" si="19"/>
        <v>928148.37988826807</v>
      </c>
      <c r="W12" s="79">
        <f t="shared" si="19"/>
        <v>1125600</v>
      </c>
      <c r="X12" s="79">
        <f t="shared" si="19"/>
        <v>0</v>
      </c>
      <c r="Y12" s="79">
        <f t="shared" si="19"/>
        <v>5659.441340782123</v>
      </c>
      <c r="Z12" s="79">
        <f t="shared" si="19"/>
        <v>5564.5903685902431</v>
      </c>
    </row>
    <row r="13" spans="1:26" x14ac:dyDescent="0.2">
      <c r="A13" s="89"/>
      <c r="B13" s="89"/>
      <c r="C13" s="89" t="s">
        <v>73</v>
      </c>
      <c r="D13" s="90"/>
      <c r="E13" s="85">
        <f>E6+E12</f>
        <v>2</v>
      </c>
      <c r="F13" s="87">
        <f t="shared" ref="F13:G13" si="20">F6</f>
        <v>0</v>
      </c>
      <c r="G13" s="87">
        <f t="shared" si="20"/>
        <v>0</v>
      </c>
      <c r="H13" s="87">
        <f>H6+H12</f>
        <v>500000000</v>
      </c>
      <c r="I13" s="87">
        <f t="shared" ref="I13:Z13" si="21">I6+I12</f>
        <v>500000000</v>
      </c>
      <c r="J13" s="87">
        <f t="shared" si="21"/>
        <v>0</v>
      </c>
      <c r="K13" s="87">
        <f t="shared" si="21"/>
        <v>0</v>
      </c>
      <c r="L13" s="87">
        <f t="shared" si="21"/>
        <v>0</v>
      </c>
      <c r="M13" s="87">
        <f t="shared" si="21"/>
        <v>0</v>
      </c>
      <c r="N13" s="87">
        <f t="shared" si="21"/>
        <v>15898000</v>
      </c>
      <c r="O13" s="87">
        <f t="shared" si="21"/>
        <v>0</v>
      </c>
      <c r="P13" s="87">
        <f t="shared" si="21"/>
        <v>0</v>
      </c>
      <c r="Q13" s="87">
        <f t="shared" si="21"/>
        <v>15898000</v>
      </c>
      <c r="R13" s="87">
        <f t="shared" si="21"/>
        <v>1589800</v>
      </c>
      <c r="S13" s="87">
        <f t="shared" si="21"/>
        <v>14308200</v>
      </c>
      <c r="T13" s="87">
        <f t="shared" si="21"/>
        <v>191576.26794758003</v>
      </c>
      <c r="U13" s="87">
        <f t="shared" si="21"/>
        <v>114767.12786508641</v>
      </c>
      <c r="V13" s="87">
        <f t="shared" si="21"/>
        <v>1283456.6041873335</v>
      </c>
      <c r="W13" s="87">
        <f t="shared" si="21"/>
        <v>1589800</v>
      </c>
      <c r="X13" s="87">
        <f t="shared" si="21"/>
        <v>0</v>
      </c>
      <c r="Y13" s="87">
        <f t="shared" si="21"/>
        <v>9563.9273220905343</v>
      </c>
      <c r="Z13" s="87">
        <f t="shared" si="21"/>
        <v>9323.1142571394612</v>
      </c>
    </row>
    <row r="16" spans="1:26" ht="14.25" customHeight="1" x14ac:dyDescent="0.2">
      <c r="A16" s="86" t="s">
        <v>91</v>
      </c>
      <c r="B16" s="62"/>
      <c r="C16" s="62"/>
      <c r="D16" s="57"/>
      <c r="E16" s="63"/>
      <c r="F16" s="64"/>
      <c r="G16" s="65"/>
      <c r="H16" s="66"/>
      <c r="I16" s="66"/>
      <c r="J16" s="67"/>
      <c r="K16" s="67"/>
      <c r="L16" s="68"/>
      <c r="M16" s="68"/>
      <c r="N16" s="69"/>
      <c r="O16" s="69"/>
      <c r="P16" s="69"/>
      <c r="Q16" s="69"/>
      <c r="R16" s="69"/>
      <c r="S16" s="69"/>
      <c r="T16" s="70"/>
      <c r="U16" s="71"/>
      <c r="V16" s="71"/>
    </row>
    <row r="17" spans="1:26" ht="14.25" customHeight="1" x14ac:dyDescent="0.2">
      <c r="A17" s="231" t="s">
        <v>0</v>
      </c>
      <c r="B17" s="232" t="s">
        <v>1</v>
      </c>
      <c r="C17" s="229" t="s">
        <v>2</v>
      </c>
      <c r="D17" s="233" t="s">
        <v>3</v>
      </c>
      <c r="E17" s="234" t="s">
        <v>4</v>
      </c>
      <c r="F17" s="232" t="s">
        <v>5</v>
      </c>
      <c r="G17" s="235" t="s">
        <v>6</v>
      </c>
      <c r="H17" s="236" t="s">
        <v>7</v>
      </c>
      <c r="I17" s="236" t="s">
        <v>8</v>
      </c>
      <c r="J17" s="227" t="s">
        <v>9</v>
      </c>
      <c r="K17" s="227"/>
      <c r="L17" s="228" t="s">
        <v>10</v>
      </c>
      <c r="M17" s="229" t="s">
        <v>11</v>
      </c>
      <c r="N17" s="230" t="s">
        <v>12</v>
      </c>
      <c r="O17" s="230"/>
      <c r="P17" s="230"/>
      <c r="Q17" s="229" t="s">
        <v>13</v>
      </c>
      <c r="R17" s="229" t="s">
        <v>14</v>
      </c>
      <c r="S17" s="229" t="s">
        <v>15</v>
      </c>
      <c r="T17" s="36">
        <v>2021</v>
      </c>
      <c r="U17" s="37"/>
      <c r="V17" s="38" t="s">
        <v>44</v>
      </c>
    </row>
    <row r="18" spans="1:26" ht="14.25" customHeight="1" x14ac:dyDescent="0.2">
      <c r="A18" s="231"/>
      <c r="B18" s="232"/>
      <c r="C18" s="229"/>
      <c r="D18" s="233"/>
      <c r="E18" s="234"/>
      <c r="F18" s="232"/>
      <c r="G18" s="235"/>
      <c r="H18" s="236"/>
      <c r="I18" s="236"/>
      <c r="J18" s="227"/>
      <c r="K18" s="227"/>
      <c r="L18" s="228"/>
      <c r="M18" s="229"/>
      <c r="N18" s="163" t="s">
        <v>16</v>
      </c>
      <c r="O18" s="163" t="s">
        <v>17</v>
      </c>
      <c r="P18" s="163" t="s">
        <v>18</v>
      </c>
      <c r="Q18" s="229"/>
      <c r="R18" s="229"/>
      <c r="S18" s="229"/>
      <c r="T18" s="96" t="s">
        <v>155</v>
      </c>
      <c r="U18" s="39" t="s">
        <v>150</v>
      </c>
      <c r="V18" s="40"/>
    </row>
    <row r="19" spans="1:26" x14ac:dyDescent="0.2">
      <c r="A19" s="74">
        <v>3</v>
      </c>
      <c r="B19" s="107" t="s">
        <v>49</v>
      </c>
      <c r="C19" s="107" t="s">
        <v>78</v>
      </c>
      <c r="D19" s="110">
        <v>44237</v>
      </c>
      <c r="E19" s="74">
        <v>1</v>
      </c>
      <c r="F19" s="107" t="s">
        <v>79</v>
      </c>
      <c r="G19" s="111">
        <v>1</v>
      </c>
      <c r="H19" s="112">
        <v>40000000</v>
      </c>
      <c r="I19" s="112">
        <f>H19*G19</f>
        <v>40000000</v>
      </c>
      <c r="J19" s="110">
        <v>44245</v>
      </c>
      <c r="K19" s="77">
        <f>IFERROR(VALUE(DAY(J19)&amp;" "&amp;TEXT(EOMONTH(J19,L19)-29,"mmm")&amp;" "&amp;YEAR(EOMONTH(J19,L19)-29)),"-")</f>
        <v>44944</v>
      </c>
      <c r="L19" s="107">
        <v>24</v>
      </c>
      <c r="M19" s="99">
        <v>21.1</v>
      </c>
      <c r="N19" s="81">
        <f t="shared" ref="N19" si="22">M19*H19/1000</f>
        <v>844000</v>
      </c>
      <c r="O19" s="81"/>
      <c r="P19" s="81"/>
      <c r="Q19" s="81">
        <f t="shared" ref="Q19" si="23">N19+O19+P19</f>
        <v>844000</v>
      </c>
      <c r="R19" s="81">
        <f t="shared" ref="R19" si="24">10%*N19</f>
        <v>84400</v>
      </c>
      <c r="S19" s="81">
        <f t="shared" ref="S19" si="25">Q19-R19</f>
        <v>759600</v>
      </c>
      <c r="T19" s="42">
        <f>R19*10%+(Y19*2)</f>
        <v>15045.217391304348</v>
      </c>
      <c r="U19" s="1">
        <f>Y19*12</f>
        <v>39631.304347826088</v>
      </c>
      <c r="V19" s="34">
        <f t="shared" ref="V19" si="26">R19-T19-U19</f>
        <v>29723.47826086956</v>
      </c>
      <c r="W19" s="35">
        <f t="shared" ref="W19" si="27">T19+U19+V19</f>
        <v>84400</v>
      </c>
      <c r="X19" s="35">
        <f t="shared" ref="X19" si="28">R19-W19</f>
        <v>0</v>
      </c>
      <c r="Y19" s="35">
        <v>3302.608695652174</v>
      </c>
      <c r="Z19" s="41">
        <f>(R19-T19)/(L19-1)</f>
        <v>3015.4253308128541</v>
      </c>
    </row>
    <row r="20" spans="1:26" x14ac:dyDescent="0.2">
      <c r="A20" s="88"/>
      <c r="B20" s="84"/>
      <c r="C20" s="84"/>
      <c r="D20" s="84"/>
      <c r="E20" s="88">
        <f>SUM(E19:E19)</f>
        <v>1</v>
      </c>
      <c r="F20" s="84"/>
      <c r="G20" s="115"/>
      <c r="H20" s="59">
        <f>SUM(H19:H19)</f>
        <v>40000000</v>
      </c>
      <c r="I20" s="59">
        <f>SUM(I19:I19)</f>
        <v>40000000</v>
      </c>
      <c r="J20" s="59"/>
      <c r="K20" s="59"/>
      <c r="L20" s="59"/>
      <c r="M20" s="59"/>
      <c r="N20" s="59">
        <f t="shared" ref="N20:Z20" si="29">SUM(N19:N19)</f>
        <v>844000</v>
      </c>
      <c r="O20" s="59">
        <f t="shared" si="29"/>
        <v>0</v>
      </c>
      <c r="P20" s="59">
        <f t="shared" si="29"/>
        <v>0</v>
      </c>
      <c r="Q20" s="59">
        <f t="shared" si="29"/>
        <v>844000</v>
      </c>
      <c r="R20" s="59">
        <f t="shared" si="29"/>
        <v>84400</v>
      </c>
      <c r="S20" s="59">
        <f t="shared" si="29"/>
        <v>759600</v>
      </c>
      <c r="T20" s="59">
        <f t="shared" si="29"/>
        <v>15045.217391304348</v>
      </c>
      <c r="U20" s="59">
        <f t="shared" si="29"/>
        <v>39631.304347826088</v>
      </c>
      <c r="V20" s="59">
        <f t="shared" si="29"/>
        <v>29723.47826086956</v>
      </c>
      <c r="W20" s="59">
        <f t="shared" si="29"/>
        <v>84400</v>
      </c>
      <c r="X20" s="59">
        <f t="shared" si="29"/>
        <v>0</v>
      </c>
      <c r="Y20" s="59">
        <f t="shared" si="29"/>
        <v>3302.608695652174</v>
      </c>
      <c r="Z20" s="59">
        <f t="shared" si="29"/>
        <v>3015.4253308128541</v>
      </c>
    </row>
    <row r="21" spans="1:26" x14ac:dyDescent="0.2">
      <c r="A21" s="74">
        <v>4</v>
      </c>
      <c r="B21" s="107" t="s">
        <v>84</v>
      </c>
      <c r="C21" s="107" t="s">
        <v>85</v>
      </c>
      <c r="D21" s="110">
        <v>44286</v>
      </c>
      <c r="E21" s="74">
        <v>1</v>
      </c>
      <c r="F21" s="107" t="s">
        <v>86</v>
      </c>
      <c r="G21" s="111">
        <v>1</v>
      </c>
      <c r="H21" s="112">
        <v>300000000</v>
      </c>
      <c r="I21" s="112">
        <f>H21*G21</f>
        <v>300000000</v>
      </c>
      <c r="J21" s="110">
        <v>44263</v>
      </c>
      <c r="K21" s="77">
        <f t="shared" ref="K21" si="30">IFERROR(VALUE(DAY(J21)&amp;" "&amp;TEXT(EOMONTH(J21,L21)-29,"mmm")&amp;" "&amp;YEAR(EOMONTH(J21,L21)-29)),"-")</f>
        <v>44993</v>
      </c>
      <c r="L21" s="107">
        <v>24</v>
      </c>
      <c r="M21" s="99">
        <v>51.12</v>
      </c>
      <c r="N21" s="81">
        <f t="shared" ref="N21" si="31">M21*H21/1000</f>
        <v>15336000</v>
      </c>
      <c r="O21" s="81"/>
      <c r="P21" s="81"/>
      <c r="Q21" s="81">
        <f t="shared" ref="Q21" si="32">N21+O21+P21</f>
        <v>15336000</v>
      </c>
      <c r="R21" s="81">
        <f t="shared" ref="R21" si="33">10%*N21</f>
        <v>1533600</v>
      </c>
      <c r="S21" s="81">
        <f t="shared" ref="S21" si="34">Q21-R21</f>
        <v>13802400</v>
      </c>
      <c r="T21" s="42"/>
      <c r="U21" s="1"/>
      <c r="V21" s="34"/>
      <c r="W21" s="35"/>
      <c r="X21" s="35"/>
      <c r="Y21" s="35"/>
      <c r="Z21" s="41"/>
    </row>
    <row r="22" spans="1:26" x14ac:dyDescent="0.2">
      <c r="A22" s="88"/>
      <c r="B22" s="84"/>
      <c r="C22" s="84"/>
      <c r="D22" s="84"/>
      <c r="E22" s="88"/>
      <c r="F22" s="84"/>
      <c r="G22" s="115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>
        <f t="shared" ref="S22:Z22" si="35">SUM(S21:S21)</f>
        <v>13802400</v>
      </c>
      <c r="T22" s="59">
        <f t="shared" si="35"/>
        <v>0</v>
      </c>
      <c r="U22" s="59">
        <f t="shared" si="35"/>
        <v>0</v>
      </c>
      <c r="V22" s="59">
        <f t="shared" si="35"/>
        <v>0</v>
      </c>
      <c r="W22" s="59">
        <f t="shared" si="35"/>
        <v>0</v>
      </c>
      <c r="X22" s="59">
        <f t="shared" si="35"/>
        <v>0</v>
      </c>
      <c r="Y22" s="59">
        <f t="shared" si="35"/>
        <v>0</v>
      </c>
      <c r="Z22" s="59">
        <f t="shared" si="35"/>
        <v>0</v>
      </c>
    </row>
    <row r="23" spans="1:26" x14ac:dyDescent="0.2">
      <c r="A23" s="83"/>
      <c r="B23" s="83"/>
      <c r="C23" s="83" t="s">
        <v>92</v>
      </c>
      <c r="D23" s="84"/>
      <c r="E23" s="85">
        <f>E22+E20</f>
        <v>1</v>
      </c>
      <c r="F23" s="87"/>
      <c r="G23" s="87"/>
      <c r="H23" s="87">
        <f t="shared" ref="H23:Z23" si="36">H22+H20</f>
        <v>40000000</v>
      </c>
      <c r="I23" s="87">
        <f t="shared" si="36"/>
        <v>40000000</v>
      </c>
      <c r="J23" s="87">
        <f t="shared" si="36"/>
        <v>0</v>
      </c>
      <c r="K23" s="87">
        <f t="shared" si="36"/>
        <v>0</v>
      </c>
      <c r="L23" s="87"/>
      <c r="M23" s="87"/>
      <c r="N23" s="87">
        <f t="shared" si="36"/>
        <v>844000</v>
      </c>
      <c r="O23" s="87">
        <f t="shared" si="36"/>
        <v>0</v>
      </c>
      <c r="P23" s="87">
        <f t="shared" si="36"/>
        <v>0</v>
      </c>
      <c r="Q23" s="87">
        <f t="shared" si="36"/>
        <v>844000</v>
      </c>
      <c r="R23" s="87">
        <f t="shared" si="36"/>
        <v>84400</v>
      </c>
      <c r="S23" s="87">
        <f t="shared" si="36"/>
        <v>14562000</v>
      </c>
      <c r="T23" s="87">
        <f t="shared" si="36"/>
        <v>15045.217391304348</v>
      </c>
      <c r="U23" s="87">
        <f t="shared" si="36"/>
        <v>39631.304347826088</v>
      </c>
      <c r="V23" s="87">
        <f t="shared" si="36"/>
        <v>29723.47826086956</v>
      </c>
      <c r="W23" s="87">
        <f t="shared" si="36"/>
        <v>84400</v>
      </c>
      <c r="X23" s="87">
        <f t="shared" si="36"/>
        <v>0</v>
      </c>
      <c r="Y23" s="87">
        <f t="shared" si="36"/>
        <v>3302.608695652174</v>
      </c>
      <c r="Z23" s="87">
        <f t="shared" si="36"/>
        <v>3015.4253308128541</v>
      </c>
    </row>
    <row r="24" spans="1:26" s="94" customFormat="1" x14ac:dyDescent="0.2">
      <c r="A24" s="83"/>
      <c r="B24" s="83"/>
      <c r="C24" s="83" t="s">
        <v>93</v>
      </c>
      <c r="D24" s="84"/>
      <c r="E24" s="85">
        <f>E23+E13</f>
        <v>3</v>
      </c>
      <c r="F24" s="87">
        <f t="shared" ref="F24:Z24" si="37">F23+F13</f>
        <v>0</v>
      </c>
      <c r="G24" s="87">
        <f t="shared" si="37"/>
        <v>0</v>
      </c>
      <c r="H24" s="87">
        <f t="shared" si="37"/>
        <v>540000000</v>
      </c>
      <c r="I24" s="87">
        <f t="shared" si="37"/>
        <v>540000000</v>
      </c>
      <c r="J24" s="87">
        <f t="shared" si="37"/>
        <v>0</v>
      </c>
      <c r="K24" s="87">
        <f t="shared" si="37"/>
        <v>0</v>
      </c>
      <c r="L24" s="87">
        <f t="shared" si="37"/>
        <v>0</v>
      </c>
      <c r="M24" s="87">
        <f t="shared" si="37"/>
        <v>0</v>
      </c>
      <c r="N24" s="87">
        <f t="shared" si="37"/>
        <v>16742000</v>
      </c>
      <c r="O24" s="87">
        <f t="shared" si="37"/>
        <v>0</v>
      </c>
      <c r="P24" s="87">
        <f t="shared" si="37"/>
        <v>0</v>
      </c>
      <c r="Q24" s="87">
        <f t="shared" si="37"/>
        <v>16742000</v>
      </c>
      <c r="R24" s="87">
        <f>R23+R13</f>
        <v>1674200</v>
      </c>
      <c r="S24" s="87">
        <f t="shared" si="37"/>
        <v>28870200</v>
      </c>
      <c r="T24" s="87">
        <f t="shared" si="37"/>
        <v>206621.48533888438</v>
      </c>
      <c r="U24" s="87">
        <f t="shared" si="37"/>
        <v>154398.43221291251</v>
      </c>
      <c r="V24" s="87">
        <f t="shared" si="37"/>
        <v>1313180.0824482031</v>
      </c>
      <c r="W24" s="87">
        <f t="shared" si="37"/>
        <v>1674200</v>
      </c>
      <c r="X24" s="87">
        <f t="shared" si="37"/>
        <v>0</v>
      </c>
      <c r="Y24" s="87">
        <f t="shared" si="37"/>
        <v>12866.536017742708</v>
      </c>
      <c r="Z24" s="87">
        <f t="shared" si="37"/>
        <v>12338.539587952315</v>
      </c>
    </row>
    <row r="26" spans="1:26" ht="14.25" customHeight="1" x14ac:dyDescent="0.2">
      <c r="A26" s="86" t="s">
        <v>120</v>
      </c>
      <c r="B26" s="62"/>
      <c r="C26" s="62"/>
      <c r="D26" s="57"/>
      <c r="E26" s="63"/>
      <c r="F26" s="64"/>
      <c r="G26" s="65"/>
      <c r="H26" s="66"/>
      <c r="I26" s="66"/>
      <c r="J26" s="67"/>
      <c r="K26" s="67"/>
      <c r="L26" s="68"/>
      <c r="M26" s="68"/>
      <c r="N26" s="69"/>
      <c r="O26" s="69"/>
      <c r="P26" s="69"/>
      <c r="Q26" s="69"/>
      <c r="R26" s="69"/>
      <c r="S26" s="69"/>
      <c r="T26" s="70"/>
      <c r="U26" s="71"/>
      <c r="V26" s="71"/>
    </row>
    <row r="27" spans="1:26" ht="14.25" customHeight="1" x14ac:dyDescent="0.2">
      <c r="A27" s="231" t="s">
        <v>0</v>
      </c>
      <c r="B27" s="232" t="s">
        <v>1</v>
      </c>
      <c r="C27" s="229" t="s">
        <v>2</v>
      </c>
      <c r="D27" s="233" t="s">
        <v>3</v>
      </c>
      <c r="E27" s="234" t="s">
        <v>4</v>
      </c>
      <c r="F27" s="232" t="s">
        <v>5</v>
      </c>
      <c r="G27" s="235" t="s">
        <v>6</v>
      </c>
      <c r="H27" s="236" t="s">
        <v>7</v>
      </c>
      <c r="I27" s="236" t="s">
        <v>8</v>
      </c>
      <c r="J27" s="227" t="s">
        <v>9</v>
      </c>
      <c r="K27" s="227"/>
      <c r="L27" s="228" t="s">
        <v>10</v>
      </c>
      <c r="M27" s="229" t="s">
        <v>11</v>
      </c>
      <c r="N27" s="230" t="s">
        <v>12</v>
      </c>
      <c r="O27" s="230"/>
      <c r="P27" s="230"/>
      <c r="Q27" s="229" t="s">
        <v>13</v>
      </c>
      <c r="R27" s="229" t="s">
        <v>14</v>
      </c>
      <c r="S27" s="229" t="s">
        <v>15</v>
      </c>
      <c r="T27" s="36">
        <v>2021</v>
      </c>
      <c r="U27" s="37"/>
      <c r="V27" s="38" t="s">
        <v>44</v>
      </c>
    </row>
    <row r="28" spans="1:26" ht="14.25" customHeight="1" x14ac:dyDescent="0.2">
      <c r="A28" s="231"/>
      <c r="B28" s="232"/>
      <c r="C28" s="229"/>
      <c r="D28" s="233"/>
      <c r="E28" s="234"/>
      <c r="F28" s="232"/>
      <c r="G28" s="235"/>
      <c r="H28" s="236"/>
      <c r="I28" s="236"/>
      <c r="J28" s="227"/>
      <c r="K28" s="227"/>
      <c r="L28" s="228"/>
      <c r="M28" s="229"/>
      <c r="N28" s="163" t="s">
        <v>16</v>
      </c>
      <c r="O28" s="163" t="s">
        <v>17</v>
      </c>
      <c r="P28" s="163" t="s">
        <v>18</v>
      </c>
      <c r="Q28" s="229"/>
      <c r="R28" s="229"/>
      <c r="S28" s="229"/>
      <c r="T28" s="96" t="s">
        <v>152</v>
      </c>
      <c r="U28" s="39" t="s">
        <v>150</v>
      </c>
      <c r="V28" s="40"/>
    </row>
    <row r="29" spans="1:26" x14ac:dyDescent="0.2">
      <c r="A29" s="74">
        <v>5</v>
      </c>
      <c r="B29" s="107" t="s">
        <v>46</v>
      </c>
      <c r="C29" s="107" t="s">
        <v>96</v>
      </c>
      <c r="D29" s="110">
        <v>44313</v>
      </c>
      <c r="E29" s="74">
        <v>1</v>
      </c>
      <c r="F29" s="107" t="s">
        <v>47</v>
      </c>
      <c r="G29" s="111">
        <v>1</v>
      </c>
      <c r="H29" s="112">
        <v>57599206</v>
      </c>
      <c r="I29" s="112">
        <f>H29*G29</f>
        <v>57599206</v>
      </c>
      <c r="J29" s="110">
        <v>46069</v>
      </c>
      <c r="K29" s="77">
        <v>46446</v>
      </c>
      <c r="L29" s="107">
        <v>12</v>
      </c>
      <c r="M29" s="99">
        <v>9.1</v>
      </c>
      <c r="N29" s="81">
        <f t="shared" ref="N29:N30" si="38">M29*H29/1000</f>
        <v>524152.77459999995</v>
      </c>
      <c r="O29" s="81">
        <v>100000</v>
      </c>
      <c r="P29" s="81"/>
      <c r="Q29" s="81">
        <f t="shared" ref="Q29:Q30" si="39">N29+O29+P29</f>
        <v>624152.77459999989</v>
      </c>
      <c r="R29" s="81"/>
      <c r="S29" s="81">
        <f t="shared" ref="S29:S30" si="40">Q29-R29</f>
        <v>624152.77459999989</v>
      </c>
      <c r="T29" s="42">
        <f>R29*10%</f>
        <v>0</v>
      </c>
      <c r="U29" s="1">
        <f>Y29*12</f>
        <v>0</v>
      </c>
      <c r="V29" s="34">
        <f t="shared" ref="V29:V41" si="41">R29-T29-U29</f>
        <v>0</v>
      </c>
      <c r="W29" s="35">
        <f t="shared" ref="W29:W41" si="42">T29+U29+V29</f>
        <v>0</v>
      </c>
      <c r="X29" s="35">
        <f t="shared" ref="X29:X41" si="43">R29-W29</f>
        <v>0</v>
      </c>
      <c r="Y29" s="35">
        <v>0</v>
      </c>
      <c r="Z29" s="41">
        <f>(R29-T29)/(L29-1)</f>
        <v>0</v>
      </c>
    </row>
    <row r="30" spans="1:26" x14ac:dyDescent="0.2">
      <c r="A30" s="74"/>
      <c r="B30" s="107"/>
      <c r="C30" s="107"/>
      <c r="D30" s="110"/>
      <c r="E30" s="74">
        <v>1</v>
      </c>
      <c r="F30" s="107" t="s">
        <v>48</v>
      </c>
      <c r="G30" s="111">
        <v>1</v>
      </c>
      <c r="H30" s="112">
        <v>11844392</v>
      </c>
      <c r="I30" s="112">
        <f>H30*G30</f>
        <v>11844392</v>
      </c>
      <c r="J30" s="110">
        <v>46523</v>
      </c>
      <c r="K30" s="77">
        <v>46768</v>
      </c>
      <c r="L30" s="107">
        <v>8</v>
      </c>
      <c r="M30" s="99">
        <v>5.46</v>
      </c>
      <c r="N30" s="81">
        <f t="shared" si="38"/>
        <v>64670.380320000004</v>
      </c>
      <c r="O30" s="81">
        <v>100000</v>
      </c>
      <c r="P30" s="81"/>
      <c r="Q30" s="81">
        <f t="shared" si="39"/>
        <v>164670.38032</v>
      </c>
      <c r="R30" s="81"/>
      <c r="S30" s="81">
        <f t="shared" si="40"/>
        <v>164670.38032</v>
      </c>
      <c r="T30" s="42">
        <f t="shared" ref="T30:T41" si="44">R30*10%</f>
        <v>0</v>
      </c>
      <c r="U30" s="1">
        <f t="shared" ref="U30:U41" si="45">Y30*12</f>
        <v>0</v>
      </c>
      <c r="V30" s="34">
        <f t="shared" si="41"/>
        <v>0</v>
      </c>
      <c r="W30" s="35">
        <f t="shared" si="42"/>
        <v>0</v>
      </c>
      <c r="X30" s="35">
        <f t="shared" si="43"/>
        <v>0</v>
      </c>
      <c r="Y30" s="35">
        <v>0</v>
      </c>
      <c r="Z30" s="41">
        <f t="shared" ref="Z30:Z41" si="46">(R30-T30)/(L30-1)</f>
        <v>0</v>
      </c>
    </row>
    <row r="31" spans="1:26" x14ac:dyDescent="0.2">
      <c r="A31" s="88"/>
      <c r="B31" s="84"/>
      <c r="C31" s="84"/>
      <c r="D31" s="84"/>
      <c r="E31" s="88"/>
      <c r="F31" s="84"/>
      <c r="G31" s="115"/>
      <c r="H31" s="59"/>
      <c r="I31" s="59"/>
      <c r="J31" s="59"/>
      <c r="K31" s="59"/>
      <c r="L31" s="59"/>
      <c r="M31" s="59"/>
      <c r="N31" s="59">
        <f t="shared" ref="N31:Z31" si="47">SUM(N29:N30)</f>
        <v>588823.15492</v>
      </c>
      <c r="O31" s="59">
        <f t="shared" si="47"/>
        <v>200000</v>
      </c>
      <c r="P31" s="59">
        <f t="shared" si="47"/>
        <v>0</v>
      </c>
      <c r="Q31" s="59">
        <f t="shared" si="47"/>
        <v>788823.15491999988</v>
      </c>
      <c r="R31" s="59">
        <f t="shared" si="47"/>
        <v>0</v>
      </c>
      <c r="S31" s="59">
        <f t="shared" si="47"/>
        <v>788823.15491999988</v>
      </c>
      <c r="T31" s="59">
        <f t="shared" si="47"/>
        <v>0</v>
      </c>
      <c r="U31" s="59">
        <f t="shared" si="47"/>
        <v>0</v>
      </c>
      <c r="V31" s="59">
        <f t="shared" si="47"/>
        <v>0</v>
      </c>
      <c r="W31" s="59">
        <f t="shared" si="47"/>
        <v>0</v>
      </c>
      <c r="X31" s="59">
        <f t="shared" si="47"/>
        <v>0</v>
      </c>
      <c r="Y31" s="59">
        <f t="shared" si="47"/>
        <v>0</v>
      </c>
      <c r="Z31" s="59">
        <f t="shared" si="47"/>
        <v>0</v>
      </c>
    </row>
    <row r="32" spans="1:26" x14ac:dyDescent="0.2">
      <c r="A32" s="74">
        <v>6</v>
      </c>
      <c r="B32" s="107" t="s">
        <v>49</v>
      </c>
      <c r="C32" s="107" t="s">
        <v>101</v>
      </c>
      <c r="D32" s="110">
        <v>44301</v>
      </c>
      <c r="E32" s="74">
        <v>1</v>
      </c>
      <c r="F32" s="107" t="s">
        <v>102</v>
      </c>
      <c r="G32" s="111">
        <v>1</v>
      </c>
      <c r="H32" s="112">
        <v>35000000</v>
      </c>
      <c r="I32" s="112">
        <f>H32*G32</f>
        <v>35000000</v>
      </c>
      <c r="J32" s="110">
        <v>44278</v>
      </c>
      <c r="K32" s="77">
        <f t="shared" ref="K32" si="48">IFERROR(VALUE(DAY(J32)&amp;" "&amp;TEXT(EOMONTH(J32,L32)-29,"mmm")&amp;" "&amp;YEAR(EOMONTH(J32,L32)-29)),"-")</f>
        <v>45374</v>
      </c>
      <c r="L32" s="107">
        <v>36</v>
      </c>
      <c r="M32" s="99">
        <v>31.16</v>
      </c>
      <c r="N32" s="81">
        <f t="shared" ref="N32" si="49">M32*H32/1000</f>
        <v>1090600</v>
      </c>
      <c r="O32" s="81"/>
      <c r="P32" s="81"/>
      <c r="Q32" s="81">
        <f t="shared" ref="Q32" si="50">N32+O32+P32</f>
        <v>1090600</v>
      </c>
      <c r="R32" s="81">
        <f t="shared" ref="R32" si="51">10%*N32</f>
        <v>109060</v>
      </c>
      <c r="S32" s="81">
        <f t="shared" ref="S32" si="52">Q32-R32</f>
        <v>981540</v>
      </c>
      <c r="T32" s="42">
        <f>R32*10%+Y32</f>
        <v>13710.4</v>
      </c>
      <c r="U32" s="1">
        <f t="shared" si="45"/>
        <v>33652.800000000003</v>
      </c>
      <c r="V32" s="34">
        <f t="shared" si="41"/>
        <v>61696.800000000003</v>
      </c>
      <c r="W32" s="35">
        <f t="shared" si="42"/>
        <v>109060</v>
      </c>
      <c r="X32" s="35">
        <f t="shared" si="43"/>
        <v>0</v>
      </c>
      <c r="Y32" s="35">
        <v>2804.4</v>
      </c>
      <c r="Z32" s="41">
        <f t="shared" si="46"/>
        <v>2724.2742857142857</v>
      </c>
    </row>
    <row r="33" spans="1:26" x14ac:dyDescent="0.2">
      <c r="A33" s="88"/>
      <c r="B33" s="84"/>
      <c r="C33" s="84"/>
      <c r="D33" s="84"/>
      <c r="E33" s="88">
        <f>SUM(E32:E32)</f>
        <v>1</v>
      </c>
      <c r="F33" s="84"/>
      <c r="G33" s="115"/>
      <c r="H33" s="59">
        <f>SUM(H32:H32)</f>
        <v>35000000</v>
      </c>
      <c r="I33" s="59">
        <f>SUM(I32:I32)</f>
        <v>35000000</v>
      </c>
      <c r="J33" s="59"/>
      <c r="K33" s="59"/>
      <c r="L33" s="59"/>
      <c r="M33" s="59"/>
      <c r="N33" s="59">
        <f t="shared" ref="N33:Z33" si="53">SUM(N32:N32)</f>
        <v>1090600</v>
      </c>
      <c r="O33" s="59">
        <f t="shared" si="53"/>
        <v>0</v>
      </c>
      <c r="P33" s="59">
        <f t="shared" si="53"/>
        <v>0</v>
      </c>
      <c r="Q33" s="59">
        <f t="shared" si="53"/>
        <v>1090600</v>
      </c>
      <c r="R33" s="59">
        <f t="shared" si="53"/>
        <v>109060</v>
      </c>
      <c r="S33" s="59">
        <f t="shared" si="53"/>
        <v>981540</v>
      </c>
      <c r="T33" s="59">
        <f t="shared" si="53"/>
        <v>13710.4</v>
      </c>
      <c r="U33" s="59">
        <f t="shared" si="53"/>
        <v>33652.800000000003</v>
      </c>
      <c r="V33" s="59">
        <f t="shared" si="53"/>
        <v>61696.800000000003</v>
      </c>
      <c r="W33" s="59">
        <f t="shared" si="53"/>
        <v>109060</v>
      </c>
      <c r="X33" s="59">
        <f t="shared" si="53"/>
        <v>0</v>
      </c>
      <c r="Y33" s="59">
        <f t="shared" si="53"/>
        <v>2804.4</v>
      </c>
      <c r="Z33" s="59">
        <f t="shared" si="53"/>
        <v>2724.2742857142857</v>
      </c>
    </row>
    <row r="34" spans="1:26" x14ac:dyDescent="0.2">
      <c r="A34" s="74">
        <v>7</v>
      </c>
      <c r="B34" s="107" t="s">
        <v>49</v>
      </c>
      <c r="C34" s="107" t="s">
        <v>103</v>
      </c>
      <c r="D34" s="110">
        <v>44316</v>
      </c>
      <c r="E34" s="74">
        <v>1</v>
      </c>
      <c r="F34" s="107" t="s">
        <v>104</v>
      </c>
      <c r="G34" s="111">
        <v>1</v>
      </c>
      <c r="H34" s="112">
        <v>83000000</v>
      </c>
      <c r="I34" s="112">
        <f>H34*G34</f>
        <v>83000000</v>
      </c>
      <c r="J34" s="110">
        <v>44315</v>
      </c>
      <c r="K34" s="77">
        <f>IFERROR(VALUE(DAY(J34)&amp;" "&amp;TEXT(EOMONTH(J34,L34)-29,"mmm")&amp;" "&amp;YEAR(EOMONTH(J34,L34)-29)),"-")</f>
        <v>46506</v>
      </c>
      <c r="L34" s="107">
        <v>72</v>
      </c>
      <c r="M34" s="99">
        <v>50.64</v>
      </c>
      <c r="N34" s="81">
        <f t="shared" ref="N34" si="54">M34*H34/1000</f>
        <v>4203120</v>
      </c>
      <c r="O34" s="81"/>
      <c r="P34" s="81"/>
      <c r="Q34" s="81">
        <f t="shared" ref="Q34" si="55">N34+O34+P34</f>
        <v>4203120</v>
      </c>
      <c r="R34" s="81">
        <f t="shared" ref="R34" si="56">10%*N34</f>
        <v>420312</v>
      </c>
      <c r="S34" s="81">
        <f t="shared" ref="S34" si="57">Q34-R34</f>
        <v>3782808</v>
      </c>
      <c r="T34" s="42">
        <f>R34*10%+Y34</f>
        <v>47359.0985915493</v>
      </c>
      <c r="U34" s="1">
        <f t="shared" si="45"/>
        <v>63934.78309859155</v>
      </c>
      <c r="V34" s="34">
        <f t="shared" si="41"/>
        <v>309018.11830985913</v>
      </c>
      <c r="W34" s="35">
        <f t="shared" si="42"/>
        <v>420312</v>
      </c>
      <c r="X34" s="35">
        <f t="shared" si="43"/>
        <v>0</v>
      </c>
      <c r="Y34" s="35">
        <v>5327.8985915492958</v>
      </c>
      <c r="Z34" s="41">
        <f t="shared" si="46"/>
        <v>5252.8577663162068</v>
      </c>
    </row>
    <row r="35" spans="1:26" x14ac:dyDescent="0.2">
      <c r="A35" s="150"/>
      <c r="B35" s="90"/>
      <c r="C35" s="90"/>
      <c r="D35" s="90"/>
      <c r="E35" s="150">
        <f>SUM(E34:E34)</f>
        <v>1</v>
      </c>
      <c r="F35" s="90"/>
      <c r="G35" s="151"/>
      <c r="H35" s="152">
        <f>SUM(H34:H34)</f>
        <v>83000000</v>
      </c>
      <c r="I35" s="152">
        <f>SUM(I34:I34)</f>
        <v>83000000</v>
      </c>
      <c r="J35" s="152"/>
      <c r="K35" s="152"/>
      <c r="L35" s="152"/>
      <c r="M35" s="152"/>
      <c r="N35" s="152">
        <f t="shared" ref="N35:Z35" si="58">SUM(N34:N34)</f>
        <v>4203120</v>
      </c>
      <c r="O35" s="152">
        <f t="shared" si="58"/>
        <v>0</v>
      </c>
      <c r="P35" s="152">
        <f t="shared" si="58"/>
        <v>0</v>
      </c>
      <c r="Q35" s="152">
        <f t="shared" si="58"/>
        <v>4203120</v>
      </c>
      <c r="R35" s="152">
        <f t="shared" si="58"/>
        <v>420312</v>
      </c>
      <c r="S35" s="152">
        <f t="shared" si="58"/>
        <v>3782808</v>
      </c>
      <c r="T35" s="152">
        <f t="shared" si="58"/>
        <v>47359.0985915493</v>
      </c>
      <c r="U35" s="152">
        <f t="shared" si="58"/>
        <v>63934.78309859155</v>
      </c>
      <c r="V35" s="152">
        <f t="shared" si="58"/>
        <v>309018.11830985913</v>
      </c>
      <c r="W35" s="152">
        <f t="shared" si="58"/>
        <v>420312</v>
      </c>
      <c r="X35" s="152">
        <f t="shared" si="58"/>
        <v>0</v>
      </c>
      <c r="Y35" s="152">
        <f t="shared" si="58"/>
        <v>5327.8985915492958</v>
      </c>
      <c r="Z35" s="152">
        <f t="shared" si="58"/>
        <v>5252.8577663162068</v>
      </c>
    </row>
    <row r="36" spans="1:26" x14ac:dyDescent="0.2">
      <c r="A36" s="74">
        <v>8</v>
      </c>
      <c r="B36" s="107" t="s">
        <v>49</v>
      </c>
      <c r="C36" s="107" t="s">
        <v>105</v>
      </c>
      <c r="D36" s="110">
        <v>44316</v>
      </c>
      <c r="E36" s="74">
        <v>1</v>
      </c>
      <c r="F36" s="107" t="s">
        <v>106</v>
      </c>
      <c r="G36" s="111">
        <v>1</v>
      </c>
      <c r="H36" s="112">
        <v>35000000</v>
      </c>
      <c r="I36" s="112">
        <f>H36*G36</f>
        <v>35000000</v>
      </c>
      <c r="J36" s="110">
        <v>44313</v>
      </c>
      <c r="K36" s="77">
        <f>IFERROR(VALUE(DAY(J36)&amp;" "&amp;TEXT(EOMONTH(J36,L36)-29,"mmm")&amp;" "&amp;YEAR(EOMONTH(J36,L36)-29)),"-")</f>
        <v>45409</v>
      </c>
      <c r="L36" s="107">
        <v>36</v>
      </c>
      <c r="M36" s="99">
        <v>30.71</v>
      </c>
      <c r="N36" s="81">
        <f t="shared" ref="N36" si="59">M36*H36/1000</f>
        <v>1074850</v>
      </c>
      <c r="O36" s="81"/>
      <c r="P36" s="81"/>
      <c r="Q36" s="81">
        <f t="shared" ref="Q36" si="60">N36+O36+P36</f>
        <v>1074850</v>
      </c>
      <c r="R36" s="81">
        <f t="shared" ref="R36" si="61">10%*N36</f>
        <v>107485</v>
      </c>
      <c r="S36" s="81">
        <f t="shared" ref="S36" si="62">Q36-R36</f>
        <v>967365</v>
      </c>
      <c r="T36" s="42">
        <f>R36*10%+Y36</f>
        <v>13512.4</v>
      </c>
      <c r="U36" s="1">
        <f t="shared" si="45"/>
        <v>33166.800000000003</v>
      </c>
      <c r="V36" s="34">
        <f t="shared" si="41"/>
        <v>60805.8</v>
      </c>
      <c r="W36" s="35">
        <f t="shared" si="42"/>
        <v>107485</v>
      </c>
      <c r="X36" s="35">
        <f t="shared" si="43"/>
        <v>0</v>
      </c>
      <c r="Y36" s="35">
        <v>2763.9</v>
      </c>
      <c r="Z36" s="41">
        <f t="shared" si="46"/>
        <v>2684.9314285714286</v>
      </c>
    </row>
    <row r="37" spans="1:26" x14ac:dyDescent="0.2">
      <c r="A37" s="150"/>
      <c r="B37" s="90"/>
      <c r="C37" s="90"/>
      <c r="D37" s="90"/>
      <c r="E37" s="150">
        <f>SUM(E36:E36)</f>
        <v>1</v>
      </c>
      <c r="F37" s="90"/>
      <c r="G37" s="151"/>
      <c r="H37" s="152">
        <f>SUM(H36:H36)</f>
        <v>35000000</v>
      </c>
      <c r="I37" s="152">
        <f>SUM(I36:I36)</f>
        <v>35000000</v>
      </c>
      <c r="J37" s="152"/>
      <c r="K37" s="152"/>
      <c r="L37" s="152"/>
      <c r="M37" s="152"/>
      <c r="N37" s="152">
        <f t="shared" ref="N37:Z37" si="63">SUM(N36:N36)</f>
        <v>1074850</v>
      </c>
      <c r="O37" s="152">
        <f t="shared" si="63"/>
        <v>0</v>
      </c>
      <c r="P37" s="152">
        <f t="shared" si="63"/>
        <v>0</v>
      </c>
      <c r="Q37" s="152">
        <f t="shared" si="63"/>
        <v>1074850</v>
      </c>
      <c r="R37" s="152">
        <f t="shared" si="63"/>
        <v>107485</v>
      </c>
      <c r="S37" s="152">
        <f t="shared" si="63"/>
        <v>967365</v>
      </c>
      <c r="T37" s="152">
        <f t="shared" si="63"/>
        <v>13512.4</v>
      </c>
      <c r="U37" s="152">
        <f t="shared" si="63"/>
        <v>33166.800000000003</v>
      </c>
      <c r="V37" s="152">
        <f t="shared" si="63"/>
        <v>60805.8</v>
      </c>
      <c r="W37" s="152">
        <f t="shared" si="63"/>
        <v>107485</v>
      </c>
      <c r="X37" s="152">
        <f t="shared" si="63"/>
        <v>0</v>
      </c>
      <c r="Y37" s="152">
        <f t="shared" si="63"/>
        <v>2763.9</v>
      </c>
      <c r="Z37" s="152">
        <f t="shared" si="63"/>
        <v>2684.9314285714286</v>
      </c>
    </row>
    <row r="38" spans="1:26" x14ac:dyDescent="0.2">
      <c r="A38" s="74">
        <v>9</v>
      </c>
      <c r="B38" s="107" t="s">
        <v>49</v>
      </c>
      <c r="C38" s="107" t="s">
        <v>108</v>
      </c>
      <c r="D38" s="110">
        <v>44316</v>
      </c>
      <c r="E38" s="74">
        <v>1</v>
      </c>
      <c r="F38" s="107" t="s">
        <v>109</v>
      </c>
      <c r="G38" s="111">
        <v>1</v>
      </c>
      <c r="H38" s="112">
        <v>220000000</v>
      </c>
      <c r="I38" s="112">
        <f>H38*G38</f>
        <v>220000000</v>
      </c>
      <c r="J38" s="110">
        <v>44300</v>
      </c>
      <c r="K38" s="77">
        <f>IFERROR(VALUE(DAY(J38)&amp;" "&amp;TEXT(EOMONTH(J38,L38)-29,"mmm")&amp;" "&amp;YEAR(EOMONTH(J38,L38)-29)),"-")</f>
        <v>47952</v>
      </c>
      <c r="L38" s="107">
        <v>120</v>
      </c>
      <c r="M38" s="99">
        <v>25.48</v>
      </c>
      <c r="N38" s="81">
        <f t="shared" ref="N38:N39" si="64">M38*H38/1000</f>
        <v>5605600</v>
      </c>
      <c r="O38" s="81"/>
      <c r="P38" s="81"/>
      <c r="Q38" s="81">
        <f t="shared" ref="Q38:Q39" si="65">N38+O38+P38</f>
        <v>5605600</v>
      </c>
      <c r="R38" s="81">
        <f t="shared" ref="R38:R39" si="66">10%*N38</f>
        <v>560560</v>
      </c>
      <c r="S38" s="81">
        <f t="shared" ref="S38:S39" si="67">Q38-R38</f>
        <v>5045040</v>
      </c>
      <c r="T38" s="42">
        <f t="shared" ref="T38:T39" si="68">R38*10%+Y38</f>
        <v>60295.529411764706</v>
      </c>
      <c r="U38" s="1">
        <f t="shared" si="45"/>
        <v>50874.352941176476</v>
      </c>
      <c r="V38" s="34">
        <f t="shared" si="41"/>
        <v>449390.1176470588</v>
      </c>
      <c r="W38" s="35">
        <f t="shared" si="42"/>
        <v>560560</v>
      </c>
      <c r="X38" s="35">
        <f t="shared" si="43"/>
        <v>0</v>
      </c>
      <c r="Y38" s="35">
        <v>4239.5294117647063</v>
      </c>
      <c r="Z38" s="41">
        <f t="shared" si="46"/>
        <v>4203.9031141868509</v>
      </c>
    </row>
    <row r="39" spans="1:26" x14ac:dyDescent="0.2">
      <c r="A39" s="74"/>
      <c r="B39" s="107"/>
      <c r="C39" s="107"/>
      <c r="D39" s="110"/>
      <c r="E39" s="74">
        <v>1</v>
      </c>
      <c r="F39" s="107" t="s">
        <v>110</v>
      </c>
      <c r="G39" s="111">
        <v>1</v>
      </c>
      <c r="H39" s="112">
        <v>160000000</v>
      </c>
      <c r="I39" s="112">
        <f>H39*G39</f>
        <v>160000000</v>
      </c>
      <c r="J39" s="110">
        <v>44305</v>
      </c>
      <c r="K39" s="77">
        <f>IFERROR(VALUE(DAY(J39)&amp;" "&amp;TEXT(EOMONTH(J39,L39)-29,"mmm")&amp;" "&amp;YEAR(EOMONTH(J39,L39)-29)),"-")</f>
        <v>45554</v>
      </c>
      <c r="L39" s="107">
        <v>41</v>
      </c>
      <c r="M39" s="99">
        <v>11.38</v>
      </c>
      <c r="N39" s="81">
        <f t="shared" si="64"/>
        <v>1820800.0000000002</v>
      </c>
      <c r="O39" s="81"/>
      <c r="P39" s="81"/>
      <c r="Q39" s="81">
        <f t="shared" si="65"/>
        <v>1820800.0000000002</v>
      </c>
      <c r="R39" s="81">
        <f t="shared" si="66"/>
        <v>182080.00000000003</v>
      </c>
      <c r="S39" s="81">
        <f t="shared" si="67"/>
        <v>1638720.0000000002</v>
      </c>
      <c r="T39" s="42">
        <f t="shared" si="68"/>
        <v>22304.800000000003</v>
      </c>
      <c r="U39" s="1">
        <f t="shared" si="45"/>
        <v>49161.600000000013</v>
      </c>
      <c r="V39" s="34">
        <f t="shared" si="41"/>
        <v>110613.6</v>
      </c>
      <c r="W39" s="35">
        <f t="shared" si="42"/>
        <v>182080.00000000003</v>
      </c>
      <c r="X39" s="35">
        <f t="shared" si="43"/>
        <v>0</v>
      </c>
      <c r="Y39" s="35">
        <v>4096.8000000000011</v>
      </c>
      <c r="Z39" s="41">
        <f t="shared" si="46"/>
        <v>3994.38</v>
      </c>
    </row>
    <row r="40" spans="1:26" x14ac:dyDescent="0.2">
      <c r="A40" s="88"/>
      <c r="B40" s="84"/>
      <c r="C40" s="84"/>
      <c r="D40" s="84"/>
      <c r="E40" s="88">
        <f>SUM(E38:E39)</f>
        <v>2</v>
      </c>
      <c r="F40" s="84"/>
      <c r="G40" s="115"/>
      <c r="H40" s="79">
        <f t="shared" ref="H40:I40" si="69">SUM(H38:H39)</f>
        <v>380000000</v>
      </c>
      <c r="I40" s="79">
        <f t="shared" si="69"/>
        <v>380000000</v>
      </c>
      <c r="J40" s="59"/>
      <c r="K40" s="59"/>
      <c r="L40" s="59"/>
      <c r="M40" s="59"/>
      <c r="N40" s="79">
        <f t="shared" ref="N40:Z40" si="70">SUM(N38:N39)</f>
        <v>7426400</v>
      </c>
      <c r="O40" s="79">
        <f t="shared" si="70"/>
        <v>0</v>
      </c>
      <c r="P40" s="79">
        <f t="shared" si="70"/>
        <v>0</v>
      </c>
      <c r="Q40" s="79">
        <f t="shared" si="70"/>
        <v>7426400</v>
      </c>
      <c r="R40" s="79">
        <f t="shared" si="70"/>
        <v>742640</v>
      </c>
      <c r="S40" s="79">
        <f t="shared" si="70"/>
        <v>6683760</v>
      </c>
      <c r="T40" s="79">
        <f t="shared" si="70"/>
        <v>82600.329411764716</v>
      </c>
      <c r="U40" s="79">
        <f t="shared" si="70"/>
        <v>100035.95294117648</v>
      </c>
      <c r="V40" s="79">
        <f t="shared" si="70"/>
        <v>560003.71764705877</v>
      </c>
      <c r="W40" s="79">
        <f t="shared" si="70"/>
        <v>742640</v>
      </c>
      <c r="X40" s="79">
        <f t="shared" si="70"/>
        <v>0</v>
      </c>
      <c r="Y40" s="79">
        <f t="shared" si="70"/>
        <v>8336.3294117647074</v>
      </c>
      <c r="Z40" s="79">
        <f t="shared" si="70"/>
        <v>8198.2831141868519</v>
      </c>
    </row>
    <row r="41" spans="1:26" x14ac:dyDescent="0.2">
      <c r="A41" s="74">
        <v>10</v>
      </c>
      <c r="B41" s="107" t="s">
        <v>111</v>
      </c>
      <c r="C41" s="107" t="s">
        <v>112</v>
      </c>
      <c r="D41" s="110">
        <v>44316</v>
      </c>
      <c r="E41" s="74">
        <v>1</v>
      </c>
      <c r="F41" s="107" t="s">
        <v>113</v>
      </c>
      <c r="G41" s="111">
        <v>1</v>
      </c>
      <c r="H41" s="112">
        <v>45323679</v>
      </c>
      <c r="I41" s="112">
        <f>H41*G41</f>
        <v>45323679</v>
      </c>
      <c r="J41" s="110">
        <v>45784</v>
      </c>
      <c r="K41" s="77">
        <v>46302</v>
      </c>
      <c r="L41" s="107">
        <v>17</v>
      </c>
      <c r="M41" s="99">
        <v>9.1</v>
      </c>
      <c r="N41" s="81">
        <f t="shared" ref="N41" si="71">M41*H41/1000</f>
        <v>412445.47889999999</v>
      </c>
      <c r="O41" s="81">
        <v>100000</v>
      </c>
      <c r="P41" s="81"/>
      <c r="Q41" s="81">
        <f t="shared" ref="Q41" si="72">N41+O41+P41</f>
        <v>512445.47889999999</v>
      </c>
      <c r="R41" s="81"/>
      <c r="S41" s="81">
        <f t="shared" ref="S41" si="73">Q41-R41</f>
        <v>512445.47889999999</v>
      </c>
      <c r="T41" s="42">
        <f t="shared" si="44"/>
        <v>0</v>
      </c>
      <c r="U41" s="1">
        <f t="shared" si="45"/>
        <v>0</v>
      </c>
      <c r="V41" s="34">
        <f t="shared" si="41"/>
        <v>0</v>
      </c>
      <c r="W41" s="35">
        <f t="shared" si="42"/>
        <v>0</v>
      </c>
      <c r="X41" s="35">
        <f t="shared" si="43"/>
        <v>0</v>
      </c>
      <c r="Y41" s="35">
        <v>0</v>
      </c>
      <c r="Z41" s="41">
        <f t="shared" si="46"/>
        <v>0</v>
      </c>
    </row>
    <row r="42" spans="1:26" x14ac:dyDescent="0.2">
      <c r="A42" s="150"/>
      <c r="B42" s="90"/>
      <c r="C42" s="90"/>
      <c r="D42" s="90"/>
      <c r="E42" s="150"/>
      <c r="F42" s="90"/>
      <c r="G42" s="151"/>
      <c r="H42" s="152"/>
      <c r="I42" s="152"/>
      <c r="J42" s="152"/>
      <c r="K42" s="152"/>
      <c r="L42" s="152"/>
      <c r="M42" s="152"/>
      <c r="N42" s="152">
        <f t="shared" ref="N42:Z42" si="74">SUM(N41:N41)</f>
        <v>412445.47889999999</v>
      </c>
      <c r="O42" s="152">
        <f t="shared" si="74"/>
        <v>100000</v>
      </c>
      <c r="P42" s="152">
        <f t="shared" si="74"/>
        <v>0</v>
      </c>
      <c r="Q42" s="152">
        <f t="shared" si="74"/>
        <v>512445.47889999999</v>
      </c>
      <c r="R42" s="152">
        <f t="shared" si="74"/>
        <v>0</v>
      </c>
      <c r="S42" s="152">
        <f t="shared" si="74"/>
        <v>512445.47889999999</v>
      </c>
      <c r="T42" s="152">
        <f t="shared" si="74"/>
        <v>0</v>
      </c>
      <c r="U42" s="152">
        <f t="shared" si="74"/>
        <v>0</v>
      </c>
      <c r="V42" s="152">
        <f t="shared" si="74"/>
        <v>0</v>
      </c>
      <c r="W42" s="152">
        <f t="shared" si="74"/>
        <v>0</v>
      </c>
      <c r="X42" s="152">
        <f t="shared" si="74"/>
        <v>0</v>
      </c>
      <c r="Y42" s="152">
        <f t="shared" si="74"/>
        <v>0</v>
      </c>
      <c r="Z42" s="152">
        <f t="shared" si="74"/>
        <v>0</v>
      </c>
    </row>
    <row r="43" spans="1:26" x14ac:dyDescent="0.2">
      <c r="A43" s="83"/>
      <c r="B43" s="83"/>
      <c r="C43" s="83" t="s">
        <v>115</v>
      </c>
      <c r="D43" s="84"/>
      <c r="E43" s="85">
        <f>E42+E40+E37+E35+E33+E31</f>
        <v>5</v>
      </c>
      <c r="F43" s="87"/>
      <c r="G43" s="87"/>
      <c r="H43" s="87">
        <f t="shared" ref="H43:Z43" si="75">H42+H40+H37+H35+H33+H31</f>
        <v>533000000</v>
      </c>
      <c r="I43" s="87">
        <f t="shared" si="75"/>
        <v>533000000</v>
      </c>
      <c r="J43" s="87">
        <f t="shared" si="75"/>
        <v>0</v>
      </c>
      <c r="K43" s="87">
        <f t="shared" si="75"/>
        <v>0</v>
      </c>
      <c r="L43" s="87"/>
      <c r="M43" s="87"/>
      <c r="N43" s="87">
        <f t="shared" si="75"/>
        <v>14796238.633820001</v>
      </c>
      <c r="O43" s="87">
        <f t="shared" si="75"/>
        <v>300000</v>
      </c>
      <c r="P43" s="87">
        <f t="shared" si="75"/>
        <v>0</v>
      </c>
      <c r="Q43" s="87">
        <f t="shared" si="75"/>
        <v>15096238.633820001</v>
      </c>
      <c r="R43" s="87">
        <f t="shared" si="75"/>
        <v>1379497</v>
      </c>
      <c r="S43" s="87">
        <f t="shared" si="75"/>
        <v>13716741.633820001</v>
      </c>
      <c r="T43" s="87">
        <f t="shared" si="75"/>
        <v>157182.228003314</v>
      </c>
      <c r="U43" s="87">
        <f t="shared" si="75"/>
        <v>230790.33603976801</v>
      </c>
      <c r="V43" s="87">
        <f t="shared" si="75"/>
        <v>991524.43595691794</v>
      </c>
      <c r="W43" s="87">
        <f t="shared" si="75"/>
        <v>1379497</v>
      </c>
      <c r="X43" s="87">
        <f t="shared" si="75"/>
        <v>0</v>
      </c>
      <c r="Y43" s="87">
        <f t="shared" si="75"/>
        <v>19232.528003314004</v>
      </c>
      <c r="Z43" s="87">
        <f t="shared" si="75"/>
        <v>18860.346594788774</v>
      </c>
    </row>
    <row r="44" spans="1:26" x14ac:dyDescent="0.2">
      <c r="A44" s="83"/>
      <c r="B44" s="83"/>
      <c r="C44" s="83" t="s">
        <v>116</v>
      </c>
      <c r="D44" s="84"/>
      <c r="E44" s="93">
        <f>E43+E24</f>
        <v>8</v>
      </c>
      <c r="F44" s="95"/>
      <c r="G44" s="95"/>
      <c r="H44" s="95">
        <f t="shared" ref="H44:Q44" si="76">H43+H24</f>
        <v>1073000000</v>
      </c>
      <c r="I44" s="95">
        <f t="shared" si="76"/>
        <v>1073000000</v>
      </c>
      <c r="J44" s="95">
        <f t="shared" si="76"/>
        <v>0</v>
      </c>
      <c r="K44" s="95">
        <f t="shared" si="76"/>
        <v>0</v>
      </c>
      <c r="L44" s="95"/>
      <c r="M44" s="95"/>
      <c r="N44" s="95">
        <f t="shared" si="76"/>
        <v>31538238.633820001</v>
      </c>
      <c r="O44" s="95">
        <f t="shared" si="76"/>
        <v>300000</v>
      </c>
      <c r="P44" s="95">
        <f t="shared" si="76"/>
        <v>0</v>
      </c>
      <c r="Q44" s="95">
        <f t="shared" si="76"/>
        <v>31838238.633820001</v>
      </c>
      <c r="R44" s="95">
        <f>R43+R24</f>
        <v>3053697</v>
      </c>
      <c r="S44" s="95">
        <f t="shared" ref="S44:Z44" si="77">S43+S24</f>
        <v>42586941.633819997</v>
      </c>
      <c r="T44" s="95">
        <f t="shared" si="77"/>
        <v>363803.7133421984</v>
      </c>
      <c r="U44" s="95">
        <f t="shared" si="77"/>
        <v>385188.76825268054</v>
      </c>
      <c r="V44" s="95">
        <f t="shared" si="77"/>
        <v>2304704.5184051208</v>
      </c>
      <c r="W44" s="95">
        <f t="shared" si="77"/>
        <v>3053697</v>
      </c>
      <c r="X44" s="95">
        <f t="shared" si="77"/>
        <v>0</v>
      </c>
      <c r="Y44" s="95">
        <f t="shared" si="77"/>
        <v>32099.064021056714</v>
      </c>
      <c r="Z44" s="95">
        <f t="shared" si="77"/>
        <v>31198.886182741087</v>
      </c>
    </row>
    <row r="46" spans="1:26" ht="23.25" x14ac:dyDescent="0.2">
      <c r="A46" s="86" t="s">
        <v>159</v>
      </c>
      <c r="B46" s="62"/>
      <c r="C46" s="62"/>
      <c r="D46" s="57"/>
      <c r="E46" s="63"/>
      <c r="F46" s="64"/>
      <c r="G46" s="65"/>
      <c r="H46" s="66"/>
      <c r="I46" s="66"/>
      <c r="J46" s="67"/>
      <c r="K46" s="67"/>
      <c r="L46" s="68"/>
      <c r="M46" s="68"/>
      <c r="N46" s="69"/>
      <c r="O46" s="69"/>
      <c r="P46" s="69"/>
      <c r="Q46" s="69"/>
      <c r="R46" s="69"/>
      <c r="S46" s="69"/>
      <c r="T46" s="70"/>
      <c r="U46" s="71"/>
      <c r="V46" s="71"/>
    </row>
    <row r="47" spans="1:26" x14ac:dyDescent="0.2">
      <c r="A47" s="231" t="s">
        <v>0</v>
      </c>
      <c r="B47" s="232" t="s">
        <v>1</v>
      </c>
      <c r="C47" s="229" t="s">
        <v>2</v>
      </c>
      <c r="D47" s="233" t="s">
        <v>3</v>
      </c>
      <c r="E47" s="234" t="s">
        <v>4</v>
      </c>
      <c r="F47" s="232" t="s">
        <v>5</v>
      </c>
      <c r="G47" s="235" t="s">
        <v>6</v>
      </c>
      <c r="H47" s="236" t="s">
        <v>7</v>
      </c>
      <c r="I47" s="236" t="s">
        <v>8</v>
      </c>
      <c r="J47" s="227" t="s">
        <v>9</v>
      </c>
      <c r="K47" s="227"/>
      <c r="L47" s="228" t="s">
        <v>10</v>
      </c>
      <c r="M47" s="229" t="s">
        <v>11</v>
      </c>
      <c r="N47" s="230" t="s">
        <v>12</v>
      </c>
      <c r="O47" s="230"/>
      <c r="P47" s="230"/>
      <c r="Q47" s="229" t="s">
        <v>13</v>
      </c>
      <c r="R47" s="229" t="s">
        <v>14</v>
      </c>
      <c r="S47" s="229" t="s">
        <v>15</v>
      </c>
      <c r="T47" s="36">
        <v>2021</v>
      </c>
      <c r="U47" s="37"/>
      <c r="V47" s="38" t="s">
        <v>44</v>
      </c>
    </row>
    <row r="48" spans="1:26" x14ac:dyDescent="0.2">
      <c r="A48" s="231"/>
      <c r="B48" s="232"/>
      <c r="C48" s="229"/>
      <c r="D48" s="233"/>
      <c r="E48" s="234"/>
      <c r="F48" s="232"/>
      <c r="G48" s="235"/>
      <c r="H48" s="236"/>
      <c r="I48" s="236"/>
      <c r="J48" s="227"/>
      <c r="K48" s="227"/>
      <c r="L48" s="228"/>
      <c r="M48" s="229"/>
      <c r="N48" s="173" t="s">
        <v>16</v>
      </c>
      <c r="O48" s="173" t="s">
        <v>17</v>
      </c>
      <c r="P48" s="173" t="s">
        <v>18</v>
      </c>
      <c r="Q48" s="229"/>
      <c r="R48" s="229"/>
      <c r="S48" s="229"/>
      <c r="T48" s="96" t="s">
        <v>153</v>
      </c>
      <c r="U48" s="39" t="s">
        <v>150</v>
      </c>
      <c r="V48" s="40"/>
    </row>
    <row r="49" spans="1:26" ht="12.75" x14ac:dyDescent="0.2">
      <c r="A49" s="154">
        <v>11</v>
      </c>
      <c r="B49" s="155" t="s">
        <v>122</v>
      </c>
      <c r="C49" s="155" t="s">
        <v>123</v>
      </c>
      <c r="D49" s="156">
        <v>44334</v>
      </c>
      <c r="E49" s="154">
        <v>1</v>
      </c>
      <c r="F49" s="155" t="s">
        <v>124</v>
      </c>
      <c r="G49" s="111">
        <v>1</v>
      </c>
      <c r="H49" s="112">
        <v>30000000</v>
      </c>
      <c r="I49" s="112">
        <f>H49*G49</f>
        <v>30000000</v>
      </c>
      <c r="J49" s="110">
        <v>44257</v>
      </c>
      <c r="K49" s="77">
        <f>IFERROR(VALUE(DAY(J49)&amp;" "&amp;TEXT(EOMONTH(J49,L49)-29,"mmm")&amp;" "&amp;YEAR(EOMONTH(J49,L49)-29)),"-")</f>
        <v>44987</v>
      </c>
      <c r="L49" s="107">
        <v>24</v>
      </c>
      <c r="M49" s="99">
        <v>10.57</v>
      </c>
      <c r="N49" s="81">
        <f t="shared" ref="N49" si="78">M49*H49/1000</f>
        <v>317100</v>
      </c>
      <c r="O49" s="81"/>
      <c r="P49" s="81"/>
      <c r="Q49" s="81">
        <f t="shared" ref="Q49" si="79">N49+O49+P49</f>
        <v>317100</v>
      </c>
      <c r="R49" s="81">
        <f t="shared" ref="R49" si="80">10%*N49</f>
        <v>31710</v>
      </c>
      <c r="S49" s="81">
        <f t="shared" ref="S49" si="81">Q49-R49</f>
        <v>285390</v>
      </c>
      <c r="T49" s="42">
        <f>R49*10%</f>
        <v>3171</v>
      </c>
      <c r="U49" s="1">
        <f t="shared" ref="U49" si="82">Y49*12</f>
        <v>14889.91304347826</v>
      </c>
      <c r="V49" s="34">
        <f t="shared" ref="V49" si="83">R49-T49-U49</f>
        <v>13649.08695652174</v>
      </c>
      <c r="W49" s="35">
        <f t="shared" ref="W49" si="84">T49+U49+V49</f>
        <v>31710</v>
      </c>
      <c r="X49" s="35">
        <f t="shared" ref="X49" si="85">R49-W49</f>
        <v>0</v>
      </c>
      <c r="Y49" s="35">
        <v>1240.8260869565217</v>
      </c>
      <c r="Z49" s="41">
        <f t="shared" ref="Z49" si="86">(R49-T49)/(L49-1)</f>
        <v>1240.8260869565217</v>
      </c>
    </row>
    <row r="50" spans="1:26" ht="12.75" x14ac:dyDescent="0.2">
      <c r="A50" s="159"/>
      <c r="B50" s="160"/>
      <c r="C50" s="160"/>
      <c r="D50" s="160"/>
      <c r="E50" s="159">
        <f>SUM(E49)</f>
        <v>1</v>
      </c>
      <c r="F50" s="160"/>
      <c r="G50" s="161"/>
      <c r="H50" s="162">
        <f>SUM(H49)</f>
        <v>30000000</v>
      </c>
      <c r="I50" s="162">
        <f>SUM(I49)</f>
        <v>30000000</v>
      </c>
      <c r="J50" s="162"/>
      <c r="K50" s="162"/>
      <c r="L50" s="162"/>
      <c r="M50" s="162"/>
      <c r="N50" s="162">
        <f t="shared" ref="N50:Z50" si="87">SUM(N49)</f>
        <v>317100</v>
      </c>
      <c r="O50" s="162">
        <f t="shared" si="87"/>
        <v>0</v>
      </c>
      <c r="P50" s="162">
        <f t="shared" si="87"/>
        <v>0</v>
      </c>
      <c r="Q50" s="162">
        <f t="shared" si="87"/>
        <v>317100</v>
      </c>
      <c r="R50" s="162">
        <f t="shared" si="87"/>
        <v>31710</v>
      </c>
      <c r="S50" s="162">
        <f t="shared" si="87"/>
        <v>285390</v>
      </c>
      <c r="T50" s="162">
        <f t="shared" si="87"/>
        <v>3171</v>
      </c>
      <c r="U50" s="162">
        <f t="shared" si="87"/>
        <v>14889.91304347826</v>
      </c>
      <c r="V50" s="162">
        <f t="shared" si="87"/>
        <v>13649.08695652174</v>
      </c>
      <c r="W50" s="162">
        <f t="shared" si="87"/>
        <v>31710</v>
      </c>
      <c r="X50" s="162">
        <f t="shared" si="87"/>
        <v>0</v>
      </c>
      <c r="Y50" s="162">
        <f t="shared" si="87"/>
        <v>1240.8260869565217</v>
      </c>
      <c r="Z50" s="162">
        <f t="shared" si="87"/>
        <v>1240.8260869565217</v>
      </c>
    </row>
    <row r="51" spans="1:26" x14ac:dyDescent="0.2">
      <c r="A51" s="74">
        <v>12</v>
      </c>
      <c r="B51" s="107" t="s">
        <v>111</v>
      </c>
      <c r="C51" s="107" t="s">
        <v>125</v>
      </c>
      <c r="D51" s="110">
        <v>44336</v>
      </c>
      <c r="E51" s="74">
        <v>1</v>
      </c>
      <c r="F51" s="107" t="s">
        <v>126</v>
      </c>
      <c r="G51" s="111">
        <v>1</v>
      </c>
      <c r="H51" s="112">
        <v>69230850</v>
      </c>
      <c r="I51" s="112">
        <f>H51*G51</f>
        <v>69230850</v>
      </c>
      <c r="J51" s="110">
        <v>44315</v>
      </c>
      <c r="K51" s="77">
        <f>IFERROR(VALUE(DAY(J51)&amp;" "&amp;TEXT(EOMONTH(J51,L51)-29,"mmm")&amp;" "&amp;YEAR(EOMONTH(J51,L51)-29)),"-")</f>
        <v>45686</v>
      </c>
      <c r="L51" s="107">
        <v>45</v>
      </c>
      <c r="M51" s="99">
        <v>15.93</v>
      </c>
      <c r="N51" s="81">
        <f t="shared" ref="N51:N52" si="88">M51*H51/1000</f>
        <v>1102847.4405</v>
      </c>
      <c r="O51" s="81"/>
      <c r="P51" s="81"/>
      <c r="Q51" s="81">
        <f t="shared" ref="Q51:Q52" si="89">N51+O51+P51</f>
        <v>1102847.4405</v>
      </c>
      <c r="R51" s="81">
        <f t="shared" ref="R51:R52" si="90">10%*N51</f>
        <v>110284.74405000001</v>
      </c>
      <c r="S51" s="81">
        <f t="shared" ref="S51:S52" si="91">Q51-R51</f>
        <v>992562.69645000005</v>
      </c>
      <c r="T51" s="42"/>
      <c r="U51" s="1"/>
      <c r="V51" s="34"/>
      <c r="W51" s="35"/>
      <c r="X51" s="35"/>
      <c r="Y51" s="35"/>
      <c r="Z51" s="41"/>
    </row>
    <row r="52" spans="1:26" x14ac:dyDescent="0.2">
      <c r="A52" s="74"/>
      <c r="B52" s="107"/>
      <c r="C52" s="107"/>
      <c r="D52" s="110"/>
      <c r="E52" s="74">
        <v>1</v>
      </c>
      <c r="F52" s="107" t="s">
        <v>127</v>
      </c>
      <c r="G52" s="111">
        <v>1</v>
      </c>
      <c r="H52" s="112">
        <v>82219772</v>
      </c>
      <c r="I52" s="112">
        <f>H52*G52</f>
        <v>82219772</v>
      </c>
      <c r="J52" s="110">
        <v>44307</v>
      </c>
      <c r="K52" s="77">
        <f>IFERROR(VALUE(DAY(J52)&amp;" "&amp;TEXT(EOMONTH(J52,L52)-29,"mmm")&amp;" "&amp;YEAR(EOMONTH(J52,L52)-29)),"-")</f>
        <v>46742</v>
      </c>
      <c r="L52" s="107">
        <v>80</v>
      </c>
      <c r="M52" s="99">
        <v>25.48</v>
      </c>
      <c r="N52" s="81">
        <f t="shared" si="88"/>
        <v>2094959.7905599999</v>
      </c>
      <c r="O52" s="81"/>
      <c r="P52" s="81"/>
      <c r="Q52" s="81">
        <f t="shared" si="89"/>
        <v>2094959.7905599999</v>
      </c>
      <c r="R52" s="81">
        <f t="shared" si="90"/>
        <v>209495.97905600001</v>
      </c>
      <c r="S52" s="81">
        <f t="shared" si="91"/>
        <v>1885463.8115039999</v>
      </c>
      <c r="T52" s="42"/>
      <c r="U52" s="1"/>
      <c r="V52" s="34"/>
      <c r="W52" s="35"/>
      <c r="X52" s="35"/>
      <c r="Y52" s="35"/>
      <c r="Z52" s="41"/>
    </row>
    <row r="53" spans="1:26" x14ac:dyDescent="0.2">
      <c r="A53" s="88"/>
      <c r="B53" s="84"/>
      <c r="C53" s="84"/>
      <c r="D53" s="84"/>
      <c r="E53" s="88">
        <f>SUM(E51:E52)</f>
        <v>2</v>
      </c>
      <c r="F53" s="84"/>
      <c r="G53" s="115"/>
      <c r="H53" s="79">
        <f t="shared" ref="H53:I53" si="92">SUM(H51:H52)</f>
        <v>151450622</v>
      </c>
      <c r="I53" s="79">
        <f t="shared" si="92"/>
        <v>151450622</v>
      </c>
      <c r="J53" s="59"/>
      <c r="K53" s="59"/>
      <c r="L53" s="59"/>
      <c r="M53" s="59"/>
      <c r="N53" s="79">
        <f t="shared" ref="N53:Z53" si="93">SUM(N51:N52)</f>
        <v>3197807.2310600001</v>
      </c>
      <c r="O53" s="79">
        <f t="shared" si="93"/>
        <v>0</v>
      </c>
      <c r="P53" s="79">
        <f t="shared" si="93"/>
        <v>0</v>
      </c>
      <c r="Q53" s="79">
        <f t="shared" si="93"/>
        <v>3197807.2310600001</v>
      </c>
      <c r="R53" s="79"/>
      <c r="S53" s="79">
        <f t="shared" si="93"/>
        <v>2878026.507954</v>
      </c>
      <c r="T53" s="79">
        <f t="shared" si="93"/>
        <v>0</v>
      </c>
      <c r="U53" s="79">
        <f t="shared" si="93"/>
        <v>0</v>
      </c>
      <c r="V53" s="79">
        <f t="shared" si="93"/>
        <v>0</v>
      </c>
      <c r="W53" s="79">
        <f t="shared" si="93"/>
        <v>0</v>
      </c>
      <c r="X53" s="79">
        <f t="shared" si="93"/>
        <v>0</v>
      </c>
      <c r="Y53" s="79">
        <f t="shared" si="93"/>
        <v>0</v>
      </c>
      <c r="Z53" s="79">
        <f t="shared" si="93"/>
        <v>0</v>
      </c>
    </row>
    <row r="54" spans="1:26" ht="12.75" x14ac:dyDescent="0.2">
      <c r="A54" s="154">
        <v>13</v>
      </c>
      <c r="B54" s="155" t="s">
        <v>128</v>
      </c>
      <c r="C54" s="155" t="s">
        <v>129</v>
      </c>
      <c r="D54" s="156">
        <v>44347</v>
      </c>
      <c r="E54" s="154">
        <v>1</v>
      </c>
      <c r="F54" s="155" t="s">
        <v>130</v>
      </c>
      <c r="G54" s="111">
        <v>1</v>
      </c>
      <c r="H54" s="112">
        <v>1000000000</v>
      </c>
      <c r="I54" s="112">
        <f>H54*G54</f>
        <v>1000000000</v>
      </c>
      <c r="J54" s="110">
        <v>44327</v>
      </c>
      <c r="K54" s="77">
        <f>IFERROR(VALUE(DAY(J54)&amp;" "&amp;TEXT(EOMONTH(J54,L54)-29,"mmm")&amp;" "&amp;YEAR(EOMONTH(J54,L54)-29)),"-")</f>
        <v>45241</v>
      </c>
      <c r="L54" s="107">
        <v>30</v>
      </c>
      <c r="M54" s="99">
        <v>30.71</v>
      </c>
      <c r="N54" s="81">
        <f t="shared" ref="N54" si="94">M54*H54/1000</f>
        <v>30710000</v>
      </c>
      <c r="O54" s="81"/>
      <c r="P54" s="81"/>
      <c r="Q54" s="81">
        <f t="shared" ref="Q54" si="95">N54+O54+P54</f>
        <v>30710000</v>
      </c>
      <c r="R54" s="81">
        <f t="shared" ref="R54" si="96">10%*N54</f>
        <v>3071000</v>
      </c>
      <c r="S54" s="81">
        <f t="shared" ref="S54" si="97">Q54-R54</f>
        <v>27639000</v>
      </c>
      <c r="T54" s="42">
        <f t="shared" ref="T54:T72" si="98">R54*10%</f>
        <v>307100</v>
      </c>
      <c r="U54" s="1">
        <f t="shared" ref="U54:U72" si="99">Y54*12</f>
        <v>1143682.7586206896</v>
      </c>
      <c r="V54" s="34">
        <f t="shared" ref="V54:V72" si="100">R54-T54-U54</f>
        <v>1620217.2413793104</v>
      </c>
      <c r="W54" s="35">
        <f t="shared" ref="W54:W72" si="101">T54+U54+V54</f>
        <v>3071000</v>
      </c>
      <c r="X54" s="35">
        <f t="shared" ref="X54:X72" si="102">R54-W54</f>
        <v>0</v>
      </c>
      <c r="Y54" s="35">
        <v>95306.896551724145</v>
      </c>
      <c r="Z54" s="41">
        <f t="shared" ref="Z54:Z72" si="103">(R54-T54)/(L54-1)</f>
        <v>95306.896551724145</v>
      </c>
    </row>
    <row r="55" spans="1:26" ht="12.75" x14ac:dyDescent="0.2">
      <c r="A55" s="159"/>
      <c r="B55" s="160"/>
      <c r="C55" s="160"/>
      <c r="D55" s="160"/>
      <c r="E55" s="159">
        <f>SUM(E54)</f>
        <v>1</v>
      </c>
      <c r="F55" s="160"/>
      <c r="G55" s="161"/>
      <c r="H55" s="162">
        <f>SUM(H54)</f>
        <v>1000000000</v>
      </c>
      <c r="I55" s="162">
        <f>SUM(I54)</f>
        <v>1000000000</v>
      </c>
      <c r="J55" s="162"/>
      <c r="K55" s="162"/>
      <c r="L55" s="162"/>
      <c r="M55" s="162"/>
      <c r="N55" s="162">
        <f t="shared" ref="N55:Z55" si="104">SUM(N54)</f>
        <v>30710000</v>
      </c>
      <c r="O55" s="162">
        <f t="shared" si="104"/>
        <v>0</v>
      </c>
      <c r="P55" s="162">
        <f t="shared" si="104"/>
        <v>0</v>
      </c>
      <c r="Q55" s="162">
        <f t="shared" si="104"/>
        <v>30710000</v>
      </c>
      <c r="R55" s="162">
        <f t="shared" si="104"/>
        <v>3071000</v>
      </c>
      <c r="S55" s="162">
        <f t="shared" si="104"/>
        <v>27639000</v>
      </c>
      <c r="T55" s="162">
        <f t="shared" si="104"/>
        <v>307100</v>
      </c>
      <c r="U55" s="162">
        <f t="shared" si="104"/>
        <v>1143682.7586206896</v>
      </c>
      <c r="V55" s="162">
        <f t="shared" si="104"/>
        <v>1620217.2413793104</v>
      </c>
      <c r="W55" s="162">
        <f t="shared" si="104"/>
        <v>3071000</v>
      </c>
      <c r="X55" s="162">
        <f t="shared" si="104"/>
        <v>0</v>
      </c>
      <c r="Y55" s="162">
        <f t="shared" si="104"/>
        <v>95306.896551724145</v>
      </c>
      <c r="Z55" s="162">
        <f t="shared" si="104"/>
        <v>95306.896551724145</v>
      </c>
    </row>
    <row r="56" spans="1:26" ht="12.75" x14ac:dyDescent="0.2">
      <c r="A56" s="154">
        <v>14</v>
      </c>
      <c r="B56" s="155" t="s">
        <v>128</v>
      </c>
      <c r="C56" s="155" t="s">
        <v>131</v>
      </c>
      <c r="D56" s="156">
        <v>44347</v>
      </c>
      <c r="E56" s="154">
        <v>1</v>
      </c>
      <c r="F56" s="155" t="s">
        <v>132</v>
      </c>
      <c r="G56" s="111">
        <v>1</v>
      </c>
      <c r="H56" s="112">
        <v>170000000</v>
      </c>
      <c r="I56" s="112">
        <f>H56*G56</f>
        <v>170000000</v>
      </c>
      <c r="J56" s="110">
        <v>44319</v>
      </c>
      <c r="K56" s="77">
        <f>IFERROR(VALUE(DAY(J56)&amp;" "&amp;TEXT(EOMONTH(J56,L56)-29,"mmm")&amp;" "&amp;YEAR(EOMONTH(J56,L56)-29)),"-")</f>
        <v>46145</v>
      </c>
      <c r="L56" s="107">
        <v>60</v>
      </c>
      <c r="M56" s="169">
        <v>13.65</v>
      </c>
      <c r="N56" s="81">
        <f t="shared" ref="N56:N69" si="105">M56*H56/1000</f>
        <v>2320500</v>
      </c>
      <c r="O56" s="81"/>
      <c r="P56" s="81"/>
      <c r="Q56" s="81">
        <f t="shared" ref="Q56:Q69" si="106">N56+O56+P56</f>
        <v>2320500</v>
      </c>
      <c r="R56" s="81">
        <f t="shared" ref="R56:R69" si="107">10%*N56</f>
        <v>232050</v>
      </c>
      <c r="S56" s="81">
        <f t="shared" ref="S56:S69" si="108">Q56-R56</f>
        <v>2088450</v>
      </c>
      <c r="T56" s="42">
        <f t="shared" si="98"/>
        <v>23205</v>
      </c>
      <c r="U56" s="1">
        <f t="shared" si="99"/>
        <v>42476.949152542373</v>
      </c>
      <c r="V56" s="34">
        <f t="shared" si="100"/>
        <v>166368.05084745763</v>
      </c>
      <c r="W56" s="35">
        <f t="shared" si="101"/>
        <v>232050</v>
      </c>
      <c r="X56" s="35">
        <f t="shared" si="102"/>
        <v>0</v>
      </c>
      <c r="Y56" s="35">
        <v>3539.7457627118642</v>
      </c>
      <c r="Z56" s="41">
        <f t="shared" si="103"/>
        <v>3539.7457627118642</v>
      </c>
    </row>
    <row r="57" spans="1:26" ht="12.75" x14ac:dyDescent="0.2">
      <c r="A57" s="164"/>
      <c r="B57" s="165"/>
      <c r="C57" s="165"/>
      <c r="D57" s="165"/>
      <c r="E57" s="154">
        <v>1</v>
      </c>
      <c r="F57" s="155" t="s">
        <v>133</v>
      </c>
      <c r="G57" s="111">
        <v>1</v>
      </c>
      <c r="H57" s="112">
        <v>250000000</v>
      </c>
      <c r="I57" s="112">
        <f t="shared" ref="I57:I69" si="109">H57*G57</f>
        <v>250000000</v>
      </c>
      <c r="J57" s="110">
        <v>44320</v>
      </c>
      <c r="K57" s="77">
        <f t="shared" ref="K57:K69" si="110">IFERROR(VALUE(DAY(J57)&amp;" "&amp;TEXT(EOMONTH(J57,L57)-29,"mmm")&amp;" "&amp;YEAR(EOMONTH(J57,L57)-29)),"-")</f>
        <v>45781</v>
      </c>
      <c r="L57" s="107">
        <v>48</v>
      </c>
      <c r="M57" s="169">
        <v>11.38</v>
      </c>
      <c r="N57" s="81">
        <f t="shared" si="105"/>
        <v>2845000</v>
      </c>
      <c r="O57" s="81"/>
      <c r="P57" s="81"/>
      <c r="Q57" s="81">
        <f t="shared" si="106"/>
        <v>2845000</v>
      </c>
      <c r="R57" s="81">
        <f t="shared" si="107"/>
        <v>284500</v>
      </c>
      <c r="S57" s="81">
        <f t="shared" si="108"/>
        <v>2560500</v>
      </c>
      <c r="T57" s="42">
        <f t="shared" si="98"/>
        <v>28450</v>
      </c>
      <c r="U57" s="1">
        <f t="shared" si="99"/>
        <v>65374.468085106375</v>
      </c>
      <c r="V57" s="34">
        <f t="shared" si="100"/>
        <v>190675.53191489363</v>
      </c>
      <c r="W57" s="35">
        <f t="shared" si="101"/>
        <v>284500</v>
      </c>
      <c r="X57" s="35">
        <f t="shared" si="102"/>
        <v>0</v>
      </c>
      <c r="Y57" s="35">
        <v>5447.8723404255315</v>
      </c>
      <c r="Z57" s="41">
        <f t="shared" si="103"/>
        <v>5447.8723404255315</v>
      </c>
    </row>
    <row r="58" spans="1:26" ht="12.75" x14ac:dyDescent="0.2">
      <c r="A58" s="166"/>
      <c r="B58" s="166"/>
      <c r="C58" s="166"/>
      <c r="D58" s="167"/>
      <c r="E58" s="154">
        <v>1</v>
      </c>
      <c r="F58" s="155" t="s">
        <v>134</v>
      </c>
      <c r="G58" s="111">
        <v>1</v>
      </c>
      <c r="H58" s="112">
        <v>315000000</v>
      </c>
      <c r="I58" s="112">
        <f t="shared" si="109"/>
        <v>315000000</v>
      </c>
      <c r="J58" s="110">
        <v>44319</v>
      </c>
      <c r="K58" s="77">
        <f t="shared" si="110"/>
        <v>49798</v>
      </c>
      <c r="L58" s="107">
        <v>180</v>
      </c>
      <c r="M58" s="169">
        <v>37.520000000000003</v>
      </c>
      <c r="N58" s="81">
        <f t="shared" si="105"/>
        <v>11818800.000000002</v>
      </c>
      <c r="O58" s="81"/>
      <c r="P58" s="81"/>
      <c r="Q58" s="81">
        <f t="shared" si="106"/>
        <v>11818800.000000002</v>
      </c>
      <c r="R58" s="81">
        <f t="shared" si="107"/>
        <v>1181880.0000000002</v>
      </c>
      <c r="S58" s="81">
        <f t="shared" si="108"/>
        <v>10636920.000000002</v>
      </c>
      <c r="T58" s="42">
        <f t="shared" si="98"/>
        <v>118188.00000000003</v>
      </c>
      <c r="U58" s="1">
        <f t="shared" si="99"/>
        <v>71308.960893854761</v>
      </c>
      <c r="V58" s="34">
        <f t="shared" si="100"/>
        <v>992383.0391061455</v>
      </c>
      <c r="W58" s="35">
        <f t="shared" si="101"/>
        <v>1181880.0000000002</v>
      </c>
      <c r="X58" s="35">
        <f t="shared" si="102"/>
        <v>0</v>
      </c>
      <c r="Y58" s="35">
        <v>5942.4134078212301</v>
      </c>
      <c r="Z58" s="41">
        <f t="shared" si="103"/>
        <v>5942.4134078212301</v>
      </c>
    </row>
    <row r="59" spans="1:26" ht="12.75" x14ac:dyDescent="0.2">
      <c r="A59" s="168"/>
      <c r="B59" s="168"/>
      <c r="C59" s="168"/>
      <c r="D59" s="107"/>
      <c r="E59" s="154">
        <v>1</v>
      </c>
      <c r="F59" s="155" t="s">
        <v>135</v>
      </c>
      <c r="G59" s="111">
        <v>1</v>
      </c>
      <c r="H59" s="112">
        <v>315000000</v>
      </c>
      <c r="I59" s="112">
        <f t="shared" si="109"/>
        <v>315000000</v>
      </c>
      <c r="J59" s="110">
        <v>44320</v>
      </c>
      <c r="K59" s="77">
        <f t="shared" si="110"/>
        <v>49799</v>
      </c>
      <c r="L59" s="107">
        <v>180</v>
      </c>
      <c r="M59" s="169">
        <v>37.520000000000003</v>
      </c>
      <c r="N59" s="81">
        <f t="shared" si="105"/>
        <v>11818800.000000002</v>
      </c>
      <c r="O59" s="81"/>
      <c r="P59" s="81"/>
      <c r="Q59" s="81">
        <f t="shared" si="106"/>
        <v>11818800.000000002</v>
      </c>
      <c r="R59" s="81">
        <f t="shared" si="107"/>
        <v>1181880.0000000002</v>
      </c>
      <c r="S59" s="81">
        <f t="shared" si="108"/>
        <v>10636920.000000002</v>
      </c>
      <c r="T59" s="42">
        <f t="shared" si="98"/>
        <v>118188.00000000003</v>
      </c>
      <c r="U59" s="1">
        <f t="shared" si="99"/>
        <v>71308.960893854761</v>
      </c>
      <c r="V59" s="34">
        <f t="shared" si="100"/>
        <v>992383.0391061455</v>
      </c>
      <c r="W59" s="35">
        <f t="shared" si="101"/>
        <v>1181880.0000000002</v>
      </c>
      <c r="X59" s="35">
        <f t="shared" si="102"/>
        <v>0</v>
      </c>
      <c r="Y59" s="35">
        <v>5942.4134078212301</v>
      </c>
      <c r="Z59" s="41">
        <f t="shared" si="103"/>
        <v>5942.4134078212301</v>
      </c>
    </row>
    <row r="60" spans="1:26" ht="12.75" x14ac:dyDescent="0.2">
      <c r="A60" s="168"/>
      <c r="B60" s="168"/>
      <c r="C60" s="168"/>
      <c r="D60" s="107"/>
      <c r="E60" s="154">
        <v>1</v>
      </c>
      <c r="F60" s="155" t="s">
        <v>136</v>
      </c>
      <c r="G60" s="111">
        <v>1</v>
      </c>
      <c r="H60" s="112">
        <v>250000000</v>
      </c>
      <c r="I60" s="112">
        <f t="shared" si="109"/>
        <v>250000000</v>
      </c>
      <c r="J60" s="110">
        <v>44320</v>
      </c>
      <c r="K60" s="77">
        <f t="shared" si="110"/>
        <v>47972</v>
      </c>
      <c r="L60" s="107">
        <v>120</v>
      </c>
      <c r="M60" s="169">
        <v>25.48</v>
      </c>
      <c r="N60" s="81">
        <f t="shared" si="105"/>
        <v>6370000</v>
      </c>
      <c r="O60" s="81"/>
      <c r="P60" s="81"/>
      <c r="Q60" s="81">
        <f t="shared" si="106"/>
        <v>6370000</v>
      </c>
      <c r="R60" s="81">
        <f t="shared" si="107"/>
        <v>637000</v>
      </c>
      <c r="S60" s="81">
        <f t="shared" si="108"/>
        <v>5733000</v>
      </c>
      <c r="T60" s="42">
        <f t="shared" si="98"/>
        <v>63700</v>
      </c>
      <c r="U60" s="1">
        <f t="shared" si="99"/>
        <v>57811.764705882357</v>
      </c>
      <c r="V60" s="34">
        <f t="shared" si="100"/>
        <v>515488.23529411765</v>
      </c>
      <c r="W60" s="35">
        <f t="shared" si="101"/>
        <v>637000</v>
      </c>
      <c r="X60" s="35">
        <f t="shared" si="102"/>
        <v>0</v>
      </c>
      <c r="Y60" s="35">
        <v>4817.6470588235297</v>
      </c>
      <c r="Z60" s="41">
        <f t="shared" si="103"/>
        <v>4817.6470588235297</v>
      </c>
    </row>
    <row r="61" spans="1:26" ht="12.75" x14ac:dyDescent="0.2">
      <c r="A61" s="168"/>
      <c r="B61" s="168"/>
      <c r="C61" s="168"/>
      <c r="D61" s="107"/>
      <c r="E61" s="154">
        <v>1</v>
      </c>
      <c r="F61" s="155" t="s">
        <v>137</v>
      </c>
      <c r="G61" s="111">
        <v>1</v>
      </c>
      <c r="H61" s="112">
        <v>450000000</v>
      </c>
      <c r="I61" s="112">
        <f t="shared" si="109"/>
        <v>450000000</v>
      </c>
      <c r="J61" s="110">
        <v>44320</v>
      </c>
      <c r="K61" s="77">
        <f t="shared" si="110"/>
        <v>49799</v>
      </c>
      <c r="L61" s="107">
        <v>180</v>
      </c>
      <c r="M61" s="169">
        <v>37.520000000000003</v>
      </c>
      <c r="N61" s="81">
        <f t="shared" si="105"/>
        <v>16884000.000000004</v>
      </c>
      <c r="O61" s="81"/>
      <c r="P61" s="81"/>
      <c r="Q61" s="81">
        <f t="shared" si="106"/>
        <v>16884000.000000004</v>
      </c>
      <c r="R61" s="81">
        <f t="shared" si="107"/>
        <v>1688400.0000000005</v>
      </c>
      <c r="S61" s="81">
        <f t="shared" si="108"/>
        <v>15195600.000000004</v>
      </c>
      <c r="T61" s="42">
        <f t="shared" si="98"/>
        <v>168840.00000000006</v>
      </c>
      <c r="U61" s="1">
        <f t="shared" si="99"/>
        <v>101869.94413407824</v>
      </c>
      <c r="V61" s="34">
        <f t="shared" si="100"/>
        <v>1417690.0558659222</v>
      </c>
      <c r="W61" s="35">
        <f t="shared" si="101"/>
        <v>1688400.0000000005</v>
      </c>
      <c r="X61" s="35">
        <f t="shared" si="102"/>
        <v>0</v>
      </c>
      <c r="Y61" s="35">
        <v>8489.1620111731863</v>
      </c>
      <c r="Z61" s="41">
        <f t="shared" si="103"/>
        <v>8489.1620111731863</v>
      </c>
    </row>
    <row r="62" spans="1:26" ht="12.75" x14ac:dyDescent="0.2">
      <c r="A62" s="168"/>
      <c r="B62" s="168"/>
      <c r="C62" s="168"/>
      <c r="D62" s="107"/>
      <c r="E62" s="154">
        <v>1</v>
      </c>
      <c r="F62" s="155" t="s">
        <v>138</v>
      </c>
      <c r="G62" s="111">
        <v>1</v>
      </c>
      <c r="H62" s="112">
        <v>340000000</v>
      </c>
      <c r="I62" s="112">
        <f t="shared" si="109"/>
        <v>340000000</v>
      </c>
      <c r="J62" s="110">
        <v>44320</v>
      </c>
      <c r="K62" s="77">
        <f t="shared" si="110"/>
        <v>49799</v>
      </c>
      <c r="L62" s="107">
        <v>180</v>
      </c>
      <c r="M62" s="169">
        <v>37.520000000000003</v>
      </c>
      <c r="N62" s="81">
        <f t="shared" si="105"/>
        <v>12756800.000000002</v>
      </c>
      <c r="O62" s="81"/>
      <c r="P62" s="81"/>
      <c r="Q62" s="81">
        <f t="shared" si="106"/>
        <v>12756800.000000002</v>
      </c>
      <c r="R62" s="81">
        <f t="shared" si="107"/>
        <v>1275680.0000000002</v>
      </c>
      <c r="S62" s="81">
        <f t="shared" si="108"/>
        <v>11481120.000000002</v>
      </c>
      <c r="T62" s="42">
        <f t="shared" si="98"/>
        <v>127568.00000000003</v>
      </c>
      <c r="U62" s="1">
        <f t="shared" si="99"/>
        <v>76968.402234636887</v>
      </c>
      <c r="V62" s="34">
        <f t="shared" si="100"/>
        <v>1071143.5977653633</v>
      </c>
      <c r="W62" s="35">
        <f t="shared" si="101"/>
        <v>1275680.0000000002</v>
      </c>
      <c r="X62" s="35">
        <f t="shared" si="102"/>
        <v>0</v>
      </c>
      <c r="Y62" s="35">
        <v>6414.0335195530743</v>
      </c>
      <c r="Z62" s="41">
        <f t="shared" si="103"/>
        <v>6414.0335195530743</v>
      </c>
    </row>
    <row r="63" spans="1:26" ht="12.75" x14ac:dyDescent="0.2">
      <c r="A63" s="168"/>
      <c r="B63" s="168"/>
      <c r="C63" s="168"/>
      <c r="D63" s="107"/>
      <c r="E63" s="154">
        <v>1</v>
      </c>
      <c r="F63" s="155" t="s">
        <v>139</v>
      </c>
      <c r="G63" s="111">
        <v>1</v>
      </c>
      <c r="H63" s="112">
        <v>30000000</v>
      </c>
      <c r="I63" s="112">
        <f t="shared" si="109"/>
        <v>30000000</v>
      </c>
      <c r="J63" s="110">
        <v>44321</v>
      </c>
      <c r="K63" s="77">
        <f t="shared" si="110"/>
        <v>45417</v>
      </c>
      <c r="L63" s="107">
        <v>36</v>
      </c>
      <c r="M63" s="169">
        <v>17.88</v>
      </c>
      <c r="N63" s="81">
        <f t="shared" si="105"/>
        <v>536399.99999999988</v>
      </c>
      <c r="O63" s="81"/>
      <c r="P63" s="81"/>
      <c r="Q63" s="81">
        <f t="shared" si="106"/>
        <v>536399.99999999988</v>
      </c>
      <c r="R63" s="81">
        <f t="shared" si="107"/>
        <v>53639.999999999993</v>
      </c>
      <c r="S63" s="81">
        <f t="shared" si="108"/>
        <v>482759.99999999988</v>
      </c>
      <c r="T63" s="42">
        <f t="shared" si="98"/>
        <v>5364</v>
      </c>
      <c r="U63" s="1">
        <f t="shared" si="99"/>
        <v>16551.771428571425</v>
      </c>
      <c r="V63" s="34">
        <f t="shared" si="100"/>
        <v>31724.228571428568</v>
      </c>
      <c r="W63" s="35">
        <f t="shared" si="101"/>
        <v>53639.999999999993</v>
      </c>
      <c r="X63" s="35">
        <f t="shared" si="102"/>
        <v>0</v>
      </c>
      <c r="Y63" s="35">
        <v>1379.3142857142855</v>
      </c>
      <c r="Z63" s="41">
        <f t="shared" si="103"/>
        <v>1379.3142857142855</v>
      </c>
    </row>
    <row r="64" spans="1:26" ht="12.75" x14ac:dyDescent="0.2">
      <c r="A64" s="168"/>
      <c r="B64" s="168"/>
      <c r="C64" s="168"/>
      <c r="D64" s="107"/>
      <c r="E64" s="154">
        <v>1</v>
      </c>
      <c r="F64" s="155" t="s">
        <v>140</v>
      </c>
      <c r="G64" s="111">
        <v>1</v>
      </c>
      <c r="H64" s="112">
        <v>170000000</v>
      </c>
      <c r="I64" s="112">
        <f t="shared" si="109"/>
        <v>170000000</v>
      </c>
      <c r="J64" s="110">
        <v>44321</v>
      </c>
      <c r="K64" s="77">
        <f t="shared" si="110"/>
        <v>49800</v>
      </c>
      <c r="L64" s="107">
        <v>180</v>
      </c>
      <c r="M64" s="169">
        <v>37.520000000000003</v>
      </c>
      <c r="N64" s="81">
        <f t="shared" si="105"/>
        <v>6378400.0000000009</v>
      </c>
      <c r="O64" s="81"/>
      <c r="P64" s="81"/>
      <c r="Q64" s="81">
        <f t="shared" si="106"/>
        <v>6378400.0000000009</v>
      </c>
      <c r="R64" s="81">
        <f t="shared" si="107"/>
        <v>637840.00000000012</v>
      </c>
      <c r="S64" s="81">
        <f t="shared" si="108"/>
        <v>5740560.0000000009</v>
      </c>
      <c r="T64" s="42">
        <f t="shared" si="98"/>
        <v>63784.000000000015</v>
      </c>
      <c r="U64" s="1">
        <f t="shared" si="99"/>
        <v>38484.201117318444</v>
      </c>
      <c r="V64" s="34">
        <f t="shared" si="100"/>
        <v>535571.79888268164</v>
      </c>
      <c r="W64" s="35">
        <f t="shared" si="101"/>
        <v>637840.00000000012</v>
      </c>
      <c r="X64" s="35">
        <f t="shared" si="102"/>
        <v>0</v>
      </c>
      <c r="Y64" s="35">
        <v>3207.0167597765371</v>
      </c>
      <c r="Z64" s="41">
        <f t="shared" si="103"/>
        <v>3207.0167597765371</v>
      </c>
    </row>
    <row r="65" spans="1:26" ht="12.75" x14ac:dyDescent="0.2">
      <c r="A65" s="168"/>
      <c r="B65" s="168"/>
      <c r="C65" s="168"/>
      <c r="D65" s="107"/>
      <c r="E65" s="154">
        <v>1</v>
      </c>
      <c r="F65" s="155" t="s">
        <v>141</v>
      </c>
      <c r="G65" s="111">
        <v>1</v>
      </c>
      <c r="H65" s="112">
        <v>40000000</v>
      </c>
      <c r="I65" s="112">
        <f t="shared" si="109"/>
        <v>40000000</v>
      </c>
      <c r="J65" s="110">
        <v>44322</v>
      </c>
      <c r="K65" s="77">
        <f t="shared" si="110"/>
        <v>45418</v>
      </c>
      <c r="L65" s="107">
        <v>36</v>
      </c>
      <c r="M65" s="169">
        <v>9.1</v>
      </c>
      <c r="N65" s="81">
        <f t="shared" si="105"/>
        <v>364000</v>
      </c>
      <c r="O65" s="81"/>
      <c r="P65" s="81"/>
      <c r="Q65" s="81">
        <f t="shared" si="106"/>
        <v>364000</v>
      </c>
      <c r="R65" s="81">
        <f t="shared" si="107"/>
        <v>36400</v>
      </c>
      <c r="S65" s="81">
        <f t="shared" si="108"/>
        <v>327600</v>
      </c>
      <c r="T65" s="42">
        <f t="shared" si="98"/>
        <v>3640</v>
      </c>
      <c r="U65" s="1">
        <f t="shared" si="99"/>
        <v>11232</v>
      </c>
      <c r="V65" s="34">
        <f t="shared" si="100"/>
        <v>21528</v>
      </c>
      <c r="W65" s="35">
        <f t="shared" si="101"/>
        <v>36400</v>
      </c>
      <c r="X65" s="35">
        <f t="shared" si="102"/>
        <v>0</v>
      </c>
      <c r="Y65" s="35">
        <v>936</v>
      </c>
      <c r="Z65" s="41">
        <f t="shared" si="103"/>
        <v>936</v>
      </c>
    </row>
    <row r="66" spans="1:26" ht="12.75" x14ac:dyDescent="0.2">
      <c r="A66" s="168"/>
      <c r="B66" s="168"/>
      <c r="C66" s="168"/>
      <c r="D66" s="107"/>
      <c r="E66" s="154">
        <v>1</v>
      </c>
      <c r="F66" s="155" t="s">
        <v>142</v>
      </c>
      <c r="G66" s="111">
        <v>1</v>
      </c>
      <c r="H66" s="112">
        <v>440000000</v>
      </c>
      <c r="I66" s="112">
        <f t="shared" si="109"/>
        <v>440000000</v>
      </c>
      <c r="J66" s="110">
        <v>44323</v>
      </c>
      <c r="K66" s="77">
        <f t="shared" si="110"/>
        <v>49802</v>
      </c>
      <c r="L66" s="107">
        <v>180</v>
      </c>
      <c r="M66" s="169">
        <v>37.520000000000003</v>
      </c>
      <c r="N66" s="81">
        <f t="shared" si="105"/>
        <v>16508800.000000002</v>
      </c>
      <c r="O66" s="81"/>
      <c r="P66" s="81"/>
      <c r="Q66" s="81">
        <f t="shared" si="106"/>
        <v>16508800.000000002</v>
      </c>
      <c r="R66" s="81">
        <f t="shared" si="107"/>
        <v>1650880.0000000002</v>
      </c>
      <c r="S66" s="81">
        <f t="shared" si="108"/>
        <v>14857920.000000002</v>
      </c>
      <c r="T66" s="42">
        <f t="shared" si="98"/>
        <v>165088.00000000003</v>
      </c>
      <c r="U66" s="1">
        <f t="shared" si="99"/>
        <v>99606.167597765379</v>
      </c>
      <c r="V66" s="34">
        <f t="shared" si="100"/>
        <v>1386185.8324022349</v>
      </c>
      <c r="W66" s="35">
        <f t="shared" si="101"/>
        <v>1650880.0000000002</v>
      </c>
      <c r="X66" s="35">
        <f t="shared" si="102"/>
        <v>0</v>
      </c>
      <c r="Y66" s="35">
        <v>8300.5139664804483</v>
      </c>
      <c r="Z66" s="41">
        <f t="shared" si="103"/>
        <v>8300.5139664804483</v>
      </c>
    </row>
    <row r="67" spans="1:26" ht="12.75" x14ac:dyDescent="0.2">
      <c r="A67" s="168"/>
      <c r="B67" s="168"/>
      <c r="C67" s="168"/>
      <c r="D67" s="107"/>
      <c r="E67" s="154">
        <v>1</v>
      </c>
      <c r="F67" s="155" t="s">
        <v>144</v>
      </c>
      <c r="G67" s="111">
        <v>1</v>
      </c>
      <c r="H67" s="112">
        <v>30000000</v>
      </c>
      <c r="I67" s="112">
        <f t="shared" si="109"/>
        <v>30000000</v>
      </c>
      <c r="J67" s="110">
        <v>44323</v>
      </c>
      <c r="K67" s="77">
        <f t="shared" si="110"/>
        <v>45053</v>
      </c>
      <c r="L67" s="107">
        <v>24</v>
      </c>
      <c r="M67" s="169">
        <v>9.1</v>
      </c>
      <c r="N67" s="81">
        <f t="shared" si="105"/>
        <v>273000</v>
      </c>
      <c r="O67" s="81"/>
      <c r="P67" s="81"/>
      <c r="Q67" s="81">
        <f t="shared" si="106"/>
        <v>273000</v>
      </c>
      <c r="R67" s="81">
        <f t="shared" si="107"/>
        <v>27300</v>
      </c>
      <c r="S67" s="81">
        <f t="shared" si="108"/>
        <v>245700</v>
      </c>
      <c r="T67" s="42">
        <f t="shared" si="98"/>
        <v>2730</v>
      </c>
      <c r="U67" s="1">
        <f t="shared" si="99"/>
        <v>12819.13043478261</v>
      </c>
      <c r="V67" s="34">
        <f t="shared" si="100"/>
        <v>11750.86956521739</v>
      </c>
      <c r="W67" s="35">
        <f t="shared" si="101"/>
        <v>27300</v>
      </c>
      <c r="X67" s="35">
        <f t="shared" si="102"/>
        <v>0</v>
      </c>
      <c r="Y67" s="35">
        <v>1068.2608695652175</v>
      </c>
      <c r="Z67" s="41">
        <f t="shared" si="103"/>
        <v>1068.2608695652175</v>
      </c>
    </row>
    <row r="68" spans="1:26" ht="12.75" x14ac:dyDescent="0.2">
      <c r="A68" s="168"/>
      <c r="B68" s="168"/>
      <c r="C68" s="168"/>
      <c r="D68" s="107"/>
      <c r="E68" s="154">
        <v>1</v>
      </c>
      <c r="F68" s="155" t="s">
        <v>143</v>
      </c>
      <c r="G68" s="111">
        <v>1</v>
      </c>
      <c r="H68" s="112">
        <v>200000000</v>
      </c>
      <c r="I68" s="112">
        <f t="shared" si="109"/>
        <v>200000000</v>
      </c>
      <c r="J68" s="110">
        <v>44326</v>
      </c>
      <c r="K68" s="77">
        <f t="shared" si="110"/>
        <v>47978</v>
      </c>
      <c r="L68" s="107">
        <v>120</v>
      </c>
      <c r="M68" s="169">
        <v>25.48</v>
      </c>
      <c r="N68" s="81">
        <f t="shared" si="105"/>
        <v>5096000</v>
      </c>
      <c r="O68" s="81"/>
      <c r="P68" s="81"/>
      <c r="Q68" s="81">
        <f t="shared" si="106"/>
        <v>5096000</v>
      </c>
      <c r="R68" s="81">
        <f t="shared" si="107"/>
        <v>509600</v>
      </c>
      <c r="S68" s="81">
        <f t="shared" si="108"/>
        <v>4586400</v>
      </c>
      <c r="T68" s="42">
        <f t="shared" si="98"/>
        <v>50960</v>
      </c>
      <c r="U68" s="1">
        <f t="shared" si="99"/>
        <v>46249.411764705881</v>
      </c>
      <c r="V68" s="34">
        <f t="shared" si="100"/>
        <v>412390.5882352941</v>
      </c>
      <c r="W68" s="35">
        <f t="shared" si="101"/>
        <v>509600</v>
      </c>
      <c r="X68" s="35">
        <f t="shared" si="102"/>
        <v>0</v>
      </c>
      <c r="Y68" s="35">
        <v>3854.1176470588234</v>
      </c>
      <c r="Z68" s="41">
        <f t="shared" si="103"/>
        <v>3854.1176470588234</v>
      </c>
    </row>
    <row r="69" spans="1:26" ht="12.75" x14ac:dyDescent="0.2">
      <c r="A69" s="168"/>
      <c r="B69" s="168"/>
      <c r="C69" s="168"/>
      <c r="D69" s="107"/>
      <c r="E69" s="154">
        <v>1</v>
      </c>
      <c r="F69" s="155" t="s">
        <v>145</v>
      </c>
      <c r="G69" s="111">
        <v>1</v>
      </c>
      <c r="H69" s="112">
        <v>265000000</v>
      </c>
      <c r="I69" s="112">
        <f t="shared" si="109"/>
        <v>265000000</v>
      </c>
      <c r="J69" s="110">
        <v>44326</v>
      </c>
      <c r="K69" s="77">
        <f t="shared" si="110"/>
        <v>48497</v>
      </c>
      <c r="L69" s="107">
        <v>137</v>
      </c>
      <c r="M69" s="169">
        <v>30.46</v>
      </c>
      <c r="N69" s="81">
        <f t="shared" si="105"/>
        <v>8071900</v>
      </c>
      <c r="O69" s="81"/>
      <c r="P69" s="81"/>
      <c r="Q69" s="81">
        <f t="shared" si="106"/>
        <v>8071900</v>
      </c>
      <c r="R69" s="81">
        <f t="shared" si="107"/>
        <v>807190</v>
      </c>
      <c r="S69" s="81">
        <f t="shared" si="108"/>
        <v>7264710</v>
      </c>
      <c r="T69" s="42">
        <f t="shared" si="98"/>
        <v>80719</v>
      </c>
      <c r="U69" s="1">
        <f t="shared" si="99"/>
        <v>64100.382352941175</v>
      </c>
      <c r="V69" s="34">
        <f t="shared" si="100"/>
        <v>662370.6176470588</v>
      </c>
      <c r="W69" s="35">
        <f t="shared" si="101"/>
        <v>807190</v>
      </c>
      <c r="X69" s="35">
        <f t="shared" si="102"/>
        <v>0</v>
      </c>
      <c r="Y69" s="35">
        <v>5341.6985294117649</v>
      </c>
      <c r="Z69" s="41">
        <f t="shared" si="103"/>
        <v>5341.6985294117649</v>
      </c>
    </row>
    <row r="70" spans="1:26" x14ac:dyDescent="0.2">
      <c r="A70" s="83"/>
      <c r="B70" s="83"/>
      <c r="C70" s="83"/>
      <c r="D70" s="84"/>
      <c r="E70" s="93">
        <f>SUM(E56:E69)</f>
        <v>14</v>
      </c>
      <c r="F70" s="83"/>
      <c r="G70" s="83"/>
      <c r="H70" s="92">
        <f>SUM(H56:H69)</f>
        <v>3265000000</v>
      </c>
      <c r="I70" s="92">
        <f t="shared" ref="I70:Z70" si="111">SUM(I56:I69)</f>
        <v>3265000000</v>
      </c>
      <c r="J70" s="92"/>
      <c r="K70" s="92"/>
      <c r="L70" s="92"/>
      <c r="M70" s="92"/>
      <c r="N70" s="92">
        <f t="shared" si="111"/>
        <v>102042400</v>
      </c>
      <c r="O70" s="92">
        <f t="shared" si="111"/>
        <v>0</v>
      </c>
      <c r="P70" s="92">
        <f t="shared" si="111"/>
        <v>0</v>
      </c>
      <c r="Q70" s="92">
        <f t="shared" si="111"/>
        <v>102042400</v>
      </c>
      <c r="R70" s="92">
        <f t="shared" si="111"/>
        <v>10204240.000000002</v>
      </c>
      <c r="S70" s="92">
        <f t="shared" si="111"/>
        <v>91838160.000000015</v>
      </c>
      <c r="T70" s="92">
        <f t="shared" si="111"/>
        <v>1020424.0000000001</v>
      </c>
      <c r="U70" s="92">
        <f t="shared" si="111"/>
        <v>776162.5147960406</v>
      </c>
      <c r="V70" s="92">
        <f t="shared" si="111"/>
        <v>8407653.4852039628</v>
      </c>
      <c r="W70" s="92">
        <f t="shared" si="111"/>
        <v>10204240.000000002</v>
      </c>
      <c r="X70" s="92">
        <f t="shared" si="111"/>
        <v>0</v>
      </c>
      <c r="Y70" s="92">
        <f t="shared" si="111"/>
        <v>64680.209566336722</v>
      </c>
      <c r="Z70" s="92">
        <f t="shared" si="111"/>
        <v>64680.209566336722</v>
      </c>
    </row>
    <row r="71" spans="1:26" x14ac:dyDescent="0.2">
      <c r="A71" s="74">
        <v>15</v>
      </c>
      <c r="B71" s="107" t="s">
        <v>49</v>
      </c>
      <c r="C71" s="107" t="s">
        <v>156</v>
      </c>
      <c r="D71" s="110">
        <v>44347</v>
      </c>
      <c r="E71" s="74">
        <v>1</v>
      </c>
      <c r="F71" s="107" t="s">
        <v>157</v>
      </c>
      <c r="G71" s="111">
        <v>1</v>
      </c>
      <c r="H71" s="112">
        <v>250000000</v>
      </c>
      <c r="I71" s="112">
        <f>H71*G71</f>
        <v>250000000</v>
      </c>
      <c r="J71" s="110">
        <v>44320</v>
      </c>
      <c r="K71" s="77">
        <f>IFERROR(VALUE(DAY(J71)&amp;" "&amp;TEXT(EOMONTH(J71,L71)-29,"mmm")&amp;" "&amp;YEAR(EOMONTH(J71,L71)-29)),"-")</f>
        <v>48338</v>
      </c>
      <c r="L71" s="107">
        <v>132</v>
      </c>
      <c r="M71" s="99">
        <v>27.98</v>
      </c>
      <c r="N71" s="81">
        <f t="shared" ref="N71:N72" si="112">M71*H71/1000</f>
        <v>6995000</v>
      </c>
      <c r="O71" s="81"/>
      <c r="P71" s="81"/>
      <c r="Q71" s="81">
        <f t="shared" ref="Q71:Q72" si="113">N71+O71+P71</f>
        <v>6995000</v>
      </c>
      <c r="R71" s="81">
        <f t="shared" ref="R71:R72" si="114">10%*N71</f>
        <v>699500</v>
      </c>
      <c r="S71" s="81">
        <f t="shared" ref="S71:S72" si="115">Q71-R71</f>
        <v>6295500</v>
      </c>
      <c r="T71" s="42">
        <f t="shared" si="98"/>
        <v>69950</v>
      </c>
      <c r="U71" s="1">
        <f t="shared" si="99"/>
        <v>57668.70229007634</v>
      </c>
      <c r="V71" s="34">
        <f t="shared" si="100"/>
        <v>571881.2977099237</v>
      </c>
      <c r="W71" s="35">
        <f t="shared" si="101"/>
        <v>699500</v>
      </c>
      <c r="X71" s="35">
        <f t="shared" si="102"/>
        <v>0</v>
      </c>
      <c r="Y71" s="35">
        <v>4805.7251908396947</v>
      </c>
      <c r="Z71" s="41">
        <f t="shared" si="103"/>
        <v>4805.7251908396947</v>
      </c>
    </row>
    <row r="72" spans="1:26" x14ac:dyDescent="0.2">
      <c r="A72" s="74"/>
      <c r="B72" s="107"/>
      <c r="C72" s="107"/>
      <c r="D72" s="110"/>
      <c r="E72" s="74">
        <v>1</v>
      </c>
      <c r="F72" s="107" t="s">
        <v>158</v>
      </c>
      <c r="G72" s="111">
        <v>1</v>
      </c>
      <c r="H72" s="112">
        <v>60000000</v>
      </c>
      <c r="I72" s="112">
        <f>H72*G72</f>
        <v>60000000</v>
      </c>
      <c r="J72" s="110">
        <v>44320</v>
      </c>
      <c r="K72" s="77">
        <f>IFERROR(VALUE(DAY(J72)&amp;" "&amp;TEXT(EOMONTH(J72,L72)-29,"mmm")&amp;" "&amp;YEAR(EOMONTH(J72,L72)-29)),"-")</f>
        <v>46146</v>
      </c>
      <c r="L72" s="107">
        <v>60</v>
      </c>
      <c r="M72" s="99">
        <v>13.65</v>
      </c>
      <c r="N72" s="81">
        <f t="shared" si="112"/>
        <v>819000</v>
      </c>
      <c r="O72" s="81"/>
      <c r="P72" s="81"/>
      <c r="Q72" s="81">
        <f t="shared" si="113"/>
        <v>819000</v>
      </c>
      <c r="R72" s="81">
        <f t="shared" si="114"/>
        <v>81900</v>
      </c>
      <c r="S72" s="81">
        <f t="shared" si="115"/>
        <v>737100</v>
      </c>
      <c r="T72" s="42">
        <f t="shared" si="98"/>
        <v>8190</v>
      </c>
      <c r="U72" s="1">
        <f t="shared" si="99"/>
        <v>14991.864406779661</v>
      </c>
      <c r="V72" s="34">
        <f t="shared" si="100"/>
        <v>58718.135593220337</v>
      </c>
      <c r="W72" s="35">
        <f t="shared" si="101"/>
        <v>81900</v>
      </c>
      <c r="X72" s="35">
        <f t="shared" si="102"/>
        <v>0</v>
      </c>
      <c r="Y72" s="35">
        <v>1249.3220338983051</v>
      </c>
      <c r="Z72" s="41">
        <f t="shared" si="103"/>
        <v>1249.3220338983051</v>
      </c>
    </row>
    <row r="73" spans="1:26" x14ac:dyDescent="0.2">
      <c r="A73" s="88"/>
      <c r="B73" s="84"/>
      <c r="C73" s="84"/>
      <c r="D73" s="84"/>
      <c r="E73" s="88">
        <f>SUM(E71:E72)</f>
        <v>2</v>
      </c>
      <c r="F73" s="84"/>
      <c r="G73" s="115"/>
      <c r="H73" s="79">
        <f t="shared" ref="H73:I73" si="116">SUM(H71:H72)</f>
        <v>310000000</v>
      </c>
      <c r="I73" s="79">
        <f t="shared" si="116"/>
        <v>310000000</v>
      </c>
      <c r="J73" s="59"/>
      <c r="K73" s="59"/>
      <c r="L73" s="59"/>
      <c r="M73" s="59"/>
      <c r="N73" s="79">
        <f t="shared" ref="N73:R73" si="117">SUM(N71:N72)</f>
        <v>7814000</v>
      </c>
      <c r="O73" s="79">
        <f t="shared" si="117"/>
        <v>0</v>
      </c>
      <c r="P73" s="79">
        <f t="shared" si="117"/>
        <v>0</v>
      </c>
      <c r="Q73" s="79">
        <f t="shared" si="117"/>
        <v>7814000</v>
      </c>
      <c r="R73" s="79">
        <f t="shared" si="117"/>
        <v>781400</v>
      </c>
      <c r="S73" s="79">
        <f t="shared" ref="S73:Z73" si="118">SUM(S71:S72)</f>
        <v>7032600</v>
      </c>
      <c r="T73" s="79">
        <f t="shared" si="118"/>
        <v>78140</v>
      </c>
      <c r="U73" s="79">
        <f t="shared" si="118"/>
        <v>72660.566696855996</v>
      </c>
      <c r="V73" s="79">
        <f t="shared" si="118"/>
        <v>630599.43330314406</v>
      </c>
      <c r="W73" s="79">
        <f t="shared" si="118"/>
        <v>781400</v>
      </c>
      <c r="X73" s="79">
        <f t="shared" si="118"/>
        <v>0</v>
      </c>
      <c r="Y73" s="79">
        <f t="shared" si="118"/>
        <v>6055.0472247380003</v>
      </c>
      <c r="Z73" s="79">
        <f t="shared" si="118"/>
        <v>6055.0472247380003</v>
      </c>
    </row>
    <row r="74" spans="1:26" x14ac:dyDescent="0.2">
      <c r="A74" s="83"/>
      <c r="B74" s="83"/>
      <c r="C74" s="83" t="s">
        <v>147</v>
      </c>
      <c r="D74" s="84"/>
      <c r="E74" s="85">
        <f>E70+E55+E53+E50+E73</f>
        <v>20</v>
      </c>
      <c r="F74" s="87">
        <f t="shared" ref="F74:R74" si="119">F70+F55+F53+F50+F73</f>
        <v>0</v>
      </c>
      <c r="G74" s="87">
        <f t="shared" si="119"/>
        <v>0</v>
      </c>
      <c r="H74" s="87">
        <f t="shared" si="119"/>
        <v>4756450622</v>
      </c>
      <c r="I74" s="87">
        <f t="shared" si="119"/>
        <v>4756450622</v>
      </c>
      <c r="J74" s="87">
        <f t="shared" si="119"/>
        <v>0</v>
      </c>
      <c r="K74" s="87">
        <f t="shared" si="119"/>
        <v>0</v>
      </c>
      <c r="L74" s="87">
        <f t="shared" si="119"/>
        <v>0</v>
      </c>
      <c r="M74" s="87">
        <f t="shared" si="119"/>
        <v>0</v>
      </c>
      <c r="N74" s="87">
        <f t="shared" si="119"/>
        <v>144081307.23106</v>
      </c>
      <c r="O74" s="87">
        <f t="shared" si="119"/>
        <v>0</v>
      </c>
      <c r="P74" s="87">
        <f t="shared" si="119"/>
        <v>0</v>
      </c>
      <c r="Q74" s="87">
        <f t="shared" si="119"/>
        <v>144081307.23106</v>
      </c>
      <c r="R74" s="87">
        <f t="shared" si="119"/>
        <v>14088350.000000002</v>
      </c>
      <c r="S74" s="87">
        <f t="shared" ref="S74" si="120">S70+S55+S53+S50+S73</f>
        <v>129673176.50795402</v>
      </c>
      <c r="T74" s="87">
        <f>T70+T55+T53+T50+T73</f>
        <v>1408835</v>
      </c>
      <c r="U74" s="87">
        <f t="shared" ref="U74" si="121">U70+U55+U53+U50+U73</f>
        <v>2007395.7531570643</v>
      </c>
      <c r="V74" s="87">
        <f t="shared" ref="V74" si="122">V70+V55+V53+V50+V73</f>
        <v>10672119.246842938</v>
      </c>
      <c r="W74" s="87">
        <f t="shared" ref="W74" si="123">W70+W55+W53+W50+W73</f>
        <v>14088350.000000002</v>
      </c>
      <c r="X74" s="87">
        <f t="shared" ref="X74" si="124">X70+X55+X53+X50+X73</f>
        <v>0</v>
      </c>
      <c r="Y74" s="87">
        <f t="shared" ref="Y74" si="125">Y70+Y55+Y53+Y50+Y73</f>
        <v>167282.97942975539</v>
      </c>
      <c r="Z74" s="87">
        <f t="shared" ref="Z74" si="126">Z70+Z55+Z53+Z50+Z73</f>
        <v>167282.97942975539</v>
      </c>
    </row>
    <row r="75" spans="1:26" x14ac:dyDescent="0.2">
      <c r="A75" s="83"/>
      <c r="B75" s="83"/>
      <c r="C75" s="83" t="s">
        <v>148</v>
      </c>
      <c r="D75" s="84"/>
      <c r="E75" s="93">
        <f>E74+E43</f>
        <v>25</v>
      </c>
      <c r="F75" s="95">
        <f t="shared" ref="F75:R75" si="127">F74+F43</f>
        <v>0</v>
      </c>
      <c r="G75" s="95">
        <f t="shared" si="127"/>
        <v>0</v>
      </c>
      <c r="H75" s="95">
        <f t="shared" si="127"/>
        <v>5289450622</v>
      </c>
      <c r="I75" s="95">
        <f t="shared" si="127"/>
        <v>5289450622</v>
      </c>
      <c r="J75" s="95"/>
      <c r="K75" s="95"/>
      <c r="L75" s="95"/>
      <c r="M75" s="95"/>
      <c r="N75" s="95">
        <f t="shared" si="127"/>
        <v>158877545.86488</v>
      </c>
      <c r="O75" s="95">
        <f t="shared" si="127"/>
        <v>300000</v>
      </c>
      <c r="P75" s="95">
        <f t="shared" si="127"/>
        <v>0</v>
      </c>
      <c r="Q75" s="95">
        <f t="shared" si="127"/>
        <v>159177545.86488</v>
      </c>
      <c r="R75" s="95">
        <f t="shared" si="127"/>
        <v>15467847.000000002</v>
      </c>
      <c r="S75" s="95">
        <f t="shared" ref="S75:Z75" si="128">S74+S43</f>
        <v>143389918.14177403</v>
      </c>
      <c r="T75" s="95">
        <f t="shared" si="128"/>
        <v>1566017.228003314</v>
      </c>
      <c r="U75" s="95">
        <f t="shared" si="128"/>
        <v>2238186.0891968324</v>
      </c>
      <c r="V75" s="95">
        <f t="shared" si="128"/>
        <v>11663643.682799855</v>
      </c>
      <c r="W75" s="95">
        <f t="shared" si="128"/>
        <v>15467847.000000002</v>
      </c>
      <c r="X75" s="95">
        <f t="shared" si="128"/>
        <v>0</v>
      </c>
      <c r="Y75" s="95">
        <f t="shared" si="128"/>
        <v>186515.5074330694</v>
      </c>
      <c r="Z75" s="95">
        <f t="shared" si="128"/>
        <v>186143.32602454416</v>
      </c>
    </row>
  </sheetData>
  <mergeCells count="80">
    <mergeCell ref="N27:P27"/>
    <mergeCell ref="Q27:Q28"/>
    <mergeCell ref="R27:R28"/>
    <mergeCell ref="S27:S28"/>
    <mergeCell ref="G27:G28"/>
    <mergeCell ref="H27:H28"/>
    <mergeCell ref="I27:I28"/>
    <mergeCell ref="J27:K28"/>
    <mergeCell ref="L27:L28"/>
    <mergeCell ref="M27:M28"/>
    <mergeCell ref="N17:P17"/>
    <mergeCell ref="Q17:Q18"/>
    <mergeCell ref="R17:R18"/>
    <mergeCell ref="S17:S18"/>
    <mergeCell ref="A27:A28"/>
    <mergeCell ref="B27:B28"/>
    <mergeCell ref="C27:C28"/>
    <mergeCell ref="D27:D28"/>
    <mergeCell ref="E27:E28"/>
    <mergeCell ref="F27:F28"/>
    <mergeCell ref="G17:G18"/>
    <mergeCell ref="H17:H18"/>
    <mergeCell ref="I17:I18"/>
    <mergeCell ref="J17:K18"/>
    <mergeCell ref="L17:L18"/>
    <mergeCell ref="M17:M18"/>
    <mergeCell ref="N9:P9"/>
    <mergeCell ref="Q9:Q10"/>
    <mergeCell ref="R9:R10"/>
    <mergeCell ref="S9:S10"/>
    <mergeCell ref="A17:A18"/>
    <mergeCell ref="B17:B18"/>
    <mergeCell ref="C17:C18"/>
    <mergeCell ref="D17:D18"/>
    <mergeCell ref="E17:E18"/>
    <mergeCell ref="F17:F18"/>
    <mergeCell ref="G9:G10"/>
    <mergeCell ref="H9:H10"/>
    <mergeCell ref="I9:I10"/>
    <mergeCell ref="J9:K10"/>
    <mergeCell ref="L9:L10"/>
    <mergeCell ref="M9:M10"/>
    <mergeCell ref="N3:P3"/>
    <mergeCell ref="Q3:Q4"/>
    <mergeCell ref="R3:R4"/>
    <mergeCell ref="S3:S4"/>
    <mergeCell ref="A9:A10"/>
    <mergeCell ref="B9:B10"/>
    <mergeCell ref="C9:C10"/>
    <mergeCell ref="D9:D10"/>
    <mergeCell ref="E9:E10"/>
    <mergeCell ref="F9:F10"/>
    <mergeCell ref="G3:G4"/>
    <mergeCell ref="H3:H4"/>
    <mergeCell ref="I3:I4"/>
    <mergeCell ref="J3:K4"/>
    <mergeCell ref="L3:L4"/>
    <mergeCell ref="M3:M4"/>
    <mergeCell ref="F3:F4"/>
    <mergeCell ref="A3:A4"/>
    <mergeCell ref="B3:B4"/>
    <mergeCell ref="C3:C4"/>
    <mergeCell ref="D3:D4"/>
    <mergeCell ref="E3:E4"/>
    <mergeCell ref="A47:A48"/>
    <mergeCell ref="B47:B48"/>
    <mergeCell ref="C47:C48"/>
    <mergeCell ref="D47:D48"/>
    <mergeCell ref="E47:E48"/>
    <mergeCell ref="F47:F48"/>
    <mergeCell ref="G47:G48"/>
    <mergeCell ref="H47:H48"/>
    <mergeCell ref="I47:I48"/>
    <mergeCell ref="J47:K48"/>
    <mergeCell ref="S47:S48"/>
    <mergeCell ref="L47:L48"/>
    <mergeCell ref="M47:M48"/>
    <mergeCell ref="N47:P47"/>
    <mergeCell ref="Q47:Q48"/>
    <mergeCell ref="R47:R48"/>
  </mergeCells>
  <pageMargins left="0.39370078740157483" right="0.23622047244094491" top="0.39370078740157483" bottom="0.74803149606299213" header="0.31496062992125984" footer="0.31496062992125984"/>
  <pageSetup paperSize="5" scale="85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75"/>
  <sheetViews>
    <sheetView topLeftCell="A46" workbookViewId="0">
      <selection activeCell="T74" sqref="T74"/>
    </sheetView>
  </sheetViews>
  <sheetFormatPr defaultRowHeight="12" x14ac:dyDescent="0.2"/>
  <cols>
    <col min="1" max="1" width="4.140625" style="3" customWidth="1"/>
    <col min="2" max="2" width="15" style="3" bestFit="1" customWidth="1"/>
    <col min="3" max="3" width="19" style="3" customWidth="1"/>
    <col min="4" max="4" width="10.7109375" style="82" hidden="1" customWidth="1"/>
    <col min="5" max="5" width="9" style="97" customWidth="1"/>
    <col min="6" max="6" width="15.85546875" style="3" customWidth="1"/>
    <col min="7" max="7" width="9" style="143" customWidth="1"/>
    <col min="8" max="9" width="14.140625" style="3" customWidth="1"/>
    <col min="10" max="10" width="10.7109375" style="3" hidden="1" customWidth="1"/>
    <col min="11" max="11" width="9.7109375" style="3" hidden="1" customWidth="1"/>
    <col min="12" max="12" width="4.42578125" style="3" bestFit="1" customWidth="1"/>
    <col min="13" max="13" width="5.42578125" style="3" customWidth="1"/>
    <col min="14" max="14" width="12.5703125" style="3" hidden="1" customWidth="1"/>
    <col min="15" max="16" width="9.140625" style="3" hidden="1" customWidth="1"/>
    <col min="17" max="17" width="12" style="3" customWidth="1"/>
    <col min="18" max="18" width="11.7109375" style="3" hidden="1" customWidth="1"/>
    <col min="19" max="19" width="14.28515625" style="3" hidden="1" customWidth="1"/>
    <col min="20" max="20" width="15.7109375" style="3" customWidth="1"/>
    <col min="21" max="21" width="15.85546875" style="3" customWidth="1"/>
    <col min="22" max="22" width="13.85546875" style="3" customWidth="1"/>
    <col min="23" max="23" width="12.85546875" style="3" customWidth="1"/>
    <col min="24" max="26" width="9.28515625" style="3" bestFit="1" customWidth="1"/>
    <col min="27" max="16384" width="9.140625" style="3"/>
  </cols>
  <sheetData>
    <row r="2" spans="1:26" ht="14.25" customHeight="1" x14ac:dyDescent="0.2">
      <c r="A2" s="86" t="s">
        <v>69</v>
      </c>
      <c r="B2" s="62"/>
      <c r="C2" s="62"/>
      <c r="D2" s="57"/>
      <c r="E2" s="63"/>
      <c r="F2" s="64"/>
      <c r="G2" s="139"/>
      <c r="H2" s="66"/>
      <c r="I2" s="66"/>
      <c r="J2" s="67"/>
      <c r="K2" s="67"/>
      <c r="L2" s="68"/>
      <c r="M2" s="68"/>
      <c r="N2" s="69"/>
      <c r="O2" s="69"/>
      <c r="P2" s="69"/>
      <c r="Q2" s="69"/>
      <c r="R2" s="69"/>
      <c r="S2" s="69"/>
      <c r="T2" s="70"/>
      <c r="U2" s="71"/>
      <c r="V2" s="71"/>
    </row>
    <row r="3" spans="1:26" ht="14.25" customHeight="1" x14ac:dyDescent="0.2">
      <c r="A3" s="231" t="s">
        <v>0</v>
      </c>
      <c r="B3" s="232" t="s">
        <v>1</v>
      </c>
      <c r="C3" s="229" t="s">
        <v>2</v>
      </c>
      <c r="D3" s="233" t="s">
        <v>3</v>
      </c>
      <c r="E3" s="234" t="s">
        <v>4</v>
      </c>
      <c r="F3" s="232" t="s">
        <v>5</v>
      </c>
      <c r="G3" s="237" t="s">
        <v>6</v>
      </c>
      <c r="H3" s="236" t="s">
        <v>7</v>
      </c>
      <c r="I3" s="236" t="s">
        <v>8</v>
      </c>
      <c r="J3" s="227" t="s">
        <v>9</v>
      </c>
      <c r="K3" s="227"/>
      <c r="L3" s="228" t="s">
        <v>10</v>
      </c>
      <c r="M3" s="229" t="s">
        <v>11</v>
      </c>
      <c r="N3" s="230" t="s">
        <v>12</v>
      </c>
      <c r="O3" s="230"/>
      <c r="P3" s="230"/>
      <c r="Q3" s="229" t="s">
        <v>13</v>
      </c>
      <c r="R3" s="229" t="s">
        <v>14</v>
      </c>
      <c r="S3" s="229" t="s">
        <v>15</v>
      </c>
      <c r="T3" s="36">
        <v>2021</v>
      </c>
      <c r="U3" s="37"/>
      <c r="V3" s="38" t="s">
        <v>44</v>
      </c>
    </row>
    <row r="4" spans="1:26" ht="14.25" customHeight="1" x14ac:dyDescent="0.2">
      <c r="A4" s="231"/>
      <c r="B4" s="232"/>
      <c r="C4" s="229"/>
      <c r="D4" s="233"/>
      <c r="E4" s="234"/>
      <c r="F4" s="232"/>
      <c r="G4" s="237"/>
      <c r="H4" s="236"/>
      <c r="I4" s="236"/>
      <c r="J4" s="227"/>
      <c r="K4" s="227"/>
      <c r="L4" s="228"/>
      <c r="M4" s="229"/>
      <c r="N4" s="163" t="s">
        <v>16</v>
      </c>
      <c r="O4" s="163" t="s">
        <v>17</v>
      </c>
      <c r="P4" s="163" t="s">
        <v>18</v>
      </c>
      <c r="Q4" s="229"/>
      <c r="R4" s="229"/>
      <c r="S4" s="229"/>
      <c r="T4" s="96" t="s">
        <v>149</v>
      </c>
      <c r="U4" s="39" t="s">
        <v>150</v>
      </c>
      <c r="V4" s="40"/>
    </row>
    <row r="5" spans="1:26" x14ac:dyDescent="0.2">
      <c r="A5" s="72">
        <v>1</v>
      </c>
      <c r="B5" s="73" t="s">
        <v>49</v>
      </c>
      <c r="C5" s="73" t="s">
        <v>55</v>
      </c>
      <c r="D5" s="58">
        <v>44225</v>
      </c>
      <c r="E5" s="74">
        <v>1</v>
      </c>
      <c r="F5" s="73" t="s">
        <v>56</v>
      </c>
      <c r="G5" s="140">
        <v>1</v>
      </c>
      <c r="H5" s="42">
        <v>200000000</v>
      </c>
      <c r="I5" s="42">
        <f>H5*G5</f>
        <v>200000000</v>
      </c>
      <c r="J5" s="76">
        <v>44207</v>
      </c>
      <c r="K5" s="77">
        <f>IFERROR(VALUE(DAY(J5)&amp;" "&amp;TEXT(EOMONTH(J5,L5)-29,"mmm")&amp;" "&amp;YEAR(EOMONTH(J5,L5)-29)),"-")</f>
        <v>47494</v>
      </c>
      <c r="L5" s="78">
        <v>108</v>
      </c>
      <c r="M5" s="99">
        <v>23.21</v>
      </c>
      <c r="N5" s="81">
        <f t="shared" ref="N5" si="0">M5*H5/1000</f>
        <v>4642000</v>
      </c>
      <c r="O5" s="81"/>
      <c r="P5" s="81"/>
      <c r="Q5" s="81">
        <f t="shared" ref="Q5" si="1">N5+O5+P5</f>
        <v>4642000</v>
      </c>
      <c r="R5" s="81">
        <f t="shared" ref="R5" si="2">10%*N5</f>
        <v>464200</v>
      </c>
      <c r="S5" s="81">
        <f t="shared" ref="S5" si="3">Q5-R5</f>
        <v>4177800</v>
      </c>
      <c r="T5" s="42">
        <f>Q5*10%+(Y5*4)</f>
        <v>620379.43925233651</v>
      </c>
      <c r="U5" s="42">
        <f>Y5*12</f>
        <v>468538.31775700935</v>
      </c>
      <c r="V5" s="108">
        <f t="shared" ref="V5" si="4">Q5-T5-U5</f>
        <v>3553082.242990654</v>
      </c>
      <c r="W5" s="2">
        <f t="shared" ref="W5" si="5">T5+U5+V5</f>
        <v>4642000</v>
      </c>
      <c r="X5" s="2">
        <f t="shared" ref="X5" si="6">Q5-W5</f>
        <v>0</v>
      </c>
      <c r="Y5" s="2">
        <v>39044.859813084113</v>
      </c>
      <c r="Z5" s="109">
        <f t="shared" ref="Z5" si="7">(Q5-T5)/(L5-1)</f>
        <v>37585.238885492181</v>
      </c>
    </row>
    <row r="6" spans="1:26" x14ac:dyDescent="0.2">
      <c r="A6" s="79"/>
      <c r="B6" s="59"/>
      <c r="C6" s="59"/>
      <c r="D6" s="59"/>
      <c r="E6" s="80">
        <f>SUM(E5:E5)</f>
        <v>1</v>
      </c>
      <c r="F6" s="80"/>
      <c r="G6" s="80"/>
      <c r="H6" s="79">
        <f>SUM(H5:H5)</f>
        <v>200000000</v>
      </c>
      <c r="I6" s="79">
        <f>SUM(I5:I5)</f>
        <v>200000000</v>
      </c>
      <c r="J6" s="79"/>
      <c r="K6" s="79"/>
      <c r="L6" s="79"/>
      <c r="M6" s="79"/>
      <c r="N6" s="79">
        <f t="shared" ref="N6:Z6" si="8">SUM(N5:N5)</f>
        <v>4642000</v>
      </c>
      <c r="O6" s="79">
        <f t="shared" si="8"/>
        <v>0</v>
      </c>
      <c r="P6" s="79">
        <f t="shared" si="8"/>
        <v>0</v>
      </c>
      <c r="Q6" s="79">
        <f t="shared" si="8"/>
        <v>4642000</v>
      </c>
      <c r="R6" s="79">
        <f t="shared" si="8"/>
        <v>464200</v>
      </c>
      <c r="S6" s="79">
        <f t="shared" si="8"/>
        <v>4177800</v>
      </c>
      <c r="T6" s="79">
        <f t="shared" si="8"/>
        <v>620379.43925233651</v>
      </c>
      <c r="U6" s="79">
        <f t="shared" si="8"/>
        <v>468538.31775700935</v>
      </c>
      <c r="V6" s="79">
        <f t="shared" si="8"/>
        <v>3553082.242990654</v>
      </c>
      <c r="W6" s="79">
        <f t="shared" si="8"/>
        <v>4642000</v>
      </c>
      <c r="X6" s="79">
        <f t="shared" si="8"/>
        <v>0</v>
      </c>
      <c r="Y6" s="79">
        <f t="shared" si="8"/>
        <v>39044.859813084113</v>
      </c>
      <c r="Z6" s="79">
        <f t="shared" si="8"/>
        <v>37585.238885492181</v>
      </c>
    </row>
    <row r="8" spans="1:26" ht="14.25" customHeight="1" x14ac:dyDescent="0.2">
      <c r="A8" s="86" t="s">
        <v>70</v>
      </c>
      <c r="B8" s="62"/>
      <c r="C8" s="62"/>
      <c r="D8" s="57"/>
      <c r="E8" s="63"/>
      <c r="F8" s="64"/>
      <c r="G8" s="139"/>
      <c r="H8" s="66"/>
      <c r="I8" s="66"/>
      <c r="J8" s="67"/>
      <c r="K8" s="67"/>
      <c r="L8" s="68"/>
      <c r="M8" s="68"/>
      <c r="N8" s="69"/>
      <c r="O8" s="69"/>
      <c r="P8" s="69"/>
      <c r="Q8" s="69"/>
      <c r="R8" s="69"/>
      <c r="S8" s="69"/>
      <c r="T8" s="70"/>
      <c r="U8" s="71"/>
      <c r="V8" s="71"/>
    </row>
    <row r="9" spans="1:26" ht="14.25" customHeight="1" x14ac:dyDescent="0.2">
      <c r="A9" s="231" t="s">
        <v>0</v>
      </c>
      <c r="B9" s="232" t="s">
        <v>1</v>
      </c>
      <c r="C9" s="229" t="s">
        <v>2</v>
      </c>
      <c r="D9" s="233" t="s">
        <v>3</v>
      </c>
      <c r="E9" s="234" t="s">
        <v>4</v>
      </c>
      <c r="F9" s="232" t="s">
        <v>5</v>
      </c>
      <c r="G9" s="237" t="s">
        <v>6</v>
      </c>
      <c r="H9" s="236" t="s">
        <v>7</v>
      </c>
      <c r="I9" s="236" t="s">
        <v>8</v>
      </c>
      <c r="J9" s="227" t="s">
        <v>9</v>
      </c>
      <c r="K9" s="227"/>
      <c r="L9" s="228" t="s">
        <v>10</v>
      </c>
      <c r="M9" s="229" t="s">
        <v>11</v>
      </c>
      <c r="N9" s="230" t="s">
        <v>12</v>
      </c>
      <c r="O9" s="230"/>
      <c r="P9" s="230"/>
      <c r="Q9" s="229" t="s">
        <v>13</v>
      </c>
      <c r="R9" s="229" t="s">
        <v>14</v>
      </c>
      <c r="S9" s="229" t="s">
        <v>15</v>
      </c>
      <c r="T9" s="36">
        <v>2021</v>
      </c>
      <c r="U9" s="37"/>
      <c r="V9" s="38" t="s">
        <v>44</v>
      </c>
    </row>
    <row r="10" spans="1:26" ht="14.25" customHeight="1" x14ac:dyDescent="0.2">
      <c r="A10" s="231"/>
      <c r="B10" s="232"/>
      <c r="C10" s="229"/>
      <c r="D10" s="233"/>
      <c r="E10" s="234"/>
      <c r="F10" s="232"/>
      <c r="G10" s="237"/>
      <c r="H10" s="236"/>
      <c r="I10" s="236"/>
      <c r="J10" s="227"/>
      <c r="K10" s="227"/>
      <c r="L10" s="228"/>
      <c r="M10" s="229"/>
      <c r="N10" s="163" t="s">
        <v>16</v>
      </c>
      <c r="O10" s="163" t="s">
        <v>17</v>
      </c>
      <c r="P10" s="163" t="s">
        <v>18</v>
      </c>
      <c r="Q10" s="229"/>
      <c r="R10" s="229"/>
      <c r="S10" s="229"/>
      <c r="T10" s="104" t="s">
        <v>151</v>
      </c>
      <c r="U10" s="39" t="s">
        <v>150</v>
      </c>
      <c r="V10" s="106"/>
    </row>
    <row r="11" spans="1:26" x14ac:dyDescent="0.2">
      <c r="A11" s="72">
        <v>2</v>
      </c>
      <c r="B11" s="107" t="s">
        <v>59</v>
      </c>
      <c r="C11" s="107" t="s">
        <v>60</v>
      </c>
      <c r="D11" s="110">
        <v>44237</v>
      </c>
      <c r="E11" s="74">
        <v>1</v>
      </c>
      <c r="F11" s="107" t="s">
        <v>61</v>
      </c>
      <c r="G11" s="141">
        <v>1</v>
      </c>
      <c r="H11" s="112">
        <v>300000000</v>
      </c>
      <c r="I11" s="112">
        <f>H11*G11</f>
        <v>300000000</v>
      </c>
      <c r="J11" s="110">
        <v>44222</v>
      </c>
      <c r="K11" s="77">
        <f>IFERROR(VALUE(DAY(J11)&amp;" "&amp;TEXT(EOMONTH(J11,L11)-29,"mmm")&amp;" "&amp;YEAR(EOMONTH(J11,L11)-29)),"-")</f>
        <v>49700</v>
      </c>
      <c r="L11" s="107">
        <v>180</v>
      </c>
      <c r="M11" s="99">
        <v>37.520000000000003</v>
      </c>
      <c r="N11" s="81">
        <f t="shared" ref="N11" si="9">M11*H11/1000</f>
        <v>11256000</v>
      </c>
      <c r="O11" s="81"/>
      <c r="P11" s="81"/>
      <c r="Q11" s="81">
        <f t="shared" ref="Q11" si="10">N11+O11+P11</f>
        <v>11256000</v>
      </c>
      <c r="R11" s="81">
        <f t="shared" ref="R11" si="11">10%*N11</f>
        <v>1125600</v>
      </c>
      <c r="S11" s="81">
        <f t="shared" ref="S11" si="12">Q11-R11</f>
        <v>10130400</v>
      </c>
      <c r="T11" s="42">
        <f>Q11*10%+(Y11*3)</f>
        <v>1295383.2402234636</v>
      </c>
      <c r="U11" s="42">
        <f t="shared" ref="U11" si="13">Y11*12</f>
        <v>679132.96089385473</v>
      </c>
      <c r="V11" s="108">
        <f t="shared" ref="V11" si="14">Q11-T11-U11</f>
        <v>9281483.7988826819</v>
      </c>
      <c r="W11" s="2">
        <f t="shared" ref="W11" si="15">T11+U11+V11</f>
        <v>11256000</v>
      </c>
      <c r="X11" s="2">
        <f t="shared" ref="X11" si="16">Q11-W11</f>
        <v>0</v>
      </c>
      <c r="Y11" s="2">
        <v>56594.41340782123</v>
      </c>
      <c r="Z11" s="109">
        <f t="shared" ref="Z11" si="17">(Q11-T11)/(L11-1)</f>
        <v>55645.903685902435</v>
      </c>
    </row>
    <row r="12" spans="1:26" x14ac:dyDescent="0.2">
      <c r="A12" s="79"/>
      <c r="B12" s="59"/>
      <c r="C12" s="59" t="s">
        <v>72</v>
      </c>
      <c r="D12" s="59"/>
      <c r="E12" s="80">
        <f>SUM(E11:E11)</f>
        <v>1</v>
      </c>
      <c r="F12" s="80"/>
      <c r="G12" s="80"/>
      <c r="H12" s="79">
        <f>SUM(H11:H11)</f>
        <v>300000000</v>
      </c>
      <c r="I12" s="79">
        <f>SUM(I11:I11)</f>
        <v>300000000</v>
      </c>
      <c r="J12" s="79"/>
      <c r="K12" s="79"/>
      <c r="L12" s="79"/>
      <c r="M12" s="79"/>
      <c r="N12" s="79">
        <f t="shared" ref="N12:Z12" si="18">SUM(N11:N11)</f>
        <v>11256000</v>
      </c>
      <c r="O12" s="79">
        <f t="shared" si="18"/>
        <v>0</v>
      </c>
      <c r="P12" s="79">
        <f t="shared" si="18"/>
        <v>0</v>
      </c>
      <c r="Q12" s="79">
        <f t="shared" si="18"/>
        <v>11256000</v>
      </c>
      <c r="R12" s="79">
        <f t="shared" si="18"/>
        <v>1125600</v>
      </c>
      <c r="S12" s="79">
        <f t="shared" si="18"/>
        <v>10130400</v>
      </c>
      <c r="T12" s="79">
        <f t="shared" si="18"/>
        <v>1295383.2402234636</v>
      </c>
      <c r="U12" s="79">
        <f t="shared" si="18"/>
        <v>679132.96089385473</v>
      </c>
      <c r="V12" s="79">
        <f t="shared" si="18"/>
        <v>9281483.7988826819</v>
      </c>
      <c r="W12" s="79">
        <f t="shared" si="18"/>
        <v>11256000</v>
      </c>
      <c r="X12" s="79">
        <f t="shared" si="18"/>
        <v>0</v>
      </c>
      <c r="Y12" s="79">
        <f t="shared" si="18"/>
        <v>56594.41340782123</v>
      </c>
      <c r="Z12" s="79">
        <f t="shared" si="18"/>
        <v>55645.903685902435</v>
      </c>
    </row>
    <row r="13" spans="1:26" s="94" customFormat="1" x14ac:dyDescent="0.2">
      <c r="A13" s="83"/>
      <c r="B13" s="83"/>
      <c r="C13" s="83" t="s">
        <v>73</v>
      </c>
      <c r="D13" s="84"/>
      <c r="E13" s="93">
        <f>E12+E6</f>
        <v>2</v>
      </c>
      <c r="F13" s="83"/>
      <c r="G13" s="142"/>
      <c r="H13" s="87">
        <f>H12+H6</f>
        <v>500000000</v>
      </c>
      <c r="I13" s="87">
        <f>I12+I6</f>
        <v>500000000</v>
      </c>
      <c r="J13" s="83"/>
      <c r="K13" s="83"/>
      <c r="L13" s="83"/>
      <c r="M13" s="83"/>
      <c r="N13" s="83"/>
      <c r="O13" s="83"/>
      <c r="P13" s="83"/>
      <c r="Q13" s="87">
        <f t="shared" ref="Q13:Z13" si="19">Q12+Q6</f>
        <v>15898000</v>
      </c>
      <c r="R13" s="87">
        <f t="shared" si="19"/>
        <v>1589800</v>
      </c>
      <c r="S13" s="87">
        <f t="shared" si="19"/>
        <v>14308200</v>
      </c>
      <c r="T13" s="87">
        <f t="shared" si="19"/>
        <v>1915762.6794758001</v>
      </c>
      <c r="U13" s="87">
        <f t="shared" si="19"/>
        <v>1147671.278650864</v>
      </c>
      <c r="V13" s="87">
        <f t="shared" si="19"/>
        <v>12834566.041873336</v>
      </c>
      <c r="W13" s="87">
        <f t="shared" si="19"/>
        <v>15898000</v>
      </c>
      <c r="X13" s="87">
        <f t="shared" si="19"/>
        <v>0</v>
      </c>
      <c r="Y13" s="87">
        <f t="shared" si="19"/>
        <v>95639.273220905336</v>
      </c>
      <c r="Z13" s="87">
        <f t="shared" si="19"/>
        <v>93231.142571394623</v>
      </c>
    </row>
    <row r="16" spans="1:26" ht="23.25" x14ac:dyDescent="0.2">
      <c r="A16" s="86" t="s">
        <v>87</v>
      </c>
      <c r="B16" s="62"/>
      <c r="C16" s="62"/>
      <c r="D16" s="57"/>
      <c r="E16" s="63"/>
      <c r="F16" s="64"/>
      <c r="G16" s="139"/>
      <c r="H16" s="66"/>
      <c r="I16" s="66"/>
      <c r="J16" s="67"/>
      <c r="K16" s="67"/>
      <c r="L16" s="68"/>
      <c r="M16" s="68"/>
      <c r="N16" s="69"/>
      <c r="O16" s="69"/>
      <c r="P16" s="69"/>
      <c r="Q16" s="69"/>
      <c r="R16" s="69"/>
      <c r="S16" s="69"/>
      <c r="T16" s="70"/>
      <c r="U16" s="71"/>
      <c r="V16" s="71"/>
    </row>
    <row r="17" spans="1:26" x14ac:dyDescent="0.2">
      <c r="A17" s="231" t="s">
        <v>0</v>
      </c>
      <c r="B17" s="232" t="s">
        <v>1</v>
      </c>
      <c r="C17" s="229" t="s">
        <v>2</v>
      </c>
      <c r="D17" s="233" t="s">
        <v>3</v>
      </c>
      <c r="E17" s="234" t="s">
        <v>4</v>
      </c>
      <c r="F17" s="232" t="s">
        <v>5</v>
      </c>
      <c r="G17" s="237" t="s">
        <v>6</v>
      </c>
      <c r="H17" s="236" t="s">
        <v>7</v>
      </c>
      <c r="I17" s="236" t="s">
        <v>8</v>
      </c>
      <c r="J17" s="227" t="s">
        <v>9</v>
      </c>
      <c r="K17" s="227"/>
      <c r="L17" s="228" t="s">
        <v>10</v>
      </c>
      <c r="M17" s="229" t="s">
        <v>11</v>
      </c>
      <c r="N17" s="230" t="s">
        <v>12</v>
      </c>
      <c r="O17" s="230"/>
      <c r="P17" s="230"/>
      <c r="Q17" s="229" t="s">
        <v>13</v>
      </c>
      <c r="R17" s="229" t="s">
        <v>14</v>
      </c>
      <c r="S17" s="229" t="s">
        <v>15</v>
      </c>
      <c r="T17" s="36">
        <v>2021</v>
      </c>
      <c r="U17" s="37"/>
      <c r="V17" s="38" t="s">
        <v>44</v>
      </c>
    </row>
    <row r="18" spans="1:26" x14ac:dyDescent="0.2">
      <c r="A18" s="231"/>
      <c r="B18" s="232"/>
      <c r="C18" s="229"/>
      <c r="D18" s="233"/>
      <c r="E18" s="234"/>
      <c r="F18" s="232"/>
      <c r="G18" s="237"/>
      <c r="H18" s="236"/>
      <c r="I18" s="236"/>
      <c r="J18" s="227"/>
      <c r="K18" s="227"/>
      <c r="L18" s="228"/>
      <c r="M18" s="229"/>
      <c r="N18" s="163" t="s">
        <v>16</v>
      </c>
      <c r="O18" s="163" t="s">
        <v>17</v>
      </c>
      <c r="P18" s="163" t="s">
        <v>18</v>
      </c>
      <c r="Q18" s="229"/>
      <c r="R18" s="229"/>
      <c r="S18" s="229"/>
      <c r="T18" s="96" t="s">
        <v>100</v>
      </c>
      <c r="U18" s="39" t="s">
        <v>150</v>
      </c>
      <c r="V18" s="40"/>
    </row>
    <row r="19" spans="1:26" x14ac:dyDescent="0.2">
      <c r="A19" s="74">
        <v>3</v>
      </c>
      <c r="B19" s="107" t="s">
        <v>49</v>
      </c>
      <c r="C19" s="107" t="s">
        <v>78</v>
      </c>
      <c r="D19" s="110">
        <v>44237</v>
      </c>
      <c r="E19" s="74">
        <v>1</v>
      </c>
      <c r="F19" s="107" t="s">
        <v>79</v>
      </c>
      <c r="G19" s="141">
        <v>1</v>
      </c>
      <c r="H19" s="112">
        <v>40000000</v>
      </c>
      <c r="I19" s="112">
        <f>H19*G19</f>
        <v>40000000</v>
      </c>
      <c r="J19" s="110">
        <v>44245</v>
      </c>
      <c r="K19" s="77">
        <f>IFERROR(VALUE(DAY(J19)&amp;" "&amp;TEXT(EOMONTH(J19,L19)-29,"mmm")&amp;" "&amp;YEAR(EOMONTH(J19,L19)-29)),"-")</f>
        <v>44944</v>
      </c>
      <c r="L19" s="107">
        <v>24</v>
      </c>
      <c r="M19" s="99">
        <v>21.1</v>
      </c>
      <c r="N19" s="81">
        <f t="shared" ref="N19" si="20">M19*H19/1000</f>
        <v>844000</v>
      </c>
      <c r="O19" s="81"/>
      <c r="P19" s="81"/>
      <c r="Q19" s="81">
        <f t="shared" ref="Q19" si="21">N19+O19+P19</f>
        <v>844000</v>
      </c>
      <c r="R19" s="81">
        <f t="shared" ref="R19" si="22">10%*N19</f>
        <v>84400</v>
      </c>
      <c r="S19" s="81">
        <f t="shared" ref="S19" si="23">Q19-R19</f>
        <v>759600</v>
      </c>
      <c r="T19" s="42">
        <f>Q19*10%+(Y19*2)</f>
        <v>150452.1739130434</v>
      </c>
      <c r="U19" s="42">
        <f>Y19*12</f>
        <v>396313.0434782604</v>
      </c>
      <c r="V19" s="108">
        <f t="shared" ref="V19" si="24">Q19-T19-U19</f>
        <v>297234.78260869614</v>
      </c>
      <c r="W19" s="2">
        <f t="shared" ref="W19" si="25">T19+U19+V19</f>
        <v>843999.99999999988</v>
      </c>
      <c r="X19" s="2">
        <f t="shared" ref="X19" si="26">Q19-W19</f>
        <v>0</v>
      </c>
      <c r="Y19" s="2">
        <v>33026.0869565217</v>
      </c>
      <c r="Z19" s="109">
        <f>(Q19-T19)/(L19-1)</f>
        <v>30154.253308128544</v>
      </c>
    </row>
    <row r="20" spans="1:26" x14ac:dyDescent="0.2">
      <c r="A20" s="88"/>
      <c r="B20" s="84"/>
      <c r="C20" s="84"/>
      <c r="D20" s="84"/>
      <c r="E20" s="88">
        <f>SUM(E19:E19)</f>
        <v>1</v>
      </c>
      <c r="F20" s="84"/>
      <c r="G20" s="40"/>
      <c r="H20" s="59">
        <f>SUM(H19:H19)</f>
        <v>40000000</v>
      </c>
      <c r="I20" s="59">
        <f>SUM(I19:I19)</f>
        <v>40000000</v>
      </c>
      <c r="J20" s="59"/>
      <c r="K20" s="59"/>
      <c r="L20" s="59"/>
      <c r="M20" s="59"/>
      <c r="N20" s="59">
        <f t="shared" ref="N20:Z20" si="27">SUM(N19:N19)</f>
        <v>844000</v>
      </c>
      <c r="O20" s="59">
        <f t="shared" si="27"/>
        <v>0</v>
      </c>
      <c r="P20" s="59">
        <f t="shared" si="27"/>
        <v>0</v>
      </c>
      <c r="Q20" s="59">
        <f t="shared" si="27"/>
        <v>844000</v>
      </c>
      <c r="R20" s="59">
        <f t="shared" si="27"/>
        <v>84400</v>
      </c>
      <c r="S20" s="59">
        <f t="shared" si="27"/>
        <v>759600</v>
      </c>
      <c r="T20" s="59">
        <f t="shared" si="27"/>
        <v>150452.1739130434</v>
      </c>
      <c r="U20" s="59">
        <f t="shared" si="27"/>
        <v>396313.0434782604</v>
      </c>
      <c r="V20" s="59">
        <f t="shared" si="27"/>
        <v>297234.78260869614</v>
      </c>
      <c r="W20" s="59">
        <f t="shared" si="27"/>
        <v>843999.99999999988</v>
      </c>
      <c r="X20" s="59">
        <f t="shared" si="27"/>
        <v>0</v>
      </c>
      <c r="Y20" s="59">
        <f t="shared" si="27"/>
        <v>33026.0869565217</v>
      </c>
      <c r="Z20" s="59">
        <f t="shared" si="27"/>
        <v>30154.253308128544</v>
      </c>
    </row>
    <row r="21" spans="1:26" x14ac:dyDescent="0.2">
      <c r="A21" s="74">
        <v>4</v>
      </c>
      <c r="B21" s="107" t="s">
        <v>84</v>
      </c>
      <c r="C21" s="107" t="s">
        <v>85</v>
      </c>
      <c r="D21" s="110">
        <v>44286</v>
      </c>
      <c r="E21" s="74">
        <v>1</v>
      </c>
      <c r="F21" s="107" t="s">
        <v>86</v>
      </c>
      <c r="G21" s="141">
        <v>1</v>
      </c>
      <c r="H21" s="112">
        <v>300000000</v>
      </c>
      <c r="I21" s="112">
        <f>H21*G21</f>
        <v>300000000</v>
      </c>
      <c r="J21" s="110">
        <v>44263</v>
      </c>
      <c r="K21" s="77">
        <f t="shared" ref="K21" si="28">IFERROR(VALUE(DAY(J21)&amp;" "&amp;TEXT(EOMONTH(J21,L21)-29,"mmm")&amp;" "&amp;YEAR(EOMONTH(J21,L21)-29)),"-")</f>
        <v>44993</v>
      </c>
      <c r="L21" s="107">
        <v>24</v>
      </c>
      <c r="M21" s="99">
        <v>51.12</v>
      </c>
      <c r="N21" s="81">
        <f t="shared" ref="N21" si="29">M21*H21/1000</f>
        <v>15336000</v>
      </c>
      <c r="O21" s="81"/>
      <c r="P21" s="81"/>
      <c r="Q21" s="81">
        <f t="shared" ref="Q21" si="30">N21+O21+P21</f>
        <v>15336000</v>
      </c>
      <c r="R21" s="81">
        <f t="shared" ref="R21" si="31">10%*N21</f>
        <v>1533600</v>
      </c>
      <c r="S21" s="81">
        <f t="shared" ref="S21" si="32">Q21-R21</f>
        <v>13802400</v>
      </c>
      <c r="T21" s="42">
        <f>Q21*10%+(Y21*2)</f>
        <v>1646788.8268156424</v>
      </c>
      <c r="U21" s="42">
        <f>Y21*12</f>
        <v>679132.96089385473</v>
      </c>
      <c r="V21" s="108">
        <f t="shared" ref="V21" si="33">Q21-T21-U21</f>
        <v>13010078.212290503</v>
      </c>
      <c r="W21" s="2">
        <f t="shared" ref="W21" si="34">T21+U21+V21</f>
        <v>15336000</v>
      </c>
      <c r="X21" s="2">
        <f t="shared" ref="X21" si="35">Q21-W21</f>
        <v>0</v>
      </c>
      <c r="Y21" s="2">
        <v>56594.41340782123</v>
      </c>
      <c r="Z21" s="109">
        <f>(Q21-T21)/(L21-1)</f>
        <v>595183.09448627639</v>
      </c>
    </row>
    <row r="22" spans="1:26" x14ac:dyDescent="0.2">
      <c r="A22" s="88"/>
      <c r="B22" s="84"/>
      <c r="C22" s="84"/>
      <c r="D22" s="84"/>
      <c r="E22" s="88">
        <f>SUM(E21:E21)</f>
        <v>1</v>
      </c>
      <c r="F22" s="84"/>
      <c r="G22" s="40"/>
      <c r="H22" s="59">
        <f>SUM(H21:H21)</f>
        <v>300000000</v>
      </c>
      <c r="I22" s="59">
        <f>SUM(I21:I21)</f>
        <v>300000000</v>
      </c>
      <c r="J22" s="59"/>
      <c r="K22" s="59"/>
      <c r="L22" s="59"/>
      <c r="M22" s="59"/>
      <c r="N22" s="59">
        <f t="shared" ref="N22:Z22" si="36">SUM(N21:N21)</f>
        <v>15336000</v>
      </c>
      <c r="O22" s="59">
        <f t="shared" si="36"/>
        <v>0</v>
      </c>
      <c r="P22" s="59">
        <f t="shared" si="36"/>
        <v>0</v>
      </c>
      <c r="Q22" s="59">
        <f t="shared" si="36"/>
        <v>15336000</v>
      </c>
      <c r="R22" s="59">
        <f t="shared" si="36"/>
        <v>1533600</v>
      </c>
      <c r="S22" s="59">
        <f t="shared" si="36"/>
        <v>13802400</v>
      </c>
      <c r="T22" s="59">
        <f t="shared" si="36"/>
        <v>1646788.8268156424</v>
      </c>
      <c r="U22" s="59">
        <f t="shared" si="36"/>
        <v>679132.96089385473</v>
      </c>
      <c r="V22" s="59">
        <f t="shared" si="36"/>
        <v>13010078.212290503</v>
      </c>
      <c r="W22" s="59">
        <f t="shared" si="36"/>
        <v>15336000</v>
      </c>
      <c r="X22" s="59">
        <f t="shared" si="36"/>
        <v>0</v>
      </c>
      <c r="Y22" s="59">
        <f t="shared" si="36"/>
        <v>56594.41340782123</v>
      </c>
      <c r="Z22" s="59">
        <f t="shared" si="36"/>
        <v>595183.09448627639</v>
      </c>
    </row>
    <row r="23" spans="1:26" x14ac:dyDescent="0.2">
      <c r="A23" s="83"/>
      <c r="B23" s="83"/>
      <c r="C23" s="83" t="s">
        <v>92</v>
      </c>
      <c r="D23" s="84"/>
      <c r="E23" s="93">
        <f>E22+E20</f>
        <v>2</v>
      </c>
      <c r="F23" s="87">
        <f t="shared" ref="F23:Z23" si="37">F22+F20</f>
        <v>0</v>
      </c>
      <c r="G23" s="87">
        <f t="shared" si="37"/>
        <v>0</v>
      </c>
      <c r="H23" s="87">
        <f t="shared" si="37"/>
        <v>340000000</v>
      </c>
      <c r="I23" s="87">
        <f t="shared" si="37"/>
        <v>340000000</v>
      </c>
      <c r="J23" s="87">
        <f t="shared" si="37"/>
        <v>0</v>
      </c>
      <c r="K23" s="87">
        <f t="shared" si="37"/>
        <v>0</v>
      </c>
      <c r="L23" s="87"/>
      <c r="M23" s="87"/>
      <c r="N23" s="87">
        <f t="shared" si="37"/>
        <v>16180000</v>
      </c>
      <c r="O23" s="87">
        <f t="shared" si="37"/>
        <v>0</v>
      </c>
      <c r="P23" s="87">
        <f t="shared" si="37"/>
        <v>0</v>
      </c>
      <c r="Q23" s="87">
        <f t="shared" si="37"/>
        <v>16180000</v>
      </c>
      <c r="R23" s="87">
        <f t="shared" si="37"/>
        <v>1618000</v>
      </c>
      <c r="S23" s="87">
        <f t="shared" si="37"/>
        <v>14562000</v>
      </c>
      <c r="T23" s="87">
        <f t="shared" si="37"/>
        <v>1797241.0007286859</v>
      </c>
      <c r="U23" s="87">
        <f t="shared" si="37"/>
        <v>1075446.0043721152</v>
      </c>
      <c r="V23" s="87">
        <f t="shared" si="37"/>
        <v>13307312.994899198</v>
      </c>
      <c r="W23" s="87">
        <f t="shared" si="37"/>
        <v>16180000</v>
      </c>
      <c r="X23" s="87">
        <f t="shared" si="37"/>
        <v>0</v>
      </c>
      <c r="Y23" s="87">
        <f t="shared" si="37"/>
        <v>89620.500364342937</v>
      </c>
      <c r="Z23" s="87">
        <f t="shared" si="37"/>
        <v>625337.34779440495</v>
      </c>
    </row>
    <row r="24" spans="1:26" x14ac:dyDescent="0.2">
      <c r="A24" s="89"/>
      <c r="B24" s="89"/>
      <c r="C24" s="83" t="s">
        <v>93</v>
      </c>
      <c r="D24" s="89"/>
      <c r="E24" s="91">
        <f>E23+E13</f>
        <v>4</v>
      </c>
      <c r="F24" s="91">
        <f t="shared" ref="F24:Z24" si="38">F23+F13</f>
        <v>0</v>
      </c>
      <c r="G24" s="91">
        <f t="shared" si="38"/>
        <v>0</v>
      </c>
      <c r="H24" s="91">
        <f t="shared" si="38"/>
        <v>840000000</v>
      </c>
      <c r="I24" s="91">
        <f t="shared" si="38"/>
        <v>840000000</v>
      </c>
      <c r="J24" s="91">
        <f t="shared" si="38"/>
        <v>0</v>
      </c>
      <c r="K24" s="91">
        <f t="shared" si="38"/>
        <v>0</v>
      </c>
      <c r="L24" s="91">
        <f t="shared" si="38"/>
        <v>0</v>
      </c>
      <c r="M24" s="91">
        <f t="shared" si="38"/>
        <v>0</v>
      </c>
      <c r="N24" s="91">
        <f t="shared" si="38"/>
        <v>16180000</v>
      </c>
      <c r="O24" s="91">
        <f t="shared" si="38"/>
        <v>0</v>
      </c>
      <c r="P24" s="91">
        <f t="shared" si="38"/>
        <v>0</v>
      </c>
      <c r="Q24" s="91">
        <f t="shared" si="38"/>
        <v>32078000</v>
      </c>
      <c r="R24" s="91">
        <f t="shared" si="38"/>
        <v>3207800</v>
      </c>
      <c r="S24" s="91">
        <f t="shared" si="38"/>
        <v>28870200</v>
      </c>
      <c r="T24" s="91">
        <f t="shared" si="38"/>
        <v>3713003.680204486</v>
      </c>
      <c r="U24" s="91">
        <f t="shared" si="38"/>
        <v>2223117.2830229793</v>
      </c>
      <c r="V24" s="91">
        <f t="shared" si="38"/>
        <v>26141879.036772534</v>
      </c>
      <c r="W24" s="91">
        <f t="shared" si="38"/>
        <v>32078000</v>
      </c>
      <c r="X24" s="91">
        <f t="shared" si="38"/>
        <v>0</v>
      </c>
      <c r="Y24" s="91">
        <f t="shared" si="38"/>
        <v>185259.77358524827</v>
      </c>
      <c r="Z24" s="91">
        <f t="shared" si="38"/>
        <v>718568.49036579952</v>
      </c>
    </row>
    <row r="25" spans="1:26" x14ac:dyDescent="0.2">
      <c r="D25" s="3"/>
      <c r="E25" s="3"/>
    </row>
    <row r="26" spans="1:26" ht="23.25" x14ac:dyDescent="0.2">
      <c r="A26" s="86" t="s">
        <v>117</v>
      </c>
      <c r="B26" s="62"/>
      <c r="C26" s="62"/>
      <c r="D26" s="57"/>
      <c r="E26" s="63"/>
      <c r="F26" s="64"/>
      <c r="G26" s="139"/>
      <c r="H26" s="66"/>
      <c r="I26" s="66"/>
      <c r="J26" s="67"/>
      <c r="K26" s="67"/>
      <c r="L26" s="68"/>
      <c r="M26" s="68"/>
      <c r="N26" s="69"/>
      <c r="O26" s="69"/>
      <c r="P26" s="69"/>
      <c r="Q26" s="69"/>
      <c r="R26" s="69"/>
      <c r="S26" s="69"/>
      <c r="T26" s="70"/>
      <c r="U26" s="71"/>
      <c r="V26" s="71"/>
    </row>
    <row r="27" spans="1:26" x14ac:dyDescent="0.2">
      <c r="A27" s="231" t="s">
        <v>0</v>
      </c>
      <c r="B27" s="232" t="s">
        <v>1</v>
      </c>
      <c r="C27" s="229" t="s">
        <v>2</v>
      </c>
      <c r="D27" s="233" t="s">
        <v>3</v>
      </c>
      <c r="E27" s="234" t="s">
        <v>4</v>
      </c>
      <c r="F27" s="232" t="s">
        <v>5</v>
      </c>
      <c r="G27" s="237" t="s">
        <v>6</v>
      </c>
      <c r="H27" s="236" t="s">
        <v>7</v>
      </c>
      <c r="I27" s="236" t="s">
        <v>8</v>
      </c>
      <c r="J27" s="227" t="s">
        <v>9</v>
      </c>
      <c r="K27" s="227"/>
      <c r="L27" s="228" t="s">
        <v>10</v>
      </c>
      <c r="M27" s="229" t="s">
        <v>11</v>
      </c>
      <c r="N27" s="230" t="s">
        <v>12</v>
      </c>
      <c r="O27" s="230"/>
      <c r="P27" s="230"/>
      <c r="Q27" s="229" t="s">
        <v>13</v>
      </c>
      <c r="R27" s="229" t="s">
        <v>14</v>
      </c>
      <c r="S27" s="229" t="s">
        <v>15</v>
      </c>
      <c r="T27" s="36">
        <v>2021</v>
      </c>
      <c r="U27" s="37"/>
      <c r="V27" s="38" t="s">
        <v>44</v>
      </c>
    </row>
    <row r="28" spans="1:26" x14ac:dyDescent="0.2">
      <c r="A28" s="231"/>
      <c r="B28" s="232"/>
      <c r="C28" s="229"/>
      <c r="D28" s="233"/>
      <c r="E28" s="234"/>
      <c r="F28" s="232"/>
      <c r="G28" s="237"/>
      <c r="H28" s="236"/>
      <c r="I28" s="236"/>
      <c r="J28" s="227"/>
      <c r="K28" s="227"/>
      <c r="L28" s="228"/>
      <c r="M28" s="229"/>
      <c r="N28" s="163" t="s">
        <v>16</v>
      </c>
      <c r="O28" s="163" t="s">
        <v>17</v>
      </c>
      <c r="P28" s="163" t="s">
        <v>18</v>
      </c>
      <c r="Q28" s="229"/>
      <c r="R28" s="229"/>
      <c r="S28" s="229"/>
      <c r="T28" s="96" t="s">
        <v>152</v>
      </c>
      <c r="U28" s="39" t="s">
        <v>150</v>
      </c>
      <c r="V28" s="40"/>
    </row>
    <row r="29" spans="1:26" x14ac:dyDescent="0.2">
      <c r="A29" s="74">
        <v>5</v>
      </c>
      <c r="B29" s="107" t="s">
        <v>46</v>
      </c>
      <c r="C29" s="107" t="s">
        <v>96</v>
      </c>
      <c r="D29" s="110">
        <v>44313</v>
      </c>
      <c r="E29" s="74">
        <v>1</v>
      </c>
      <c r="F29" s="107" t="s">
        <v>47</v>
      </c>
      <c r="G29" s="111">
        <v>1</v>
      </c>
      <c r="H29" s="112">
        <v>57599206</v>
      </c>
      <c r="I29" s="112">
        <f>H29*G29</f>
        <v>57599206</v>
      </c>
      <c r="J29" s="110">
        <v>46069</v>
      </c>
      <c r="K29" s="77">
        <v>46446</v>
      </c>
      <c r="L29" s="107">
        <v>12</v>
      </c>
      <c r="M29" s="99">
        <v>9.1</v>
      </c>
      <c r="N29" s="81">
        <f t="shared" ref="N29:N30" si="39">M29*H29/1000</f>
        <v>524152.77459999995</v>
      </c>
      <c r="O29" s="81">
        <v>100000</v>
      </c>
      <c r="P29" s="81"/>
      <c r="Q29" s="81">
        <f t="shared" ref="Q29:Q30" si="40">N29+O29+P29</f>
        <v>624152.77459999989</v>
      </c>
      <c r="R29" s="81"/>
      <c r="S29" s="81">
        <f t="shared" ref="S29:S30" si="41">Q29-R29</f>
        <v>624152.77459999989</v>
      </c>
      <c r="T29" s="42">
        <f>Q29*10%+Y29</f>
        <v>113482.32265454542</v>
      </c>
      <c r="U29" s="42">
        <f>Y29*10</f>
        <v>510670.45194545441</v>
      </c>
      <c r="V29" s="108">
        <f t="shared" ref="V29:V41" si="42">Q29-T29-U29</f>
        <v>0</v>
      </c>
      <c r="W29" s="2">
        <f t="shared" ref="W29:W41" si="43">T29+U29+V29</f>
        <v>624152.77459999989</v>
      </c>
      <c r="X29" s="2">
        <f t="shared" ref="X29:X41" si="44">Q29-W29</f>
        <v>0</v>
      </c>
      <c r="Y29" s="2">
        <v>51067.045194545441</v>
      </c>
      <c r="Z29" s="109">
        <f>(Q29-T29)/(L29-1)</f>
        <v>46424.58654049586</v>
      </c>
    </row>
    <row r="30" spans="1:26" x14ac:dyDescent="0.2">
      <c r="A30" s="74"/>
      <c r="B30" s="107"/>
      <c r="C30" s="107"/>
      <c r="D30" s="110"/>
      <c r="E30" s="74">
        <v>1</v>
      </c>
      <c r="F30" s="107" t="s">
        <v>48</v>
      </c>
      <c r="G30" s="111">
        <v>1</v>
      </c>
      <c r="H30" s="112">
        <v>11844392</v>
      </c>
      <c r="I30" s="112">
        <f>H30*G30</f>
        <v>11844392</v>
      </c>
      <c r="J30" s="110">
        <v>46523</v>
      </c>
      <c r="K30" s="77">
        <v>46768</v>
      </c>
      <c r="L30" s="107">
        <v>8</v>
      </c>
      <c r="M30" s="99">
        <v>5.46</v>
      </c>
      <c r="N30" s="81">
        <f t="shared" si="39"/>
        <v>64670.380320000004</v>
      </c>
      <c r="O30" s="81">
        <v>100000</v>
      </c>
      <c r="P30" s="81"/>
      <c r="Q30" s="81">
        <f t="shared" si="40"/>
        <v>164670.38032</v>
      </c>
      <c r="R30" s="81"/>
      <c r="S30" s="81">
        <f t="shared" si="41"/>
        <v>164670.38032</v>
      </c>
      <c r="T30" s="42">
        <f>Q30*10%+Y30</f>
        <v>37638.944073142855</v>
      </c>
      <c r="U30" s="42">
        <f>Y30*6</f>
        <v>127031.43624685713</v>
      </c>
      <c r="V30" s="108">
        <f t="shared" si="42"/>
        <v>0</v>
      </c>
      <c r="W30" s="2">
        <f t="shared" si="43"/>
        <v>164670.38032</v>
      </c>
      <c r="X30" s="2">
        <f t="shared" si="44"/>
        <v>0</v>
      </c>
      <c r="Y30" s="2">
        <v>21171.906041142855</v>
      </c>
      <c r="Z30" s="109">
        <f t="shared" ref="Z30:Z41" si="45">(Q30-T30)/(L30-1)</f>
        <v>18147.348035265306</v>
      </c>
    </row>
    <row r="31" spans="1:26" x14ac:dyDescent="0.2">
      <c r="A31" s="88"/>
      <c r="B31" s="84"/>
      <c r="C31" s="84"/>
      <c r="D31" s="84"/>
      <c r="E31" s="88"/>
      <c r="F31" s="84"/>
      <c r="G31" s="115"/>
      <c r="H31" s="59"/>
      <c r="I31" s="59"/>
      <c r="J31" s="59"/>
      <c r="K31" s="59"/>
      <c r="L31" s="59"/>
      <c r="M31" s="59"/>
      <c r="N31" s="59">
        <f t="shared" ref="N31:Z31" si="46">SUM(N29:N30)</f>
        <v>588823.15492</v>
      </c>
      <c r="O31" s="59">
        <f t="shared" si="46"/>
        <v>200000</v>
      </c>
      <c r="P31" s="59">
        <f t="shared" si="46"/>
        <v>0</v>
      </c>
      <c r="Q31" s="59">
        <f t="shared" si="46"/>
        <v>788823.15491999988</v>
      </c>
      <c r="R31" s="59">
        <f t="shared" si="46"/>
        <v>0</v>
      </c>
      <c r="S31" s="59">
        <f t="shared" si="46"/>
        <v>788823.15491999988</v>
      </c>
      <c r="T31" s="59">
        <f t="shared" si="46"/>
        <v>151121.26672768829</v>
      </c>
      <c r="U31" s="59">
        <f t="shared" si="46"/>
        <v>637701.88819231151</v>
      </c>
      <c r="V31" s="59">
        <f t="shared" si="46"/>
        <v>0</v>
      </c>
      <c r="W31" s="59">
        <f t="shared" si="46"/>
        <v>788823.15491999988</v>
      </c>
      <c r="X31" s="59">
        <f t="shared" si="46"/>
        <v>0</v>
      </c>
      <c r="Y31" s="59">
        <f t="shared" si="46"/>
        <v>72238.951235688291</v>
      </c>
      <c r="Z31" s="59">
        <f t="shared" si="46"/>
        <v>64571.934575761166</v>
      </c>
    </row>
    <row r="32" spans="1:26" x14ac:dyDescent="0.2">
      <c r="A32" s="74">
        <v>6</v>
      </c>
      <c r="B32" s="107" t="s">
        <v>49</v>
      </c>
      <c r="C32" s="107" t="s">
        <v>101</v>
      </c>
      <c r="D32" s="110">
        <v>44301</v>
      </c>
      <c r="E32" s="74">
        <v>1</v>
      </c>
      <c r="F32" s="107" t="s">
        <v>102</v>
      </c>
      <c r="G32" s="111">
        <v>1</v>
      </c>
      <c r="H32" s="112">
        <v>35000000</v>
      </c>
      <c r="I32" s="112">
        <f>H32*G32</f>
        <v>35000000</v>
      </c>
      <c r="J32" s="110">
        <v>44278</v>
      </c>
      <c r="K32" s="77">
        <f t="shared" ref="K32" si="47">IFERROR(VALUE(DAY(J32)&amp;" "&amp;TEXT(EOMONTH(J32,L32)-29,"mmm")&amp;" "&amp;YEAR(EOMONTH(J32,L32)-29)),"-")</f>
        <v>45374</v>
      </c>
      <c r="L32" s="107">
        <v>36</v>
      </c>
      <c r="M32" s="99">
        <v>31.16</v>
      </c>
      <c r="N32" s="81">
        <f t="shared" ref="N32" si="48">M32*H32/1000</f>
        <v>1090600</v>
      </c>
      <c r="O32" s="81"/>
      <c r="P32" s="81"/>
      <c r="Q32" s="81">
        <f t="shared" ref="Q32" si="49">N32+O32+P32</f>
        <v>1090600</v>
      </c>
      <c r="R32" s="81">
        <f t="shared" ref="R32" si="50">10%*N32</f>
        <v>109060</v>
      </c>
      <c r="S32" s="81">
        <f t="shared" ref="S32" si="51">Q32-R32</f>
        <v>981540</v>
      </c>
      <c r="T32" s="42">
        <f>Q32*10%+Y32</f>
        <v>137104</v>
      </c>
      <c r="U32" s="42">
        <f t="shared" ref="U32:U41" si="52">Y32*12</f>
        <v>336528</v>
      </c>
      <c r="V32" s="108">
        <f t="shared" si="42"/>
        <v>616968</v>
      </c>
      <c r="W32" s="2">
        <f t="shared" si="43"/>
        <v>1090600</v>
      </c>
      <c r="X32" s="2">
        <f t="shared" si="44"/>
        <v>0</v>
      </c>
      <c r="Y32" s="2">
        <v>28044</v>
      </c>
      <c r="Z32" s="109">
        <f t="shared" si="45"/>
        <v>27242.742857142857</v>
      </c>
    </row>
    <row r="33" spans="1:26" x14ac:dyDescent="0.2">
      <c r="A33" s="88"/>
      <c r="B33" s="84"/>
      <c r="C33" s="84"/>
      <c r="D33" s="84"/>
      <c r="E33" s="88">
        <f>SUM(E32:E32)</f>
        <v>1</v>
      </c>
      <c r="F33" s="84"/>
      <c r="G33" s="115"/>
      <c r="H33" s="59">
        <f>SUM(H32:H32)</f>
        <v>35000000</v>
      </c>
      <c r="I33" s="59">
        <f>SUM(I32:I32)</f>
        <v>35000000</v>
      </c>
      <c r="J33" s="59"/>
      <c r="K33" s="59"/>
      <c r="L33" s="59"/>
      <c r="M33" s="59"/>
      <c r="N33" s="59">
        <f t="shared" ref="N33:Z33" si="53">SUM(N32:N32)</f>
        <v>1090600</v>
      </c>
      <c r="O33" s="59">
        <f t="shared" si="53"/>
        <v>0</v>
      </c>
      <c r="P33" s="59">
        <f t="shared" si="53"/>
        <v>0</v>
      </c>
      <c r="Q33" s="59">
        <f t="shared" si="53"/>
        <v>1090600</v>
      </c>
      <c r="R33" s="59">
        <f t="shared" si="53"/>
        <v>109060</v>
      </c>
      <c r="S33" s="59">
        <f t="shared" si="53"/>
        <v>981540</v>
      </c>
      <c r="T33" s="59">
        <f t="shared" si="53"/>
        <v>137104</v>
      </c>
      <c r="U33" s="59">
        <f t="shared" si="53"/>
        <v>336528</v>
      </c>
      <c r="V33" s="59">
        <f t="shared" si="53"/>
        <v>616968</v>
      </c>
      <c r="W33" s="59">
        <f t="shared" si="53"/>
        <v>1090600</v>
      </c>
      <c r="X33" s="59">
        <f t="shared" si="53"/>
        <v>0</v>
      </c>
      <c r="Y33" s="59">
        <f t="shared" si="53"/>
        <v>28044</v>
      </c>
      <c r="Z33" s="59">
        <f t="shared" si="53"/>
        <v>27242.742857142857</v>
      </c>
    </row>
    <row r="34" spans="1:26" x14ac:dyDescent="0.2">
      <c r="A34" s="74">
        <v>7</v>
      </c>
      <c r="B34" s="107" t="s">
        <v>49</v>
      </c>
      <c r="C34" s="107" t="s">
        <v>103</v>
      </c>
      <c r="D34" s="110">
        <v>44316</v>
      </c>
      <c r="E34" s="74">
        <v>1</v>
      </c>
      <c r="F34" s="107" t="s">
        <v>104</v>
      </c>
      <c r="G34" s="111">
        <v>1</v>
      </c>
      <c r="H34" s="112">
        <v>83000000</v>
      </c>
      <c r="I34" s="112">
        <f>H34*G34</f>
        <v>83000000</v>
      </c>
      <c r="J34" s="110">
        <v>44315</v>
      </c>
      <c r="K34" s="77">
        <f>IFERROR(VALUE(DAY(J34)&amp;" "&amp;TEXT(EOMONTH(J34,L34)-29,"mmm")&amp;" "&amp;YEAR(EOMONTH(J34,L34)-29)),"-")</f>
        <v>46506</v>
      </c>
      <c r="L34" s="107">
        <v>72</v>
      </c>
      <c r="M34" s="99">
        <v>50.64</v>
      </c>
      <c r="N34" s="81">
        <f t="shared" ref="N34" si="54">M34*H34/1000</f>
        <v>4203120</v>
      </c>
      <c r="O34" s="81"/>
      <c r="P34" s="81"/>
      <c r="Q34" s="81">
        <f t="shared" ref="Q34" si="55">N34+O34+P34</f>
        <v>4203120</v>
      </c>
      <c r="R34" s="81">
        <f t="shared" ref="R34" si="56">10%*N34</f>
        <v>420312</v>
      </c>
      <c r="S34" s="81">
        <f t="shared" ref="S34" si="57">Q34-R34</f>
        <v>3782808</v>
      </c>
      <c r="T34" s="42">
        <f>Q34*10%+Y34</f>
        <v>473590.98591549299</v>
      </c>
      <c r="U34" s="42">
        <f t="shared" si="52"/>
        <v>639347.8309859155</v>
      </c>
      <c r="V34" s="108">
        <f t="shared" si="42"/>
        <v>3090181.1830985914</v>
      </c>
      <c r="W34" s="2">
        <f t="shared" si="43"/>
        <v>4203120</v>
      </c>
      <c r="X34" s="2">
        <f t="shared" si="44"/>
        <v>0</v>
      </c>
      <c r="Y34" s="2">
        <v>53278.985915492958</v>
      </c>
      <c r="Z34" s="109">
        <f t="shared" si="45"/>
        <v>52528.577663162068</v>
      </c>
    </row>
    <row r="35" spans="1:26" x14ac:dyDescent="0.2">
      <c r="A35" s="150"/>
      <c r="B35" s="90"/>
      <c r="C35" s="90"/>
      <c r="D35" s="90"/>
      <c r="E35" s="150">
        <f>SUM(E34:E34)</f>
        <v>1</v>
      </c>
      <c r="F35" s="90"/>
      <c r="G35" s="151"/>
      <c r="H35" s="152">
        <f>SUM(H34:H34)</f>
        <v>83000000</v>
      </c>
      <c r="I35" s="152">
        <f>SUM(I34:I34)</f>
        <v>83000000</v>
      </c>
      <c r="J35" s="152"/>
      <c r="K35" s="152"/>
      <c r="L35" s="152"/>
      <c r="M35" s="152"/>
      <c r="N35" s="152">
        <f t="shared" ref="N35:Z35" si="58">SUM(N34:N34)</f>
        <v>4203120</v>
      </c>
      <c r="O35" s="152">
        <f t="shared" si="58"/>
        <v>0</v>
      </c>
      <c r="P35" s="152">
        <f t="shared" si="58"/>
        <v>0</v>
      </c>
      <c r="Q35" s="152">
        <f t="shared" si="58"/>
        <v>4203120</v>
      </c>
      <c r="R35" s="152">
        <f t="shared" si="58"/>
        <v>420312</v>
      </c>
      <c r="S35" s="152">
        <f t="shared" si="58"/>
        <v>3782808</v>
      </c>
      <c r="T35" s="152">
        <f t="shared" si="58"/>
        <v>473590.98591549299</v>
      </c>
      <c r="U35" s="152">
        <f t="shared" si="58"/>
        <v>639347.8309859155</v>
      </c>
      <c r="V35" s="152">
        <f t="shared" si="58"/>
        <v>3090181.1830985914</v>
      </c>
      <c r="W35" s="152">
        <f t="shared" si="58"/>
        <v>4203120</v>
      </c>
      <c r="X35" s="152">
        <f t="shared" si="58"/>
        <v>0</v>
      </c>
      <c r="Y35" s="152">
        <f t="shared" si="58"/>
        <v>53278.985915492958</v>
      </c>
      <c r="Z35" s="152">
        <f t="shared" si="58"/>
        <v>52528.577663162068</v>
      </c>
    </row>
    <row r="36" spans="1:26" x14ac:dyDescent="0.2">
      <c r="A36" s="74">
        <v>8</v>
      </c>
      <c r="B36" s="107" t="s">
        <v>49</v>
      </c>
      <c r="C36" s="107" t="s">
        <v>105</v>
      </c>
      <c r="D36" s="110">
        <v>44316</v>
      </c>
      <c r="E36" s="74">
        <v>1</v>
      </c>
      <c r="F36" s="107" t="s">
        <v>106</v>
      </c>
      <c r="G36" s="111">
        <v>1</v>
      </c>
      <c r="H36" s="112">
        <v>35000000</v>
      </c>
      <c r="I36" s="112">
        <f>H36*G36</f>
        <v>35000000</v>
      </c>
      <c r="J36" s="110">
        <v>44313</v>
      </c>
      <c r="K36" s="77">
        <f>IFERROR(VALUE(DAY(J36)&amp;" "&amp;TEXT(EOMONTH(J36,L36)-29,"mmm")&amp;" "&amp;YEAR(EOMONTH(J36,L36)-29)),"-")</f>
        <v>45409</v>
      </c>
      <c r="L36" s="107">
        <v>36</v>
      </c>
      <c r="M36" s="99">
        <v>30.71</v>
      </c>
      <c r="N36" s="81">
        <f t="shared" ref="N36" si="59">M36*H36/1000</f>
        <v>1074850</v>
      </c>
      <c r="O36" s="81"/>
      <c r="P36" s="81"/>
      <c r="Q36" s="81">
        <f t="shared" ref="Q36" si="60">N36+O36+P36</f>
        <v>1074850</v>
      </c>
      <c r="R36" s="81">
        <f t="shared" ref="R36" si="61">10%*N36</f>
        <v>107485</v>
      </c>
      <c r="S36" s="81">
        <f t="shared" ref="S36" si="62">Q36-R36</f>
        <v>967365</v>
      </c>
      <c r="T36" s="42">
        <f>Q36*10%+Y36</f>
        <v>135124</v>
      </c>
      <c r="U36" s="42">
        <f t="shared" si="52"/>
        <v>331668</v>
      </c>
      <c r="V36" s="108">
        <f t="shared" si="42"/>
        <v>608058</v>
      </c>
      <c r="W36" s="2">
        <f t="shared" si="43"/>
        <v>1074850</v>
      </c>
      <c r="X36" s="2">
        <f t="shared" si="44"/>
        <v>0</v>
      </c>
      <c r="Y36" s="2">
        <v>27639</v>
      </c>
      <c r="Z36" s="109">
        <f t="shared" si="45"/>
        <v>26849.314285714285</v>
      </c>
    </row>
    <row r="37" spans="1:26" x14ac:dyDescent="0.2">
      <c r="A37" s="150"/>
      <c r="B37" s="90"/>
      <c r="C37" s="90"/>
      <c r="D37" s="90"/>
      <c r="E37" s="150">
        <f>SUM(E36:E36)</f>
        <v>1</v>
      </c>
      <c r="F37" s="90"/>
      <c r="G37" s="151"/>
      <c r="H37" s="152">
        <f>SUM(H36:H36)</f>
        <v>35000000</v>
      </c>
      <c r="I37" s="152">
        <f>SUM(I36:I36)</f>
        <v>35000000</v>
      </c>
      <c r="J37" s="152"/>
      <c r="K37" s="152"/>
      <c r="L37" s="152"/>
      <c r="M37" s="152"/>
      <c r="N37" s="152">
        <f t="shared" ref="N37:Z37" si="63">SUM(N36:N36)</f>
        <v>1074850</v>
      </c>
      <c r="O37" s="152">
        <f t="shared" si="63"/>
        <v>0</v>
      </c>
      <c r="P37" s="152">
        <f t="shared" si="63"/>
        <v>0</v>
      </c>
      <c r="Q37" s="152">
        <f t="shared" si="63"/>
        <v>1074850</v>
      </c>
      <c r="R37" s="152">
        <f t="shared" si="63"/>
        <v>107485</v>
      </c>
      <c r="S37" s="152">
        <f t="shared" si="63"/>
        <v>967365</v>
      </c>
      <c r="T37" s="152">
        <f t="shared" si="63"/>
        <v>135124</v>
      </c>
      <c r="U37" s="152">
        <f t="shared" si="63"/>
        <v>331668</v>
      </c>
      <c r="V37" s="152">
        <f t="shared" si="63"/>
        <v>608058</v>
      </c>
      <c r="W37" s="152">
        <f t="shared" si="63"/>
        <v>1074850</v>
      </c>
      <c r="X37" s="152">
        <f t="shared" si="63"/>
        <v>0</v>
      </c>
      <c r="Y37" s="152">
        <f t="shared" si="63"/>
        <v>27639</v>
      </c>
      <c r="Z37" s="152">
        <f t="shared" si="63"/>
        <v>26849.314285714285</v>
      </c>
    </row>
    <row r="38" spans="1:26" x14ac:dyDescent="0.2">
      <c r="A38" s="74">
        <v>9</v>
      </c>
      <c r="B38" s="107" t="s">
        <v>49</v>
      </c>
      <c r="C38" s="107" t="s">
        <v>108</v>
      </c>
      <c r="D38" s="110">
        <v>44316</v>
      </c>
      <c r="E38" s="74">
        <v>1</v>
      </c>
      <c r="F38" s="107" t="s">
        <v>109</v>
      </c>
      <c r="G38" s="111">
        <v>1</v>
      </c>
      <c r="H38" s="112">
        <v>220000000</v>
      </c>
      <c r="I38" s="112">
        <f>H38*G38</f>
        <v>220000000</v>
      </c>
      <c r="J38" s="110">
        <v>44300</v>
      </c>
      <c r="K38" s="77">
        <f>IFERROR(VALUE(DAY(J38)&amp;" "&amp;TEXT(EOMONTH(J38,L38)-29,"mmm")&amp;" "&amp;YEAR(EOMONTH(J38,L38)-29)),"-")</f>
        <v>47952</v>
      </c>
      <c r="L38" s="107">
        <v>120</v>
      </c>
      <c r="M38" s="99">
        <v>25.48</v>
      </c>
      <c r="N38" s="81">
        <f t="shared" ref="N38:N39" si="64">M38*H38/1000</f>
        <v>5605600</v>
      </c>
      <c r="O38" s="81"/>
      <c r="P38" s="81"/>
      <c r="Q38" s="81">
        <f t="shared" ref="Q38:Q39" si="65">N38+O38+P38</f>
        <v>5605600</v>
      </c>
      <c r="R38" s="81">
        <f t="shared" ref="R38:R39" si="66">10%*N38</f>
        <v>560560</v>
      </c>
      <c r="S38" s="81">
        <f t="shared" ref="S38:S39" si="67">Q38-R38</f>
        <v>5045040</v>
      </c>
      <c r="T38" s="42">
        <f t="shared" ref="T38:T39" si="68">Q38*10%+Y38</f>
        <v>602955.29411764711</v>
      </c>
      <c r="U38" s="42">
        <f t="shared" si="52"/>
        <v>508743.5294117647</v>
      </c>
      <c r="V38" s="108">
        <f t="shared" si="42"/>
        <v>4493901.176470588</v>
      </c>
      <c r="W38" s="2">
        <f t="shared" si="43"/>
        <v>5605600</v>
      </c>
      <c r="X38" s="2">
        <f t="shared" si="44"/>
        <v>0</v>
      </c>
      <c r="Y38" s="2">
        <v>42395.294117647056</v>
      </c>
      <c r="Z38" s="109">
        <f t="shared" si="45"/>
        <v>42039.031141868509</v>
      </c>
    </row>
    <row r="39" spans="1:26" x14ac:dyDescent="0.2">
      <c r="A39" s="74"/>
      <c r="B39" s="107"/>
      <c r="C39" s="107"/>
      <c r="D39" s="110"/>
      <c r="E39" s="74">
        <v>1</v>
      </c>
      <c r="F39" s="107" t="s">
        <v>110</v>
      </c>
      <c r="G39" s="111">
        <v>1</v>
      </c>
      <c r="H39" s="112">
        <v>160000000</v>
      </c>
      <c r="I39" s="112">
        <f>H39*G39</f>
        <v>160000000</v>
      </c>
      <c r="J39" s="110">
        <v>44305</v>
      </c>
      <c r="K39" s="77">
        <f>IFERROR(VALUE(DAY(J39)&amp;" "&amp;TEXT(EOMONTH(J39,L39)-29,"mmm")&amp;" "&amp;YEAR(EOMONTH(J39,L39)-29)),"-")</f>
        <v>45554</v>
      </c>
      <c r="L39" s="107">
        <v>41</v>
      </c>
      <c r="M39" s="99">
        <v>11.38</v>
      </c>
      <c r="N39" s="81">
        <f t="shared" si="64"/>
        <v>1820800.0000000002</v>
      </c>
      <c r="O39" s="81"/>
      <c r="P39" s="81"/>
      <c r="Q39" s="81">
        <f t="shared" si="65"/>
        <v>1820800.0000000002</v>
      </c>
      <c r="R39" s="81">
        <f t="shared" si="66"/>
        <v>182080.00000000003</v>
      </c>
      <c r="S39" s="81">
        <f t="shared" si="67"/>
        <v>1638720.0000000002</v>
      </c>
      <c r="T39" s="42">
        <f t="shared" si="68"/>
        <v>223048.00000000003</v>
      </c>
      <c r="U39" s="42">
        <f t="shared" si="52"/>
        <v>491616.00000000012</v>
      </c>
      <c r="V39" s="108">
        <f t="shared" si="42"/>
        <v>1106136</v>
      </c>
      <c r="W39" s="2">
        <f t="shared" si="43"/>
        <v>1820800</v>
      </c>
      <c r="X39" s="2">
        <f t="shared" si="44"/>
        <v>0</v>
      </c>
      <c r="Y39" s="2">
        <v>40968.000000000007</v>
      </c>
      <c r="Z39" s="109">
        <f t="shared" si="45"/>
        <v>39943.800000000003</v>
      </c>
    </row>
    <row r="40" spans="1:26" x14ac:dyDescent="0.2">
      <c r="A40" s="88"/>
      <c r="B40" s="84"/>
      <c r="C40" s="84"/>
      <c r="D40" s="84"/>
      <c r="E40" s="88">
        <f>SUM(E38:E39)</f>
        <v>2</v>
      </c>
      <c r="F40" s="84"/>
      <c r="G40" s="115"/>
      <c r="H40" s="79">
        <f t="shared" ref="H40:I40" si="69">SUM(H38:H39)</f>
        <v>380000000</v>
      </c>
      <c r="I40" s="79">
        <f t="shared" si="69"/>
        <v>380000000</v>
      </c>
      <c r="J40" s="59"/>
      <c r="K40" s="59"/>
      <c r="L40" s="59"/>
      <c r="M40" s="59"/>
      <c r="N40" s="79">
        <f t="shared" ref="N40:Z40" si="70">SUM(N38:N39)</f>
        <v>7426400</v>
      </c>
      <c r="O40" s="79">
        <f t="shared" si="70"/>
        <v>0</v>
      </c>
      <c r="P40" s="79">
        <f t="shared" si="70"/>
        <v>0</v>
      </c>
      <c r="Q40" s="79">
        <f t="shared" si="70"/>
        <v>7426400</v>
      </c>
      <c r="R40" s="79">
        <f t="shared" si="70"/>
        <v>742640</v>
      </c>
      <c r="S40" s="79">
        <f t="shared" si="70"/>
        <v>6683760</v>
      </c>
      <c r="T40" s="79">
        <f t="shared" si="70"/>
        <v>826003.29411764711</v>
      </c>
      <c r="U40" s="79">
        <f t="shared" si="70"/>
        <v>1000359.5294117648</v>
      </c>
      <c r="V40" s="79">
        <f t="shared" si="70"/>
        <v>5600037.176470588</v>
      </c>
      <c r="W40" s="79">
        <f t="shared" si="70"/>
        <v>7426400</v>
      </c>
      <c r="X40" s="79">
        <f t="shared" si="70"/>
        <v>0</v>
      </c>
      <c r="Y40" s="79">
        <f t="shared" si="70"/>
        <v>83363.294117647063</v>
      </c>
      <c r="Z40" s="79">
        <f t="shared" si="70"/>
        <v>81982.831141868519</v>
      </c>
    </row>
    <row r="41" spans="1:26" x14ac:dyDescent="0.2">
      <c r="A41" s="74">
        <v>10</v>
      </c>
      <c r="B41" s="107" t="s">
        <v>111</v>
      </c>
      <c r="C41" s="107" t="s">
        <v>112</v>
      </c>
      <c r="D41" s="110">
        <v>44316</v>
      </c>
      <c r="E41" s="74">
        <v>1</v>
      </c>
      <c r="F41" s="107" t="s">
        <v>113</v>
      </c>
      <c r="G41" s="111">
        <v>1</v>
      </c>
      <c r="H41" s="112">
        <v>45323679</v>
      </c>
      <c r="I41" s="112">
        <f>H41*G41</f>
        <v>45323679</v>
      </c>
      <c r="J41" s="110">
        <v>45784</v>
      </c>
      <c r="K41" s="77">
        <v>46302</v>
      </c>
      <c r="L41" s="107">
        <v>17</v>
      </c>
      <c r="M41" s="99">
        <v>9.1</v>
      </c>
      <c r="N41" s="81">
        <f t="shared" ref="N41" si="71">M41*H41/1000</f>
        <v>412445.47889999999</v>
      </c>
      <c r="O41" s="81">
        <v>100000</v>
      </c>
      <c r="P41" s="81"/>
      <c r="Q41" s="81">
        <f t="shared" ref="Q41" si="72">N41+O41+P41</f>
        <v>512445.47889999999</v>
      </c>
      <c r="R41" s="81"/>
      <c r="S41" s="81">
        <f t="shared" ref="S41" si="73">Q41-R41</f>
        <v>512445.47889999999</v>
      </c>
      <c r="T41" s="42">
        <f>Q41*10%+Y41</f>
        <v>80069.606078124998</v>
      </c>
      <c r="U41" s="42">
        <f t="shared" si="52"/>
        <v>345900.69825750001</v>
      </c>
      <c r="V41" s="108">
        <f t="shared" si="42"/>
        <v>86475.17456437496</v>
      </c>
      <c r="W41" s="2">
        <f t="shared" si="43"/>
        <v>512445.47889999999</v>
      </c>
      <c r="X41" s="2">
        <f t="shared" si="44"/>
        <v>0</v>
      </c>
      <c r="Y41" s="2">
        <v>28825.058188125</v>
      </c>
      <c r="Z41" s="109">
        <f t="shared" si="45"/>
        <v>27023.492051367186</v>
      </c>
    </row>
    <row r="42" spans="1:26" x14ac:dyDescent="0.2">
      <c r="A42" s="150"/>
      <c r="B42" s="90"/>
      <c r="C42" s="90"/>
      <c r="D42" s="90"/>
      <c r="E42" s="150"/>
      <c r="F42" s="90"/>
      <c r="G42" s="151"/>
      <c r="H42" s="152"/>
      <c r="I42" s="152"/>
      <c r="J42" s="152"/>
      <c r="K42" s="152"/>
      <c r="L42" s="152"/>
      <c r="M42" s="152"/>
      <c r="N42" s="152">
        <f t="shared" ref="N42:Z42" si="74">SUM(N41:N41)</f>
        <v>412445.47889999999</v>
      </c>
      <c r="O42" s="152">
        <f t="shared" si="74"/>
        <v>100000</v>
      </c>
      <c r="P42" s="152">
        <f t="shared" si="74"/>
        <v>0</v>
      </c>
      <c r="Q42" s="152">
        <f t="shared" si="74"/>
        <v>512445.47889999999</v>
      </c>
      <c r="R42" s="152">
        <f t="shared" si="74"/>
        <v>0</v>
      </c>
      <c r="S42" s="152">
        <f t="shared" si="74"/>
        <v>512445.47889999999</v>
      </c>
      <c r="T42" s="152">
        <f t="shared" si="74"/>
        <v>80069.606078124998</v>
      </c>
      <c r="U42" s="152">
        <f t="shared" si="74"/>
        <v>345900.69825750001</v>
      </c>
      <c r="V42" s="152">
        <f t="shared" si="74"/>
        <v>86475.17456437496</v>
      </c>
      <c r="W42" s="152">
        <f t="shared" si="74"/>
        <v>512445.47889999999</v>
      </c>
      <c r="X42" s="152">
        <f t="shared" si="74"/>
        <v>0</v>
      </c>
      <c r="Y42" s="152">
        <f t="shared" si="74"/>
        <v>28825.058188125</v>
      </c>
      <c r="Z42" s="152">
        <f t="shared" si="74"/>
        <v>27023.492051367186</v>
      </c>
    </row>
    <row r="43" spans="1:26" x14ac:dyDescent="0.2">
      <c r="A43" s="83"/>
      <c r="B43" s="83"/>
      <c r="C43" s="83" t="s">
        <v>115</v>
      </c>
      <c r="D43" s="84"/>
      <c r="E43" s="85">
        <f>E42+E40+E37+E35+E33+E31</f>
        <v>5</v>
      </c>
      <c r="F43" s="87"/>
      <c r="G43" s="87"/>
      <c r="H43" s="87">
        <f t="shared" ref="H43:Z43" si="75">H42+H40+H37+H35+H33+H31</f>
        <v>533000000</v>
      </c>
      <c r="I43" s="87">
        <f t="shared" si="75"/>
        <v>533000000</v>
      </c>
      <c r="J43" s="87">
        <f t="shared" si="75"/>
        <v>0</v>
      </c>
      <c r="K43" s="87">
        <f t="shared" si="75"/>
        <v>0</v>
      </c>
      <c r="L43" s="87">
        <f t="shared" si="75"/>
        <v>0</v>
      </c>
      <c r="M43" s="87">
        <f t="shared" si="75"/>
        <v>0</v>
      </c>
      <c r="N43" s="87">
        <f t="shared" si="75"/>
        <v>14796238.633820001</v>
      </c>
      <c r="O43" s="87">
        <f t="shared" si="75"/>
        <v>300000</v>
      </c>
      <c r="P43" s="87">
        <f t="shared" si="75"/>
        <v>0</v>
      </c>
      <c r="Q43" s="87">
        <f t="shared" si="75"/>
        <v>15096238.633820001</v>
      </c>
      <c r="R43" s="87">
        <f t="shared" si="75"/>
        <v>1379497</v>
      </c>
      <c r="S43" s="87">
        <f t="shared" si="75"/>
        <v>13716741.633820001</v>
      </c>
      <c r="T43" s="87">
        <f t="shared" si="75"/>
        <v>1803013.1528389533</v>
      </c>
      <c r="U43" s="87">
        <f t="shared" si="75"/>
        <v>3291505.9468474919</v>
      </c>
      <c r="V43" s="87">
        <f t="shared" si="75"/>
        <v>10001719.534133554</v>
      </c>
      <c r="W43" s="87">
        <f t="shared" si="75"/>
        <v>15096238.633820001</v>
      </c>
      <c r="X43" s="87">
        <f t="shared" si="75"/>
        <v>0</v>
      </c>
      <c r="Y43" s="87">
        <f t="shared" si="75"/>
        <v>293389.28945695329</v>
      </c>
      <c r="Z43" s="87">
        <f t="shared" si="75"/>
        <v>280198.89257501607</v>
      </c>
    </row>
    <row r="44" spans="1:26" x14ac:dyDescent="0.2">
      <c r="A44" s="83"/>
      <c r="B44" s="83"/>
      <c r="C44" s="83" t="s">
        <v>116</v>
      </c>
      <c r="D44" s="84"/>
      <c r="E44" s="93">
        <f>E43+E24</f>
        <v>9</v>
      </c>
      <c r="F44" s="95"/>
      <c r="G44" s="95"/>
      <c r="H44" s="95">
        <f t="shared" ref="H44:Z44" si="76">H43+H24</f>
        <v>1373000000</v>
      </c>
      <c r="I44" s="95">
        <f t="shared" si="76"/>
        <v>1373000000</v>
      </c>
      <c r="J44" s="95">
        <f t="shared" si="76"/>
        <v>0</v>
      </c>
      <c r="K44" s="95">
        <f t="shared" si="76"/>
        <v>0</v>
      </c>
      <c r="L44" s="95">
        <f t="shared" si="76"/>
        <v>0</v>
      </c>
      <c r="M44" s="95">
        <f t="shared" si="76"/>
        <v>0</v>
      </c>
      <c r="N44" s="95">
        <f t="shared" si="76"/>
        <v>30976238.633820001</v>
      </c>
      <c r="O44" s="95">
        <f t="shared" si="76"/>
        <v>300000</v>
      </c>
      <c r="P44" s="95">
        <f t="shared" si="76"/>
        <v>0</v>
      </c>
      <c r="Q44" s="95">
        <f t="shared" si="76"/>
        <v>47174238.633819997</v>
      </c>
      <c r="R44" s="95">
        <f t="shared" si="76"/>
        <v>4587297</v>
      </c>
      <c r="S44" s="95">
        <f t="shared" si="76"/>
        <v>42586941.633819997</v>
      </c>
      <c r="T44" s="95">
        <f t="shared" si="76"/>
        <v>5516016.8330434393</v>
      </c>
      <c r="U44" s="95">
        <f t="shared" si="76"/>
        <v>5514623.2298704712</v>
      </c>
      <c r="V44" s="95">
        <f t="shared" si="76"/>
        <v>36143598.570906088</v>
      </c>
      <c r="W44" s="95">
        <f t="shared" si="76"/>
        <v>47174238.633819997</v>
      </c>
      <c r="X44" s="95">
        <f t="shared" si="76"/>
        <v>0</v>
      </c>
      <c r="Y44" s="95">
        <f t="shared" si="76"/>
        <v>478649.06304220157</v>
      </c>
      <c r="Z44" s="95">
        <f t="shared" si="76"/>
        <v>998767.38294081553</v>
      </c>
    </row>
    <row r="46" spans="1:26" ht="23.25" x14ac:dyDescent="0.2">
      <c r="A46" s="86" t="s">
        <v>154</v>
      </c>
      <c r="B46" s="62"/>
      <c r="C46" s="62"/>
      <c r="D46" s="57"/>
      <c r="E46" s="63"/>
      <c r="F46" s="64"/>
      <c r="G46" s="139"/>
      <c r="H46" s="66"/>
      <c r="I46" s="66"/>
      <c r="J46" s="67"/>
      <c r="K46" s="67"/>
      <c r="L46" s="68"/>
      <c r="M46" s="68"/>
      <c r="N46" s="69"/>
      <c r="O46" s="69"/>
      <c r="P46" s="69"/>
      <c r="Q46" s="69"/>
      <c r="R46" s="69"/>
      <c r="S46" s="69"/>
      <c r="T46" s="70"/>
      <c r="U46" s="71"/>
      <c r="V46" s="71"/>
    </row>
    <row r="47" spans="1:26" x14ac:dyDescent="0.2">
      <c r="A47" s="231" t="s">
        <v>0</v>
      </c>
      <c r="B47" s="232" t="s">
        <v>1</v>
      </c>
      <c r="C47" s="229" t="s">
        <v>2</v>
      </c>
      <c r="D47" s="233" t="s">
        <v>3</v>
      </c>
      <c r="E47" s="234" t="s">
        <v>4</v>
      </c>
      <c r="F47" s="232" t="s">
        <v>5</v>
      </c>
      <c r="G47" s="237" t="s">
        <v>6</v>
      </c>
      <c r="H47" s="236" t="s">
        <v>7</v>
      </c>
      <c r="I47" s="236" t="s">
        <v>8</v>
      </c>
      <c r="J47" s="227" t="s">
        <v>9</v>
      </c>
      <c r="K47" s="227"/>
      <c r="L47" s="228" t="s">
        <v>10</v>
      </c>
      <c r="M47" s="229" t="s">
        <v>11</v>
      </c>
      <c r="N47" s="230" t="s">
        <v>12</v>
      </c>
      <c r="O47" s="230"/>
      <c r="P47" s="230"/>
      <c r="Q47" s="229" t="s">
        <v>13</v>
      </c>
      <c r="R47" s="229" t="s">
        <v>14</v>
      </c>
      <c r="S47" s="229" t="s">
        <v>15</v>
      </c>
      <c r="T47" s="36">
        <v>2021</v>
      </c>
      <c r="U47" s="37"/>
      <c r="V47" s="38" t="s">
        <v>44</v>
      </c>
    </row>
    <row r="48" spans="1:26" x14ac:dyDescent="0.2">
      <c r="A48" s="231"/>
      <c r="B48" s="232"/>
      <c r="C48" s="229"/>
      <c r="D48" s="233"/>
      <c r="E48" s="234"/>
      <c r="F48" s="232"/>
      <c r="G48" s="237"/>
      <c r="H48" s="236"/>
      <c r="I48" s="236"/>
      <c r="J48" s="227"/>
      <c r="K48" s="227"/>
      <c r="L48" s="228"/>
      <c r="M48" s="229"/>
      <c r="N48" s="163" t="s">
        <v>16</v>
      </c>
      <c r="O48" s="163" t="s">
        <v>17</v>
      </c>
      <c r="P48" s="163" t="s">
        <v>18</v>
      </c>
      <c r="Q48" s="229"/>
      <c r="R48" s="229"/>
      <c r="S48" s="229"/>
      <c r="T48" s="96" t="s">
        <v>153</v>
      </c>
      <c r="U48" s="39" t="s">
        <v>150</v>
      </c>
      <c r="V48" s="40"/>
    </row>
    <row r="49" spans="1:26" ht="12.75" x14ac:dyDescent="0.2">
      <c r="A49" s="154">
        <v>11</v>
      </c>
      <c r="B49" s="155" t="s">
        <v>122</v>
      </c>
      <c r="C49" s="155" t="s">
        <v>123</v>
      </c>
      <c r="D49" s="156">
        <v>44334</v>
      </c>
      <c r="E49" s="154">
        <v>1</v>
      </c>
      <c r="F49" s="155" t="s">
        <v>124</v>
      </c>
      <c r="G49" s="111">
        <v>1</v>
      </c>
      <c r="H49" s="112">
        <v>30000000</v>
      </c>
      <c r="I49" s="112">
        <f>H49*G49</f>
        <v>30000000</v>
      </c>
      <c r="J49" s="110">
        <v>44257</v>
      </c>
      <c r="K49" s="77">
        <f>IFERROR(VALUE(DAY(J49)&amp;" "&amp;TEXT(EOMONTH(J49,L49)-29,"mmm")&amp;" "&amp;YEAR(EOMONTH(J49,L49)-29)),"-")</f>
        <v>44987</v>
      </c>
      <c r="L49" s="107">
        <v>24</v>
      </c>
      <c r="M49" s="99">
        <v>10.57</v>
      </c>
      <c r="N49" s="81">
        <f t="shared" ref="N49" si="77">M49*H49/1000</f>
        <v>317100</v>
      </c>
      <c r="O49" s="81"/>
      <c r="P49" s="81"/>
      <c r="Q49" s="81">
        <f t="shared" ref="Q49" si="78">N49+O49+P49</f>
        <v>317100</v>
      </c>
      <c r="R49" s="81">
        <f t="shared" ref="R49" si="79">10%*N49</f>
        <v>31710</v>
      </c>
      <c r="S49" s="81">
        <f t="shared" ref="S49" si="80">Q49-R49</f>
        <v>285390</v>
      </c>
      <c r="T49" s="42">
        <f>Q49*10%</f>
        <v>31710</v>
      </c>
      <c r="U49" s="42">
        <f t="shared" ref="U49" si="81">Y49*12</f>
        <v>148899.13043478262</v>
      </c>
      <c r="V49" s="108">
        <f t="shared" ref="V49" si="82">Q49-T49-U49</f>
        <v>136490.86956521738</v>
      </c>
      <c r="W49" s="2">
        <f t="shared" ref="W49" si="83">T49+U49+V49</f>
        <v>317100</v>
      </c>
      <c r="X49" s="2">
        <f t="shared" ref="X49" si="84">Q49-W49</f>
        <v>0</v>
      </c>
      <c r="Y49" s="2">
        <v>12408.260869565218</v>
      </c>
      <c r="Z49" s="109">
        <f t="shared" ref="Z49" si="85">(Q49-T49)/(L49-1)</f>
        <v>12408.260869565218</v>
      </c>
    </row>
    <row r="50" spans="1:26" ht="12.75" x14ac:dyDescent="0.2">
      <c r="A50" s="159"/>
      <c r="B50" s="160"/>
      <c r="C50" s="160"/>
      <c r="D50" s="160"/>
      <c r="E50" s="159">
        <f>SUM(E49)</f>
        <v>1</v>
      </c>
      <c r="F50" s="160"/>
      <c r="G50" s="161"/>
      <c r="H50" s="162">
        <f>SUM(H49)</f>
        <v>30000000</v>
      </c>
      <c r="I50" s="162">
        <f>SUM(I49)</f>
        <v>30000000</v>
      </c>
      <c r="J50" s="162"/>
      <c r="K50" s="162"/>
      <c r="L50" s="162"/>
      <c r="M50" s="162"/>
      <c r="N50" s="162">
        <f t="shared" ref="N50:Z50" si="86">SUM(N49)</f>
        <v>317100</v>
      </c>
      <c r="O50" s="162">
        <f t="shared" si="86"/>
        <v>0</v>
      </c>
      <c r="P50" s="162">
        <f t="shared" si="86"/>
        <v>0</v>
      </c>
      <c r="Q50" s="162">
        <f t="shared" si="86"/>
        <v>317100</v>
      </c>
      <c r="R50" s="162">
        <f t="shared" si="86"/>
        <v>31710</v>
      </c>
      <c r="S50" s="162">
        <f t="shared" si="86"/>
        <v>285390</v>
      </c>
      <c r="T50" s="162">
        <f t="shared" si="86"/>
        <v>31710</v>
      </c>
      <c r="U50" s="162">
        <f t="shared" si="86"/>
        <v>148899.13043478262</v>
      </c>
      <c r="V50" s="162">
        <f t="shared" si="86"/>
        <v>136490.86956521738</v>
      </c>
      <c r="W50" s="162">
        <f t="shared" si="86"/>
        <v>317100</v>
      </c>
      <c r="X50" s="162">
        <f t="shared" si="86"/>
        <v>0</v>
      </c>
      <c r="Y50" s="162">
        <f t="shared" si="86"/>
        <v>12408.260869565218</v>
      </c>
      <c r="Z50" s="162">
        <f t="shared" si="86"/>
        <v>12408.260869565218</v>
      </c>
    </row>
    <row r="51" spans="1:26" x14ac:dyDescent="0.2">
      <c r="A51" s="74">
        <v>12</v>
      </c>
      <c r="B51" s="107" t="s">
        <v>111</v>
      </c>
      <c r="C51" s="107" t="s">
        <v>125</v>
      </c>
      <c r="D51" s="110">
        <v>44336</v>
      </c>
      <c r="E51" s="74">
        <v>1</v>
      </c>
      <c r="F51" s="107" t="s">
        <v>126</v>
      </c>
      <c r="G51" s="111">
        <v>1</v>
      </c>
      <c r="H51" s="112">
        <v>69230850</v>
      </c>
      <c r="I51" s="112">
        <f>H51*G51</f>
        <v>69230850</v>
      </c>
      <c r="J51" s="110">
        <v>44315</v>
      </c>
      <c r="K51" s="77">
        <f>IFERROR(VALUE(DAY(J51)&amp;" "&amp;TEXT(EOMONTH(J51,L51)-29,"mmm")&amp;" "&amp;YEAR(EOMONTH(J51,L51)-29)),"-")</f>
        <v>45686</v>
      </c>
      <c r="L51" s="107">
        <v>45</v>
      </c>
      <c r="M51" s="99">
        <v>15.93</v>
      </c>
      <c r="N51" s="81">
        <f t="shared" ref="N51:N52" si="87">M51*H51/1000</f>
        <v>1102847.4405</v>
      </c>
      <c r="O51" s="81"/>
      <c r="P51" s="81"/>
      <c r="Q51" s="81">
        <f t="shared" ref="Q51:Q52" si="88">N51+O51+P51</f>
        <v>1102847.4405</v>
      </c>
      <c r="R51" s="81">
        <f t="shared" ref="R51:R52" si="89">10%*N51</f>
        <v>110284.74405000001</v>
      </c>
      <c r="S51" s="81">
        <f t="shared" ref="S51:S52" si="90">Q51-R51</f>
        <v>992562.69645000005</v>
      </c>
      <c r="T51" s="42">
        <f t="shared" ref="T51:T69" si="91">Q51*10%</f>
        <v>110284.74405000001</v>
      </c>
      <c r="U51" s="42">
        <f t="shared" ref="U51:U69" si="92">Y51*12</f>
        <v>270698.91721363639</v>
      </c>
      <c r="V51" s="108">
        <f t="shared" ref="V51:V69" si="93">Q51-T51-U51</f>
        <v>721863.77923636371</v>
      </c>
      <c r="W51" s="2">
        <f t="shared" ref="W51:W69" si="94">T51+U51+V51</f>
        <v>1102847.4405</v>
      </c>
      <c r="X51" s="2">
        <f t="shared" ref="X51:X69" si="95">Q51-W51</f>
        <v>0</v>
      </c>
      <c r="Y51" s="2">
        <v>22558.243101136366</v>
      </c>
      <c r="Z51" s="109">
        <f t="shared" ref="Z51:Z69" si="96">(Q51-T51)/(L51-1)</f>
        <v>22558.243101136366</v>
      </c>
    </row>
    <row r="52" spans="1:26" x14ac:dyDescent="0.2">
      <c r="A52" s="74"/>
      <c r="B52" s="107"/>
      <c r="C52" s="107"/>
      <c r="D52" s="110"/>
      <c r="E52" s="74">
        <v>1</v>
      </c>
      <c r="F52" s="107" t="s">
        <v>127</v>
      </c>
      <c r="G52" s="111">
        <v>1</v>
      </c>
      <c r="H52" s="112">
        <v>82219772</v>
      </c>
      <c r="I52" s="112">
        <f>H52*G52</f>
        <v>82219772</v>
      </c>
      <c r="J52" s="110">
        <v>44307</v>
      </c>
      <c r="K52" s="77">
        <f>IFERROR(VALUE(DAY(J52)&amp;" "&amp;TEXT(EOMONTH(J52,L52)-29,"mmm")&amp;" "&amp;YEAR(EOMONTH(J52,L52)-29)),"-")</f>
        <v>46742</v>
      </c>
      <c r="L52" s="107">
        <v>80</v>
      </c>
      <c r="M52" s="99">
        <v>25.48</v>
      </c>
      <c r="N52" s="81">
        <f t="shared" si="87"/>
        <v>2094959.7905599999</v>
      </c>
      <c r="O52" s="81"/>
      <c r="P52" s="81"/>
      <c r="Q52" s="81">
        <f t="shared" si="88"/>
        <v>2094959.7905599999</v>
      </c>
      <c r="R52" s="81">
        <f t="shared" si="89"/>
        <v>209495.97905600001</v>
      </c>
      <c r="S52" s="81">
        <f t="shared" si="90"/>
        <v>1885463.8115039999</v>
      </c>
      <c r="T52" s="42">
        <f t="shared" si="91"/>
        <v>209495.97905600001</v>
      </c>
      <c r="U52" s="42">
        <f t="shared" si="92"/>
        <v>286399.56630440505</v>
      </c>
      <c r="V52" s="108">
        <f t="shared" si="93"/>
        <v>1599064.2451995949</v>
      </c>
      <c r="W52" s="2">
        <f t="shared" si="94"/>
        <v>2094959.7905599999</v>
      </c>
      <c r="X52" s="2">
        <f t="shared" si="95"/>
        <v>0</v>
      </c>
      <c r="Y52" s="2">
        <v>23866.630525367087</v>
      </c>
      <c r="Z52" s="109">
        <f t="shared" si="96"/>
        <v>23866.630525367087</v>
      </c>
    </row>
    <row r="53" spans="1:26" x14ac:dyDescent="0.2">
      <c r="A53" s="88"/>
      <c r="B53" s="84"/>
      <c r="C53" s="84"/>
      <c r="D53" s="84"/>
      <c r="E53" s="88">
        <f>SUM(E51:E52)</f>
        <v>2</v>
      </c>
      <c r="F53" s="84"/>
      <c r="G53" s="115"/>
      <c r="H53" s="79">
        <f t="shared" ref="H53:I53" si="97">SUM(H51:H52)</f>
        <v>151450622</v>
      </c>
      <c r="I53" s="79">
        <f t="shared" si="97"/>
        <v>151450622</v>
      </c>
      <c r="J53" s="59"/>
      <c r="K53" s="59"/>
      <c r="L53" s="59"/>
      <c r="M53" s="59"/>
      <c r="N53" s="79">
        <f t="shared" ref="N53:Z53" si="98">SUM(N51:N52)</f>
        <v>3197807.2310600001</v>
      </c>
      <c r="O53" s="79">
        <f t="shared" si="98"/>
        <v>0</v>
      </c>
      <c r="P53" s="79">
        <f t="shared" si="98"/>
        <v>0</v>
      </c>
      <c r="Q53" s="79">
        <f t="shared" si="98"/>
        <v>3197807.2310600001</v>
      </c>
      <c r="R53" s="79">
        <f t="shared" si="98"/>
        <v>319780.72310599999</v>
      </c>
      <c r="S53" s="79">
        <f t="shared" si="98"/>
        <v>2878026.507954</v>
      </c>
      <c r="T53" s="79">
        <f t="shared" si="98"/>
        <v>319780.72310599999</v>
      </c>
      <c r="U53" s="79">
        <f t="shared" si="98"/>
        <v>557098.48351804144</v>
      </c>
      <c r="V53" s="79">
        <f t="shared" si="98"/>
        <v>2320928.0244359588</v>
      </c>
      <c r="W53" s="79">
        <f t="shared" si="98"/>
        <v>3197807.2310600001</v>
      </c>
      <c r="X53" s="79">
        <f t="shared" si="98"/>
        <v>0</v>
      </c>
      <c r="Y53" s="79">
        <f t="shared" si="98"/>
        <v>46424.873626503453</v>
      </c>
      <c r="Z53" s="79">
        <f t="shared" si="98"/>
        <v>46424.873626503453</v>
      </c>
    </row>
    <row r="54" spans="1:26" ht="12.75" x14ac:dyDescent="0.2">
      <c r="A54" s="154">
        <v>13</v>
      </c>
      <c r="B54" s="155" t="s">
        <v>128</v>
      </c>
      <c r="C54" s="155" t="s">
        <v>129</v>
      </c>
      <c r="D54" s="156">
        <v>44347</v>
      </c>
      <c r="E54" s="154">
        <v>1</v>
      </c>
      <c r="F54" s="155" t="s">
        <v>130</v>
      </c>
      <c r="G54" s="111">
        <v>1</v>
      </c>
      <c r="H54" s="112">
        <v>1000000000</v>
      </c>
      <c r="I54" s="112">
        <f>H54*G54</f>
        <v>1000000000</v>
      </c>
      <c r="J54" s="110">
        <v>44327</v>
      </c>
      <c r="K54" s="77">
        <f>IFERROR(VALUE(DAY(J54)&amp;" "&amp;TEXT(EOMONTH(J54,L54)-29,"mmm")&amp;" "&amp;YEAR(EOMONTH(J54,L54)-29)),"-")</f>
        <v>45241</v>
      </c>
      <c r="L54" s="107">
        <v>30</v>
      </c>
      <c r="M54" s="99">
        <v>30.71</v>
      </c>
      <c r="N54" s="81">
        <f t="shared" ref="N54" si="99">M54*H54/1000</f>
        <v>30710000</v>
      </c>
      <c r="O54" s="81"/>
      <c r="P54" s="81"/>
      <c r="Q54" s="81">
        <f t="shared" ref="Q54" si="100">N54+O54+P54</f>
        <v>30710000</v>
      </c>
      <c r="R54" s="81">
        <f t="shared" ref="R54" si="101">10%*N54</f>
        <v>3071000</v>
      </c>
      <c r="S54" s="81">
        <f t="shared" ref="S54" si="102">Q54-R54</f>
        <v>27639000</v>
      </c>
      <c r="T54" s="42">
        <f t="shared" si="91"/>
        <v>3071000</v>
      </c>
      <c r="U54" s="42">
        <f t="shared" si="92"/>
        <v>11436827.586206896</v>
      </c>
      <c r="V54" s="108">
        <f t="shared" si="93"/>
        <v>16202172.413793104</v>
      </c>
      <c r="W54" s="2">
        <f t="shared" si="94"/>
        <v>30710000</v>
      </c>
      <c r="X54" s="2">
        <f t="shared" si="95"/>
        <v>0</v>
      </c>
      <c r="Y54" s="2">
        <v>953068.96551724139</v>
      </c>
      <c r="Z54" s="109">
        <f t="shared" si="96"/>
        <v>953068.96551724139</v>
      </c>
    </row>
    <row r="55" spans="1:26" ht="12.75" x14ac:dyDescent="0.2">
      <c r="A55" s="159"/>
      <c r="B55" s="160"/>
      <c r="C55" s="160"/>
      <c r="D55" s="160"/>
      <c r="E55" s="159">
        <f>SUM(E54)</f>
        <v>1</v>
      </c>
      <c r="F55" s="160"/>
      <c r="G55" s="161"/>
      <c r="H55" s="162">
        <f>SUM(H54)</f>
        <v>1000000000</v>
      </c>
      <c r="I55" s="162">
        <f>SUM(I54)</f>
        <v>1000000000</v>
      </c>
      <c r="J55" s="162"/>
      <c r="K55" s="162"/>
      <c r="L55" s="162"/>
      <c r="M55" s="162"/>
      <c r="N55" s="162">
        <f t="shared" ref="N55:Z55" si="103">SUM(N54)</f>
        <v>30710000</v>
      </c>
      <c r="O55" s="162">
        <f t="shared" si="103"/>
        <v>0</v>
      </c>
      <c r="P55" s="162">
        <f t="shared" si="103"/>
        <v>0</v>
      </c>
      <c r="Q55" s="162">
        <f t="shared" si="103"/>
        <v>30710000</v>
      </c>
      <c r="R55" s="162">
        <f t="shared" si="103"/>
        <v>3071000</v>
      </c>
      <c r="S55" s="162">
        <f t="shared" si="103"/>
        <v>27639000</v>
      </c>
      <c r="T55" s="162">
        <f t="shared" si="103"/>
        <v>3071000</v>
      </c>
      <c r="U55" s="162">
        <f t="shared" si="103"/>
        <v>11436827.586206896</v>
      </c>
      <c r="V55" s="162">
        <f t="shared" si="103"/>
        <v>16202172.413793104</v>
      </c>
      <c r="W55" s="162">
        <f t="shared" si="103"/>
        <v>30710000</v>
      </c>
      <c r="X55" s="162">
        <f t="shared" si="103"/>
        <v>0</v>
      </c>
      <c r="Y55" s="162">
        <f t="shared" si="103"/>
        <v>953068.96551724139</v>
      </c>
      <c r="Z55" s="162">
        <f t="shared" si="103"/>
        <v>953068.96551724139</v>
      </c>
    </row>
    <row r="56" spans="1:26" ht="12.75" x14ac:dyDescent="0.2">
      <c r="A56" s="154">
        <v>14</v>
      </c>
      <c r="B56" s="155" t="s">
        <v>128</v>
      </c>
      <c r="C56" s="155" t="s">
        <v>131</v>
      </c>
      <c r="D56" s="156">
        <v>44347</v>
      </c>
      <c r="E56" s="154">
        <v>1</v>
      </c>
      <c r="F56" s="155" t="s">
        <v>132</v>
      </c>
      <c r="G56" s="111">
        <v>1</v>
      </c>
      <c r="H56" s="112">
        <v>170000000</v>
      </c>
      <c r="I56" s="112">
        <f>H56*G56</f>
        <v>170000000</v>
      </c>
      <c r="J56" s="110">
        <v>44319</v>
      </c>
      <c r="K56" s="77">
        <f>IFERROR(VALUE(DAY(J56)&amp;" "&amp;TEXT(EOMONTH(J56,L56)-29,"mmm")&amp;" "&amp;YEAR(EOMONTH(J56,L56)-29)),"-")</f>
        <v>46145</v>
      </c>
      <c r="L56" s="107">
        <v>60</v>
      </c>
      <c r="M56" s="169">
        <v>13.65</v>
      </c>
      <c r="N56" s="81">
        <f t="shared" ref="N56:N69" si="104">M56*H56/1000</f>
        <v>2320500</v>
      </c>
      <c r="O56" s="81"/>
      <c r="P56" s="81"/>
      <c r="Q56" s="81">
        <f t="shared" ref="Q56:Q69" si="105">N56+O56+P56</f>
        <v>2320500</v>
      </c>
      <c r="R56" s="81">
        <f t="shared" ref="R56:R69" si="106">10%*N56</f>
        <v>232050</v>
      </c>
      <c r="S56" s="81">
        <f t="shared" ref="S56:S69" si="107">Q56-R56</f>
        <v>2088450</v>
      </c>
      <c r="T56" s="42">
        <f t="shared" si="91"/>
        <v>232050</v>
      </c>
      <c r="U56" s="42">
        <f t="shared" si="92"/>
        <v>424769.49152542371</v>
      </c>
      <c r="V56" s="108">
        <f t="shared" si="93"/>
        <v>1663680.5084745763</v>
      </c>
      <c r="W56" s="2">
        <f t="shared" si="94"/>
        <v>2320500</v>
      </c>
      <c r="X56" s="2">
        <f t="shared" si="95"/>
        <v>0</v>
      </c>
      <c r="Y56" s="2">
        <v>35397.457627118645</v>
      </c>
      <c r="Z56" s="109">
        <f t="shared" si="96"/>
        <v>35397.457627118645</v>
      </c>
    </row>
    <row r="57" spans="1:26" ht="12.75" x14ac:dyDescent="0.2">
      <c r="A57" s="164"/>
      <c r="B57" s="165"/>
      <c r="C57" s="165"/>
      <c r="D57" s="165"/>
      <c r="E57" s="154">
        <v>1</v>
      </c>
      <c r="F57" s="155" t="s">
        <v>133</v>
      </c>
      <c r="G57" s="111">
        <v>1</v>
      </c>
      <c r="H57" s="112">
        <v>250000000</v>
      </c>
      <c r="I57" s="112">
        <f t="shared" ref="I57:I69" si="108">H57*G57</f>
        <v>250000000</v>
      </c>
      <c r="J57" s="110">
        <v>44320</v>
      </c>
      <c r="K57" s="77">
        <f t="shared" ref="K57:K69" si="109">IFERROR(VALUE(DAY(J57)&amp;" "&amp;TEXT(EOMONTH(J57,L57)-29,"mmm")&amp;" "&amp;YEAR(EOMONTH(J57,L57)-29)),"-")</f>
        <v>45781</v>
      </c>
      <c r="L57" s="107">
        <v>48</v>
      </c>
      <c r="M57" s="169">
        <v>11.38</v>
      </c>
      <c r="N57" s="81">
        <f t="shared" si="104"/>
        <v>2845000</v>
      </c>
      <c r="O57" s="81"/>
      <c r="P57" s="81"/>
      <c r="Q57" s="81">
        <f t="shared" si="105"/>
        <v>2845000</v>
      </c>
      <c r="R57" s="81">
        <f t="shared" si="106"/>
        <v>284500</v>
      </c>
      <c r="S57" s="81">
        <f t="shared" si="107"/>
        <v>2560500</v>
      </c>
      <c r="T57" s="42">
        <f t="shared" si="91"/>
        <v>284500</v>
      </c>
      <c r="U57" s="42">
        <f t="shared" si="92"/>
        <v>653744.68085106381</v>
      </c>
      <c r="V57" s="108">
        <f t="shared" si="93"/>
        <v>1906755.3191489363</v>
      </c>
      <c r="W57" s="2">
        <f t="shared" si="94"/>
        <v>2845000</v>
      </c>
      <c r="X57" s="2">
        <f t="shared" si="95"/>
        <v>0</v>
      </c>
      <c r="Y57" s="2">
        <v>54478.723404255317</v>
      </c>
      <c r="Z57" s="109">
        <f t="shared" si="96"/>
        <v>54478.723404255317</v>
      </c>
    </row>
    <row r="58" spans="1:26" ht="12.75" x14ac:dyDescent="0.2">
      <c r="A58" s="166"/>
      <c r="B58" s="166"/>
      <c r="C58" s="166"/>
      <c r="D58" s="167"/>
      <c r="E58" s="154">
        <v>1</v>
      </c>
      <c r="F58" s="155" t="s">
        <v>134</v>
      </c>
      <c r="G58" s="111">
        <v>1</v>
      </c>
      <c r="H58" s="112">
        <v>315000000</v>
      </c>
      <c r="I58" s="112">
        <f t="shared" si="108"/>
        <v>315000000</v>
      </c>
      <c r="J58" s="110">
        <v>44319</v>
      </c>
      <c r="K58" s="77">
        <f t="shared" si="109"/>
        <v>49798</v>
      </c>
      <c r="L58" s="107">
        <v>180</v>
      </c>
      <c r="M58" s="169">
        <v>37.520000000000003</v>
      </c>
      <c r="N58" s="81">
        <f t="shared" si="104"/>
        <v>11818800.000000002</v>
      </c>
      <c r="O58" s="81"/>
      <c r="P58" s="81"/>
      <c r="Q58" s="81">
        <f t="shared" si="105"/>
        <v>11818800.000000002</v>
      </c>
      <c r="R58" s="81">
        <f t="shared" si="106"/>
        <v>1181880.0000000002</v>
      </c>
      <c r="S58" s="81">
        <f t="shared" si="107"/>
        <v>10636920.000000002</v>
      </c>
      <c r="T58" s="42">
        <f t="shared" si="91"/>
        <v>1181880.0000000002</v>
      </c>
      <c r="U58" s="42">
        <f t="shared" si="92"/>
        <v>713089.60893854755</v>
      </c>
      <c r="V58" s="108">
        <f t="shared" si="93"/>
        <v>9923830.391061455</v>
      </c>
      <c r="W58" s="2">
        <f t="shared" si="94"/>
        <v>11818800.000000004</v>
      </c>
      <c r="X58" s="2">
        <f t="shared" si="95"/>
        <v>0</v>
      </c>
      <c r="Y58" s="2">
        <v>59424.134078212301</v>
      </c>
      <c r="Z58" s="109">
        <f t="shared" si="96"/>
        <v>59424.134078212301</v>
      </c>
    </row>
    <row r="59" spans="1:26" ht="12.75" x14ac:dyDescent="0.2">
      <c r="A59" s="168"/>
      <c r="B59" s="168"/>
      <c r="C59" s="168"/>
      <c r="D59" s="107"/>
      <c r="E59" s="154">
        <v>1</v>
      </c>
      <c r="F59" s="155" t="s">
        <v>135</v>
      </c>
      <c r="G59" s="111">
        <v>1</v>
      </c>
      <c r="H59" s="112">
        <v>315000000</v>
      </c>
      <c r="I59" s="112">
        <f t="shared" si="108"/>
        <v>315000000</v>
      </c>
      <c r="J59" s="110">
        <v>44320</v>
      </c>
      <c r="K59" s="77">
        <f t="shared" si="109"/>
        <v>49799</v>
      </c>
      <c r="L59" s="107">
        <v>180</v>
      </c>
      <c r="M59" s="169">
        <v>37.520000000000003</v>
      </c>
      <c r="N59" s="81">
        <f t="shared" si="104"/>
        <v>11818800.000000002</v>
      </c>
      <c r="O59" s="81"/>
      <c r="P59" s="81"/>
      <c r="Q59" s="81">
        <f t="shared" si="105"/>
        <v>11818800.000000002</v>
      </c>
      <c r="R59" s="81">
        <f t="shared" si="106"/>
        <v>1181880.0000000002</v>
      </c>
      <c r="S59" s="81">
        <f t="shared" si="107"/>
        <v>10636920.000000002</v>
      </c>
      <c r="T59" s="42">
        <f t="shared" si="91"/>
        <v>1181880.0000000002</v>
      </c>
      <c r="U59" s="42">
        <f t="shared" si="92"/>
        <v>713089.60893854755</v>
      </c>
      <c r="V59" s="108">
        <f t="shared" si="93"/>
        <v>9923830.391061455</v>
      </c>
      <c r="W59" s="2">
        <f t="shared" si="94"/>
        <v>11818800.000000004</v>
      </c>
      <c r="X59" s="2">
        <f t="shared" si="95"/>
        <v>0</v>
      </c>
      <c r="Y59" s="2">
        <v>59424.134078212301</v>
      </c>
      <c r="Z59" s="109">
        <f t="shared" si="96"/>
        <v>59424.134078212301</v>
      </c>
    </row>
    <row r="60" spans="1:26" ht="12.75" x14ac:dyDescent="0.2">
      <c r="A60" s="168"/>
      <c r="B60" s="168"/>
      <c r="C60" s="168"/>
      <c r="D60" s="107"/>
      <c r="E60" s="154">
        <v>1</v>
      </c>
      <c r="F60" s="155" t="s">
        <v>136</v>
      </c>
      <c r="G60" s="111">
        <v>1</v>
      </c>
      <c r="H60" s="112">
        <v>250000000</v>
      </c>
      <c r="I60" s="112">
        <f t="shared" si="108"/>
        <v>250000000</v>
      </c>
      <c r="J60" s="110">
        <v>44320</v>
      </c>
      <c r="K60" s="77">
        <f t="shared" si="109"/>
        <v>47972</v>
      </c>
      <c r="L60" s="107">
        <v>120</v>
      </c>
      <c r="M60" s="169">
        <v>25.48</v>
      </c>
      <c r="N60" s="81">
        <f t="shared" si="104"/>
        <v>6370000</v>
      </c>
      <c r="O60" s="81"/>
      <c r="P60" s="81"/>
      <c r="Q60" s="81">
        <f t="shared" si="105"/>
        <v>6370000</v>
      </c>
      <c r="R60" s="81">
        <f t="shared" si="106"/>
        <v>637000</v>
      </c>
      <c r="S60" s="81">
        <f t="shared" si="107"/>
        <v>5733000</v>
      </c>
      <c r="T60" s="42">
        <f t="shared" si="91"/>
        <v>637000</v>
      </c>
      <c r="U60" s="42">
        <f t="shared" si="92"/>
        <v>578117.6470588235</v>
      </c>
      <c r="V60" s="108">
        <f t="shared" si="93"/>
        <v>5154882.3529411769</v>
      </c>
      <c r="W60" s="2">
        <f t="shared" si="94"/>
        <v>6370000</v>
      </c>
      <c r="X60" s="2">
        <f t="shared" si="95"/>
        <v>0</v>
      </c>
      <c r="Y60" s="2">
        <v>48176.470588235294</v>
      </c>
      <c r="Z60" s="109">
        <f t="shared" si="96"/>
        <v>48176.470588235294</v>
      </c>
    </row>
    <row r="61" spans="1:26" ht="12.75" x14ac:dyDescent="0.2">
      <c r="A61" s="168"/>
      <c r="B61" s="168"/>
      <c r="C61" s="168"/>
      <c r="D61" s="107"/>
      <c r="E61" s="154">
        <v>1</v>
      </c>
      <c r="F61" s="155" t="s">
        <v>137</v>
      </c>
      <c r="G61" s="111">
        <v>1</v>
      </c>
      <c r="H61" s="112">
        <v>450000000</v>
      </c>
      <c r="I61" s="112">
        <f t="shared" si="108"/>
        <v>450000000</v>
      </c>
      <c r="J61" s="110">
        <v>44320</v>
      </c>
      <c r="K61" s="77">
        <f t="shared" si="109"/>
        <v>49799</v>
      </c>
      <c r="L61" s="107">
        <v>180</v>
      </c>
      <c r="M61" s="169">
        <v>37.520000000000003</v>
      </c>
      <c r="N61" s="81">
        <f t="shared" si="104"/>
        <v>16884000.000000004</v>
      </c>
      <c r="O61" s="81"/>
      <c r="P61" s="81"/>
      <c r="Q61" s="81">
        <f t="shared" si="105"/>
        <v>16884000.000000004</v>
      </c>
      <c r="R61" s="81">
        <f t="shared" si="106"/>
        <v>1688400.0000000005</v>
      </c>
      <c r="S61" s="81">
        <f t="shared" si="107"/>
        <v>15195600.000000004</v>
      </c>
      <c r="T61" s="42">
        <f t="shared" si="91"/>
        <v>1688400.0000000005</v>
      </c>
      <c r="U61" s="42">
        <f t="shared" si="92"/>
        <v>1018699.4413407824</v>
      </c>
      <c r="V61" s="108">
        <f t="shared" si="93"/>
        <v>14176900.558659222</v>
      </c>
      <c r="W61" s="2">
        <f t="shared" si="94"/>
        <v>16884000.000000004</v>
      </c>
      <c r="X61" s="2">
        <f t="shared" si="95"/>
        <v>0</v>
      </c>
      <c r="Y61" s="2">
        <v>84891.620111731871</v>
      </c>
      <c r="Z61" s="109">
        <f t="shared" si="96"/>
        <v>84891.620111731871</v>
      </c>
    </row>
    <row r="62" spans="1:26" ht="12.75" x14ac:dyDescent="0.2">
      <c r="A62" s="168"/>
      <c r="B62" s="168"/>
      <c r="C62" s="168"/>
      <c r="D62" s="107"/>
      <c r="E62" s="154">
        <v>1</v>
      </c>
      <c r="F62" s="155" t="s">
        <v>138</v>
      </c>
      <c r="G62" s="111">
        <v>1</v>
      </c>
      <c r="H62" s="112">
        <v>340000000</v>
      </c>
      <c r="I62" s="112">
        <f t="shared" si="108"/>
        <v>340000000</v>
      </c>
      <c r="J62" s="110">
        <v>44320</v>
      </c>
      <c r="K62" s="77">
        <f t="shared" si="109"/>
        <v>49799</v>
      </c>
      <c r="L62" s="107">
        <v>180</v>
      </c>
      <c r="M62" s="169">
        <v>37.520000000000003</v>
      </c>
      <c r="N62" s="81">
        <f t="shared" si="104"/>
        <v>12756800.000000002</v>
      </c>
      <c r="O62" s="81"/>
      <c r="P62" s="81"/>
      <c r="Q62" s="81">
        <f t="shared" si="105"/>
        <v>12756800.000000002</v>
      </c>
      <c r="R62" s="81">
        <f t="shared" si="106"/>
        <v>1275680.0000000002</v>
      </c>
      <c r="S62" s="81">
        <f t="shared" si="107"/>
        <v>11481120.000000002</v>
      </c>
      <c r="T62" s="42">
        <f t="shared" si="91"/>
        <v>1275680.0000000002</v>
      </c>
      <c r="U62" s="42">
        <f t="shared" si="92"/>
        <v>769684.02234636887</v>
      </c>
      <c r="V62" s="108">
        <f t="shared" si="93"/>
        <v>10711435.977653634</v>
      </c>
      <c r="W62" s="2">
        <f t="shared" si="94"/>
        <v>12756800.000000004</v>
      </c>
      <c r="X62" s="2">
        <f t="shared" si="95"/>
        <v>0</v>
      </c>
      <c r="Y62" s="2">
        <v>64140.335195530737</v>
      </c>
      <c r="Z62" s="109">
        <f t="shared" si="96"/>
        <v>64140.335195530737</v>
      </c>
    </row>
    <row r="63" spans="1:26" ht="12.75" x14ac:dyDescent="0.2">
      <c r="A63" s="168"/>
      <c r="B63" s="168"/>
      <c r="C63" s="168"/>
      <c r="D63" s="107"/>
      <c r="E63" s="154">
        <v>1</v>
      </c>
      <c r="F63" s="155" t="s">
        <v>139</v>
      </c>
      <c r="G63" s="111">
        <v>1</v>
      </c>
      <c r="H63" s="112">
        <v>30000000</v>
      </c>
      <c r="I63" s="112">
        <f t="shared" si="108"/>
        <v>30000000</v>
      </c>
      <c r="J63" s="110">
        <v>44321</v>
      </c>
      <c r="K63" s="77">
        <f t="shared" si="109"/>
        <v>45417</v>
      </c>
      <c r="L63" s="107">
        <v>36</v>
      </c>
      <c r="M63" s="169">
        <v>17.88</v>
      </c>
      <c r="N63" s="81">
        <f t="shared" si="104"/>
        <v>536399.99999999988</v>
      </c>
      <c r="O63" s="81"/>
      <c r="P63" s="81"/>
      <c r="Q63" s="81">
        <f t="shared" si="105"/>
        <v>536399.99999999988</v>
      </c>
      <c r="R63" s="81">
        <f t="shared" si="106"/>
        <v>53639.999999999993</v>
      </c>
      <c r="S63" s="81">
        <f t="shared" si="107"/>
        <v>482759.99999999988</v>
      </c>
      <c r="T63" s="42">
        <f t="shared" si="91"/>
        <v>53639.999999999993</v>
      </c>
      <c r="U63" s="42">
        <f t="shared" si="92"/>
        <v>165517.71428571423</v>
      </c>
      <c r="V63" s="108">
        <f t="shared" si="93"/>
        <v>317242.28571428568</v>
      </c>
      <c r="W63" s="2">
        <f t="shared" si="94"/>
        <v>536399.99999999988</v>
      </c>
      <c r="X63" s="2">
        <f t="shared" si="95"/>
        <v>0</v>
      </c>
      <c r="Y63" s="2">
        <v>13793.142857142853</v>
      </c>
      <c r="Z63" s="109">
        <f t="shared" si="96"/>
        <v>13793.142857142853</v>
      </c>
    </row>
    <row r="64" spans="1:26" ht="12.75" x14ac:dyDescent="0.2">
      <c r="A64" s="168"/>
      <c r="B64" s="168"/>
      <c r="C64" s="168"/>
      <c r="D64" s="107"/>
      <c r="E64" s="154">
        <v>1</v>
      </c>
      <c r="F64" s="155" t="s">
        <v>140</v>
      </c>
      <c r="G64" s="111">
        <v>1</v>
      </c>
      <c r="H64" s="112">
        <v>170000000</v>
      </c>
      <c r="I64" s="112">
        <f t="shared" si="108"/>
        <v>170000000</v>
      </c>
      <c r="J64" s="110">
        <v>44321</v>
      </c>
      <c r="K64" s="77">
        <f t="shared" si="109"/>
        <v>49800</v>
      </c>
      <c r="L64" s="107">
        <v>180</v>
      </c>
      <c r="M64" s="169">
        <v>37.520000000000003</v>
      </c>
      <c r="N64" s="81">
        <f t="shared" si="104"/>
        <v>6378400.0000000009</v>
      </c>
      <c r="O64" s="81"/>
      <c r="P64" s="81"/>
      <c r="Q64" s="81">
        <f t="shared" si="105"/>
        <v>6378400.0000000009</v>
      </c>
      <c r="R64" s="81">
        <f t="shared" si="106"/>
        <v>637840.00000000012</v>
      </c>
      <c r="S64" s="81">
        <f t="shared" si="107"/>
        <v>5740560.0000000009</v>
      </c>
      <c r="T64" s="42">
        <f t="shared" si="91"/>
        <v>637840.00000000012</v>
      </c>
      <c r="U64" s="42">
        <f t="shared" si="92"/>
        <v>384842.01117318444</v>
      </c>
      <c r="V64" s="108">
        <f t="shared" si="93"/>
        <v>5355717.9888268169</v>
      </c>
      <c r="W64" s="2">
        <f t="shared" si="94"/>
        <v>6378400.0000000019</v>
      </c>
      <c r="X64" s="2">
        <f t="shared" si="95"/>
        <v>0</v>
      </c>
      <c r="Y64" s="2">
        <v>32070.167597765369</v>
      </c>
      <c r="Z64" s="109">
        <f t="shared" si="96"/>
        <v>32070.167597765369</v>
      </c>
    </row>
    <row r="65" spans="1:27" ht="12.75" x14ac:dyDescent="0.2">
      <c r="A65" s="168"/>
      <c r="B65" s="168"/>
      <c r="C65" s="168"/>
      <c r="D65" s="107"/>
      <c r="E65" s="154">
        <v>1</v>
      </c>
      <c r="F65" s="155" t="s">
        <v>141</v>
      </c>
      <c r="G65" s="111">
        <v>1</v>
      </c>
      <c r="H65" s="112">
        <v>40000000</v>
      </c>
      <c r="I65" s="112">
        <f t="shared" si="108"/>
        <v>40000000</v>
      </c>
      <c r="J65" s="110">
        <v>44322</v>
      </c>
      <c r="K65" s="77">
        <f t="shared" si="109"/>
        <v>45418</v>
      </c>
      <c r="L65" s="107">
        <v>36</v>
      </c>
      <c r="M65" s="169">
        <v>9.1</v>
      </c>
      <c r="N65" s="81">
        <f t="shared" si="104"/>
        <v>364000</v>
      </c>
      <c r="O65" s="81"/>
      <c r="P65" s="81"/>
      <c r="Q65" s="81">
        <f t="shared" si="105"/>
        <v>364000</v>
      </c>
      <c r="R65" s="81">
        <f t="shared" si="106"/>
        <v>36400</v>
      </c>
      <c r="S65" s="81">
        <f t="shared" si="107"/>
        <v>327600</v>
      </c>
      <c r="T65" s="42">
        <f t="shared" si="91"/>
        <v>36400</v>
      </c>
      <c r="U65" s="42">
        <f t="shared" si="92"/>
        <v>112320</v>
      </c>
      <c r="V65" s="108">
        <f t="shared" si="93"/>
        <v>215280</v>
      </c>
      <c r="W65" s="2">
        <f t="shared" si="94"/>
        <v>364000</v>
      </c>
      <c r="X65" s="2">
        <f t="shared" si="95"/>
        <v>0</v>
      </c>
      <c r="Y65" s="2">
        <v>9360</v>
      </c>
      <c r="Z65" s="109">
        <f t="shared" si="96"/>
        <v>9360</v>
      </c>
    </row>
    <row r="66" spans="1:27" ht="12.75" x14ac:dyDescent="0.2">
      <c r="A66" s="168"/>
      <c r="B66" s="168"/>
      <c r="C66" s="168"/>
      <c r="D66" s="107"/>
      <c r="E66" s="154">
        <v>1</v>
      </c>
      <c r="F66" s="155" t="s">
        <v>142</v>
      </c>
      <c r="G66" s="111">
        <v>1</v>
      </c>
      <c r="H66" s="112">
        <v>440000000</v>
      </c>
      <c r="I66" s="112">
        <f t="shared" si="108"/>
        <v>440000000</v>
      </c>
      <c r="J66" s="110">
        <v>44323</v>
      </c>
      <c r="K66" s="77">
        <f t="shared" si="109"/>
        <v>49802</v>
      </c>
      <c r="L66" s="107">
        <v>180</v>
      </c>
      <c r="M66" s="169">
        <v>37.520000000000003</v>
      </c>
      <c r="N66" s="81">
        <f t="shared" si="104"/>
        <v>16508800.000000002</v>
      </c>
      <c r="O66" s="81"/>
      <c r="P66" s="81"/>
      <c r="Q66" s="81">
        <f t="shared" si="105"/>
        <v>16508800.000000002</v>
      </c>
      <c r="R66" s="81">
        <f t="shared" si="106"/>
        <v>1650880.0000000002</v>
      </c>
      <c r="S66" s="81">
        <f t="shared" si="107"/>
        <v>14857920.000000002</v>
      </c>
      <c r="T66" s="42">
        <f t="shared" si="91"/>
        <v>1650880.0000000002</v>
      </c>
      <c r="U66" s="42">
        <f t="shared" si="92"/>
        <v>996061.67597765371</v>
      </c>
      <c r="V66" s="108">
        <f t="shared" si="93"/>
        <v>13861858.324022349</v>
      </c>
      <c r="W66" s="2">
        <f t="shared" si="94"/>
        <v>16508800.000000004</v>
      </c>
      <c r="X66" s="2">
        <f t="shared" si="95"/>
        <v>0</v>
      </c>
      <c r="Y66" s="2">
        <v>83005.139664804476</v>
      </c>
      <c r="Z66" s="109">
        <f t="shared" si="96"/>
        <v>83005.139664804476</v>
      </c>
    </row>
    <row r="67" spans="1:27" ht="12.75" x14ac:dyDescent="0.2">
      <c r="A67" s="168"/>
      <c r="B67" s="168"/>
      <c r="C67" s="168"/>
      <c r="D67" s="107"/>
      <c r="E67" s="154">
        <v>1</v>
      </c>
      <c r="F67" s="155" t="s">
        <v>144</v>
      </c>
      <c r="G67" s="111">
        <v>1</v>
      </c>
      <c r="H67" s="112">
        <v>30000000</v>
      </c>
      <c r="I67" s="112">
        <f t="shared" si="108"/>
        <v>30000000</v>
      </c>
      <c r="J67" s="110">
        <v>44323</v>
      </c>
      <c r="K67" s="77">
        <f t="shared" si="109"/>
        <v>45053</v>
      </c>
      <c r="L67" s="107">
        <v>24</v>
      </c>
      <c r="M67" s="169">
        <v>9.1</v>
      </c>
      <c r="N67" s="81">
        <f t="shared" si="104"/>
        <v>273000</v>
      </c>
      <c r="O67" s="81"/>
      <c r="P67" s="81"/>
      <c r="Q67" s="81">
        <f t="shared" si="105"/>
        <v>273000</v>
      </c>
      <c r="R67" s="81">
        <f t="shared" si="106"/>
        <v>27300</v>
      </c>
      <c r="S67" s="81">
        <f t="shared" si="107"/>
        <v>245700</v>
      </c>
      <c r="T67" s="42">
        <f t="shared" si="91"/>
        <v>27300</v>
      </c>
      <c r="U67" s="42">
        <f t="shared" si="92"/>
        <v>128191.30434782608</v>
      </c>
      <c r="V67" s="108">
        <f t="shared" si="93"/>
        <v>117508.69565217392</v>
      </c>
      <c r="W67" s="2">
        <f t="shared" si="94"/>
        <v>273000</v>
      </c>
      <c r="X67" s="2">
        <f t="shared" si="95"/>
        <v>0</v>
      </c>
      <c r="Y67" s="2">
        <v>10682.608695652174</v>
      </c>
      <c r="Z67" s="109">
        <f t="shared" si="96"/>
        <v>10682.608695652174</v>
      </c>
    </row>
    <row r="68" spans="1:27" ht="12.75" x14ac:dyDescent="0.2">
      <c r="A68" s="168"/>
      <c r="B68" s="168"/>
      <c r="C68" s="168"/>
      <c r="D68" s="107"/>
      <c r="E68" s="154">
        <v>1</v>
      </c>
      <c r="F68" s="155" t="s">
        <v>143</v>
      </c>
      <c r="G68" s="111">
        <v>1</v>
      </c>
      <c r="H68" s="112">
        <v>200000000</v>
      </c>
      <c r="I68" s="112">
        <f t="shared" si="108"/>
        <v>200000000</v>
      </c>
      <c r="J68" s="110">
        <v>44326</v>
      </c>
      <c r="K68" s="77">
        <f t="shared" si="109"/>
        <v>47978</v>
      </c>
      <c r="L68" s="107">
        <v>120</v>
      </c>
      <c r="M68" s="169">
        <v>25.48</v>
      </c>
      <c r="N68" s="81">
        <f t="shared" si="104"/>
        <v>5096000</v>
      </c>
      <c r="O68" s="81"/>
      <c r="P68" s="81"/>
      <c r="Q68" s="81">
        <f t="shared" si="105"/>
        <v>5096000</v>
      </c>
      <c r="R68" s="81">
        <f t="shared" si="106"/>
        <v>509600</v>
      </c>
      <c r="S68" s="81">
        <f t="shared" si="107"/>
        <v>4586400</v>
      </c>
      <c r="T68" s="42">
        <f t="shared" si="91"/>
        <v>509600</v>
      </c>
      <c r="U68" s="42">
        <f t="shared" si="92"/>
        <v>462494.11764705885</v>
      </c>
      <c r="V68" s="108">
        <f t="shared" si="93"/>
        <v>4123905.8823529412</v>
      </c>
      <c r="W68" s="2">
        <f t="shared" si="94"/>
        <v>5096000</v>
      </c>
      <c r="X68" s="2">
        <f t="shared" si="95"/>
        <v>0</v>
      </c>
      <c r="Y68" s="2">
        <v>38541.176470588238</v>
      </c>
      <c r="Z68" s="109">
        <f t="shared" si="96"/>
        <v>38541.176470588238</v>
      </c>
    </row>
    <row r="69" spans="1:27" ht="12.75" x14ac:dyDescent="0.2">
      <c r="A69" s="168"/>
      <c r="B69" s="168"/>
      <c r="C69" s="168"/>
      <c r="D69" s="107"/>
      <c r="E69" s="154">
        <v>1</v>
      </c>
      <c r="F69" s="155" t="s">
        <v>145</v>
      </c>
      <c r="G69" s="111">
        <v>1</v>
      </c>
      <c r="H69" s="112">
        <v>265000000</v>
      </c>
      <c r="I69" s="112">
        <f t="shared" si="108"/>
        <v>265000000</v>
      </c>
      <c r="J69" s="110">
        <v>44326</v>
      </c>
      <c r="K69" s="77">
        <f t="shared" si="109"/>
        <v>48497</v>
      </c>
      <c r="L69" s="107">
        <v>137</v>
      </c>
      <c r="M69" s="169">
        <v>30.46</v>
      </c>
      <c r="N69" s="81">
        <f t="shared" si="104"/>
        <v>8071900</v>
      </c>
      <c r="O69" s="81"/>
      <c r="P69" s="81"/>
      <c r="Q69" s="81">
        <f t="shared" si="105"/>
        <v>8071900</v>
      </c>
      <c r="R69" s="81">
        <f t="shared" si="106"/>
        <v>807190</v>
      </c>
      <c r="S69" s="81">
        <f t="shared" si="107"/>
        <v>7264710</v>
      </c>
      <c r="T69" s="42">
        <f t="shared" si="91"/>
        <v>807190</v>
      </c>
      <c r="U69" s="42">
        <f t="shared" si="92"/>
        <v>641003.82352941181</v>
      </c>
      <c r="V69" s="108">
        <f t="shared" si="93"/>
        <v>6623706.176470588</v>
      </c>
      <c r="W69" s="2">
        <f t="shared" si="94"/>
        <v>8071900</v>
      </c>
      <c r="X69" s="2">
        <f t="shared" si="95"/>
        <v>0</v>
      </c>
      <c r="Y69" s="2">
        <v>53416.98529411765</v>
      </c>
      <c r="Z69" s="109">
        <f t="shared" si="96"/>
        <v>53416.98529411765</v>
      </c>
    </row>
    <row r="70" spans="1:27" x14ac:dyDescent="0.2">
      <c r="A70" s="83"/>
      <c r="B70" s="83"/>
      <c r="C70" s="83"/>
      <c r="D70" s="84"/>
      <c r="E70" s="93">
        <f>SUM(E56:E69)</f>
        <v>14</v>
      </c>
      <c r="F70" s="83"/>
      <c r="G70" s="83"/>
      <c r="H70" s="92">
        <f>SUM(H56:H69)</f>
        <v>3265000000</v>
      </c>
      <c r="I70" s="92">
        <f t="shared" ref="I70:Q70" si="110">SUM(I56:I69)</f>
        <v>3265000000</v>
      </c>
      <c r="J70" s="92"/>
      <c r="K70" s="92"/>
      <c r="L70" s="92"/>
      <c r="M70" s="92"/>
      <c r="N70" s="92">
        <f t="shared" si="110"/>
        <v>102042400</v>
      </c>
      <c r="O70" s="92">
        <f t="shared" si="110"/>
        <v>0</v>
      </c>
      <c r="P70" s="92">
        <f t="shared" si="110"/>
        <v>0</v>
      </c>
      <c r="Q70" s="92">
        <f t="shared" si="110"/>
        <v>102042400</v>
      </c>
      <c r="R70" s="92">
        <f t="shared" ref="R70" si="111">SUM(R56:R69)</f>
        <v>10204240.000000002</v>
      </c>
      <c r="S70" s="92">
        <f t="shared" ref="S70" si="112">SUM(S56:S69)</f>
        <v>91838160.000000015</v>
      </c>
      <c r="T70" s="92">
        <f t="shared" ref="T70" si="113">SUM(T56:T69)</f>
        <v>10204240.000000002</v>
      </c>
      <c r="U70" s="92">
        <f t="shared" ref="U70" si="114">SUM(U56:U69)</f>
        <v>7761625.1479604077</v>
      </c>
      <c r="V70" s="92">
        <f t="shared" ref="V70" si="115">SUM(V56:V69)</f>
        <v>84076534.85203962</v>
      </c>
      <c r="W70" s="92">
        <f t="shared" ref="W70" si="116">SUM(W56:W69)</f>
        <v>102042400.00000001</v>
      </c>
      <c r="X70" s="92">
        <f t="shared" ref="X70" si="117">SUM(X56:X69)</f>
        <v>0</v>
      </c>
      <c r="Y70" s="92">
        <f t="shared" ref="Y70" si="118">SUM(Y56:Y69)</f>
        <v>646802.0956633673</v>
      </c>
      <c r="Z70" s="92">
        <f t="shared" ref="Z70" si="119">SUM(Z56:Z69)</f>
        <v>646802.0956633673</v>
      </c>
    </row>
    <row r="71" spans="1:27" x14ac:dyDescent="0.2">
      <c r="A71" s="74">
        <v>15</v>
      </c>
      <c r="B71" s="107" t="s">
        <v>49</v>
      </c>
      <c r="C71" s="107" t="s">
        <v>156</v>
      </c>
      <c r="D71" s="110">
        <v>44347</v>
      </c>
      <c r="E71" s="74">
        <v>1</v>
      </c>
      <c r="F71" s="107" t="s">
        <v>157</v>
      </c>
      <c r="G71" s="111">
        <v>1</v>
      </c>
      <c r="H71" s="112">
        <v>250000000</v>
      </c>
      <c r="I71" s="112">
        <f>H71*G71</f>
        <v>250000000</v>
      </c>
      <c r="J71" s="110">
        <v>44320</v>
      </c>
      <c r="K71" s="77">
        <f>IFERROR(VALUE(DAY(J71)&amp;" "&amp;TEXT(EOMONTH(J71,L71)-29,"mmm")&amp;" "&amp;YEAR(EOMONTH(J71,L71)-29)),"-")</f>
        <v>48338</v>
      </c>
      <c r="L71" s="107">
        <v>132</v>
      </c>
      <c r="M71" s="99">
        <v>27.98</v>
      </c>
      <c r="N71" s="81">
        <f t="shared" ref="N71:N72" si="120">M71*H71/1000</f>
        <v>6995000</v>
      </c>
      <c r="O71" s="81"/>
      <c r="P71" s="81"/>
      <c r="Q71" s="81">
        <f t="shared" ref="Q71:Q72" si="121">N71+O71+P71</f>
        <v>6995000</v>
      </c>
      <c r="R71" s="81">
        <f t="shared" ref="R71:R72" si="122">10%*N71</f>
        <v>699500</v>
      </c>
      <c r="S71" s="81">
        <f t="shared" ref="S71:S72" si="123">Q71-R71</f>
        <v>6295500</v>
      </c>
      <c r="T71" s="42">
        <f t="shared" ref="T71" si="124">Q71*10%</f>
        <v>699500</v>
      </c>
      <c r="U71" s="42">
        <f t="shared" ref="U71" si="125">Y71*12</f>
        <v>576687.02290076332</v>
      </c>
      <c r="V71" s="108">
        <f t="shared" ref="V71" si="126">Q71-T71-U71</f>
        <v>5718812.977099237</v>
      </c>
      <c r="W71" s="2">
        <f t="shared" ref="W71" si="127">T71+U71+V71</f>
        <v>6995000</v>
      </c>
      <c r="X71" s="2">
        <f t="shared" ref="X71" si="128">Q71-W71</f>
        <v>0</v>
      </c>
      <c r="Y71" s="2">
        <v>48057.251908396946</v>
      </c>
      <c r="Z71" s="109">
        <f t="shared" ref="Z71" si="129">(Q71-T71)/(L71-1)</f>
        <v>48057.251908396946</v>
      </c>
    </row>
    <row r="72" spans="1:27" x14ac:dyDescent="0.2">
      <c r="A72" s="74"/>
      <c r="B72" s="107"/>
      <c r="C72" s="107"/>
      <c r="D72" s="110"/>
      <c r="E72" s="74">
        <v>1</v>
      </c>
      <c r="F72" s="107" t="s">
        <v>158</v>
      </c>
      <c r="G72" s="111">
        <v>1</v>
      </c>
      <c r="H72" s="112">
        <v>60000000</v>
      </c>
      <c r="I72" s="112">
        <f>H72*G72</f>
        <v>60000000</v>
      </c>
      <c r="J72" s="110">
        <v>44320</v>
      </c>
      <c r="K72" s="77">
        <f>IFERROR(VALUE(DAY(J72)&amp;" "&amp;TEXT(EOMONTH(J72,L72)-29,"mmm")&amp;" "&amp;YEAR(EOMONTH(J72,L72)-29)),"-")</f>
        <v>46146</v>
      </c>
      <c r="L72" s="107">
        <v>60</v>
      </c>
      <c r="M72" s="99">
        <v>13.65</v>
      </c>
      <c r="N72" s="81">
        <f t="shared" si="120"/>
        <v>819000</v>
      </c>
      <c r="O72" s="81"/>
      <c r="P72" s="81"/>
      <c r="Q72" s="81">
        <f t="shared" si="121"/>
        <v>819000</v>
      </c>
      <c r="R72" s="81">
        <f t="shared" si="122"/>
        <v>81900</v>
      </c>
      <c r="S72" s="81">
        <f t="shared" si="123"/>
        <v>737100</v>
      </c>
      <c r="T72" s="42">
        <f t="shared" ref="T72" si="130">Q72*10%</f>
        <v>81900</v>
      </c>
      <c r="U72" s="42">
        <f t="shared" ref="U72" si="131">Y72*12</f>
        <v>149918.64406779659</v>
      </c>
      <c r="V72" s="108">
        <f t="shared" ref="V72" si="132">Q72-T72-U72</f>
        <v>587181.35593220335</v>
      </c>
      <c r="W72" s="2">
        <f t="shared" ref="W72" si="133">T72+U72+V72</f>
        <v>819000</v>
      </c>
      <c r="X72" s="2">
        <f t="shared" ref="X72" si="134">Q72-W72</f>
        <v>0</v>
      </c>
      <c r="Y72" s="2">
        <v>12493.22033898305</v>
      </c>
      <c r="Z72" s="109">
        <f t="shared" ref="Z72" si="135">(Q72-T72)/(L72-1)</f>
        <v>12493.22033898305</v>
      </c>
    </row>
    <row r="73" spans="1:27" s="94" customFormat="1" x14ac:dyDescent="0.2">
      <c r="A73" s="88"/>
      <c r="B73" s="84"/>
      <c r="C73" s="84"/>
      <c r="D73" s="84"/>
      <c r="E73" s="88">
        <f>SUM(E71:E72)</f>
        <v>2</v>
      </c>
      <c r="F73" s="84"/>
      <c r="G73" s="115"/>
      <c r="H73" s="79">
        <f t="shared" ref="H73:I73" si="136">SUM(H71:H72)</f>
        <v>310000000</v>
      </c>
      <c r="I73" s="79">
        <f t="shared" si="136"/>
        <v>310000000</v>
      </c>
      <c r="J73" s="59"/>
      <c r="K73" s="59"/>
      <c r="L73" s="59"/>
      <c r="M73" s="59"/>
      <c r="N73" s="79">
        <f t="shared" ref="N73:Q73" si="137">SUM(N71:N72)</f>
        <v>7814000</v>
      </c>
      <c r="O73" s="79">
        <f t="shared" si="137"/>
        <v>0</v>
      </c>
      <c r="P73" s="79">
        <f t="shared" si="137"/>
        <v>0</v>
      </c>
      <c r="Q73" s="79">
        <f t="shared" si="137"/>
        <v>7814000</v>
      </c>
      <c r="R73" s="79">
        <f t="shared" ref="R73:Z73" si="138">SUM(R71:R72)</f>
        <v>781400</v>
      </c>
      <c r="S73" s="79">
        <f t="shared" si="138"/>
        <v>7032600</v>
      </c>
      <c r="T73" s="79">
        <f t="shared" si="138"/>
        <v>781400</v>
      </c>
      <c r="U73" s="79">
        <f t="shared" si="138"/>
        <v>726605.66696855985</v>
      </c>
      <c r="V73" s="79">
        <f t="shared" si="138"/>
        <v>6305994.3330314402</v>
      </c>
      <c r="W73" s="79">
        <f t="shared" si="138"/>
        <v>7814000</v>
      </c>
      <c r="X73" s="79">
        <f t="shared" si="138"/>
        <v>0</v>
      </c>
      <c r="Y73" s="79">
        <f t="shared" si="138"/>
        <v>60550.472247379992</v>
      </c>
      <c r="Z73" s="79">
        <f t="shared" si="138"/>
        <v>60550.472247379992</v>
      </c>
    </row>
    <row r="74" spans="1:27" x14ac:dyDescent="0.2">
      <c r="A74" s="83"/>
      <c r="B74" s="83"/>
      <c r="C74" s="83" t="s">
        <v>147</v>
      </c>
      <c r="D74" s="84"/>
      <c r="E74" s="87">
        <f>E70+E55+E53+E50+E73</f>
        <v>20</v>
      </c>
      <c r="F74" s="87">
        <f t="shared" ref="F74:Q74" si="139">F70+F55+F53+F50+F73</f>
        <v>0</v>
      </c>
      <c r="G74" s="87">
        <f t="shared" si="139"/>
        <v>0</v>
      </c>
      <c r="H74" s="87">
        <f>H70+H55+H53+H50+H73</f>
        <v>4756450622</v>
      </c>
      <c r="I74" s="87">
        <f t="shared" si="139"/>
        <v>4756450622</v>
      </c>
      <c r="J74" s="87">
        <f t="shared" si="139"/>
        <v>0</v>
      </c>
      <c r="K74" s="87">
        <f t="shared" si="139"/>
        <v>0</v>
      </c>
      <c r="L74" s="87">
        <f t="shared" si="139"/>
        <v>0</v>
      </c>
      <c r="M74" s="87">
        <f t="shared" si="139"/>
        <v>0</v>
      </c>
      <c r="N74" s="87">
        <f t="shared" si="139"/>
        <v>144081307.23106</v>
      </c>
      <c r="O74" s="87">
        <f t="shared" si="139"/>
        <v>0</v>
      </c>
      <c r="P74" s="87">
        <f t="shared" si="139"/>
        <v>0</v>
      </c>
      <c r="Q74" s="87">
        <f t="shared" si="139"/>
        <v>144081307.23106</v>
      </c>
      <c r="R74" s="87">
        <f t="shared" ref="R74" si="140">R70+R55+R53+R50+R73</f>
        <v>14408130.723106002</v>
      </c>
      <c r="S74" s="87">
        <f t="shared" ref="S74" si="141">S70+S55+S53+S50+S73</f>
        <v>129673176.50795402</v>
      </c>
      <c r="T74" s="87">
        <f t="shared" ref="T74" si="142">T70+T55+T53+T50+T73</f>
        <v>14408130.723106002</v>
      </c>
      <c r="U74" s="87">
        <f t="shared" ref="U74" si="143">U70+U55+U53+U50+U73</f>
        <v>20631056.015088685</v>
      </c>
      <c r="V74" s="87">
        <f t="shared" ref="V74" si="144">V70+V55+V53+V50+V73</f>
        <v>109042120.49286534</v>
      </c>
      <c r="W74" s="87">
        <f t="shared" ref="W74" si="145">W70+W55+W53+W50+W73</f>
        <v>144081307.23106003</v>
      </c>
      <c r="X74" s="87">
        <f t="shared" ref="X74" si="146">X70+X55+X53+X50+X73</f>
        <v>0</v>
      </c>
      <c r="Y74" s="87">
        <f t="shared" ref="Y74" si="147">Y70+Y55+Y53+Y50+Y73</f>
        <v>1719254.6679240575</v>
      </c>
      <c r="Z74" s="87">
        <f t="shared" ref="Z74" si="148">Z70+Z55+Z53+Z50+Z73</f>
        <v>1719254.6679240575</v>
      </c>
    </row>
    <row r="75" spans="1:27" s="94" customFormat="1" x14ac:dyDescent="0.2">
      <c r="A75" s="83"/>
      <c r="B75" s="83"/>
      <c r="C75" s="83" t="s">
        <v>148</v>
      </c>
      <c r="D75" s="84"/>
      <c r="E75" s="95">
        <f t="shared" ref="E75:G75" si="149">E74+E44</f>
        <v>29</v>
      </c>
      <c r="F75" s="95">
        <f t="shared" si="149"/>
        <v>0</v>
      </c>
      <c r="G75" s="95">
        <f t="shared" si="149"/>
        <v>0</v>
      </c>
      <c r="H75" s="95">
        <f>H74+H44</f>
        <v>6129450622</v>
      </c>
      <c r="I75" s="95">
        <f t="shared" ref="I75:AA75" si="150">I74+I44</f>
        <v>6129450622</v>
      </c>
      <c r="J75" s="95">
        <f t="shared" si="150"/>
        <v>0</v>
      </c>
      <c r="K75" s="95">
        <f t="shared" si="150"/>
        <v>0</v>
      </c>
      <c r="L75" s="95">
        <f t="shared" si="150"/>
        <v>0</v>
      </c>
      <c r="M75" s="95">
        <f t="shared" si="150"/>
        <v>0</v>
      </c>
      <c r="N75" s="95">
        <f t="shared" si="150"/>
        <v>175057545.86488</v>
      </c>
      <c r="O75" s="95">
        <f t="shared" si="150"/>
        <v>300000</v>
      </c>
      <c r="P75" s="95">
        <f t="shared" si="150"/>
        <v>0</v>
      </c>
      <c r="Q75" s="95">
        <f t="shared" si="150"/>
        <v>191255545.86488</v>
      </c>
      <c r="R75" s="95">
        <f t="shared" si="150"/>
        <v>18995427.723106004</v>
      </c>
      <c r="S75" s="95">
        <f t="shared" si="150"/>
        <v>172260118.141774</v>
      </c>
      <c r="T75" s="95">
        <f t="shared" si="150"/>
        <v>19924147.556149442</v>
      </c>
      <c r="U75" s="95">
        <f t="shared" si="150"/>
        <v>26145679.244959157</v>
      </c>
      <c r="V75" s="95">
        <f t="shared" si="150"/>
        <v>145185719.06377143</v>
      </c>
      <c r="W75" s="95">
        <f t="shared" si="150"/>
        <v>191255545.86488003</v>
      </c>
      <c r="X75" s="95">
        <f t="shared" si="150"/>
        <v>0</v>
      </c>
      <c r="Y75" s="95">
        <f t="shared" si="150"/>
        <v>2197903.7309662588</v>
      </c>
      <c r="Z75" s="95">
        <f t="shared" si="150"/>
        <v>2718022.050864873</v>
      </c>
      <c r="AA75" s="95">
        <f t="shared" si="150"/>
        <v>0</v>
      </c>
    </row>
  </sheetData>
  <mergeCells count="80">
    <mergeCell ref="N47:P47"/>
    <mergeCell ref="Q47:Q48"/>
    <mergeCell ref="R47:R48"/>
    <mergeCell ref="S47:S48"/>
    <mergeCell ref="G47:G48"/>
    <mergeCell ref="H47:H48"/>
    <mergeCell ref="I47:I48"/>
    <mergeCell ref="J47:K48"/>
    <mergeCell ref="L47:L48"/>
    <mergeCell ref="M47:M48"/>
    <mergeCell ref="N27:P27"/>
    <mergeCell ref="Q27:Q28"/>
    <mergeCell ref="R27:R28"/>
    <mergeCell ref="S27:S28"/>
    <mergeCell ref="A47:A48"/>
    <mergeCell ref="B47:B48"/>
    <mergeCell ref="C47:C48"/>
    <mergeCell ref="D47:D48"/>
    <mergeCell ref="E47:E48"/>
    <mergeCell ref="F47:F48"/>
    <mergeCell ref="G27:G28"/>
    <mergeCell ref="H27:H28"/>
    <mergeCell ref="I27:I28"/>
    <mergeCell ref="J27:K28"/>
    <mergeCell ref="L27:L28"/>
    <mergeCell ref="M27:M28"/>
    <mergeCell ref="N17:P17"/>
    <mergeCell ref="Q17:Q18"/>
    <mergeCell ref="R17:R18"/>
    <mergeCell ref="S17:S18"/>
    <mergeCell ref="A27:A28"/>
    <mergeCell ref="B27:B28"/>
    <mergeCell ref="C27:C28"/>
    <mergeCell ref="D27:D28"/>
    <mergeCell ref="E27:E28"/>
    <mergeCell ref="F27:F28"/>
    <mergeCell ref="G17:G18"/>
    <mergeCell ref="H17:H18"/>
    <mergeCell ref="I17:I18"/>
    <mergeCell ref="J17:K18"/>
    <mergeCell ref="L17:L18"/>
    <mergeCell ref="M17:M18"/>
    <mergeCell ref="N9:P9"/>
    <mergeCell ref="Q9:Q10"/>
    <mergeCell ref="R9:R10"/>
    <mergeCell ref="S9:S10"/>
    <mergeCell ref="A17:A18"/>
    <mergeCell ref="B17:B18"/>
    <mergeCell ref="C17:C18"/>
    <mergeCell ref="D17:D18"/>
    <mergeCell ref="E17:E18"/>
    <mergeCell ref="F17:F18"/>
    <mergeCell ref="G9:G10"/>
    <mergeCell ref="H9:H10"/>
    <mergeCell ref="I9:I10"/>
    <mergeCell ref="J9:K10"/>
    <mergeCell ref="L9:L10"/>
    <mergeCell ref="M9:M10"/>
    <mergeCell ref="N3:P3"/>
    <mergeCell ref="Q3:Q4"/>
    <mergeCell ref="R3:R4"/>
    <mergeCell ref="S3:S4"/>
    <mergeCell ref="A9:A10"/>
    <mergeCell ref="B9:B10"/>
    <mergeCell ref="C9:C10"/>
    <mergeCell ref="D9:D10"/>
    <mergeCell ref="E9:E10"/>
    <mergeCell ref="F9:F10"/>
    <mergeCell ref="G3:G4"/>
    <mergeCell ref="H3:H4"/>
    <mergeCell ref="I3:I4"/>
    <mergeCell ref="J3:K4"/>
    <mergeCell ref="L3:L4"/>
    <mergeCell ref="M3:M4"/>
    <mergeCell ref="F3:F4"/>
    <mergeCell ref="A3:A4"/>
    <mergeCell ref="B3:B4"/>
    <mergeCell ref="C3:C4"/>
    <mergeCell ref="D3:D4"/>
    <mergeCell ref="E3:E4"/>
  </mergeCells>
  <pageMargins left="0.70866141732283472" right="0.70866141732283472" top="0.51181102362204722" bottom="0.74803149606299213" header="0.31496062992125984" footer="0.31496062992125984"/>
  <pageSetup paperSize="5" scale="88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5:Y17"/>
  <sheetViews>
    <sheetView workbookViewId="0">
      <selection activeCell="A5" sqref="A5:V11"/>
    </sheetView>
  </sheetViews>
  <sheetFormatPr defaultRowHeight="15" x14ac:dyDescent="0.25"/>
  <cols>
    <col min="1" max="1" width="7.5703125" customWidth="1"/>
    <col min="2" max="2" width="15" bestFit="1" customWidth="1"/>
    <col min="3" max="3" width="19.5703125" customWidth="1"/>
    <col min="4" max="4" width="12.7109375" bestFit="1" customWidth="1"/>
    <col min="5" max="5" width="11.140625" bestFit="1" customWidth="1"/>
    <col min="6" max="6" width="25.5703125" customWidth="1"/>
    <col min="7" max="7" width="9" bestFit="1" customWidth="1"/>
    <col min="8" max="9" width="13.7109375" bestFit="1" customWidth="1"/>
    <col min="10" max="11" width="10.5703125" bestFit="1" customWidth="1"/>
    <col min="12" max="12" width="4.140625" bestFit="1" customWidth="1"/>
    <col min="13" max="13" width="7.28515625" customWidth="1"/>
    <col min="14" max="14" width="11" hidden="1" customWidth="1"/>
    <col min="15" max="15" width="8.5703125" hidden="1" customWidth="1"/>
    <col min="16" max="16" width="8.7109375" hidden="1" customWidth="1"/>
    <col min="17" max="17" width="11" hidden="1" customWidth="1"/>
    <col min="18" max="18" width="9.42578125" customWidth="1"/>
    <col min="19" max="19" width="17.42578125" hidden="1" customWidth="1"/>
    <col min="20" max="20" width="14.28515625" customWidth="1"/>
    <col min="21" max="21" width="15.140625" customWidth="1"/>
    <col min="22" max="23" width="10.140625" bestFit="1" customWidth="1"/>
    <col min="24" max="24" width="5.140625" bestFit="1" customWidth="1"/>
  </cols>
  <sheetData>
    <row r="5" spans="1:25" s="3" customFormat="1" ht="23.25" x14ac:dyDescent="0.2">
      <c r="A5" s="86" t="s">
        <v>233</v>
      </c>
      <c r="B5" s="62"/>
      <c r="C5" s="62"/>
      <c r="D5" s="57"/>
      <c r="E5" s="63"/>
      <c r="F5" s="64"/>
      <c r="G5" s="139"/>
      <c r="H5" s="66"/>
      <c r="I5" s="66"/>
      <c r="J5" s="67"/>
      <c r="K5" s="67"/>
      <c r="L5" s="68"/>
      <c r="M5" s="68"/>
      <c r="N5" s="69"/>
      <c r="O5" s="69"/>
      <c r="P5" s="69"/>
      <c r="Q5" s="69"/>
      <c r="R5" s="69"/>
      <c r="S5" s="69"/>
      <c r="T5" s="70"/>
      <c r="U5" s="71"/>
      <c r="V5" s="71"/>
    </row>
    <row r="6" spans="1:25" s="3" customFormat="1" ht="12" x14ac:dyDescent="0.2">
      <c r="A6" s="231" t="s">
        <v>0</v>
      </c>
      <c r="B6" s="232" t="s">
        <v>1</v>
      </c>
      <c r="C6" s="229" t="s">
        <v>2</v>
      </c>
      <c r="D6" s="233" t="s">
        <v>3</v>
      </c>
      <c r="E6" s="234" t="s">
        <v>4</v>
      </c>
      <c r="F6" s="232" t="s">
        <v>5</v>
      </c>
      <c r="G6" s="237" t="s">
        <v>6</v>
      </c>
      <c r="H6" s="236" t="s">
        <v>7</v>
      </c>
      <c r="I6" s="236" t="s">
        <v>8</v>
      </c>
      <c r="J6" s="227" t="s">
        <v>9</v>
      </c>
      <c r="K6" s="227"/>
      <c r="L6" s="228" t="s">
        <v>10</v>
      </c>
      <c r="M6" s="229" t="s">
        <v>11</v>
      </c>
      <c r="N6" s="230" t="s">
        <v>12</v>
      </c>
      <c r="O6" s="230"/>
      <c r="P6" s="230"/>
      <c r="Q6" s="229" t="s">
        <v>13</v>
      </c>
      <c r="R6" s="229" t="s">
        <v>14</v>
      </c>
      <c r="S6" s="229" t="s">
        <v>15</v>
      </c>
      <c r="T6" s="36">
        <v>2021</v>
      </c>
      <c r="U6" s="37"/>
      <c r="V6" s="38" t="s">
        <v>44</v>
      </c>
    </row>
    <row r="7" spans="1:25" s="3" customFormat="1" ht="24" x14ac:dyDescent="0.2">
      <c r="A7" s="231"/>
      <c r="B7" s="232"/>
      <c r="C7" s="229"/>
      <c r="D7" s="233"/>
      <c r="E7" s="234"/>
      <c r="F7" s="232"/>
      <c r="G7" s="237"/>
      <c r="H7" s="236"/>
      <c r="I7" s="236"/>
      <c r="J7" s="227"/>
      <c r="K7" s="227"/>
      <c r="L7" s="228"/>
      <c r="M7" s="229"/>
      <c r="N7" s="214" t="s">
        <v>16</v>
      </c>
      <c r="O7" s="214" t="s">
        <v>17</v>
      </c>
      <c r="P7" s="214" t="s">
        <v>18</v>
      </c>
      <c r="Q7" s="229"/>
      <c r="R7" s="229"/>
      <c r="S7" s="229"/>
      <c r="T7" s="215" t="s">
        <v>246</v>
      </c>
      <c r="U7" s="39" t="s">
        <v>247</v>
      </c>
      <c r="V7" s="40"/>
    </row>
    <row r="8" spans="1:25" s="222" customFormat="1" ht="12.75" x14ac:dyDescent="0.2">
      <c r="A8" s="154">
        <v>24</v>
      </c>
      <c r="B8" s="155" t="s">
        <v>51</v>
      </c>
      <c r="C8" s="155" t="s">
        <v>226</v>
      </c>
      <c r="D8" s="156">
        <v>44469</v>
      </c>
      <c r="E8" s="154">
        <v>1</v>
      </c>
      <c r="F8" s="155" t="s">
        <v>227</v>
      </c>
      <c r="G8" s="175">
        <v>1</v>
      </c>
      <c r="H8" s="176">
        <v>300000000</v>
      </c>
      <c r="I8" s="176">
        <f t="shared" ref="I8:I9" si="0">H8*G8</f>
        <v>300000000</v>
      </c>
      <c r="J8" s="205">
        <v>44442</v>
      </c>
      <c r="K8" s="205">
        <v>48094</v>
      </c>
      <c r="L8" s="155">
        <v>120</v>
      </c>
      <c r="M8" s="195">
        <v>25.48</v>
      </c>
      <c r="N8" s="176">
        <f t="shared" ref="N8:N9" si="1">M8*H8/1000</f>
        <v>7644000</v>
      </c>
      <c r="O8" s="176"/>
      <c r="P8" s="176"/>
      <c r="Q8" s="176">
        <f t="shared" ref="Q8:Q9" si="2">N8+O8+P8</f>
        <v>7644000</v>
      </c>
      <c r="R8" s="217">
        <f t="shared" ref="R8:R9" si="3">10%*N8</f>
        <v>764400</v>
      </c>
      <c r="S8" s="218">
        <f t="shared" ref="S8:S9" si="4">Q8-R8</f>
        <v>6879600</v>
      </c>
      <c r="T8" s="219">
        <f>R8/L8*4</f>
        <v>25480</v>
      </c>
      <c r="U8" s="219">
        <f t="shared" ref="U8:U9" si="5">R8/L8*12</f>
        <v>76440</v>
      </c>
      <c r="V8" s="220">
        <f t="shared" ref="V8:V9" si="6">R8-T8-U8</f>
        <v>662480</v>
      </c>
      <c r="W8" s="221">
        <f t="shared" ref="W8:W9" si="7">T8+U8+V8</f>
        <v>764400</v>
      </c>
      <c r="X8" s="221">
        <f t="shared" ref="X8:X9" si="8">R8-W8</f>
        <v>0</v>
      </c>
    </row>
    <row r="9" spans="1:25" s="222" customFormat="1" ht="12.75" x14ac:dyDescent="0.2">
      <c r="A9" s="154"/>
      <c r="B9" s="155"/>
      <c r="C9" s="155"/>
      <c r="D9" s="156"/>
      <c r="E9" s="154">
        <v>1</v>
      </c>
      <c r="F9" s="155" t="s">
        <v>228</v>
      </c>
      <c r="G9" s="175">
        <v>1</v>
      </c>
      <c r="H9" s="176">
        <v>260000000</v>
      </c>
      <c r="I9" s="176">
        <f t="shared" si="0"/>
        <v>260000000</v>
      </c>
      <c r="J9" s="205">
        <v>44466</v>
      </c>
      <c r="K9" s="205">
        <v>48118</v>
      </c>
      <c r="L9" s="155">
        <v>120</v>
      </c>
      <c r="M9" s="195">
        <v>36.4</v>
      </c>
      <c r="N9" s="176">
        <f t="shared" si="1"/>
        <v>9464000</v>
      </c>
      <c r="O9" s="176"/>
      <c r="P9" s="176"/>
      <c r="Q9" s="176">
        <f t="shared" si="2"/>
        <v>9464000</v>
      </c>
      <c r="R9" s="217">
        <f t="shared" si="3"/>
        <v>946400</v>
      </c>
      <c r="S9" s="218">
        <f t="shared" si="4"/>
        <v>8517600</v>
      </c>
      <c r="T9" s="219">
        <f>R9/L9*4</f>
        <v>31546.666666666668</v>
      </c>
      <c r="U9" s="219">
        <f t="shared" si="5"/>
        <v>94640</v>
      </c>
      <c r="V9" s="220">
        <f t="shared" si="6"/>
        <v>820213.33333333337</v>
      </c>
      <c r="W9" s="221">
        <f t="shared" si="7"/>
        <v>946400</v>
      </c>
      <c r="X9" s="221">
        <f t="shared" si="8"/>
        <v>0</v>
      </c>
    </row>
    <row r="10" spans="1:25" s="222" customFormat="1" ht="12.75" x14ac:dyDescent="0.2">
      <c r="A10" s="198"/>
      <c r="B10" s="199"/>
      <c r="C10" s="199"/>
      <c r="D10" s="199"/>
      <c r="E10" s="223">
        <f>SUM(E8:E9)</f>
        <v>2</v>
      </c>
      <c r="F10" s="224"/>
      <c r="G10" s="224"/>
      <c r="H10" s="224">
        <f>SUM(H8:H9)</f>
        <v>560000000</v>
      </c>
      <c r="I10" s="224">
        <f>SUM(I8:I9)</f>
        <v>560000000</v>
      </c>
      <c r="J10" s="224"/>
      <c r="K10" s="224"/>
      <c r="L10" s="224"/>
      <c r="M10" s="224"/>
      <c r="N10" s="224">
        <f t="shared" ref="N10:S10" si="9">SUM(N8:N9)</f>
        <v>17108000</v>
      </c>
      <c r="O10" s="224">
        <f t="shared" si="9"/>
        <v>0</v>
      </c>
      <c r="P10" s="224">
        <f t="shared" si="9"/>
        <v>0</v>
      </c>
      <c r="Q10" s="224">
        <f t="shared" si="9"/>
        <v>17108000</v>
      </c>
      <c r="R10" s="224">
        <f t="shared" si="9"/>
        <v>1710800</v>
      </c>
      <c r="S10" s="224">
        <f t="shared" si="9"/>
        <v>15397200</v>
      </c>
      <c r="T10" s="224">
        <f t="shared" ref="T10:X10" si="10">SUM(T8:T9)</f>
        <v>57026.666666666672</v>
      </c>
      <c r="U10" s="224">
        <f t="shared" si="10"/>
        <v>171080</v>
      </c>
      <c r="V10" s="224">
        <f t="shared" si="10"/>
        <v>1482693.3333333335</v>
      </c>
      <c r="W10" s="224">
        <f t="shared" si="10"/>
        <v>1710800</v>
      </c>
      <c r="X10" s="224">
        <f t="shared" si="10"/>
        <v>0</v>
      </c>
    </row>
    <row r="11" spans="1:25" s="3" customFormat="1" ht="12" x14ac:dyDescent="0.2">
      <c r="D11" s="82"/>
      <c r="E11" s="97"/>
      <c r="F11" s="211"/>
      <c r="G11" s="211"/>
      <c r="H11" s="211"/>
      <c r="I11" s="211"/>
      <c r="J11" s="211"/>
      <c r="K11" s="211"/>
      <c r="L11" s="211"/>
      <c r="M11" s="211"/>
      <c r="N11" s="211"/>
      <c r="O11" s="211"/>
      <c r="P11" s="211"/>
      <c r="Q11" s="211"/>
      <c r="R11" s="211"/>
      <c r="S11" s="211"/>
      <c r="T11" s="211"/>
      <c r="U11" s="211"/>
      <c r="V11" s="211"/>
      <c r="W11" s="211"/>
      <c r="X11" s="211"/>
      <c r="Y11" s="211"/>
    </row>
    <row r="12" spans="1:25" s="3" customFormat="1" ht="12" x14ac:dyDescent="0.2">
      <c r="D12" s="82"/>
      <c r="E12" s="97"/>
      <c r="F12" s="211"/>
      <c r="G12" s="211"/>
      <c r="H12" s="211"/>
      <c r="I12" s="211"/>
      <c r="J12" s="211"/>
      <c r="K12" s="211"/>
      <c r="L12" s="211"/>
      <c r="M12" s="211"/>
      <c r="N12" s="211"/>
      <c r="O12" s="211"/>
      <c r="P12" s="211"/>
      <c r="Q12" s="211"/>
      <c r="R12" s="211"/>
      <c r="S12" s="211"/>
      <c r="T12" s="211"/>
      <c r="U12" s="211"/>
      <c r="V12" s="211"/>
      <c r="W12" s="211"/>
      <c r="X12" s="211"/>
      <c r="Y12" s="211"/>
    </row>
    <row r="13" spans="1:25" x14ac:dyDescent="0.25"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</row>
    <row r="14" spans="1:25" x14ac:dyDescent="0.25">
      <c r="F14" s="216"/>
      <c r="G14" s="216"/>
      <c r="H14" s="216"/>
      <c r="I14" s="216"/>
      <c r="J14" s="216"/>
      <c r="K14" s="216"/>
      <c r="L14" s="216"/>
      <c r="M14" s="216"/>
      <c r="N14" s="216"/>
      <c r="O14" s="216"/>
      <c r="P14" s="216"/>
      <c r="Q14" s="216"/>
      <c r="R14" s="216"/>
      <c r="S14" s="216"/>
      <c r="T14" s="216"/>
      <c r="U14" s="216"/>
      <c r="V14" s="216"/>
      <c r="W14" s="216"/>
      <c r="X14" s="216"/>
      <c r="Y14" s="216"/>
    </row>
    <row r="15" spans="1:25" x14ac:dyDescent="0.25">
      <c r="F15" s="216"/>
      <c r="G15" s="216"/>
      <c r="H15" s="216"/>
      <c r="I15" s="216"/>
      <c r="J15" s="216"/>
      <c r="K15" s="216"/>
      <c r="L15" s="216"/>
      <c r="M15" s="216"/>
      <c r="N15" s="216"/>
      <c r="O15" s="216"/>
      <c r="P15" s="216"/>
      <c r="Q15" s="216"/>
      <c r="R15" s="216"/>
      <c r="S15" s="216"/>
      <c r="T15" s="216"/>
      <c r="U15" s="216"/>
      <c r="V15" s="216"/>
      <c r="W15" s="216"/>
      <c r="X15" s="216"/>
      <c r="Y15" s="216"/>
    </row>
    <row r="16" spans="1:25" x14ac:dyDescent="0.25">
      <c r="F16" s="216"/>
      <c r="G16" s="216"/>
      <c r="H16" s="216"/>
      <c r="I16" s="216"/>
      <c r="J16" s="216"/>
      <c r="K16" s="216"/>
      <c r="L16" s="216"/>
      <c r="M16" s="216"/>
      <c r="N16" s="216"/>
      <c r="O16" s="216"/>
      <c r="P16" s="216"/>
      <c r="Q16" s="216"/>
      <c r="R16" s="216"/>
      <c r="S16" s="216"/>
      <c r="T16" s="216"/>
      <c r="U16" s="216"/>
      <c r="V16" s="216"/>
      <c r="W16" s="216"/>
      <c r="X16" s="216"/>
      <c r="Y16" s="216"/>
    </row>
    <row r="17" spans="6:25" x14ac:dyDescent="0.25">
      <c r="F17" s="216"/>
      <c r="G17" s="216"/>
      <c r="H17" s="216"/>
      <c r="I17" s="216"/>
      <c r="J17" s="216"/>
      <c r="K17" s="216"/>
      <c r="L17" s="216"/>
      <c r="M17" s="216"/>
      <c r="N17" s="216"/>
      <c r="O17" s="216"/>
      <c r="P17" s="216"/>
      <c r="Q17" s="216"/>
      <c r="R17" s="216"/>
      <c r="S17" s="216"/>
      <c r="T17" s="216"/>
      <c r="U17" s="216"/>
      <c r="V17" s="216"/>
      <c r="W17" s="216"/>
      <c r="X17" s="216"/>
      <c r="Y17" s="216"/>
    </row>
  </sheetData>
  <mergeCells count="16">
    <mergeCell ref="S6:S7"/>
    <mergeCell ref="J6:K7"/>
    <mergeCell ref="L6:L7"/>
    <mergeCell ref="M6:M7"/>
    <mergeCell ref="N6:P6"/>
    <mergeCell ref="Q6:Q7"/>
    <mergeCell ref="R6:R7"/>
    <mergeCell ref="F6:F7"/>
    <mergeCell ref="G6:G7"/>
    <mergeCell ref="H6:H7"/>
    <mergeCell ref="I6:I7"/>
    <mergeCell ref="A6:A7"/>
    <mergeCell ref="B6:B7"/>
    <mergeCell ref="C6:C7"/>
    <mergeCell ref="D6:D7"/>
    <mergeCell ref="E6:E7"/>
  </mergeCells>
  <pageMargins left="0.43307086614173229" right="0.23622047244094491" top="0.47244094488188981" bottom="0.74803149606299213" header="0.31496062992125984" footer="0.31496062992125984"/>
  <pageSetup paperSize="5" scale="7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35"/>
  <sheetViews>
    <sheetView workbookViewId="0">
      <selection activeCell="T5" sqref="T5"/>
    </sheetView>
  </sheetViews>
  <sheetFormatPr defaultRowHeight="12" x14ac:dyDescent="0.2"/>
  <cols>
    <col min="1" max="1" width="4.140625" style="3" customWidth="1"/>
    <col min="2" max="2" width="15" style="3" bestFit="1" customWidth="1"/>
    <col min="3" max="3" width="19" style="3" customWidth="1"/>
    <col min="4" max="4" width="10.7109375" style="82" hidden="1" customWidth="1"/>
    <col min="5" max="5" width="9" style="203" customWidth="1"/>
    <col min="6" max="6" width="19.42578125" style="3" customWidth="1"/>
    <col min="7" max="7" width="9" style="143" customWidth="1"/>
    <col min="8" max="8" width="14.140625" style="3" customWidth="1"/>
    <col min="9" max="9" width="16.42578125" style="3" customWidth="1"/>
    <col min="10" max="10" width="11.140625" style="3" customWidth="1"/>
    <col min="11" max="11" width="10.5703125" style="3" customWidth="1"/>
    <col min="12" max="12" width="7.140625" style="3" customWidth="1"/>
    <col min="13" max="13" width="6.42578125" style="3" customWidth="1"/>
    <col min="14" max="14" width="12.5703125" style="3" hidden="1" customWidth="1"/>
    <col min="15" max="16" width="9.140625" style="3" hidden="1" customWidth="1"/>
    <col min="17" max="17" width="12" style="3" customWidth="1"/>
    <col min="18" max="18" width="11.7109375" style="3" hidden="1" customWidth="1"/>
    <col min="19" max="19" width="14.28515625" style="3" hidden="1" customWidth="1"/>
    <col min="20" max="20" width="15.7109375" style="3" customWidth="1"/>
    <col min="21" max="21" width="20.42578125" style="3" customWidth="1"/>
    <col min="22" max="22" width="13.85546875" style="3" customWidth="1"/>
    <col min="23" max="23" width="12.85546875" style="3" customWidth="1"/>
    <col min="24" max="26" width="9.28515625" style="3" bestFit="1" customWidth="1"/>
    <col min="27" max="16384" width="9.140625" style="3"/>
  </cols>
  <sheetData>
    <row r="2" spans="1:26" ht="14.25" customHeight="1" x14ac:dyDescent="0.2">
      <c r="A2" s="86" t="s">
        <v>69</v>
      </c>
      <c r="B2" s="62"/>
      <c r="C2" s="62"/>
      <c r="D2" s="57"/>
      <c r="E2" s="63"/>
      <c r="F2" s="64"/>
      <c r="G2" s="139"/>
      <c r="H2" s="66"/>
      <c r="I2" s="66"/>
      <c r="J2" s="67"/>
      <c r="K2" s="67"/>
      <c r="L2" s="68"/>
      <c r="M2" s="68"/>
      <c r="N2" s="69"/>
      <c r="O2" s="69"/>
      <c r="P2" s="69"/>
      <c r="Q2" s="69"/>
      <c r="R2" s="69"/>
      <c r="S2" s="69"/>
      <c r="T2" s="70"/>
      <c r="U2" s="71"/>
      <c r="V2" s="71"/>
    </row>
    <row r="3" spans="1:26" ht="14.25" customHeight="1" x14ac:dyDescent="0.2">
      <c r="A3" s="231" t="s">
        <v>0</v>
      </c>
      <c r="B3" s="232" t="s">
        <v>1</v>
      </c>
      <c r="C3" s="229" t="s">
        <v>2</v>
      </c>
      <c r="D3" s="233" t="s">
        <v>3</v>
      </c>
      <c r="E3" s="234" t="s">
        <v>4</v>
      </c>
      <c r="F3" s="232" t="s">
        <v>5</v>
      </c>
      <c r="G3" s="237" t="s">
        <v>6</v>
      </c>
      <c r="H3" s="236" t="s">
        <v>7</v>
      </c>
      <c r="I3" s="236" t="s">
        <v>8</v>
      </c>
      <c r="J3" s="227" t="s">
        <v>9</v>
      </c>
      <c r="K3" s="227"/>
      <c r="L3" s="228" t="s">
        <v>10</v>
      </c>
      <c r="M3" s="229" t="s">
        <v>11</v>
      </c>
      <c r="N3" s="230" t="s">
        <v>12</v>
      </c>
      <c r="O3" s="230"/>
      <c r="P3" s="230"/>
      <c r="Q3" s="229" t="s">
        <v>13</v>
      </c>
      <c r="R3" s="229" t="s">
        <v>14</v>
      </c>
      <c r="S3" s="229" t="s">
        <v>15</v>
      </c>
      <c r="T3" s="36">
        <v>2021</v>
      </c>
      <c r="U3" s="37"/>
      <c r="V3" s="38" t="s">
        <v>44</v>
      </c>
    </row>
    <row r="4" spans="1:26" ht="14.25" customHeight="1" x14ac:dyDescent="0.2">
      <c r="A4" s="231"/>
      <c r="B4" s="232"/>
      <c r="C4" s="229"/>
      <c r="D4" s="233"/>
      <c r="E4" s="234"/>
      <c r="F4" s="232"/>
      <c r="G4" s="237"/>
      <c r="H4" s="236"/>
      <c r="I4" s="236"/>
      <c r="J4" s="227"/>
      <c r="K4" s="227"/>
      <c r="L4" s="228"/>
      <c r="M4" s="229"/>
      <c r="N4" s="210" t="s">
        <v>16</v>
      </c>
      <c r="O4" s="210" t="s">
        <v>17</v>
      </c>
      <c r="P4" s="210" t="s">
        <v>18</v>
      </c>
      <c r="Q4" s="229"/>
      <c r="R4" s="229"/>
      <c r="S4" s="229"/>
      <c r="T4" s="96" t="s">
        <v>234</v>
      </c>
      <c r="U4" s="39" t="s">
        <v>235</v>
      </c>
      <c r="V4" s="40"/>
    </row>
    <row r="5" spans="1:26" x14ac:dyDescent="0.2">
      <c r="A5" s="72">
        <v>1</v>
      </c>
      <c r="B5" s="73" t="s">
        <v>49</v>
      </c>
      <c r="C5" s="73" t="s">
        <v>55</v>
      </c>
      <c r="D5" s="58">
        <v>44225</v>
      </c>
      <c r="E5" s="74">
        <v>1</v>
      </c>
      <c r="F5" s="73" t="s">
        <v>56</v>
      </c>
      <c r="G5" s="140">
        <v>1</v>
      </c>
      <c r="H5" s="42">
        <v>200000000</v>
      </c>
      <c r="I5" s="42">
        <f>H5*G5</f>
        <v>200000000</v>
      </c>
      <c r="J5" s="76">
        <v>44207</v>
      </c>
      <c r="K5" s="77">
        <f>IFERROR(VALUE(DAY(J5)&amp;" "&amp;TEXT(EOMONTH(J5,L5)-29,"mmm")&amp;" "&amp;YEAR(EOMONTH(J5,L5)-29)),"-")</f>
        <v>47494</v>
      </c>
      <c r="L5" s="78">
        <v>108</v>
      </c>
      <c r="M5" s="99">
        <v>23.21</v>
      </c>
      <c r="N5" s="81">
        <f t="shared" ref="N5" si="0">M5*H5/1000</f>
        <v>4642000</v>
      </c>
      <c r="O5" s="81"/>
      <c r="P5" s="81"/>
      <c r="Q5" s="81">
        <f t="shared" ref="Q5" si="1">N5+O5+P5</f>
        <v>4642000</v>
      </c>
      <c r="R5" s="81">
        <f t="shared" ref="R5" si="2">10%*N5</f>
        <v>464200</v>
      </c>
      <c r="S5" s="81">
        <f t="shared" ref="S5" si="3">Q5-R5</f>
        <v>4177800</v>
      </c>
      <c r="T5" s="42">
        <f>Q5*10%+(Y5*9)</f>
        <v>815603.73831775703</v>
      </c>
      <c r="U5" s="42">
        <f>Y5*12</f>
        <v>468538.31775700935</v>
      </c>
      <c r="V5" s="108">
        <f t="shared" ref="V5" si="4">Q5-T5-U5</f>
        <v>3357857.9439252336</v>
      </c>
      <c r="W5" s="2">
        <f t="shared" ref="W5" si="5">T5+U5+V5</f>
        <v>4642000</v>
      </c>
      <c r="X5" s="2">
        <f t="shared" ref="X5" si="6">Q5-W5</f>
        <v>0</v>
      </c>
      <c r="Y5" s="2">
        <v>39044.859813084113</v>
      </c>
      <c r="Z5" s="109">
        <f t="shared" ref="Z5" si="7">(Q5-T5)/(L5-1)</f>
        <v>35760.712726002275</v>
      </c>
    </row>
    <row r="6" spans="1:26" x14ac:dyDescent="0.2">
      <c r="A6" s="79"/>
      <c r="B6" s="59"/>
      <c r="C6" s="59"/>
      <c r="D6" s="59"/>
      <c r="E6" s="80">
        <f>SUM(E5:E5)</f>
        <v>1</v>
      </c>
      <c r="F6" s="80"/>
      <c r="G6" s="80"/>
      <c r="H6" s="79">
        <f>SUM(H5:H5)</f>
        <v>200000000</v>
      </c>
      <c r="I6" s="79">
        <f>SUM(I5:I5)</f>
        <v>200000000</v>
      </c>
      <c r="J6" s="79"/>
      <c r="K6" s="79"/>
      <c r="L6" s="79"/>
      <c r="M6" s="79"/>
      <c r="N6" s="79">
        <f t="shared" ref="N6:Z6" si="8">SUM(N5:N5)</f>
        <v>4642000</v>
      </c>
      <c r="O6" s="79">
        <f t="shared" si="8"/>
        <v>0</v>
      </c>
      <c r="P6" s="79">
        <f t="shared" si="8"/>
        <v>0</v>
      </c>
      <c r="Q6" s="79">
        <f t="shared" si="8"/>
        <v>4642000</v>
      </c>
      <c r="R6" s="79">
        <f t="shared" si="8"/>
        <v>464200</v>
      </c>
      <c r="S6" s="79">
        <f t="shared" si="8"/>
        <v>4177800</v>
      </c>
      <c r="T6" s="79">
        <f t="shared" si="8"/>
        <v>815603.73831775703</v>
      </c>
      <c r="U6" s="79">
        <f t="shared" si="8"/>
        <v>468538.31775700935</v>
      </c>
      <c r="V6" s="79">
        <f t="shared" si="8"/>
        <v>3357857.9439252336</v>
      </c>
      <c r="W6" s="79">
        <f t="shared" si="8"/>
        <v>4642000</v>
      </c>
      <c r="X6" s="79">
        <f t="shared" si="8"/>
        <v>0</v>
      </c>
      <c r="Y6" s="79">
        <f t="shared" si="8"/>
        <v>39044.859813084113</v>
      </c>
      <c r="Z6" s="79">
        <f t="shared" si="8"/>
        <v>35760.712726002275</v>
      </c>
    </row>
    <row r="8" spans="1:26" ht="14.25" customHeight="1" x14ac:dyDescent="0.2">
      <c r="A8" s="86" t="s">
        <v>70</v>
      </c>
      <c r="B8" s="62"/>
      <c r="C8" s="62"/>
      <c r="D8" s="57"/>
      <c r="E8" s="63"/>
      <c r="F8" s="64"/>
      <c r="G8" s="139"/>
      <c r="H8" s="66"/>
      <c r="I8" s="66"/>
      <c r="J8" s="67"/>
      <c r="K8" s="67"/>
      <c r="L8" s="68"/>
      <c r="M8" s="68"/>
      <c r="N8" s="69"/>
      <c r="O8" s="69"/>
      <c r="P8" s="69"/>
      <c r="Q8" s="69"/>
      <c r="R8" s="69"/>
      <c r="S8" s="69"/>
      <c r="T8" s="70"/>
      <c r="U8" s="71"/>
      <c r="V8" s="71"/>
    </row>
    <row r="9" spans="1:26" ht="14.25" customHeight="1" x14ac:dyDescent="0.2">
      <c r="A9" s="231" t="s">
        <v>0</v>
      </c>
      <c r="B9" s="232" t="s">
        <v>1</v>
      </c>
      <c r="C9" s="229" t="s">
        <v>2</v>
      </c>
      <c r="D9" s="233" t="s">
        <v>3</v>
      </c>
      <c r="E9" s="234" t="s">
        <v>4</v>
      </c>
      <c r="F9" s="232" t="s">
        <v>5</v>
      </c>
      <c r="G9" s="237" t="s">
        <v>6</v>
      </c>
      <c r="H9" s="236" t="s">
        <v>7</v>
      </c>
      <c r="I9" s="236" t="s">
        <v>8</v>
      </c>
      <c r="J9" s="227" t="s">
        <v>9</v>
      </c>
      <c r="K9" s="227"/>
      <c r="L9" s="228" t="s">
        <v>10</v>
      </c>
      <c r="M9" s="229" t="s">
        <v>11</v>
      </c>
      <c r="N9" s="230" t="s">
        <v>12</v>
      </c>
      <c r="O9" s="230"/>
      <c r="P9" s="230"/>
      <c r="Q9" s="229" t="s">
        <v>13</v>
      </c>
      <c r="R9" s="229" t="s">
        <v>14</v>
      </c>
      <c r="S9" s="229" t="s">
        <v>15</v>
      </c>
      <c r="T9" s="36">
        <v>2021</v>
      </c>
      <c r="U9" s="37"/>
      <c r="V9" s="38" t="s">
        <v>44</v>
      </c>
    </row>
    <row r="10" spans="1:26" ht="14.25" customHeight="1" x14ac:dyDescent="0.2">
      <c r="A10" s="231"/>
      <c r="B10" s="232"/>
      <c r="C10" s="229"/>
      <c r="D10" s="233"/>
      <c r="E10" s="234"/>
      <c r="F10" s="232"/>
      <c r="G10" s="237"/>
      <c r="H10" s="236"/>
      <c r="I10" s="236"/>
      <c r="J10" s="227"/>
      <c r="K10" s="227"/>
      <c r="L10" s="228"/>
      <c r="M10" s="229"/>
      <c r="N10" s="210" t="s">
        <v>16</v>
      </c>
      <c r="O10" s="210" t="s">
        <v>17</v>
      </c>
      <c r="P10" s="210" t="s">
        <v>18</v>
      </c>
      <c r="Q10" s="229"/>
      <c r="R10" s="229"/>
      <c r="S10" s="229"/>
      <c r="T10" s="104" t="s">
        <v>236</v>
      </c>
      <c r="U10" s="39" t="s">
        <v>235</v>
      </c>
      <c r="V10" s="106"/>
    </row>
    <row r="11" spans="1:26" x14ac:dyDescent="0.2">
      <c r="A11" s="72">
        <v>2</v>
      </c>
      <c r="B11" s="107" t="s">
        <v>59</v>
      </c>
      <c r="C11" s="107" t="s">
        <v>60</v>
      </c>
      <c r="D11" s="110">
        <v>44237</v>
      </c>
      <c r="E11" s="74">
        <v>1</v>
      </c>
      <c r="F11" s="107" t="s">
        <v>61</v>
      </c>
      <c r="G11" s="141">
        <v>1</v>
      </c>
      <c r="H11" s="112">
        <v>300000000</v>
      </c>
      <c r="I11" s="112">
        <f>H11*G11</f>
        <v>300000000</v>
      </c>
      <c r="J11" s="110">
        <v>44222</v>
      </c>
      <c r="K11" s="77">
        <f>IFERROR(VALUE(DAY(J11)&amp;" "&amp;TEXT(EOMONTH(J11,L11)-29,"mmm")&amp;" "&amp;YEAR(EOMONTH(J11,L11)-29)),"-")</f>
        <v>49700</v>
      </c>
      <c r="L11" s="107">
        <v>180</v>
      </c>
      <c r="M11" s="99">
        <v>37.520000000000003</v>
      </c>
      <c r="N11" s="81">
        <f t="shared" ref="N11" si="9">M11*H11/1000</f>
        <v>11256000</v>
      </c>
      <c r="O11" s="81"/>
      <c r="P11" s="81"/>
      <c r="Q11" s="81">
        <f t="shared" ref="Q11" si="10">N11+O11+P11</f>
        <v>11256000</v>
      </c>
      <c r="R11" s="81">
        <f t="shared" ref="R11" si="11">10%*N11</f>
        <v>1125600</v>
      </c>
      <c r="S11" s="81">
        <f t="shared" ref="S11" si="12">Q11-R11</f>
        <v>10130400</v>
      </c>
      <c r="T11" s="42">
        <f>Q11*10%+(Y11*8)</f>
        <v>1578355.3072625699</v>
      </c>
      <c r="U11" s="42">
        <f t="shared" ref="U11" si="13">Y11*12</f>
        <v>679132.96089385473</v>
      </c>
      <c r="V11" s="108">
        <f t="shared" ref="V11" si="14">Q11-T11-U11</f>
        <v>8998511.7318435758</v>
      </c>
      <c r="W11" s="2">
        <f t="shared" ref="W11" si="15">T11+U11+V11</f>
        <v>11256000</v>
      </c>
      <c r="X11" s="2">
        <f t="shared" ref="X11" si="16">Q11-W11</f>
        <v>0</v>
      </c>
      <c r="Y11" s="2">
        <v>56594.41340782123</v>
      </c>
      <c r="Z11" s="109">
        <f t="shared" ref="Z11" si="17">(Q11-T11)/(L11-1)</f>
        <v>54065.054149371121</v>
      </c>
    </row>
    <row r="12" spans="1:26" x14ac:dyDescent="0.2">
      <c r="A12" s="79"/>
      <c r="B12" s="59"/>
      <c r="C12" s="59" t="s">
        <v>72</v>
      </c>
      <c r="D12" s="59"/>
      <c r="E12" s="80">
        <f>SUM(E11:E11)</f>
        <v>1</v>
      </c>
      <c r="F12" s="80"/>
      <c r="G12" s="80"/>
      <c r="H12" s="79">
        <f>SUM(H11:H11)</f>
        <v>300000000</v>
      </c>
      <c r="I12" s="79">
        <f>SUM(I11:I11)</f>
        <v>300000000</v>
      </c>
      <c r="J12" s="79"/>
      <c r="K12" s="79"/>
      <c r="L12" s="79"/>
      <c r="M12" s="79"/>
      <c r="N12" s="79">
        <f t="shared" ref="N12:Z12" si="18">SUM(N11:N11)</f>
        <v>11256000</v>
      </c>
      <c r="O12" s="79">
        <f t="shared" si="18"/>
        <v>0</v>
      </c>
      <c r="P12" s="79">
        <f t="shared" si="18"/>
        <v>0</v>
      </c>
      <c r="Q12" s="79">
        <f t="shared" si="18"/>
        <v>11256000</v>
      </c>
      <c r="R12" s="79">
        <f t="shared" si="18"/>
        <v>1125600</v>
      </c>
      <c r="S12" s="79">
        <f t="shared" si="18"/>
        <v>10130400</v>
      </c>
      <c r="T12" s="79">
        <f t="shared" si="18"/>
        <v>1578355.3072625699</v>
      </c>
      <c r="U12" s="79">
        <f t="shared" si="18"/>
        <v>679132.96089385473</v>
      </c>
      <c r="V12" s="79">
        <f t="shared" si="18"/>
        <v>8998511.7318435758</v>
      </c>
      <c r="W12" s="79">
        <f t="shared" si="18"/>
        <v>11256000</v>
      </c>
      <c r="X12" s="79">
        <f t="shared" si="18"/>
        <v>0</v>
      </c>
      <c r="Y12" s="79">
        <f t="shared" si="18"/>
        <v>56594.41340782123</v>
      </c>
      <c r="Z12" s="79">
        <f t="shared" si="18"/>
        <v>54065.054149371121</v>
      </c>
    </row>
    <row r="13" spans="1:26" s="94" customFormat="1" x14ac:dyDescent="0.2">
      <c r="A13" s="83"/>
      <c r="B13" s="83"/>
      <c r="C13" s="83" t="s">
        <v>73</v>
      </c>
      <c r="D13" s="84"/>
      <c r="E13" s="93">
        <f>E12+E6</f>
        <v>2</v>
      </c>
      <c r="F13" s="83"/>
      <c r="G13" s="142"/>
      <c r="H13" s="87">
        <f>H12+H6</f>
        <v>500000000</v>
      </c>
      <c r="I13" s="87">
        <f>I12+I6</f>
        <v>500000000</v>
      </c>
      <c r="J13" s="83"/>
      <c r="K13" s="83"/>
      <c r="L13" s="83"/>
      <c r="M13" s="83"/>
      <c r="N13" s="83"/>
      <c r="O13" s="83"/>
      <c r="P13" s="83"/>
      <c r="Q13" s="87">
        <f t="shared" ref="Q13:Z13" si="19">Q12+Q6</f>
        <v>15898000</v>
      </c>
      <c r="R13" s="87">
        <f t="shared" si="19"/>
        <v>1589800</v>
      </c>
      <c r="S13" s="87">
        <f t="shared" si="19"/>
        <v>14308200</v>
      </c>
      <c r="T13" s="87">
        <f t="shared" si="19"/>
        <v>2393959.045580327</v>
      </c>
      <c r="U13" s="87">
        <f t="shared" si="19"/>
        <v>1147671.278650864</v>
      </c>
      <c r="V13" s="87">
        <f t="shared" si="19"/>
        <v>12356369.675768809</v>
      </c>
      <c r="W13" s="87">
        <f t="shared" si="19"/>
        <v>15898000</v>
      </c>
      <c r="X13" s="87">
        <f t="shared" si="19"/>
        <v>0</v>
      </c>
      <c r="Y13" s="87">
        <f t="shared" si="19"/>
        <v>95639.273220905336</v>
      </c>
      <c r="Z13" s="87">
        <f t="shared" si="19"/>
        <v>89825.766875373403</v>
      </c>
    </row>
    <row r="16" spans="1:26" ht="23.25" x14ac:dyDescent="0.2">
      <c r="A16" s="86" t="s">
        <v>87</v>
      </c>
      <c r="B16" s="62"/>
      <c r="C16" s="62"/>
      <c r="D16" s="57"/>
      <c r="E16" s="63"/>
      <c r="F16" s="64"/>
      <c r="G16" s="139"/>
      <c r="H16" s="66"/>
      <c r="I16" s="66"/>
      <c r="J16" s="67"/>
      <c r="K16" s="67"/>
      <c r="L16" s="68"/>
      <c r="M16" s="68"/>
      <c r="N16" s="69"/>
      <c r="O16" s="69"/>
      <c r="P16" s="69"/>
      <c r="Q16" s="69"/>
      <c r="R16" s="69"/>
      <c r="S16" s="69"/>
      <c r="T16" s="70"/>
      <c r="U16" s="71"/>
      <c r="V16" s="71"/>
    </row>
    <row r="17" spans="1:26" x14ac:dyDescent="0.2">
      <c r="A17" s="231" t="s">
        <v>0</v>
      </c>
      <c r="B17" s="232" t="s">
        <v>1</v>
      </c>
      <c r="C17" s="229" t="s">
        <v>2</v>
      </c>
      <c r="D17" s="233" t="s">
        <v>3</v>
      </c>
      <c r="E17" s="234" t="s">
        <v>4</v>
      </c>
      <c r="F17" s="232" t="s">
        <v>5</v>
      </c>
      <c r="G17" s="237" t="s">
        <v>6</v>
      </c>
      <c r="H17" s="236" t="s">
        <v>7</v>
      </c>
      <c r="I17" s="236" t="s">
        <v>8</v>
      </c>
      <c r="J17" s="227" t="s">
        <v>9</v>
      </c>
      <c r="K17" s="227"/>
      <c r="L17" s="228" t="s">
        <v>10</v>
      </c>
      <c r="M17" s="229" t="s">
        <v>11</v>
      </c>
      <c r="N17" s="230" t="s">
        <v>12</v>
      </c>
      <c r="O17" s="230"/>
      <c r="P17" s="230"/>
      <c r="Q17" s="229" t="s">
        <v>13</v>
      </c>
      <c r="R17" s="229" t="s">
        <v>14</v>
      </c>
      <c r="S17" s="229" t="s">
        <v>15</v>
      </c>
      <c r="T17" s="36">
        <v>2021</v>
      </c>
      <c r="U17" s="37"/>
      <c r="V17" s="38" t="s">
        <v>44</v>
      </c>
    </row>
    <row r="18" spans="1:26" x14ac:dyDescent="0.2">
      <c r="A18" s="231"/>
      <c r="B18" s="232"/>
      <c r="C18" s="229"/>
      <c r="D18" s="233"/>
      <c r="E18" s="234"/>
      <c r="F18" s="232"/>
      <c r="G18" s="237"/>
      <c r="H18" s="236"/>
      <c r="I18" s="236"/>
      <c r="J18" s="227"/>
      <c r="K18" s="227"/>
      <c r="L18" s="228"/>
      <c r="M18" s="229"/>
      <c r="N18" s="210" t="s">
        <v>16</v>
      </c>
      <c r="O18" s="210" t="s">
        <v>17</v>
      </c>
      <c r="P18" s="210" t="s">
        <v>18</v>
      </c>
      <c r="Q18" s="229"/>
      <c r="R18" s="229"/>
      <c r="S18" s="229"/>
      <c r="T18" s="96" t="s">
        <v>237</v>
      </c>
      <c r="U18" s="39" t="s">
        <v>235</v>
      </c>
      <c r="V18" s="40"/>
    </row>
    <row r="19" spans="1:26" x14ac:dyDescent="0.2">
      <c r="A19" s="74">
        <v>3</v>
      </c>
      <c r="B19" s="107" t="s">
        <v>49</v>
      </c>
      <c r="C19" s="107" t="s">
        <v>78</v>
      </c>
      <c r="D19" s="110">
        <v>44237</v>
      </c>
      <c r="E19" s="74">
        <v>1</v>
      </c>
      <c r="F19" s="107" t="s">
        <v>79</v>
      </c>
      <c r="G19" s="141">
        <v>1</v>
      </c>
      <c r="H19" s="112">
        <v>40000000</v>
      </c>
      <c r="I19" s="112">
        <f>H19*G19</f>
        <v>40000000</v>
      </c>
      <c r="J19" s="110">
        <v>44245</v>
      </c>
      <c r="K19" s="77">
        <f>IFERROR(VALUE(DAY(J19)&amp;" "&amp;TEXT(EOMONTH(J19,L19)-29,"mmm")&amp;" "&amp;YEAR(EOMONTH(J19,L19)-29)),"-")</f>
        <v>44944</v>
      </c>
      <c r="L19" s="107">
        <v>24</v>
      </c>
      <c r="M19" s="99">
        <v>21.1</v>
      </c>
      <c r="N19" s="81">
        <f t="shared" ref="N19" si="20">M19*H19/1000</f>
        <v>844000</v>
      </c>
      <c r="O19" s="81"/>
      <c r="P19" s="81"/>
      <c r="Q19" s="81">
        <f t="shared" ref="Q19" si="21">N19+O19+P19</f>
        <v>844000</v>
      </c>
      <c r="R19" s="81">
        <f t="shared" ref="R19" si="22">10%*N19</f>
        <v>84400</v>
      </c>
      <c r="S19" s="81">
        <f t="shared" ref="S19" si="23">Q19-R19</f>
        <v>759600</v>
      </c>
      <c r="T19" s="42">
        <f>Q19*10%+(Y19*7)</f>
        <v>315582.60869565187</v>
      </c>
      <c r="U19" s="42">
        <f>Y19*12</f>
        <v>396313.0434782604</v>
      </c>
      <c r="V19" s="108">
        <f t="shared" ref="V19" si="24">Q19-T19-U19</f>
        <v>132104.34782608773</v>
      </c>
      <c r="W19" s="2">
        <f t="shared" ref="W19" si="25">T19+U19+V19</f>
        <v>844000</v>
      </c>
      <c r="X19" s="2">
        <f t="shared" ref="X19" si="26">Q19-W19</f>
        <v>0</v>
      </c>
      <c r="Y19" s="2">
        <v>33026.0869565217</v>
      </c>
      <c r="Z19" s="109">
        <f>(Q19-T19)/(L19-1)</f>
        <v>22974.66918714557</v>
      </c>
    </row>
    <row r="20" spans="1:26" x14ac:dyDescent="0.2">
      <c r="A20" s="88"/>
      <c r="B20" s="84"/>
      <c r="C20" s="84"/>
      <c r="D20" s="84"/>
      <c r="E20" s="88">
        <f>SUM(E19:E19)</f>
        <v>1</v>
      </c>
      <c r="F20" s="84"/>
      <c r="G20" s="40"/>
      <c r="H20" s="59">
        <f>SUM(H19:H19)</f>
        <v>40000000</v>
      </c>
      <c r="I20" s="59">
        <f>SUM(I19:I19)</f>
        <v>40000000</v>
      </c>
      <c r="J20" s="59"/>
      <c r="K20" s="59"/>
      <c r="L20" s="59"/>
      <c r="M20" s="59"/>
      <c r="N20" s="59">
        <f t="shared" ref="N20:Z20" si="27">SUM(N19:N19)</f>
        <v>844000</v>
      </c>
      <c r="O20" s="59">
        <f t="shared" si="27"/>
        <v>0</v>
      </c>
      <c r="P20" s="59">
        <f t="shared" si="27"/>
        <v>0</v>
      </c>
      <c r="Q20" s="59">
        <f t="shared" si="27"/>
        <v>844000</v>
      </c>
      <c r="R20" s="59">
        <f t="shared" si="27"/>
        <v>84400</v>
      </c>
      <c r="S20" s="59">
        <f t="shared" si="27"/>
        <v>759600</v>
      </c>
      <c r="T20" s="59">
        <f t="shared" si="27"/>
        <v>315582.60869565187</v>
      </c>
      <c r="U20" s="59">
        <f t="shared" si="27"/>
        <v>396313.0434782604</v>
      </c>
      <c r="V20" s="59">
        <f t="shared" si="27"/>
        <v>132104.34782608773</v>
      </c>
      <c r="W20" s="59">
        <f t="shared" si="27"/>
        <v>844000</v>
      </c>
      <c r="X20" s="59">
        <f t="shared" si="27"/>
        <v>0</v>
      </c>
      <c r="Y20" s="59">
        <f t="shared" si="27"/>
        <v>33026.0869565217</v>
      </c>
      <c r="Z20" s="59">
        <f t="shared" si="27"/>
        <v>22974.66918714557</v>
      </c>
    </row>
    <row r="21" spans="1:26" x14ac:dyDescent="0.2">
      <c r="A21" s="74">
        <v>4</v>
      </c>
      <c r="B21" s="107" t="s">
        <v>84</v>
      </c>
      <c r="C21" s="107" t="s">
        <v>85</v>
      </c>
      <c r="D21" s="110">
        <v>44286</v>
      </c>
      <c r="E21" s="74">
        <v>1</v>
      </c>
      <c r="F21" s="107" t="s">
        <v>86</v>
      </c>
      <c r="G21" s="141">
        <v>1</v>
      </c>
      <c r="H21" s="112">
        <v>300000000</v>
      </c>
      <c r="I21" s="112">
        <f>H21*G21</f>
        <v>300000000</v>
      </c>
      <c r="J21" s="110">
        <v>44263</v>
      </c>
      <c r="K21" s="77">
        <f t="shared" ref="K21" si="28">IFERROR(VALUE(DAY(J21)&amp;" "&amp;TEXT(EOMONTH(J21,L21)-29,"mmm")&amp;" "&amp;YEAR(EOMONTH(J21,L21)-29)),"-")</f>
        <v>44993</v>
      </c>
      <c r="L21" s="107">
        <v>24</v>
      </c>
      <c r="M21" s="99">
        <v>51.12</v>
      </c>
      <c r="N21" s="81">
        <f t="shared" ref="N21" si="29">M21*H21/1000</f>
        <v>15336000</v>
      </c>
      <c r="O21" s="81"/>
      <c r="P21" s="81"/>
      <c r="Q21" s="81">
        <f t="shared" ref="Q21" si="30">N21+O21+P21</f>
        <v>15336000</v>
      </c>
      <c r="R21" s="81">
        <f t="shared" ref="R21" si="31">10%*N21</f>
        <v>1533600</v>
      </c>
      <c r="S21" s="81">
        <f t="shared" ref="S21" si="32">Q21-R21</f>
        <v>13802400</v>
      </c>
      <c r="T21" s="42">
        <f>Q21*10%+(Y21*7)</f>
        <v>1929760.8938547487</v>
      </c>
      <c r="U21" s="42">
        <f>Y21*12</f>
        <v>679132.96089385473</v>
      </c>
      <c r="V21" s="108">
        <f t="shared" ref="V21" si="33">Q21-T21-U21</f>
        <v>12727106.145251397</v>
      </c>
      <c r="W21" s="2">
        <f t="shared" ref="W21" si="34">T21+U21+V21</f>
        <v>15336000</v>
      </c>
      <c r="X21" s="2">
        <f t="shared" ref="X21" si="35">Q21-W21</f>
        <v>0</v>
      </c>
      <c r="Y21" s="2">
        <v>56594.41340782123</v>
      </c>
      <c r="Z21" s="109">
        <f>(Q21-T21)/(L21-1)</f>
        <v>582879.96113675006</v>
      </c>
    </row>
    <row r="22" spans="1:26" x14ac:dyDescent="0.2">
      <c r="A22" s="88"/>
      <c r="B22" s="84"/>
      <c r="C22" s="84"/>
      <c r="D22" s="84"/>
      <c r="E22" s="88">
        <f>SUM(E21:E21)</f>
        <v>1</v>
      </c>
      <c r="F22" s="84"/>
      <c r="G22" s="40"/>
      <c r="H22" s="59">
        <f>SUM(H21:H21)</f>
        <v>300000000</v>
      </c>
      <c r="I22" s="59">
        <f>SUM(I21:I21)</f>
        <v>300000000</v>
      </c>
      <c r="J22" s="59"/>
      <c r="K22" s="59"/>
      <c r="L22" s="59"/>
      <c r="M22" s="59"/>
      <c r="N22" s="59">
        <f t="shared" ref="N22:Z22" si="36">SUM(N21:N21)</f>
        <v>15336000</v>
      </c>
      <c r="O22" s="59">
        <f t="shared" si="36"/>
        <v>0</v>
      </c>
      <c r="P22" s="59">
        <f t="shared" si="36"/>
        <v>0</v>
      </c>
      <c r="Q22" s="59">
        <f t="shared" si="36"/>
        <v>15336000</v>
      </c>
      <c r="R22" s="59">
        <f t="shared" si="36"/>
        <v>1533600</v>
      </c>
      <c r="S22" s="59">
        <f t="shared" si="36"/>
        <v>13802400</v>
      </c>
      <c r="T22" s="59">
        <f t="shared" si="36"/>
        <v>1929760.8938547487</v>
      </c>
      <c r="U22" s="59">
        <f t="shared" si="36"/>
        <v>679132.96089385473</v>
      </c>
      <c r="V22" s="59">
        <f t="shared" si="36"/>
        <v>12727106.145251397</v>
      </c>
      <c r="W22" s="59">
        <f t="shared" si="36"/>
        <v>15336000</v>
      </c>
      <c r="X22" s="59">
        <f t="shared" si="36"/>
        <v>0</v>
      </c>
      <c r="Y22" s="59">
        <f t="shared" si="36"/>
        <v>56594.41340782123</v>
      </c>
      <c r="Z22" s="59">
        <f t="shared" si="36"/>
        <v>582879.96113675006</v>
      </c>
    </row>
    <row r="23" spans="1:26" x14ac:dyDescent="0.2">
      <c r="A23" s="83"/>
      <c r="B23" s="83"/>
      <c r="C23" s="83" t="s">
        <v>92</v>
      </c>
      <c r="D23" s="84"/>
      <c r="E23" s="93">
        <f>E22+E20</f>
        <v>2</v>
      </c>
      <c r="F23" s="87">
        <f t="shared" ref="F23:Z23" si="37">F22+F20</f>
        <v>0</v>
      </c>
      <c r="G23" s="87">
        <f t="shared" si="37"/>
        <v>0</v>
      </c>
      <c r="H23" s="87">
        <f t="shared" si="37"/>
        <v>340000000</v>
      </c>
      <c r="I23" s="87">
        <f t="shared" si="37"/>
        <v>340000000</v>
      </c>
      <c r="J23" s="87">
        <f t="shared" si="37"/>
        <v>0</v>
      </c>
      <c r="K23" s="87">
        <f t="shared" si="37"/>
        <v>0</v>
      </c>
      <c r="L23" s="87"/>
      <c r="M23" s="87"/>
      <c r="N23" s="87">
        <f t="shared" si="37"/>
        <v>16180000</v>
      </c>
      <c r="O23" s="87">
        <f t="shared" si="37"/>
        <v>0</v>
      </c>
      <c r="P23" s="87">
        <f t="shared" si="37"/>
        <v>0</v>
      </c>
      <c r="Q23" s="87">
        <f t="shared" si="37"/>
        <v>16180000</v>
      </c>
      <c r="R23" s="87">
        <f t="shared" si="37"/>
        <v>1618000</v>
      </c>
      <c r="S23" s="87">
        <f t="shared" si="37"/>
        <v>14562000</v>
      </c>
      <c r="T23" s="87">
        <f t="shared" si="37"/>
        <v>2245343.5025504008</v>
      </c>
      <c r="U23" s="87">
        <f t="shared" si="37"/>
        <v>1075446.0043721152</v>
      </c>
      <c r="V23" s="87">
        <f t="shared" si="37"/>
        <v>12859210.493077485</v>
      </c>
      <c r="W23" s="87">
        <f t="shared" si="37"/>
        <v>16180000</v>
      </c>
      <c r="X23" s="87">
        <f t="shared" si="37"/>
        <v>0</v>
      </c>
      <c r="Y23" s="87">
        <f t="shared" si="37"/>
        <v>89620.500364342937</v>
      </c>
      <c r="Z23" s="87">
        <f t="shared" si="37"/>
        <v>605854.6303238956</v>
      </c>
    </row>
    <row r="24" spans="1:26" x14ac:dyDescent="0.2">
      <c r="A24" s="89"/>
      <c r="B24" s="89"/>
      <c r="C24" s="83" t="s">
        <v>93</v>
      </c>
      <c r="D24" s="89"/>
      <c r="E24" s="85">
        <f>E23+E13</f>
        <v>4</v>
      </c>
      <c r="F24" s="91">
        <f t="shared" ref="F24:Z24" si="38">F23+F13</f>
        <v>0</v>
      </c>
      <c r="G24" s="91">
        <f t="shared" si="38"/>
        <v>0</v>
      </c>
      <c r="H24" s="91">
        <f t="shared" si="38"/>
        <v>840000000</v>
      </c>
      <c r="I24" s="91">
        <f t="shared" si="38"/>
        <v>840000000</v>
      </c>
      <c r="J24" s="91">
        <f t="shared" si="38"/>
        <v>0</v>
      </c>
      <c r="K24" s="91">
        <f t="shared" si="38"/>
        <v>0</v>
      </c>
      <c r="L24" s="91">
        <f t="shared" si="38"/>
        <v>0</v>
      </c>
      <c r="M24" s="91">
        <f t="shared" si="38"/>
        <v>0</v>
      </c>
      <c r="N24" s="91">
        <f t="shared" si="38"/>
        <v>16180000</v>
      </c>
      <c r="O24" s="91">
        <f t="shared" si="38"/>
        <v>0</v>
      </c>
      <c r="P24" s="91">
        <f t="shared" si="38"/>
        <v>0</v>
      </c>
      <c r="Q24" s="91">
        <f t="shared" si="38"/>
        <v>32078000</v>
      </c>
      <c r="R24" s="91">
        <f t="shared" si="38"/>
        <v>3207800</v>
      </c>
      <c r="S24" s="91">
        <f t="shared" si="38"/>
        <v>28870200</v>
      </c>
      <c r="T24" s="91">
        <f t="shared" si="38"/>
        <v>4639302.5481307283</v>
      </c>
      <c r="U24" s="91">
        <f t="shared" si="38"/>
        <v>2223117.2830229793</v>
      </c>
      <c r="V24" s="91">
        <f t="shared" si="38"/>
        <v>25215580.168846294</v>
      </c>
      <c r="W24" s="91">
        <f t="shared" si="38"/>
        <v>32078000</v>
      </c>
      <c r="X24" s="91">
        <f t="shared" si="38"/>
        <v>0</v>
      </c>
      <c r="Y24" s="91">
        <f t="shared" si="38"/>
        <v>185259.77358524827</v>
      </c>
      <c r="Z24" s="91">
        <f t="shared" si="38"/>
        <v>695680.39719926903</v>
      </c>
    </row>
    <row r="25" spans="1:26" x14ac:dyDescent="0.2">
      <c r="D25" s="3"/>
    </row>
    <row r="26" spans="1:26" ht="23.25" x14ac:dyDescent="0.2">
      <c r="A26" s="86" t="s">
        <v>117</v>
      </c>
      <c r="B26" s="62"/>
      <c r="C26" s="62"/>
      <c r="D26" s="57"/>
      <c r="E26" s="63"/>
      <c r="F26" s="64"/>
      <c r="G26" s="139"/>
      <c r="H26" s="66"/>
      <c r="I26" s="66"/>
      <c r="J26" s="67"/>
      <c r="K26" s="67"/>
      <c r="L26" s="68"/>
      <c r="M26" s="68"/>
      <c r="N26" s="69"/>
      <c r="O26" s="69"/>
      <c r="P26" s="69"/>
      <c r="Q26" s="69"/>
      <c r="R26" s="69"/>
      <c r="S26" s="69"/>
      <c r="T26" s="70"/>
      <c r="U26" s="71"/>
      <c r="V26" s="71"/>
    </row>
    <row r="27" spans="1:26" x14ac:dyDescent="0.2">
      <c r="A27" s="231" t="s">
        <v>0</v>
      </c>
      <c r="B27" s="232" t="s">
        <v>1</v>
      </c>
      <c r="C27" s="229" t="s">
        <v>2</v>
      </c>
      <c r="D27" s="233" t="s">
        <v>3</v>
      </c>
      <c r="E27" s="234" t="s">
        <v>4</v>
      </c>
      <c r="F27" s="232" t="s">
        <v>5</v>
      </c>
      <c r="G27" s="237" t="s">
        <v>6</v>
      </c>
      <c r="H27" s="236" t="s">
        <v>7</v>
      </c>
      <c r="I27" s="236" t="s">
        <v>8</v>
      </c>
      <c r="J27" s="227" t="s">
        <v>9</v>
      </c>
      <c r="K27" s="227"/>
      <c r="L27" s="228" t="s">
        <v>10</v>
      </c>
      <c r="M27" s="229" t="s">
        <v>11</v>
      </c>
      <c r="N27" s="230" t="s">
        <v>12</v>
      </c>
      <c r="O27" s="230"/>
      <c r="P27" s="230"/>
      <c r="Q27" s="229" t="s">
        <v>13</v>
      </c>
      <c r="R27" s="229" t="s">
        <v>14</v>
      </c>
      <c r="S27" s="229" t="s">
        <v>15</v>
      </c>
      <c r="T27" s="36">
        <v>2021</v>
      </c>
      <c r="U27" s="37"/>
      <c r="V27" s="38" t="s">
        <v>44</v>
      </c>
    </row>
    <row r="28" spans="1:26" x14ac:dyDescent="0.2">
      <c r="A28" s="231"/>
      <c r="B28" s="232"/>
      <c r="C28" s="229"/>
      <c r="D28" s="233"/>
      <c r="E28" s="234"/>
      <c r="F28" s="232"/>
      <c r="G28" s="237"/>
      <c r="H28" s="236"/>
      <c r="I28" s="236"/>
      <c r="J28" s="227"/>
      <c r="K28" s="227"/>
      <c r="L28" s="228"/>
      <c r="M28" s="229"/>
      <c r="N28" s="210" t="s">
        <v>16</v>
      </c>
      <c r="O28" s="210" t="s">
        <v>17</v>
      </c>
      <c r="P28" s="210" t="s">
        <v>18</v>
      </c>
      <c r="Q28" s="229"/>
      <c r="R28" s="229"/>
      <c r="S28" s="229"/>
      <c r="T28" s="96" t="s">
        <v>238</v>
      </c>
      <c r="U28" s="39" t="s">
        <v>235</v>
      </c>
      <c r="V28" s="40"/>
    </row>
    <row r="29" spans="1:26" x14ac:dyDescent="0.2">
      <c r="A29" s="74">
        <v>5</v>
      </c>
      <c r="B29" s="107" t="s">
        <v>46</v>
      </c>
      <c r="C29" s="107" t="s">
        <v>96</v>
      </c>
      <c r="D29" s="110">
        <v>44313</v>
      </c>
      <c r="E29" s="74">
        <v>1</v>
      </c>
      <c r="F29" s="107" t="s">
        <v>47</v>
      </c>
      <c r="G29" s="111">
        <v>1</v>
      </c>
      <c r="H29" s="112">
        <v>57599206</v>
      </c>
      <c r="I29" s="112">
        <f>H29*G29</f>
        <v>57599206</v>
      </c>
      <c r="J29" s="110">
        <v>46069</v>
      </c>
      <c r="K29" s="77">
        <v>46446</v>
      </c>
      <c r="L29" s="107">
        <v>12</v>
      </c>
      <c r="M29" s="99">
        <v>9.1</v>
      </c>
      <c r="N29" s="81">
        <f t="shared" ref="N29:N30" si="39">M29*H29/1000</f>
        <v>524152.77459999995</v>
      </c>
      <c r="O29" s="81">
        <v>100000</v>
      </c>
      <c r="P29" s="81"/>
      <c r="Q29" s="81">
        <f t="shared" ref="Q29:Q30" si="40">N29+O29+P29</f>
        <v>624152.77459999989</v>
      </c>
      <c r="R29" s="81"/>
      <c r="S29" s="81">
        <f t="shared" ref="S29:S30" si="41">Q29-R29</f>
        <v>624152.77459999989</v>
      </c>
      <c r="T29" s="42">
        <f>Q29*10%+(Y29*6)</f>
        <v>368817.54862727266</v>
      </c>
      <c r="U29" s="42">
        <f>Y29*5</f>
        <v>255335.2259727272</v>
      </c>
      <c r="V29" s="108">
        <f t="shared" ref="V29:V41" si="42">Q29-T29-U29</f>
        <v>0</v>
      </c>
      <c r="W29" s="2">
        <f t="shared" ref="W29:W41" si="43">T29+U29+V29</f>
        <v>624152.77459999989</v>
      </c>
      <c r="X29" s="2">
        <f t="shared" ref="X29:X41" si="44">Q29-W29</f>
        <v>0</v>
      </c>
      <c r="Y29" s="2">
        <v>51067.045194545441</v>
      </c>
      <c r="Z29" s="109">
        <f>(Q29-T29)/(L29-1)</f>
        <v>23212.29327024793</v>
      </c>
    </row>
    <row r="30" spans="1:26" x14ac:dyDescent="0.2">
      <c r="A30" s="74"/>
      <c r="B30" s="107"/>
      <c r="C30" s="107"/>
      <c r="D30" s="110"/>
      <c r="E30" s="74">
        <v>1</v>
      </c>
      <c r="F30" s="107" t="s">
        <v>48</v>
      </c>
      <c r="G30" s="111">
        <v>1</v>
      </c>
      <c r="H30" s="112">
        <v>11844392</v>
      </c>
      <c r="I30" s="112">
        <f>H30*G30</f>
        <v>11844392</v>
      </c>
      <c r="J30" s="110">
        <v>46523</v>
      </c>
      <c r="K30" s="77">
        <v>46768</v>
      </c>
      <c r="L30" s="107">
        <v>8</v>
      </c>
      <c r="M30" s="99">
        <v>5.46</v>
      </c>
      <c r="N30" s="81">
        <f t="shared" si="39"/>
        <v>64670.380320000004</v>
      </c>
      <c r="O30" s="81">
        <v>100000</v>
      </c>
      <c r="P30" s="81"/>
      <c r="Q30" s="81">
        <f t="shared" si="40"/>
        <v>164670.38032</v>
      </c>
      <c r="R30" s="81"/>
      <c r="S30" s="81">
        <f t="shared" si="41"/>
        <v>164670.38032</v>
      </c>
      <c r="T30" s="42">
        <f>Q30*10%+(Y30*6)</f>
        <v>143498.47427885715</v>
      </c>
      <c r="U30" s="42">
        <f>Y30</f>
        <v>21171.906041142855</v>
      </c>
      <c r="V30" s="108">
        <f t="shared" si="42"/>
        <v>0</v>
      </c>
      <c r="W30" s="2">
        <f t="shared" si="43"/>
        <v>164670.38032</v>
      </c>
      <c r="X30" s="2">
        <f t="shared" si="44"/>
        <v>0</v>
      </c>
      <c r="Y30" s="2">
        <v>21171.906041142855</v>
      </c>
      <c r="Z30" s="109">
        <f t="shared" ref="Z30:Z41" si="45">(Q30-T30)/(L30-1)</f>
        <v>3024.5580058775499</v>
      </c>
    </row>
    <row r="31" spans="1:26" x14ac:dyDescent="0.2">
      <c r="A31" s="88"/>
      <c r="B31" s="84"/>
      <c r="C31" s="84"/>
      <c r="D31" s="84"/>
      <c r="E31" s="88"/>
      <c r="F31" s="84"/>
      <c r="G31" s="115"/>
      <c r="H31" s="59"/>
      <c r="I31" s="59"/>
      <c r="J31" s="59"/>
      <c r="K31" s="59"/>
      <c r="L31" s="59"/>
      <c r="M31" s="59"/>
      <c r="N31" s="59">
        <f t="shared" ref="N31:Z31" si="46">SUM(N29:N30)</f>
        <v>588823.15492</v>
      </c>
      <c r="O31" s="59">
        <f t="shared" si="46"/>
        <v>200000</v>
      </c>
      <c r="P31" s="59">
        <f t="shared" si="46"/>
        <v>0</v>
      </c>
      <c r="Q31" s="59">
        <f t="shared" si="46"/>
        <v>788823.15491999988</v>
      </c>
      <c r="R31" s="59">
        <f t="shared" si="46"/>
        <v>0</v>
      </c>
      <c r="S31" s="59">
        <f t="shared" si="46"/>
        <v>788823.15491999988</v>
      </c>
      <c r="T31" s="59">
        <f t="shared" si="46"/>
        <v>512316.02290612983</v>
      </c>
      <c r="U31" s="59">
        <f t="shared" si="46"/>
        <v>276507.13201387005</v>
      </c>
      <c r="V31" s="59">
        <f t="shared" si="46"/>
        <v>0</v>
      </c>
      <c r="W31" s="59">
        <f t="shared" si="46"/>
        <v>788823.15491999988</v>
      </c>
      <c r="X31" s="59">
        <f t="shared" si="46"/>
        <v>0</v>
      </c>
      <c r="Y31" s="59">
        <f t="shared" si="46"/>
        <v>72238.951235688291</v>
      </c>
      <c r="Z31" s="59">
        <f t="shared" si="46"/>
        <v>26236.851276125479</v>
      </c>
    </row>
    <row r="32" spans="1:26" x14ac:dyDescent="0.2">
      <c r="A32" s="74">
        <v>6</v>
      </c>
      <c r="B32" s="107" t="s">
        <v>49</v>
      </c>
      <c r="C32" s="107" t="s">
        <v>101</v>
      </c>
      <c r="D32" s="110">
        <v>44301</v>
      </c>
      <c r="E32" s="74">
        <v>1</v>
      </c>
      <c r="F32" s="107" t="s">
        <v>102</v>
      </c>
      <c r="G32" s="111">
        <v>1</v>
      </c>
      <c r="H32" s="112">
        <v>35000000</v>
      </c>
      <c r="I32" s="112">
        <f>H32*G32</f>
        <v>35000000</v>
      </c>
      <c r="J32" s="110">
        <v>44278</v>
      </c>
      <c r="K32" s="77">
        <f t="shared" ref="K32" si="47">IFERROR(VALUE(DAY(J32)&amp;" "&amp;TEXT(EOMONTH(J32,L32)-29,"mmm")&amp;" "&amp;YEAR(EOMONTH(J32,L32)-29)),"-")</f>
        <v>45374</v>
      </c>
      <c r="L32" s="107">
        <v>36</v>
      </c>
      <c r="M32" s="99">
        <v>31.16</v>
      </c>
      <c r="N32" s="81">
        <f t="shared" ref="N32" si="48">M32*H32/1000</f>
        <v>1090600</v>
      </c>
      <c r="O32" s="81"/>
      <c r="P32" s="81"/>
      <c r="Q32" s="81">
        <f t="shared" ref="Q32" si="49">N32+O32+P32</f>
        <v>1090600</v>
      </c>
      <c r="R32" s="81">
        <f t="shared" ref="R32" si="50">10%*N32</f>
        <v>109060</v>
      </c>
      <c r="S32" s="81">
        <f t="shared" ref="S32" si="51">Q32-R32</f>
        <v>981540</v>
      </c>
      <c r="T32" s="42">
        <f>Q32*10%+(Y32*6)</f>
        <v>277324</v>
      </c>
      <c r="U32" s="42">
        <f t="shared" ref="U32:U39" si="52">Y32*12</f>
        <v>336528</v>
      </c>
      <c r="V32" s="108">
        <f t="shared" si="42"/>
        <v>476748</v>
      </c>
      <c r="W32" s="2">
        <f t="shared" si="43"/>
        <v>1090600</v>
      </c>
      <c r="X32" s="2">
        <f t="shared" si="44"/>
        <v>0</v>
      </c>
      <c r="Y32" s="2">
        <v>28044</v>
      </c>
      <c r="Z32" s="109">
        <f t="shared" si="45"/>
        <v>23236.457142857143</v>
      </c>
    </row>
    <row r="33" spans="1:26" x14ac:dyDescent="0.2">
      <c r="A33" s="88"/>
      <c r="B33" s="84"/>
      <c r="C33" s="84"/>
      <c r="D33" s="84"/>
      <c r="E33" s="88">
        <f>SUM(E32:E32)</f>
        <v>1</v>
      </c>
      <c r="F33" s="84"/>
      <c r="G33" s="115"/>
      <c r="H33" s="59">
        <f>SUM(H32:H32)</f>
        <v>35000000</v>
      </c>
      <c r="I33" s="59">
        <f>SUM(I32:I32)</f>
        <v>35000000</v>
      </c>
      <c r="J33" s="59"/>
      <c r="K33" s="59"/>
      <c r="L33" s="59"/>
      <c r="M33" s="59"/>
      <c r="N33" s="59">
        <f t="shared" ref="N33:Z33" si="53">SUM(N32:N32)</f>
        <v>1090600</v>
      </c>
      <c r="O33" s="59">
        <f t="shared" si="53"/>
        <v>0</v>
      </c>
      <c r="P33" s="59">
        <f t="shared" si="53"/>
        <v>0</v>
      </c>
      <c r="Q33" s="59">
        <f t="shared" si="53"/>
        <v>1090600</v>
      </c>
      <c r="R33" s="59">
        <f t="shared" si="53"/>
        <v>109060</v>
      </c>
      <c r="S33" s="59">
        <f t="shared" si="53"/>
        <v>981540</v>
      </c>
      <c r="T33" s="59">
        <f t="shared" si="53"/>
        <v>277324</v>
      </c>
      <c r="U33" s="59">
        <f t="shared" si="53"/>
        <v>336528</v>
      </c>
      <c r="V33" s="59">
        <f t="shared" si="53"/>
        <v>476748</v>
      </c>
      <c r="W33" s="59">
        <f t="shared" si="53"/>
        <v>1090600</v>
      </c>
      <c r="X33" s="59">
        <f t="shared" si="53"/>
        <v>0</v>
      </c>
      <c r="Y33" s="59">
        <f t="shared" si="53"/>
        <v>28044</v>
      </c>
      <c r="Z33" s="59">
        <f t="shared" si="53"/>
        <v>23236.457142857143</v>
      </c>
    </row>
    <row r="34" spans="1:26" x14ac:dyDescent="0.2">
      <c r="A34" s="74">
        <v>7</v>
      </c>
      <c r="B34" s="107" t="s">
        <v>49</v>
      </c>
      <c r="C34" s="107" t="s">
        <v>103</v>
      </c>
      <c r="D34" s="110">
        <v>44316</v>
      </c>
      <c r="E34" s="74">
        <v>1</v>
      </c>
      <c r="F34" s="107" t="s">
        <v>104</v>
      </c>
      <c r="G34" s="111">
        <v>1</v>
      </c>
      <c r="H34" s="112">
        <v>83000000</v>
      </c>
      <c r="I34" s="112">
        <f>H34*G34</f>
        <v>83000000</v>
      </c>
      <c r="J34" s="110">
        <v>44315</v>
      </c>
      <c r="K34" s="77">
        <f>IFERROR(VALUE(DAY(J34)&amp;" "&amp;TEXT(EOMONTH(J34,L34)-29,"mmm")&amp;" "&amp;YEAR(EOMONTH(J34,L34)-29)),"-")</f>
        <v>46506</v>
      </c>
      <c r="L34" s="107">
        <v>72</v>
      </c>
      <c r="M34" s="99">
        <v>50.64</v>
      </c>
      <c r="N34" s="81">
        <f t="shared" ref="N34" si="54">M34*H34/1000</f>
        <v>4203120</v>
      </c>
      <c r="O34" s="81"/>
      <c r="P34" s="81"/>
      <c r="Q34" s="81">
        <f t="shared" ref="Q34" si="55">N34+O34+P34</f>
        <v>4203120</v>
      </c>
      <c r="R34" s="81">
        <f t="shared" ref="R34" si="56">10%*N34</f>
        <v>420312</v>
      </c>
      <c r="S34" s="81">
        <f t="shared" ref="S34" si="57">Q34-R34</f>
        <v>3782808</v>
      </c>
      <c r="T34" s="42">
        <f>Q34*10%+(Y34*6)</f>
        <v>739985.91549295769</v>
      </c>
      <c r="U34" s="42">
        <f t="shared" si="52"/>
        <v>639347.8309859155</v>
      </c>
      <c r="V34" s="108">
        <f t="shared" si="42"/>
        <v>2823786.2535211272</v>
      </c>
      <c r="W34" s="2">
        <f t="shared" si="43"/>
        <v>4203120</v>
      </c>
      <c r="X34" s="2">
        <f t="shared" si="44"/>
        <v>0</v>
      </c>
      <c r="Y34" s="2">
        <v>53278.985915492958</v>
      </c>
      <c r="Z34" s="109">
        <f t="shared" si="45"/>
        <v>48776.536401507641</v>
      </c>
    </row>
    <row r="35" spans="1:26" x14ac:dyDescent="0.2">
      <c r="A35" s="150"/>
      <c r="B35" s="90"/>
      <c r="C35" s="90"/>
      <c r="D35" s="90"/>
      <c r="E35" s="150">
        <f>SUM(E34:E34)</f>
        <v>1</v>
      </c>
      <c r="F35" s="90"/>
      <c r="G35" s="151"/>
      <c r="H35" s="152">
        <f>SUM(H34:H34)</f>
        <v>83000000</v>
      </c>
      <c r="I35" s="152">
        <f>SUM(I34:I34)</f>
        <v>83000000</v>
      </c>
      <c r="J35" s="152"/>
      <c r="K35" s="152"/>
      <c r="L35" s="152"/>
      <c r="M35" s="152"/>
      <c r="N35" s="152">
        <f t="shared" ref="N35:Z35" si="58">SUM(N34:N34)</f>
        <v>4203120</v>
      </c>
      <c r="O35" s="152">
        <f t="shared" si="58"/>
        <v>0</v>
      </c>
      <c r="P35" s="152">
        <f t="shared" si="58"/>
        <v>0</v>
      </c>
      <c r="Q35" s="152">
        <f t="shared" si="58"/>
        <v>4203120</v>
      </c>
      <c r="R35" s="152">
        <f t="shared" si="58"/>
        <v>420312</v>
      </c>
      <c r="S35" s="152">
        <f t="shared" si="58"/>
        <v>3782808</v>
      </c>
      <c r="T35" s="152">
        <f t="shared" si="58"/>
        <v>739985.91549295769</v>
      </c>
      <c r="U35" s="152">
        <f t="shared" si="58"/>
        <v>639347.8309859155</v>
      </c>
      <c r="V35" s="152">
        <f t="shared" si="58"/>
        <v>2823786.2535211272</v>
      </c>
      <c r="W35" s="152">
        <f t="shared" si="58"/>
        <v>4203120</v>
      </c>
      <c r="X35" s="152">
        <f t="shared" si="58"/>
        <v>0</v>
      </c>
      <c r="Y35" s="152">
        <f t="shared" si="58"/>
        <v>53278.985915492958</v>
      </c>
      <c r="Z35" s="152">
        <f t="shared" si="58"/>
        <v>48776.536401507641</v>
      </c>
    </row>
    <row r="36" spans="1:26" x14ac:dyDescent="0.2">
      <c r="A36" s="74">
        <v>8</v>
      </c>
      <c r="B36" s="107" t="s">
        <v>49</v>
      </c>
      <c r="C36" s="107" t="s">
        <v>105</v>
      </c>
      <c r="D36" s="110">
        <v>44316</v>
      </c>
      <c r="E36" s="74">
        <v>1</v>
      </c>
      <c r="F36" s="107" t="s">
        <v>106</v>
      </c>
      <c r="G36" s="111">
        <v>1</v>
      </c>
      <c r="H36" s="112">
        <v>35000000</v>
      </c>
      <c r="I36" s="112">
        <f>H36*G36</f>
        <v>35000000</v>
      </c>
      <c r="J36" s="110">
        <v>44313</v>
      </c>
      <c r="K36" s="77">
        <f>IFERROR(VALUE(DAY(J36)&amp;" "&amp;TEXT(EOMONTH(J36,L36)-29,"mmm")&amp;" "&amp;YEAR(EOMONTH(J36,L36)-29)),"-")</f>
        <v>45409</v>
      </c>
      <c r="L36" s="107">
        <v>36</v>
      </c>
      <c r="M36" s="99">
        <v>30.71</v>
      </c>
      <c r="N36" s="81">
        <f t="shared" ref="N36" si="59">M36*H36/1000</f>
        <v>1074850</v>
      </c>
      <c r="O36" s="81"/>
      <c r="P36" s="81"/>
      <c r="Q36" s="81">
        <f t="shared" ref="Q36" si="60">N36+O36+P36</f>
        <v>1074850</v>
      </c>
      <c r="R36" s="81">
        <f t="shared" ref="R36" si="61">10%*N36</f>
        <v>107485</v>
      </c>
      <c r="S36" s="81">
        <f t="shared" ref="S36" si="62">Q36-R36</f>
        <v>967365</v>
      </c>
      <c r="T36" s="42">
        <f>Q36*10%+(Y36*6)</f>
        <v>273319</v>
      </c>
      <c r="U36" s="42">
        <f t="shared" si="52"/>
        <v>331668</v>
      </c>
      <c r="V36" s="108">
        <f t="shared" si="42"/>
        <v>469863</v>
      </c>
      <c r="W36" s="2">
        <f t="shared" si="43"/>
        <v>1074850</v>
      </c>
      <c r="X36" s="2">
        <f t="shared" si="44"/>
        <v>0</v>
      </c>
      <c r="Y36" s="2">
        <v>27639</v>
      </c>
      <c r="Z36" s="109">
        <f t="shared" si="45"/>
        <v>22900.885714285716</v>
      </c>
    </row>
    <row r="37" spans="1:26" x14ac:dyDescent="0.2">
      <c r="A37" s="150"/>
      <c r="B37" s="90"/>
      <c r="C37" s="90"/>
      <c r="D37" s="90"/>
      <c r="E37" s="150">
        <f>SUM(E36:E36)</f>
        <v>1</v>
      </c>
      <c r="F37" s="90"/>
      <c r="G37" s="151"/>
      <c r="H37" s="152">
        <f>SUM(H36:H36)</f>
        <v>35000000</v>
      </c>
      <c r="I37" s="152">
        <f>SUM(I36:I36)</f>
        <v>35000000</v>
      </c>
      <c r="J37" s="152"/>
      <c r="K37" s="152"/>
      <c r="L37" s="152"/>
      <c r="M37" s="152"/>
      <c r="N37" s="152">
        <f t="shared" ref="N37:Z37" si="63">SUM(N36:N36)</f>
        <v>1074850</v>
      </c>
      <c r="O37" s="152">
        <f t="shared" si="63"/>
        <v>0</v>
      </c>
      <c r="P37" s="152">
        <f t="shared" si="63"/>
        <v>0</v>
      </c>
      <c r="Q37" s="152">
        <f t="shared" si="63"/>
        <v>1074850</v>
      </c>
      <c r="R37" s="152">
        <f t="shared" si="63"/>
        <v>107485</v>
      </c>
      <c r="S37" s="152">
        <f t="shared" si="63"/>
        <v>967365</v>
      </c>
      <c r="T37" s="152">
        <f t="shared" si="63"/>
        <v>273319</v>
      </c>
      <c r="U37" s="152">
        <f t="shared" si="63"/>
        <v>331668</v>
      </c>
      <c r="V37" s="152">
        <f t="shared" si="63"/>
        <v>469863</v>
      </c>
      <c r="W37" s="152">
        <f t="shared" si="63"/>
        <v>1074850</v>
      </c>
      <c r="X37" s="152">
        <f t="shared" si="63"/>
        <v>0</v>
      </c>
      <c r="Y37" s="152">
        <f t="shared" si="63"/>
        <v>27639</v>
      </c>
      <c r="Z37" s="152">
        <f t="shared" si="63"/>
        <v>22900.885714285716</v>
      </c>
    </row>
    <row r="38" spans="1:26" x14ac:dyDescent="0.2">
      <c r="A38" s="74">
        <v>9</v>
      </c>
      <c r="B38" s="107" t="s">
        <v>49</v>
      </c>
      <c r="C38" s="107" t="s">
        <v>108</v>
      </c>
      <c r="D38" s="110">
        <v>44316</v>
      </c>
      <c r="E38" s="74">
        <v>1</v>
      </c>
      <c r="F38" s="107" t="s">
        <v>109</v>
      </c>
      <c r="G38" s="111">
        <v>1</v>
      </c>
      <c r="H38" s="112">
        <v>220000000</v>
      </c>
      <c r="I38" s="112">
        <f>H38*G38</f>
        <v>220000000</v>
      </c>
      <c r="J38" s="110">
        <v>44300</v>
      </c>
      <c r="K38" s="77">
        <f>IFERROR(VALUE(DAY(J38)&amp;" "&amp;TEXT(EOMONTH(J38,L38)-29,"mmm")&amp;" "&amp;YEAR(EOMONTH(J38,L38)-29)),"-")</f>
        <v>47952</v>
      </c>
      <c r="L38" s="107">
        <v>120</v>
      </c>
      <c r="M38" s="99">
        <v>25.48</v>
      </c>
      <c r="N38" s="81">
        <f t="shared" ref="N38:N39" si="64">M38*H38/1000</f>
        <v>5605600</v>
      </c>
      <c r="O38" s="81"/>
      <c r="P38" s="81"/>
      <c r="Q38" s="81">
        <f t="shared" ref="Q38:Q39" si="65">N38+O38+P38</f>
        <v>5605600</v>
      </c>
      <c r="R38" s="81">
        <f t="shared" ref="R38:R39" si="66">10%*N38</f>
        <v>560560</v>
      </c>
      <c r="S38" s="81">
        <f t="shared" ref="S38:S39" si="67">Q38-R38</f>
        <v>5045040</v>
      </c>
      <c r="T38" s="42">
        <f t="shared" ref="T38:T39" si="68">Q38*10%+(Y38*6)</f>
        <v>814931.76470588241</v>
      </c>
      <c r="U38" s="42">
        <f t="shared" si="52"/>
        <v>508743.5294117647</v>
      </c>
      <c r="V38" s="108">
        <f t="shared" si="42"/>
        <v>4281924.7058823528</v>
      </c>
      <c r="W38" s="2">
        <f t="shared" si="43"/>
        <v>5605600</v>
      </c>
      <c r="X38" s="2">
        <f t="shared" si="44"/>
        <v>0</v>
      </c>
      <c r="Y38" s="2">
        <v>42395.294117647056</v>
      </c>
      <c r="Z38" s="109">
        <f t="shared" si="45"/>
        <v>40257.71626297578</v>
      </c>
    </row>
    <row r="39" spans="1:26" x14ac:dyDescent="0.2">
      <c r="A39" s="74"/>
      <c r="B39" s="107"/>
      <c r="C39" s="107"/>
      <c r="D39" s="110"/>
      <c r="E39" s="74">
        <v>1</v>
      </c>
      <c r="F39" s="107" t="s">
        <v>110</v>
      </c>
      <c r="G39" s="111">
        <v>1</v>
      </c>
      <c r="H39" s="112">
        <v>160000000</v>
      </c>
      <c r="I39" s="112">
        <f>H39*G39</f>
        <v>160000000</v>
      </c>
      <c r="J39" s="110">
        <v>44305</v>
      </c>
      <c r="K39" s="77">
        <f>IFERROR(VALUE(DAY(J39)&amp;" "&amp;TEXT(EOMONTH(J39,L39)-29,"mmm")&amp;" "&amp;YEAR(EOMONTH(J39,L39)-29)),"-")</f>
        <v>45554</v>
      </c>
      <c r="L39" s="107">
        <v>41</v>
      </c>
      <c r="M39" s="99">
        <v>11.38</v>
      </c>
      <c r="N39" s="81">
        <f t="shared" si="64"/>
        <v>1820800.0000000002</v>
      </c>
      <c r="O39" s="81"/>
      <c r="P39" s="81"/>
      <c r="Q39" s="81">
        <f t="shared" si="65"/>
        <v>1820800.0000000002</v>
      </c>
      <c r="R39" s="81">
        <f t="shared" si="66"/>
        <v>182080.00000000003</v>
      </c>
      <c r="S39" s="81">
        <f t="shared" si="67"/>
        <v>1638720.0000000002</v>
      </c>
      <c r="T39" s="42">
        <f t="shared" si="68"/>
        <v>427888.00000000012</v>
      </c>
      <c r="U39" s="42">
        <f t="shared" si="52"/>
        <v>491616.00000000012</v>
      </c>
      <c r="V39" s="108">
        <f t="shared" si="42"/>
        <v>901295.99999999988</v>
      </c>
      <c r="W39" s="2">
        <f t="shared" si="43"/>
        <v>1820800</v>
      </c>
      <c r="X39" s="2">
        <f t="shared" si="44"/>
        <v>0</v>
      </c>
      <c r="Y39" s="2">
        <v>40968.000000000007</v>
      </c>
      <c r="Z39" s="109">
        <f t="shared" si="45"/>
        <v>34822.800000000003</v>
      </c>
    </row>
    <row r="40" spans="1:26" x14ac:dyDescent="0.2">
      <c r="A40" s="88"/>
      <c r="B40" s="84"/>
      <c r="C40" s="84"/>
      <c r="D40" s="84"/>
      <c r="E40" s="88">
        <f>SUM(E38:E39)</f>
        <v>2</v>
      </c>
      <c r="F40" s="84"/>
      <c r="G40" s="115"/>
      <c r="H40" s="79">
        <f t="shared" ref="H40:I40" si="69">SUM(H38:H39)</f>
        <v>380000000</v>
      </c>
      <c r="I40" s="79">
        <f t="shared" si="69"/>
        <v>380000000</v>
      </c>
      <c r="J40" s="59"/>
      <c r="K40" s="59"/>
      <c r="L40" s="59"/>
      <c r="M40" s="59"/>
      <c r="N40" s="79">
        <f t="shared" ref="N40:Z40" si="70">SUM(N38:N39)</f>
        <v>7426400</v>
      </c>
      <c r="O40" s="79">
        <f t="shared" si="70"/>
        <v>0</v>
      </c>
      <c r="P40" s="79">
        <f t="shared" si="70"/>
        <v>0</v>
      </c>
      <c r="Q40" s="79">
        <f t="shared" si="70"/>
        <v>7426400</v>
      </c>
      <c r="R40" s="79">
        <f t="shared" si="70"/>
        <v>742640</v>
      </c>
      <c r="S40" s="79">
        <f t="shared" si="70"/>
        <v>6683760</v>
      </c>
      <c r="T40" s="79">
        <f t="shared" si="70"/>
        <v>1242819.7647058824</v>
      </c>
      <c r="U40" s="79">
        <f t="shared" si="70"/>
        <v>1000359.5294117648</v>
      </c>
      <c r="V40" s="79">
        <f t="shared" si="70"/>
        <v>5183220.7058823528</v>
      </c>
      <c r="W40" s="79">
        <f t="shared" si="70"/>
        <v>7426400</v>
      </c>
      <c r="X40" s="79">
        <f t="shared" si="70"/>
        <v>0</v>
      </c>
      <c r="Y40" s="79">
        <f t="shared" si="70"/>
        <v>83363.294117647063</v>
      </c>
      <c r="Z40" s="79">
        <f t="shared" si="70"/>
        <v>75080.516262975783</v>
      </c>
    </row>
    <row r="41" spans="1:26" x14ac:dyDescent="0.2">
      <c r="A41" s="74">
        <v>10</v>
      </c>
      <c r="B41" s="107" t="s">
        <v>111</v>
      </c>
      <c r="C41" s="107" t="s">
        <v>112</v>
      </c>
      <c r="D41" s="110">
        <v>44316</v>
      </c>
      <c r="E41" s="74">
        <v>1</v>
      </c>
      <c r="F41" s="107" t="s">
        <v>113</v>
      </c>
      <c r="G41" s="111">
        <v>1</v>
      </c>
      <c r="H41" s="112">
        <v>45323679</v>
      </c>
      <c r="I41" s="112">
        <f>H41*G41</f>
        <v>45323679</v>
      </c>
      <c r="J41" s="110">
        <v>45784</v>
      </c>
      <c r="K41" s="77">
        <v>46302</v>
      </c>
      <c r="L41" s="107">
        <v>17</v>
      </c>
      <c r="M41" s="99">
        <v>9.1</v>
      </c>
      <c r="N41" s="81">
        <f t="shared" ref="N41" si="71">M41*H41/1000</f>
        <v>412445.47889999999</v>
      </c>
      <c r="O41" s="81">
        <v>100000</v>
      </c>
      <c r="P41" s="81"/>
      <c r="Q41" s="81">
        <f t="shared" ref="Q41" si="72">N41+O41+P41</f>
        <v>512445.47889999999</v>
      </c>
      <c r="R41" s="81"/>
      <c r="S41" s="81">
        <f t="shared" ref="S41" si="73">Q41-R41</f>
        <v>512445.47889999999</v>
      </c>
      <c r="T41" s="42">
        <f>Q41*10%+(Y41*6)</f>
        <v>224194.89701875002</v>
      </c>
      <c r="U41" s="42">
        <f>Y41*10</f>
        <v>288250.58188125002</v>
      </c>
      <c r="V41" s="108">
        <f t="shared" si="42"/>
        <v>0</v>
      </c>
      <c r="W41" s="2">
        <f t="shared" si="43"/>
        <v>512445.47890000005</v>
      </c>
      <c r="X41" s="2">
        <f t="shared" si="44"/>
        <v>0</v>
      </c>
      <c r="Y41" s="2">
        <v>28825.058188125</v>
      </c>
      <c r="Z41" s="109">
        <f t="shared" si="45"/>
        <v>18015.661367578123</v>
      </c>
    </row>
    <row r="42" spans="1:26" x14ac:dyDescent="0.2">
      <c r="A42" s="150"/>
      <c r="B42" s="90"/>
      <c r="C42" s="90"/>
      <c r="D42" s="90"/>
      <c r="E42" s="150"/>
      <c r="F42" s="90"/>
      <c r="G42" s="151"/>
      <c r="H42" s="152"/>
      <c r="I42" s="152"/>
      <c r="J42" s="152"/>
      <c r="K42" s="152"/>
      <c r="L42" s="152"/>
      <c r="M42" s="152"/>
      <c r="N42" s="152">
        <f t="shared" ref="N42:Z42" si="74">SUM(N41:N41)</f>
        <v>412445.47889999999</v>
      </c>
      <c r="O42" s="152">
        <f t="shared" si="74"/>
        <v>100000</v>
      </c>
      <c r="P42" s="152">
        <f t="shared" si="74"/>
        <v>0</v>
      </c>
      <c r="Q42" s="152">
        <f t="shared" si="74"/>
        <v>512445.47889999999</v>
      </c>
      <c r="R42" s="152">
        <f t="shared" si="74"/>
        <v>0</v>
      </c>
      <c r="S42" s="152">
        <f t="shared" si="74"/>
        <v>512445.47889999999</v>
      </c>
      <c r="T42" s="152">
        <f t="shared" si="74"/>
        <v>224194.89701875002</v>
      </c>
      <c r="U42" s="152">
        <f t="shared" si="74"/>
        <v>288250.58188125002</v>
      </c>
      <c r="V42" s="152">
        <f t="shared" si="74"/>
        <v>0</v>
      </c>
      <c r="W42" s="152">
        <f t="shared" si="74"/>
        <v>512445.47890000005</v>
      </c>
      <c r="X42" s="152">
        <f t="shared" si="74"/>
        <v>0</v>
      </c>
      <c r="Y42" s="152">
        <f t="shared" si="74"/>
        <v>28825.058188125</v>
      </c>
      <c r="Z42" s="152">
        <f t="shared" si="74"/>
        <v>18015.661367578123</v>
      </c>
    </row>
    <row r="43" spans="1:26" x14ac:dyDescent="0.2">
      <c r="A43" s="83"/>
      <c r="B43" s="83"/>
      <c r="C43" s="83" t="s">
        <v>115</v>
      </c>
      <c r="D43" s="84"/>
      <c r="E43" s="85">
        <f>E42+E40+E37+E35+E33+E31</f>
        <v>5</v>
      </c>
      <c r="F43" s="87"/>
      <c r="G43" s="87"/>
      <c r="H43" s="87">
        <f t="shared" ref="H43:Z43" si="75">H42+H40+H37+H35+H33+H31</f>
        <v>533000000</v>
      </c>
      <c r="I43" s="87">
        <f t="shared" si="75"/>
        <v>533000000</v>
      </c>
      <c r="J43" s="87">
        <f t="shared" si="75"/>
        <v>0</v>
      </c>
      <c r="K43" s="87">
        <f t="shared" si="75"/>
        <v>0</v>
      </c>
      <c r="L43" s="87">
        <f t="shared" si="75"/>
        <v>0</v>
      </c>
      <c r="M43" s="87">
        <f t="shared" si="75"/>
        <v>0</v>
      </c>
      <c r="N43" s="87">
        <f t="shared" si="75"/>
        <v>14796238.633820001</v>
      </c>
      <c r="O43" s="87">
        <f t="shared" si="75"/>
        <v>300000</v>
      </c>
      <c r="P43" s="87">
        <f t="shared" si="75"/>
        <v>0</v>
      </c>
      <c r="Q43" s="87">
        <f t="shared" si="75"/>
        <v>15096238.633820001</v>
      </c>
      <c r="R43" s="87">
        <f t="shared" si="75"/>
        <v>1379497</v>
      </c>
      <c r="S43" s="87">
        <f t="shared" si="75"/>
        <v>13716741.633820001</v>
      </c>
      <c r="T43" s="87">
        <f t="shared" si="75"/>
        <v>3269959.6001237198</v>
      </c>
      <c r="U43" s="87">
        <f t="shared" si="75"/>
        <v>2872661.0742928004</v>
      </c>
      <c r="V43" s="87">
        <f t="shared" si="75"/>
        <v>8953617.9594034795</v>
      </c>
      <c r="W43" s="87">
        <f t="shared" si="75"/>
        <v>15096238.633820001</v>
      </c>
      <c r="X43" s="87">
        <f t="shared" si="75"/>
        <v>0</v>
      </c>
      <c r="Y43" s="87">
        <f t="shared" si="75"/>
        <v>293389.28945695329</v>
      </c>
      <c r="Z43" s="87">
        <f t="shared" si="75"/>
        <v>214246.90816532986</v>
      </c>
    </row>
    <row r="44" spans="1:26" x14ac:dyDescent="0.2">
      <c r="A44" s="83"/>
      <c r="B44" s="83"/>
      <c r="C44" s="83" t="s">
        <v>116</v>
      </c>
      <c r="D44" s="84"/>
      <c r="E44" s="93">
        <f>E43+E24</f>
        <v>9</v>
      </c>
      <c r="F44" s="95"/>
      <c r="G44" s="95"/>
      <c r="H44" s="95">
        <f t="shared" ref="H44:Z44" si="76">H43+H24</f>
        <v>1373000000</v>
      </c>
      <c r="I44" s="95">
        <f t="shared" si="76"/>
        <v>1373000000</v>
      </c>
      <c r="J44" s="95">
        <f t="shared" si="76"/>
        <v>0</v>
      </c>
      <c r="K44" s="95">
        <f t="shared" si="76"/>
        <v>0</v>
      </c>
      <c r="L44" s="95">
        <f t="shared" si="76"/>
        <v>0</v>
      </c>
      <c r="M44" s="95">
        <f t="shared" si="76"/>
        <v>0</v>
      </c>
      <c r="N44" s="95">
        <f t="shared" si="76"/>
        <v>30976238.633820001</v>
      </c>
      <c r="O44" s="95">
        <f t="shared" si="76"/>
        <v>300000</v>
      </c>
      <c r="P44" s="95">
        <f t="shared" si="76"/>
        <v>0</v>
      </c>
      <c r="Q44" s="95">
        <f t="shared" si="76"/>
        <v>47174238.633819997</v>
      </c>
      <c r="R44" s="95">
        <f t="shared" si="76"/>
        <v>4587297</v>
      </c>
      <c r="S44" s="95">
        <f t="shared" si="76"/>
        <v>42586941.633819997</v>
      </c>
      <c r="T44" s="95">
        <f t="shared" si="76"/>
        <v>7909262.1482544485</v>
      </c>
      <c r="U44" s="95">
        <f t="shared" si="76"/>
        <v>5095778.3573157797</v>
      </c>
      <c r="V44" s="95">
        <f t="shared" si="76"/>
        <v>34169198.128249772</v>
      </c>
      <c r="W44" s="95">
        <f t="shared" si="76"/>
        <v>47174238.633819997</v>
      </c>
      <c r="X44" s="95">
        <f t="shared" si="76"/>
        <v>0</v>
      </c>
      <c r="Y44" s="95">
        <f t="shared" si="76"/>
        <v>478649.06304220157</v>
      </c>
      <c r="Z44" s="95">
        <f t="shared" si="76"/>
        <v>909927.30536459887</v>
      </c>
    </row>
    <row r="46" spans="1:26" ht="23.25" x14ac:dyDescent="0.2">
      <c r="A46" s="86" t="s">
        <v>154</v>
      </c>
      <c r="B46" s="62"/>
      <c r="C46" s="62"/>
      <c r="D46" s="57"/>
      <c r="E46" s="63"/>
      <c r="F46" s="64"/>
      <c r="G46" s="139"/>
      <c r="H46" s="66"/>
      <c r="I46" s="66"/>
      <c r="J46" s="67"/>
      <c r="K46" s="67"/>
      <c r="L46" s="68"/>
      <c r="M46" s="68"/>
      <c r="N46" s="69"/>
      <c r="O46" s="69"/>
      <c r="P46" s="69"/>
      <c r="Q46" s="69"/>
      <c r="R46" s="69"/>
      <c r="S46" s="69"/>
      <c r="T46" s="70"/>
      <c r="U46" s="71"/>
      <c r="V46" s="71"/>
    </row>
    <row r="47" spans="1:26" x14ac:dyDescent="0.2">
      <c r="A47" s="231" t="s">
        <v>0</v>
      </c>
      <c r="B47" s="232" t="s">
        <v>1</v>
      </c>
      <c r="C47" s="229" t="s">
        <v>2</v>
      </c>
      <c r="D47" s="233" t="s">
        <v>3</v>
      </c>
      <c r="E47" s="234" t="s">
        <v>4</v>
      </c>
      <c r="F47" s="232" t="s">
        <v>5</v>
      </c>
      <c r="G47" s="237" t="s">
        <v>6</v>
      </c>
      <c r="H47" s="236" t="s">
        <v>7</v>
      </c>
      <c r="I47" s="236" t="s">
        <v>8</v>
      </c>
      <c r="J47" s="227" t="s">
        <v>9</v>
      </c>
      <c r="K47" s="227"/>
      <c r="L47" s="228" t="s">
        <v>10</v>
      </c>
      <c r="M47" s="229" t="s">
        <v>11</v>
      </c>
      <c r="N47" s="230" t="s">
        <v>12</v>
      </c>
      <c r="O47" s="230"/>
      <c r="P47" s="230"/>
      <c r="Q47" s="229" t="s">
        <v>13</v>
      </c>
      <c r="R47" s="229" t="s">
        <v>14</v>
      </c>
      <c r="S47" s="229" t="s">
        <v>15</v>
      </c>
      <c r="T47" s="36">
        <v>2021</v>
      </c>
      <c r="U47" s="37"/>
      <c r="V47" s="38" t="s">
        <v>44</v>
      </c>
    </row>
    <row r="48" spans="1:26" x14ac:dyDescent="0.2">
      <c r="A48" s="231"/>
      <c r="B48" s="232"/>
      <c r="C48" s="229"/>
      <c r="D48" s="233"/>
      <c r="E48" s="234"/>
      <c r="F48" s="232"/>
      <c r="G48" s="237"/>
      <c r="H48" s="236"/>
      <c r="I48" s="236"/>
      <c r="J48" s="227"/>
      <c r="K48" s="227"/>
      <c r="L48" s="228"/>
      <c r="M48" s="229"/>
      <c r="N48" s="210" t="s">
        <v>16</v>
      </c>
      <c r="O48" s="210" t="s">
        <v>17</v>
      </c>
      <c r="P48" s="210" t="s">
        <v>18</v>
      </c>
      <c r="Q48" s="229"/>
      <c r="R48" s="229"/>
      <c r="S48" s="229"/>
      <c r="T48" s="96" t="s">
        <v>239</v>
      </c>
      <c r="U48" s="39" t="s">
        <v>235</v>
      </c>
      <c r="V48" s="40"/>
    </row>
    <row r="49" spans="1:26" ht="12.75" x14ac:dyDescent="0.2">
      <c r="A49" s="154">
        <v>11</v>
      </c>
      <c r="B49" s="155" t="s">
        <v>122</v>
      </c>
      <c r="C49" s="155" t="s">
        <v>123</v>
      </c>
      <c r="D49" s="156">
        <v>44334</v>
      </c>
      <c r="E49" s="154">
        <v>1</v>
      </c>
      <c r="F49" s="155" t="s">
        <v>124</v>
      </c>
      <c r="G49" s="111">
        <v>1</v>
      </c>
      <c r="H49" s="112">
        <v>30000000</v>
      </c>
      <c r="I49" s="112">
        <f>H49*G49</f>
        <v>30000000</v>
      </c>
      <c r="J49" s="110">
        <v>44257</v>
      </c>
      <c r="K49" s="77">
        <f>IFERROR(VALUE(DAY(J49)&amp;" "&amp;TEXT(EOMONTH(J49,L49)-29,"mmm")&amp;" "&amp;YEAR(EOMONTH(J49,L49)-29)),"-")</f>
        <v>44987</v>
      </c>
      <c r="L49" s="107">
        <v>24</v>
      </c>
      <c r="M49" s="99">
        <v>10.57</v>
      </c>
      <c r="N49" s="81">
        <f t="shared" ref="N49" si="77">M49*H49/1000</f>
        <v>317100</v>
      </c>
      <c r="O49" s="81"/>
      <c r="P49" s="81"/>
      <c r="Q49" s="81">
        <f t="shared" ref="Q49" si="78">N49+O49+P49</f>
        <v>317100</v>
      </c>
      <c r="R49" s="81">
        <f t="shared" ref="R49" si="79">10%*N49</f>
        <v>31710</v>
      </c>
      <c r="S49" s="81">
        <f t="shared" ref="S49" si="80">Q49-R49</f>
        <v>285390</v>
      </c>
      <c r="T49" s="42">
        <f>Q49*10%+(Y49*5)</f>
        <v>93751.304347826081</v>
      </c>
      <c r="U49" s="42">
        <f t="shared" ref="U49" si="81">Y49*12</f>
        <v>148899.13043478262</v>
      </c>
      <c r="V49" s="108">
        <f t="shared" ref="V49" si="82">Q49-T49-U49</f>
        <v>74449.565217391297</v>
      </c>
      <c r="W49" s="2">
        <f t="shared" ref="W49" si="83">T49+U49+V49</f>
        <v>317100</v>
      </c>
      <c r="X49" s="2">
        <f t="shared" ref="X49" si="84">Q49-W49</f>
        <v>0</v>
      </c>
      <c r="Y49" s="2">
        <v>12408.260869565218</v>
      </c>
      <c r="Z49" s="109">
        <f t="shared" ref="Z49" si="85">(Q49-T49)/(L49-1)</f>
        <v>9710.8128544423435</v>
      </c>
    </row>
    <row r="50" spans="1:26" ht="12.75" x14ac:dyDescent="0.2">
      <c r="A50" s="159"/>
      <c r="B50" s="160"/>
      <c r="C50" s="160"/>
      <c r="D50" s="160"/>
      <c r="E50" s="159">
        <f>SUM(E49)</f>
        <v>1</v>
      </c>
      <c r="F50" s="160"/>
      <c r="G50" s="161"/>
      <c r="H50" s="162">
        <f>SUM(H49)</f>
        <v>30000000</v>
      </c>
      <c r="I50" s="162">
        <f>SUM(I49)</f>
        <v>30000000</v>
      </c>
      <c r="J50" s="162"/>
      <c r="K50" s="162"/>
      <c r="L50" s="162"/>
      <c r="M50" s="162"/>
      <c r="N50" s="162">
        <f t="shared" ref="N50:Z50" si="86">SUM(N49)</f>
        <v>317100</v>
      </c>
      <c r="O50" s="162">
        <f t="shared" si="86"/>
        <v>0</v>
      </c>
      <c r="P50" s="162">
        <f t="shared" si="86"/>
        <v>0</v>
      </c>
      <c r="Q50" s="162">
        <f t="shared" si="86"/>
        <v>317100</v>
      </c>
      <c r="R50" s="162">
        <f t="shared" si="86"/>
        <v>31710</v>
      </c>
      <c r="S50" s="162">
        <f t="shared" si="86"/>
        <v>285390</v>
      </c>
      <c r="T50" s="162">
        <f t="shared" si="86"/>
        <v>93751.304347826081</v>
      </c>
      <c r="U50" s="162">
        <f t="shared" si="86"/>
        <v>148899.13043478262</v>
      </c>
      <c r="V50" s="162">
        <f t="shared" si="86"/>
        <v>74449.565217391297</v>
      </c>
      <c r="W50" s="162">
        <f t="shared" si="86"/>
        <v>317100</v>
      </c>
      <c r="X50" s="162">
        <f t="shared" si="86"/>
        <v>0</v>
      </c>
      <c r="Y50" s="162">
        <f t="shared" si="86"/>
        <v>12408.260869565218</v>
      </c>
      <c r="Z50" s="162">
        <f t="shared" si="86"/>
        <v>9710.8128544423435</v>
      </c>
    </row>
    <row r="51" spans="1:26" x14ac:dyDescent="0.2">
      <c r="A51" s="74">
        <v>12</v>
      </c>
      <c r="B51" s="107" t="s">
        <v>111</v>
      </c>
      <c r="C51" s="107" t="s">
        <v>125</v>
      </c>
      <c r="D51" s="110">
        <v>44336</v>
      </c>
      <c r="E51" s="74">
        <v>1</v>
      </c>
      <c r="F51" s="107" t="s">
        <v>126</v>
      </c>
      <c r="G51" s="111">
        <v>1</v>
      </c>
      <c r="H51" s="112">
        <v>69230850</v>
      </c>
      <c r="I51" s="112">
        <f>H51*G51</f>
        <v>69230850</v>
      </c>
      <c r="J51" s="110">
        <v>44315</v>
      </c>
      <c r="K51" s="77">
        <f>IFERROR(VALUE(DAY(J51)&amp;" "&amp;TEXT(EOMONTH(J51,L51)-29,"mmm")&amp;" "&amp;YEAR(EOMONTH(J51,L51)-29)),"-")</f>
        <v>45686</v>
      </c>
      <c r="L51" s="107">
        <v>45</v>
      </c>
      <c r="M51" s="99">
        <v>15.93</v>
      </c>
      <c r="N51" s="81">
        <f t="shared" ref="N51:N52" si="87">M51*H51/1000</f>
        <v>1102847.4405</v>
      </c>
      <c r="O51" s="81"/>
      <c r="P51" s="81"/>
      <c r="Q51" s="81">
        <f t="shared" ref="Q51:Q52" si="88">N51+O51+P51</f>
        <v>1102847.4405</v>
      </c>
      <c r="R51" s="81">
        <f t="shared" ref="R51:R52" si="89">10%*N51</f>
        <v>110284.74405000001</v>
      </c>
      <c r="S51" s="81">
        <f t="shared" ref="S51:S52" si="90">Q51-R51</f>
        <v>992562.69645000005</v>
      </c>
      <c r="T51" s="42">
        <f t="shared" ref="T51:T52" si="91">Q51*10%+(Y51*5)</f>
        <v>223075.95955568185</v>
      </c>
      <c r="U51" s="42">
        <f t="shared" ref="U51:U69" si="92">Y51*12</f>
        <v>270698.91721363639</v>
      </c>
      <c r="V51" s="108">
        <f t="shared" ref="V51:V69" si="93">Q51-T51-U51</f>
        <v>609072.56373068178</v>
      </c>
      <c r="W51" s="2">
        <f t="shared" ref="W51:W69" si="94">T51+U51+V51</f>
        <v>1102847.4405</v>
      </c>
      <c r="X51" s="2">
        <f t="shared" ref="X51:X69" si="95">Q51-W51</f>
        <v>0</v>
      </c>
      <c r="Y51" s="2">
        <v>22558.243101136366</v>
      </c>
      <c r="Z51" s="109">
        <f t="shared" ref="Z51:Z69" si="96">(Q51-T51)/(L51-1)</f>
        <v>19994.806385098142</v>
      </c>
    </row>
    <row r="52" spans="1:26" x14ac:dyDescent="0.2">
      <c r="A52" s="74"/>
      <c r="B52" s="107"/>
      <c r="C52" s="107"/>
      <c r="D52" s="110"/>
      <c r="E52" s="74">
        <v>1</v>
      </c>
      <c r="F52" s="107" t="s">
        <v>127</v>
      </c>
      <c r="G52" s="111">
        <v>1</v>
      </c>
      <c r="H52" s="112">
        <v>82219772</v>
      </c>
      <c r="I52" s="112">
        <f>H52*G52</f>
        <v>82219772</v>
      </c>
      <c r="J52" s="110">
        <v>44307</v>
      </c>
      <c r="K52" s="77">
        <f>IFERROR(VALUE(DAY(J52)&amp;" "&amp;TEXT(EOMONTH(J52,L52)-29,"mmm")&amp;" "&amp;YEAR(EOMONTH(J52,L52)-29)),"-")</f>
        <v>46742</v>
      </c>
      <c r="L52" s="107">
        <v>80</v>
      </c>
      <c r="M52" s="99">
        <v>25.48</v>
      </c>
      <c r="N52" s="81">
        <f t="shared" si="87"/>
        <v>2094959.7905599999</v>
      </c>
      <c r="O52" s="81"/>
      <c r="P52" s="81"/>
      <c r="Q52" s="81">
        <f t="shared" si="88"/>
        <v>2094959.7905599999</v>
      </c>
      <c r="R52" s="81">
        <f t="shared" si="89"/>
        <v>209495.97905600001</v>
      </c>
      <c r="S52" s="81">
        <f t="shared" si="90"/>
        <v>1885463.8115039999</v>
      </c>
      <c r="T52" s="42">
        <f t="shared" si="91"/>
        <v>328829.13168283546</v>
      </c>
      <c r="U52" s="42">
        <f t="shared" si="92"/>
        <v>286399.56630440505</v>
      </c>
      <c r="V52" s="108">
        <f t="shared" si="93"/>
        <v>1479731.0925727594</v>
      </c>
      <c r="W52" s="2">
        <f t="shared" si="94"/>
        <v>2094959.7905599999</v>
      </c>
      <c r="X52" s="2">
        <f t="shared" si="95"/>
        <v>0</v>
      </c>
      <c r="Y52" s="2">
        <v>23866.630525367087</v>
      </c>
      <c r="Z52" s="109">
        <f t="shared" si="96"/>
        <v>22356.08428958436</v>
      </c>
    </row>
    <row r="53" spans="1:26" x14ac:dyDescent="0.2">
      <c r="A53" s="88"/>
      <c r="B53" s="84"/>
      <c r="C53" s="84"/>
      <c r="D53" s="84"/>
      <c r="E53" s="88">
        <f>SUM(E51:E52)</f>
        <v>2</v>
      </c>
      <c r="F53" s="84"/>
      <c r="G53" s="115"/>
      <c r="H53" s="79">
        <f t="shared" ref="H53:I53" si="97">SUM(H51:H52)</f>
        <v>151450622</v>
      </c>
      <c r="I53" s="79">
        <f t="shared" si="97"/>
        <v>151450622</v>
      </c>
      <c r="J53" s="59"/>
      <c r="K53" s="59"/>
      <c r="L53" s="59"/>
      <c r="M53" s="59"/>
      <c r="N53" s="79">
        <f t="shared" ref="N53:Z53" si="98">SUM(N51:N52)</f>
        <v>3197807.2310600001</v>
      </c>
      <c r="O53" s="79">
        <f t="shared" si="98"/>
        <v>0</v>
      </c>
      <c r="P53" s="79">
        <f t="shared" si="98"/>
        <v>0</v>
      </c>
      <c r="Q53" s="79">
        <f t="shared" si="98"/>
        <v>3197807.2310600001</v>
      </c>
      <c r="R53" s="79">
        <f t="shared" si="98"/>
        <v>319780.72310599999</v>
      </c>
      <c r="S53" s="79">
        <f t="shared" si="98"/>
        <v>2878026.507954</v>
      </c>
      <c r="T53" s="79">
        <f t="shared" si="98"/>
        <v>551905.09123851731</v>
      </c>
      <c r="U53" s="79">
        <f t="shared" si="98"/>
        <v>557098.48351804144</v>
      </c>
      <c r="V53" s="79">
        <f t="shared" si="98"/>
        <v>2088803.6563034412</v>
      </c>
      <c r="W53" s="79">
        <f t="shared" si="98"/>
        <v>3197807.2310600001</v>
      </c>
      <c r="X53" s="79">
        <f t="shared" si="98"/>
        <v>0</v>
      </c>
      <c r="Y53" s="79">
        <f t="shared" si="98"/>
        <v>46424.873626503453</v>
      </c>
      <c r="Z53" s="79">
        <f t="shared" si="98"/>
        <v>42350.890674682501</v>
      </c>
    </row>
    <row r="54" spans="1:26" ht="12.75" x14ac:dyDescent="0.2">
      <c r="A54" s="154">
        <v>13</v>
      </c>
      <c r="B54" s="155" t="s">
        <v>128</v>
      </c>
      <c r="C54" s="155" t="s">
        <v>129</v>
      </c>
      <c r="D54" s="156">
        <v>44347</v>
      </c>
      <c r="E54" s="154">
        <v>1</v>
      </c>
      <c r="F54" s="155" t="s">
        <v>130</v>
      </c>
      <c r="G54" s="111">
        <v>1</v>
      </c>
      <c r="H54" s="112">
        <v>1000000000</v>
      </c>
      <c r="I54" s="112">
        <f>H54*G54</f>
        <v>1000000000</v>
      </c>
      <c r="J54" s="110">
        <v>44327</v>
      </c>
      <c r="K54" s="77">
        <f>IFERROR(VALUE(DAY(J54)&amp;" "&amp;TEXT(EOMONTH(J54,L54)-29,"mmm")&amp;" "&amp;YEAR(EOMONTH(J54,L54)-29)),"-")</f>
        <v>45241</v>
      </c>
      <c r="L54" s="107">
        <v>30</v>
      </c>
      <c r="M54" s="99">
        <v>30.71</v>
      </c>
      <c r="N54" s="81">
        <f t="shared" ref="N54" si="99">M54*H54/1000</f>
        <v>30710000</v>
      </c>
      <c r="O54" s="81"/>
      <c r="P54" s="81"/>
      <c r="Q54" s="81">
        <f t="shared" ref="Q54" si="100">N54+O54+P54</f>
        <v>30710000</v>
      </c>
      <c r="R54" s="81">
        <f t="shared" ref="R54" si="101">10%*N54</f>
        <v>3071000</v>
      </c>
      <c r="S54" s="81">
        <f t="shared" ref="S54" si="102">Q54-R54</f>
        <v>27639000</v>
      </c>
      <c r="T54" s="42">
        <f>Q54*10%+(Y54*5)</f>
        <v>7836344.8275862066</v>
      </c>
      <c r="U54" s="42">
        <f t="shared" si="92"/>
        <v>11436827.586206896</v>
      </c>
      <c r="V54" s="108">
        <f t="shared" si="93"/>
        <v>11436827.586206896</v>
      </c>
      <c r="W54" s="2">
        <f t="shared" si="94"/>
        <v>30710000</v>
      </c>
      <c r="X54" s="2">
        <f t="shared" si="95"/>
        <v>0</v>
      </c>
      <c r="Y54" s="2">
        <v>953068.96551724139</v>
      </c>
      <c r="Z54" s="109">
        <f t="shared" si="96"/>
        <v>788746.73008323426</v>
      </c>
    </row>
    <row r="55" spans="1:26" ht="12.75" x14ac:dyDescent="0.2">
      <c r="A55" s="159"/>
      <c r="B55" s="160"/>
      <c r="C55" s="160"/>
      <c r="D55" s="160"/>
      <c r="E55" s="159">
        <f>SUM(E54)</f>
        <v>1</v>
      </c>
      <c r="F55" s="160"/>
      <c r="G55" s="161"/>
      <c r="H55" s="162">
        <f>SUM(H54)</f>
        <v>1000000000</v>
      </c>
      <c r="I55" s="162">
        <f>SUM(I54)</f>
        <v>1000000000</v>
      </c>
      <c r="J55" s="162"/>
      <c r="K55" s="162"/>
      <c r="L55" s="162"/>
      <c r="M55" s="162"/>
      <c r="N55" s="162">
        <f t="shared" ref="N55:Z55" si="103">SUM(N54)</f>
        <v>30710000</v>
      </c>
      <c r="O55" s="162">
        <f t="shared" si="103"/>
        <v>0</v>
      </c>
      <c r="P55" s="162">
        <f t="shared" si="103"/>
        <v>0</v>
      </c>
      <c r="Q55" s="162">
        <f t="shared" si="103"/>
        <v>30710000</v>
      </c>
      <c r="R55" s="162">
        <f t="shared" si="103"/>
        <v>3071000</v>
      </c>
      <c r="S55" s="162">
        <f t="shared" si="103"/>
        <v>27639000</v>
      </c>
      <c r="T55" s="162">
        <f t="shared" si="103"/>
        <v>7836344.8275862066</v>
      </c>
      <c r="U55" s="162">
        <f t="shared" si="103"/>
        <v>11436827.586206896</v>
      </c>
      <c r="V55" s="162">
        <f t="shared" si="103"/>
        <v>11436827.586206896</v>
      </c>
      <c r="W55" s="162">
        <f t="shared" si="103"/>
        <v>30710000</v>
      </c>
      <c r="X55" s="162">
        <f t="shared" si="103"/>
        <v>0</v>
      </c>
      <c r="Y55" s="162">
        <f t="shared" si="103"/>
        <v>953068.96551724139</v>
      </c>
      <c r="Z55" s="162">
        <f t="shared" si="103"/>
        <v>788746.73008323426</v>
      </c>
    </row>
    <row r="56" spans="1:26" ht="12.75" x14ac:dyDescent="0.2">
      <c r="A56" s="154">
        <v>14</v>
      </c>
      <c r="B56" s="155" t="s">
        <v>128</v>
      </c>
      <c r="C56" s="155" t="s">
        <v>131</v>
      </c>
      <c r="D56" s="156">
        <v>44347</v>
      </c>
      <c r="E56" s="154">
        <v>1</v>
      </c>
      <c r="F56" s="155" t="s">
        <v>132</v>
      </c>
      <c r="G56" s="111">
        <v>1</v>
      </c>
      <c r="H56" s="112">
        <v>170000000</v>
      </c>
      <c r="I56" s="112">
        <f>H56*G56</f>
        <v>170000000</v>
      </c>
      <c r="J56" s="110">
        <v>44319</v>
      </c>
      <c r="K56" s="77">
        <f>IFERROR(VALUE(DAY(J56)&amp;" "&amp;TEXT(EOMONTH(J56,L56)-29,"mmm")&amp;" "&amp;YEAR(EOMONTH(J56,L56)-29)),"-")</f>
        <v>46145</v>
      </c>
      <c r="L56" s="107">
        <v>60</v>
      </c>
      <c r="M56" s="169">
        <v>13.65</v>
      </c>
      <c r="N56" s="81">
        <f t="shared" ref="N56:N69" si="104">M56*H56/1000</f>
        <v>2320500</v>
      </c>
      <c r="O56" s="81"/>
      <c r="P56" s="81"/>
      <c r="Q56" s="81">
        <f t="shared" ref="Q56:Q69" si="105">N56+O56+P56</f>
        <v>2320500</v>
      </c>
      <c r="R56" s="81">
        <f t="shared" ref="R56:R69" si="106">10%*N56</f>
        <v>232050</v>
      </c>
      <c r="S56" s="81">
        <f t="shared" ref="S56:S69" si="107">Q56-R56</f>
        <v>2088450</v>
      </c>
      <c r="T56" s="42">
        <f t="shared" ref="T56:T69" si="108">Q56*10%+(Y56*5)</f>
        <v>409037.28813559323</v>
      </c>
      <c r="U56" s="42">
        <f t="shared" si="92"/>
        <v>424769.49152542371</v>
      </c>
      <c r="V56" s="108">
        <f t="shared" si="93"/>
        <v>1486693.220338983</v>
      </c>
      <c r="W56" s="2">
        <f t="shared" si="94"/>
        <v>2320500</v>
      </c>
      <c r="X56" s="2">
        <f t="shared" si="95"/>
        <v>0</v>
      </c>
      <c r="Y56" s="2">
        <v>35397.457627118645</v>
      </c>
      <c r="Z56" s="109">
        <f t="shared" si="96"/>
        <v>32397.673082447571</v>
      </c>
    </row>
    <row r="57" spans="1:26" ht="12.75" x14ac:dyDescent="0.2">
      <c r="A57" s="164"/>
      <c r="B57" s="165"/>
      <c r="C57" s="165"/>
      <c r="D57" s="165"/>
      <c r="E57" s="154">
        <v>1</v>
      </c>
      <c r="F57" s="155" t="s">
        <v>133</v>
      </c>
      <c r="G57" s="111">
        <v>1</v>
      </c>
      <c r="H57" s="112">
        <v>250000000</v>
      </c>
      <c r="I57" s="112">
        <f t="shared" ref="I57:I69" si="109">H57*G57</f>
        <v>250000000</v>
      </c>
      <c r="J57" s="110">
        <v>44320</v>
      </c>
      <c r="K57" s="77">
        <f t="shared" ref="K57:K69" si="110">IFERROR(VALUE(DAY(J57)&amp;" "&amp;TEXT(EOMONTH(J57,L57)-29,"mmm")&amp;" "&amp;YEAR(EOMONTH(J57,L57)-29)),"-")</f>
        <v>45781</v>
      </c>
      <c r="L57" s="107">
        <v>48</v>
      </c>
      <c r="M57" s="169">
        <v>11.38</v>
      </c>
      <c r="N57" s="81">
        <f t="shared" si="104"/>
        <v>2845000</v>
      </c>
      <c r="O57" s="81"/>
      <c r="P57" s="81"/>
      <c r="Q57" s="81">
        <f t="shared" si="105"/>
        <v>2845000</v>
      </c>
      <c r="R57" s="81">
        <f t="shared" si="106"/>
        <v>284500</v>
      </c>
      <c r="S57" s="81">
        <f t="shared" si="107"/>
        <v>2560500</v>
      </c>
      <c r="T57" s="42">
        <f t="shared" si="108"/>
        <v>556893.61702127662</v>
      </c>
      <c r="U57" s="42">
        <f t="shared" si="92"/>
        <v>653744.68085106381</v>
      </c>
      <c r="V57" s="108">
        <f t="shared" si="93"/>
        <v>1634361.7021276597</v>
      </c>
      <c r="W57" s="2">
        <f t="shared" si="94"/>
        <v>2845000</v>
      </c>
      <c r="X57" s="2">
        <f t="shared" si="95"/>
        <v>0</v>
      </c>
      <c r="Y57" s="2">
        <v>54478.723404255317</v>
      </c>
      <c r="Z57" s="109">
        <f t="shared" si="96"/>
        <v>48683.114531462197</v>
      </c>
    </row>
    <row r="58" spans="1:26" ht="12.75" x14ac:dyDescent="0.2">
      <c r="A58" s="166"/>
      <c r="B58" s="166"/>
      <c r="C58" s="166"/>
      <c r="D58" s="167"/>
      <c r="E58" s="154">
        <v>1</v>
      </c>
      <c r="F58" s="155" t="s">
        <v>134</v>
      </c>
      <c r="G58" s="111">
        <v>1</v>
      </c>
      <c r="H58" s="112">
        <v>315000000</v>
      </c>
      <c r="I58" s="112">
        <f t="shared" si="109"/>
        <v>315000000</v>
      </c>
      <c r="J58" s="110">
        <v>44319</v>
      </c>
      <c r="K58" s="77">
        <f t="shared" si="110"/>
        <v>49798</v>
      </c>
      <c r="L58" s="107">
        <v>180</v>
      </c>
      <c r="M58" s="169">
        <v>37.520000000000003</v>
      </c>
      <c r="N58" s="81">
        <f t="shared" si="104"/>
        <v>11818800.000000002</v>
      </c>
      <c r="O58" s="81"/>
      <c r="P58" s="81"/>
      <c r="Q58" s="81">
        <f t="shared" si="105"/>
        <v>11818800.000000002</v>
      </c>
      <c r="R58" s="81">
        <f t="shared" si="106"/>
        <v>1181880.0000000002</v>
      </c>
      <c r="S58" s="81">
        <f t="shared" si="107"/>
        <v>10636920.000000002</v>
      </c>
      <c r="T58" s="42">
        <f t="shared" si="108"/>
        <v>1479000.6703910618</v>
      </c>
      <c r="U58" s="42">
        <f t="shared" si="92"/>
        <v>713089.60893854755</v>
      </c>
      <c r="V58" s="108">
        <f t="shared" si="93"/>
        <v>9626709.7206703927</v>
      </c>
      <c r="W58" s="2">
        <f t="shared" si="94"/>
        <v>11818800.000000002</v>
      </c>
      <c r="X58" s="2">
        <f t="shared" si="95"/>
        <v>0</v>
      </c>
      <c r="Y58" s="2">
        <v>59424.134078212301</v>
      </c>
      <c r="Z58" s="109">
        <f t="shared" si="96"/>
        <v>57764.242064854414</v>
      </c>
    </row>
    <row r="59" spans="1:26" ht="12.75" x14ac:dyDescent="0.2">
      <c r="A59" s="168"/>
      <c r="B59" s="168"/>
      <c r="C59" s="168"/>
      <c r="D59" s="107"/>
      <c r="E59" s="154">
        <v>1</v>
      </c>
      <c r="F59" s="155" t="s">
        <v>135</v>
      </c>
      <c r="G59" s="111">
        <v>1</v>
      </c>
      <c r="H59" s="112">
        <v>315000000</v>
      </c>
      <c r="I59" s="112">
        <f t="shared" si="109"/>
        <v>315000000</v>
      </c>
      <c r="J59" s="110">
        <v>44320</v>
      </c>
      <c r="K59" s="77">
        <f t="shared" si="110"/>
        <v>49799</v>
      </c>
      <c r="L59" s="107">
        <v>180</v>
      </c>
      <c r="M59" s="169">
        <v>37.520000000000003</v>
      </c>
      <c r="N59" s="81">
        <f t="shared" si="104"/>
        <v>11818800.000000002</v>
      </c>
      <c r="O59" s="81"/>
      <c r="P59" s="81"/>
      <c r="Q59" s="81">
        <f t="shared" si="105"/>
        <v>11818800.000000002</v>
      </c>
      <c r="R59" s="81">
        <f t="shared" si="106"/>
        <v>1181880.0000000002</v>
      </c>
      <c r="S59" s="81">
        <f t="shared" si="107"/>
        <v>10636920.000000002</v>
      </c>
      <c r="T59" s="42">
        <f t="shared" si="108"/>
        <v>1479000.6703910618</v>
      </c>
      <c r="U59" s="42">
        <f t="shared" si="92"/>
        <v>713089.60893854755</v>
      </c>
      <c r="V59" s="108">
        <f t="shared" si="93"/>
        <v>9626709.7206703927</v>
      </c>
      <c r="W59" s="2">
        <f t="shared" si="94"/>
        <v>11818800.000000002</v>
      </c>
      <c r="X59" s="2">
        <f t="shared" si="95"/>
        <v>0</v>
      </c>
      <c r="Y59" s="2">
        <v>59424.134078212301</v>
      </c>
      <c r="Z59" s="109">
        <f t="shared" si="96"/>
        <v>57764.242064854414</v>
      </c>
    </row>
    <row r="60" spans="1:26" ht="12.75" x14ac:dyDescent="0.2">
      <c r="A60" s="168"/>
      <c r="B60" s="168"/>
      <c r="C60" s="168"/>
      <c r="D60" s="107"/>
      <c r="E60" s="154">
        <v>1</v>
      </c>
      <c r="F60" s="155" t="s">
        <v>136</v>
      </c>
      <c r="G60" s="111">
        <v>1</v>
      </c>
      <c r="H60" s="112">
        <v>250000000</v>
      </c>
      <c r="I60" s="112">
        <f t="shared" si="109"/>
        <v>250000000</v>
      </c>
      <c r="J60" s="110">
        <v>44320</v>
      </c>
      <c r="K60" s="77">
        <f t="shared" si="110"/>
        <v>47972</v>
      </c>
      <c r="L60" s="107">
        <v>120</v>
      </c>
      <c r="M60" s="169">
        <v>25.48</v>
      </c>
      <c r="N60" s="81">
        <f t="shared" si="104"/>
        <v>6370000</v>
      </c>
      <c r="O60" s="81"/>
      <c r="P60" s="81"/>
      <c r="Q60" s="81">
        <f t="shared" si="105"/>
        <v>6370000</v>
      </c>
      <c r="R60" s="81">
        <f t="shared" si="106"/>
        <v>637000</v>
      </c>
      <c r="S60" s="81">
        <f t="shared" si="107"/>
        <v>5733000</v>
      </c>
      <c r="T60" s="42">
        <f t="shared" si="108"/>
        <v>877882.3529411765</v>
      </c>
      <c r="U60" s="42">
        <f t="shared" si="92"/>
        <v>578117.6470588235</v>
      </c>
      <c r="V60" s="108">
        <f t="shared" si="93"/>
        <v>4914000</v>
      </c>
      <c r="W60" s="2">
        <f t="shared" si="94"/>
        <v>6370000</v>
      </c>
      <c r="X60" s="2">
        <f t="shared" si="95"/>
        <v>0</v>
      </c>
      <c r="Y60" s="2">
        <v>48176.470588235294</v>
      </c>
      <c r="Z60" s="109">
        <f t="shared" si="96"/>
        <v>46152.249134948092</v>
      </c>
    </row>
    <row r="61" spans="1:26" ht="12.75" x14ac:dyDescent="0.2">
      <c r="A61" s="168"/>
      <c r="B61" s="168"/>
      <c r="C61" s="168"/>
      <c r="D61" s="107"/>
      <c r="E61" s="154">
        <v>1</v>
      </c>
      <c r="F61" s="155" t="s">
        <v>137</v>
      </c>
      <c r="G61" s="111">
        <v>1</v>
      </c>
      <c r="H61" s="112">
        <v>450000000</v>
      </c>
      <c r="I61" s="112">
        <f t="shared" si="109"/>
        <v>450000000</v>
      </c>
      <c r="J61" s="110">
        <v>44320</v>
      </c>
      <c r="K61" s="77">
        <f t="shared" si="110"/>
        <v>49799</v>
      </c>
      <c r="L61" s="107">
        <v>180</v>
      </c>
      <c r="M61" s="169">
        <v>37.520000000000003</v>
      </c>
      <c r="N61" s="81">
        <f t="shared" si="104"/>
        <v>16884000.000000004</v>
      </c>
      <c r="O61" s="81"/>
      <c r="P61" s="81"/>
      <c r="Q61" s="81">
        <f t="shared" si="105"/>
        <v>16884000.000000004</v>
      </c>
      <c r="R61" s="81">
        <f t="shared" si="106"/>
        <v>1688400.0000000005</v>
      </c>
      <c r="S61" s="81">
        <f t="shared" si="107"/>
        <v>15195600.000000004</v>
      </c>
      <c r="T61" s="42">
        <f t="shared" si="108"/>
        <v>2112858.10055866</v>
      </c>
      <c r="U61" s="42">
        <f t="shared" si="92"/>
        <v>1018699.4413407824</v>
      </c>
      <c r="V61" s="108">
        <f t="shared" si="93"/>
        <v>13752442.458100561</v>
      </c>
      <c r="W61" s="2">
        <f t="shared" si="94"/>
        <v>16884000.000000004</v>
      </c>
      <c r="X61" s="2">
        <f t="shared" si="95"/>
        <v>0</v>
      </c>
      <c r="Y61" s="2">
        <v>84891.620111731871</v>
      </c>
      <c r="Z61" s="109">
        <f t="shared" si="96"/>
        <v>82520.345806934871</v>
      </c>
    </row>
    <row r="62" spans="1:26" ht="12.75" x14ac:dyDescent="0.2">
      <c r="A62" s="168"/>
      <c r="B62" s="168"/>
      <c r="C62" s="168"/>
      <c r="D62" s="107"/>
      <c r="E62" s="154">
        <v>1</v>
      </c>
      <c r="F62" s="155" t="s">
        <v>138</v>
      </c>
      <c r="G62" s="111">
        <v>1</v>
      </c>
      <c r="H62" s="112">
        <v>340000000</v>
      </c>
      <c r="I62" s="112">
        <f t="shared" si="109"/>
        <v>340000000</v>
      </c>
      <c r="J62" s="110">
        <v>44320</v>
      </c>
      <c r="K62" s="77">
        <f t="shared" si="110"/>
        <v>49799</v>
      </c>
      <c r="L62" s="107">
        <v>180</v>
      </c>
      <c r="M62" s="169">
        <v>37.520000000000003</v>
      </c>
      <c r="N62" s="81">
        <f t="shared" si="104"/>
        <v>12756800.000000002</v>
      </c>
      <c r="O62" s="81"/>
      <c r="P62" s="81"/>
      <c r="Q62" s="81">
        <f t="shared" si="105"/>
        <v>12756800.000000002</v>
      </c>
      <c r="R62" s="81">
        <f t="shared" si="106"/>
        <v>1275680.0000000002</v>
      </c>
      <c r="S62" s="81">
        <f t="shared" si="107"/>
        <v>11481120.000000002</v>
      </c>
      <c r="T62" s="42">
        <f t="shared" si="108"/>
        <v>1596381.6759776538</v>
      </c>
      <c r="U62" s="42">
        <f t="shared" si="92"/>
        <v>769684.02234636887</v>
      </c>
      <c r="V62" s="108">
        <f t="shared" si="93"/>
        <v>10390734.301675981</v>
      </c>
      <c r="W62" s="2">
        <f t="shared" si="94"/>
        <v>12756800.000000004</v>
      </c>
      <c r="X62" s="2">
        <f t="shared" si="95"/>
        <v>0</v>
      </c>
      <c r="Y62" s="2">
        <v>64140.335195530737</v>
      </c>
      <c r="Z62" s="109">
        <f t="shared" si="96"/>
        <v>62348.705720795246</v>
      </c>
    </row>
    <row r="63" spans="1:26" ht="12.75" x14ac:dyDescent="0.2">
      <c r="A63" s="168"/>
      <c r="B63" s="168"/>
      <c r="C63" s="168"/>
      <c r="D63" s="107"/>
      <c r="E63" s="154">
        <v>1</v>
      </c>
      <c r="F63" s="155" t="s">
        <v>139</v>
      </c>
      <c r="G63" s="111">
        <v>1</v>
      </c>
      <c r="H63" s="112">
        <v>30000000</v>
      </c>
      <c r="I63" s="112">
        <f t="shared" si="109"/>
        <v>30000000</v>
      </c>
      <c r="J63" s="110">
        <v>44321</v>
      </c>
      <c r="K63" s="77">
        <f t="shared" si="110"/>
        <v>45417</v>
      </c>
      <c r="L63" s="107">
        <v>36</v>
      </c>
      <c r="M63" s="169">
        <v>17.88</v>
      </c>
      <c r="N63" s="81">
        <f t="shared" si="104"/>
        <v>536399.99999999988</v>
      </c>
      <c r="O63" s="81"/>
      <c r="P63" s="81"/>
      <c r="Q63" s="81">
        <f t="shared" si="105"/>
        <v>536399.99999999988</v>
      </c>
      <c r="R63" s="81">
        <f t="shared" si="106"/>
        <v>53639.999999999993</v>
      </c>
      <c r="S63" s="81">
        <f t="shared" si="107"/>
        <v>482759.99999999988</v>
      </c>
      <c r="T63" s="42">
        <f t="shared" si="108"/>
        <v>122605.71428571426</v>
      </c>
      <c r="U63" s="42">
        <f t="shared" si="92"/>
        <v>165517.71428571423</v>
      </c>
      <c r="V63" s="108">
        <f t="shared" si="93"/>
        <v>248276.57142857139</v>
      </c>
      <c r="W63" s="2">
        <f t="shared" si="94"/>
        <v>536399.99999999988</v>
      </c>
      <c r="X63" s="2">
        <f t="shared" si="95"/>
        <v>0</v>
      </c>
      <c r="Y63" s="2">
        <v>13793.142857142853</v>
      </c>
      <c r="Z63" s="109">
        <f t="shared" si="96"/>
        <v>11822.693877551017</v>
      </c>
    </row>
    <row r="64" spans="1:26" ht="12.75" x14ac:dyDescent="0.2">
      <c r="A64" s="168"/>
      <c r="B64" s="168"/>
      <c r="C64" s="168"/>
      <c r="D64" s="107"/>
      <c r="E64" s="154">
        <v>1</v>
      </c>
      <c r="F64" s="155" t="s">
        <v>140</v>
      </c>
      <c r="G64" s="111">
        <v>1</v>
      </c>
      <c r="H64" s="112">
        <v>170000000</v>
      </c>
      <c r="I64" s="112">
        <f t="shared" si="109"/>
        <v>170000000</v>
      </c>
      <c r="J64" s="110">
        <v>44321</v>
      </c>
      <c r="K64" s="77">
        <f t="shared" si="110"/>
        <v>49800</v>
      </c>
      <c r="L64" s="107">
        <v>180</v>
      </c>
      <c r="M64" s="169">
        <v>37.520000000000003</v>
      </c>
      <c r="N64" s="81">
        <f t="shared" si="104"/>
        <v>6378400.0000000009</v>
      </c>
      <c r="O64" s="81"/>
      <c r="P64" s="81"/>
      <c r="Q64" s="81">
        <f t="shared" si="105"/>
        <v>6378400.0000000009</v>
      </c>
      <c r="R64" s="81">
        <f t="shared" si="106"/>
        <v>637840.00000000012</v>
      </c>
      <c r="S64" s="81">
        <f t="shared" si="107"/>
        <v>5740560.0000000009</v>
      </c>
      <c r="T64" s="42">
        <f t="shared" si="108"/>
        <v>798190.83798882691</v>
      </c>
      <c r="U64" s="42">
        <f t="shared" si="92"/>
        <v>384842.01117318444</v>
      </c>
      <c r="V64" s="108">
        <f t="shared" si="93"/>
        <v>5195367.1508379905</v>
      </c>
      <c r="W64" s="2">
        <f t="shared" si="94"/>
        <v>6378400.0000000019</v>
      </c>
      <c r="X64" s="2">
        <f t="shared" si="95"/>
        <v>0</v>
      </c>
      <c r="Y64" s="2">
        <v>32070.167597765369</v>
      </c>
      <c r="Z64" s="109">
        <f t="shared" si="96"/>
        <v>31174.352860397623</v>
      </c>
    </row>
    <row r="65" spans="1:27" ht="12.75" x14ac:dyDescent="0.2">
      <c r="A65" s="168"/>
      <c r="B65" s="168"/>
      <c r="C65" s="168"/>
      <c r="D65" s="107"/>
      <c r="E65" s="154">
        <v>1</v>
      </c>
      <c r="F65" s="155" t="s">
        <v>141</v>
      </c>
      <c r="G65" s="111">
        <v>1</v>
      </c>
      <c r="H65" s="112">
        <v>40000000</v>
      </c>
      <c r="I65" s="112">
        <f t="shared" si="109"/>
        <v>40000000</v>
      </c>
      <c r="J65" s="110">
        <v>44322</v>
      </c>
      <c r="K65" s="77">
        <f t="shared" si="110"/>
        <v>45418</v>
      </c>
      <c r="L65" s="107">
        <v>36</v>
      </c>
      <c r="M65" s="169">
        <v>9.1</v>
      </c>
      <c r="N65" s="81">
        <f t="shared" si="104"/>
        <v>364000</v>
      </c>
      <c r="O65" s="81"/>
      <c r="P65" s="81"/>
      <c r="Q65" s="81">
        <f t="shared" si="105"/>
        <v>364000</v>
      </c>
      <c r="R65" s="81">
        <f t="shared" si="106"/>
        <v>36400</v>
      </c>
      <c r="S65" s="81">
        <f t="shared" si="107"/>
        <v>327600</v>
      </c>
      <c r="T65" s="42">
        <f t="shared" si="108"/>
        <v>83200</v>
      </c>
      <c r="U65" s="42">
        <f t="shared" si="92"/>
        <v>112320</v>
      </c>
      <c r="V65" s="108">
        <f t="shared" si="93"/>
        <v>168480</v>
      </c>
      <c r="W65" s="2">
        <f t="shared" si="94"/>
        <v>364000</v>
      </c>
      <c r="X65" s="2">
        <f t="shared" si="95"/>
        <v>0</v>
      </c>
      <c r="Y65" s="2">
        <v>9360</v>
      </c>
      <c r="Z65" s="109">
        <f t="shared" si="96"/>
        <v>8022.8571428571431</v>
      </c>
    </row>
    <row r="66" spans="1:27" ht="12.75" x14ac:dyDescent="0.2">
      <c r="A66" s="168"/>
      <c r="B66" s="168"/>
      <c r="C66" s="168"/>
      <c r="D66" s="107"/>
      <c r="E66" s="154">
        <v>1</v>
      </c>
      <c r="F66" s="155" t="s">
        <v>142</v>
      </c>
      <c r="G66" s="111">
        <v>1</v>
      </c>
      <c r="H66" s="112">
        <v>440000000</v>
      </c>
      <c r="I66" s="112">
        <f t="shared" si="109"/>
        <v>440000000</v>
      </c>
      <c r="J66" s="110">
        <v>44323</v>
      </c>
      <c r="K66" s="77">
        <f t="shared" si="110"/>
        <v>49802</v>
      </c>
      <c r="L66" s="107">
        <v>180</v>
      </c>
      <c r="M66" s="169">
        <v>37.520000000000003</v>
      </c>
      <c r="N66" s="81">
        <f t="shared" si="104"/>
        <v>16508800.000000002</v>
      </c>
      <c r="O66" s="81"/>
      <c r="P66" s="81"/>
      <c r="Q66" s="81">
        <f t="shared" si="105"/>
        <v>16508800.000000002</v>
      </c>
      <c r="R66" s="81">
        <f t="shared" si="106"/>
        <v>1650880.0000000002</v>
      </c>
      <c r="S66" s="81">
        <f t="shared" si="107"/>
        <v>14857920.000000002</v>
      </c>
      <c r="T66" s="42">
        <f t="shared" si="108"/>
        <v>2065905.6983240226</v>
      </c>
      <c r="U66" s="42">
        <f t="shared" si="92"/>
        <v>996061.67597765371</v>
      </c>
      <c r="V66" s="108">
        <f t="shared" si="93"/>
        <v>13446832.625698326</v>
      </c>
      <c r="W66" s="2">
        <f t="shared" si="94"/>
        <v>16508800.000000002</v>
      </c>
      <c r="X66" s="2">
        <f t="shared" si="95"/>
        <v>0</v>
      </c>
      <c r="Y66" s="2">
        <v>83005.139664804476</v>
      </c>
      <c r="Z66" s="109">
        <f t="shared" si="96"/>
        <v>80686.560344558544</v>
      </c>
    </row>
    <row r="67" spans="1:27" ht="12.75" x14ac:dyDescent="0.2">
      <c r="A67" s="168"/>
      <c r="B67" s="168"/>
      <c r="C67" s="168"/>
      <c r="D67" s="107"/>
      <c r="E67" s="154">
        <v>1</v>
      </c>
      <c r="F67" s="155" t="s">
        <v>144</v>
      </c>
      <c r="G67" s="111">
        <v>1</v>
      </c>
      <c r="H67" s="112">
        <v>30000000</v>
      </c>
      <c r="I67" s="112">
        <f t="shared" si="109"/>
        <v>30000000</v>
      </c>
      <c r="J67" s="110">
        <v>44323</v>
      </c>
      <c r="K67" s="77">
        <f t="shared" si="110"/>
        <v>45053</v>
      </c>
      <c r="L67" s="107">
        <v>24</v>
      </c>
      <c r="M67" s="169">
        <v>9.1</v>
      </c>
      <c r="N67" s="81">
        <f t="shared" si="104"/>
        <v>273000</v>
      </c>
      <c r="O67" s="81"/>
      <c r="P67" s="81"/>
      <c r="Q67" s="81">
        <f t="shared" si="105"/>
        <v>273000</v>
      </c>
      <c r="R67" s="81">
        <f t="shared" si="106"/>
        <v>27300</v>
      </c>
      <c r="S67" s="81">
        <f t="shared" si="107"/>
        <v>245700</v>
      </c>
      <c r="T67" s="42">
        <f t="shared" si="108"/>
        <v>80713.043478260865</v>
      </c>
      <c r="U67" s="42">
        <f t="shared" si="92"/>
        <v>128191.30434782608</v>
      </c>
      <c r="V67" s="108">
        <f t="shared" si="93"/>
        <v>64095.652173913055</v>
      </c>
      <c r="W67" s="2">
        <f t="shared" si="94"/>
        <v>273000</v>
      </c>
      <c r="X67" s="2">
        <f t="shared" si="95"/>
        <v>0</v>
      </c>
      <c r="Y67" s="2">
        <v>10682.608695652174</v>
      </c>
      <c r="Z67" s="109">
        <f t="shared" si="96"/>
        <v>8360.3024574669198</v>
      </c>
    </row>
    <row r="68" spans="1:27" ht="12.75" x14ac:dyDescent="0.2">
      <c r="A68" s="168"/>
      <c r="B68" s="168"/>
      <c r="C68" s="168"/>
      <c r="D68" s="107"/>
      <c r="E68" s="154">
        <v>1</v>
      </c>
      <c r="F68" s="155" t="s">
        <v>143</v>
      </c>
      <c r="G68" s="111">
        <v>1</v>
      </c>
      <c r="H68" s="112">
        <v>200000000</v>
      </c>
      <c r="I68" s="112">
        <f t="shared" si="109"/>
        <v>200000000</v>
      </c>
      <c r="J68" s="110">
        <v>44326</v>
      </c>
      <c r="K68" s="77">
        <f t="shared" si="110"/>
        <v>47978</v>
      </c>
      <c r="L68" s="107">
        <v>120</v>
      </c>
      <c r="M68" s="169">
        <v>25.48</v>
      </c>
      <c r="N68" s="81">
        <f t="shared" si="104"/>
        <v>5096000</v>
      </c>
      <c r="O68" s="81"/>
      <c r="P68" s="81"/>
      <c r="Q68" s="81">
        <f t="shared" si="105"/>
        <v>5096000</v>
      </c>
      <c r="R68" s="81">
        <f t="shared" si="106"/>
        <v>509600</v>
      </c>
      <c r="S68" s="81">
        <f t="shared" si="107"/>
        <v>4586400</v>
      </c>
      <c r="T68" s="42">
        <f t="shared" si="108"/>
        <v>702305.8823529412</v>
      </c>
      <c r="U68" s="42">
        <f t="shared" si="92"/>
        <v>462494.11764705885</v>
      </c>
      <c r="V68" s="108">
        <f t="shared" si="93"/>
        <v>3931200.0000000005</v>
      </c>
      <c r="W68" s="2">
        <f t="shared" si="94"/>
        <v>5096000</v>
      </c>
      <c r="X68" s="2">
        <f t="shared" si="95"/>
        <v>0</v>
      </c>
      <c r="Y68" s="2">
        <v>38541.176470588238</v>
      </c>
      <c r="Z68" s="109">
        <f t="shared" si="96"/>
        <v>36921.799307958478</v>
      </c>
    </row>
    <row r="69" spans="1:27" ht="12.75" x14ac:dyDescent="0.2">
      <c r="A69" s="168"/>
      <c r="B69" s="168"/>
      <c r="C69" s="168"/>
      <c r="D69" s="107"/>
      <c r="E69" s="154">
        <v>1</v>
      </c>
      <c r="F69" s="155" t="s">
        <v>145</v>
      </c>
      <c r="G69" s="111">
        <v>1</v>
      </c>
      <c r="H69" s="112">
        <v>265000000</v>
      </c>
      <c r="I69" s="112">
        <f t="shared" si="109"/>
        <v>265000000</v>
      </c>
      <c r="J69" s="110">
        <v>44326</v>
      </c>
      <c r="K69" s="77">
        <f t="shared" si="110"/>
        <v>48497</v>
      </c>
      <c r="L69" s="107">
        <v>137</v>
      </c>
      <c r="M69" s="169">
        <v>30.46</v>
      </c>
      <c r="N69" s="81">
        <f t="shared" si="104"/>
        <v>8071900</v>
      </c>
      <c r="O69" s="81"/>
      <c r="P69" s="81"/>
      <c r="Q69" s="81">
        <f t="shared" si="105"/>
        <v>8071900</v>
      </c>
      <c r="R69" s="81">
        <f t="shared" si="106"/>
        <v>807190</v>
      </c>
      <c r="S69" s="81">
        <f t="shared" si="107"/>
        <v>7264710</v>
      </c>
      <c r="T69" s="42">
        <f t="shared" si="108"/>
        <v>1074274.9264705882</v>
      </c>
      <c r="U69" s="42">
        <f t="shared" si="92"/>
        <v>641003.82352941181</v>
      </c>
      <c r="V69" s="108">
        <f t="shared" si="93"/>
        <v>6356621.25</v>
      </c>
      <c r="W69" s="2">
        <f t="shared" si="94"/>
        <v>8071900</v>
      </c>
      <c r="X69" s="2">
        <f t="shared" si="95"/>
        <v>0</v>
      </c>
      <c r="Y69" s="2">
        <v>53416.98529411765</v>
      </c>
      <c r="Z69" s="109">
        <f t="shared" si="96"/>
        <v>51453.125540657442</v>
      </c>
    </row>
    <row r="70" spans="1:27" x14ac:dyDescent="0.2">
      <c r="A70" s="83"/>
      <c r="B70" s="83"/>
      <c r="C70" s="83"/>
      <c r="D70" s="84"/>
      <c r="E70" s="93">
        <f>SUM(E56:E69)</f>
        <v>14</v>
      </c>
      <c r="F70" s="83"/>
      <c r="G70" s="83"/>
      <c r="H70" s="92">
        <f>SUM(H56:H69)</f>
        <v>3265000000</v>
      </c>
      <c r="I70" s="92">
        <f t="shared" ref="I70:Z70" si="111">SUM(I56:I69)</f>
        <v>3265000000</v>
      </c>
      <c r="J70" s="92"/>
      <c r="K70" s="92"/>
      <c r="L70" s="92"/>
      <c r="M70" s="92"/>
      <c r="N70" s="92">
        <f t="shared" si="111"/>
        <v>102042400</v>
      </c>
      <c r="O70" s="92">
        <f t="shared" si="111"/>
        <v>0</v>
      </c>
      <c r="P70" s="92">
        <f t="shared" si="111"/>
        <v>0</v>
      </c>
      <c r="Q70" s="92">
        <f t="shared" si="111"/>
        <v>102042400</v>
      </c>
      <c r="R70" s="92">
        <f t="shared" si="111"/>
        <v>10204240.000000002</v>
      </c>
      <c r="S70" s="92">
        <f t="shared" si="111"/>
        <v>91838160.000000015</v>
      </c>
      <c r="T70" s="92">
        <f t="shared" si="111"/>
        <v>13438250.47831684</v>
      </c>
      <c r="U70" s="92">
        <f t="shared" si="111"/>
        <v>7761625.1479604077</v>
      </c>
      <c r="V70" s="92">
        <f t="shared" si="111"/>
        <v>80842524.373722762</v>
      </c>
      <c r="W70" s="92">
        <f t="shared" si="111"/>
        <v>102042400</v>
      </c>
      <c r="X70" s="92">
        <f t="shared" si="111"/>
        <v>0</v>
      </c>
      <c r="Y70" s="92">
        <f t="shared" si="111"/>
        <v>646802.0956633673</v>
      </c>
      <c r="Z70" s="92">
        <f t="shared" si="111"/>
        <v>616072.26393774396</v>
      </c>
    </row>
    <row r="71" spans="1:27" x14ac:dyDescent="0.2">
      <c r="A71" s="74">
        <v>15</v>
      </c>
      <c r="B71" s="107" t="s">
        <v>49</v>
      </c>
      <c r="C71" s="107" t="s">
        <v>156</v>
      </c>
      <c r="D71" s="110">
        <v>44347</v>
      </c>
      <c r="E71" s="74">
        <v>1</v>
      </c>
      <c r="F71" s="107" t="s">
        <v>157</v>
      </c>
      <c r="G71" s="111">
        <v>1</v>
      </c>
      <c r="H71" s="112">
        <v>250000000</v>
      </c>
      <c r="I71" s="112">
        <f>H71*G71</f>
        <v>250000000</v>
      </c>
      <c r="J71" s="110">
        <v>44320</v>
      </c>
      <c r="K71" s="77">
        <f>IFERROR(VALUE(DAY(J71)&amp;" "&amp;TEXT(EOMONTH(J71,L71)-29,"mmm")&amp;" "&amp;YEAR(EOMONTH(J71,L71)-29)),"-")</f>
        <v>48338</v>
      </c>
      <c r="L71" s="107">
        <v>132</v>
      </c>
      <c r="M71" s="99">
        <v>27.98</v>
      </c>
      <c r="N71" s="81">
        <f t="shared" ref="N71:N72" si="112">M71*H71/1000</f>
        <v>6995000</v>
      </c>
      <c r="O71" s="81"/>
      <c r="P71" s="81"/>
      <c r="Q71" s="81">
        <f t="shared" ref="Q71:Q72" si="113">N71+O71+P71</f>
        <v>6995000</v>
      </c>
      <c r="R71" s="81">
        <f t="shared" ref="R71:R72" si="114">10%*N71</f>
        <v>699500</v>
      </c>
      <c r="S71" s="81">
        <f t="shared" ref="S71:S72" si="115">Q71-R71</f>
        <v>6295500</v>
      </c>
      <c r="T71" s="42">
        <f t="shared" ref="T71:T72" si="116">Q71*10%+(Y71*5)</f>
        <v>939786.25954198476</v>
      </c>
      <c r="U71" s="42">
        <f t="shared" ref="U71:U72" si="117">Y71*12</f>
        <v>576687.02290076332</v>
      </c>
      <c r="V71" s="108">
        <f t="shared" ref="V71:V72" si="118">Q71-T71-U71</f>
        <v>5478526.7175572524</v>
      </c>
      <c r="W71" s="2">
        <f t="shared" ref="W71:W72" si="119">T71+U71+V71</f>
        <v>6995000</v>
      </c>
      <c r="X71" s="2">
        <f t="shared" ref="X71:X72" si="120">Q71-W71</f>
        <v>0</v>
      </c>
      <c r="Y71" s="2">
        <v>48057.251908396946</v>
      </c>
      <c r="Z71" s="109">
        <f t="shared" ref="Z71:Z72" si="121">(Q71-T71)/(L71-1)</f>
        <v>46223.005652351261</v>
      </c>
    </row>
    <row r="72" spans="1:27" x14ac:dyDescent="0.2">
      <c r="A72" s="74"/>
      <c r="B72" s="107"/>
      <c r="C72" s="107"/>
      <c r="D72" s="110"/>
      <c r="E72" s="74">
        <v>1</v>
      </c>
      <c r="F72" s="107" t="s">
        <v>158</v>
      </c>
      <c r="G72" s="111">
        <v>1</v>
      </c>
      <c r="H72" s="112">
        <v>60000000</v>
      </c>
      <c r="I72" s="112">
        <f>H72*G72</f>
        <v>60000000</v>
      </c>
      <c r="J72" s="110">
        <v>44320</v>
      </c>
      <c r="K72" s="77">
        <f>IFERROR(VALUE(DAY(J72)&amp;" "&amp;TEXT(EOMONTH(J72,L72)-29,"mmm")&amp;" "&amp;YEAR(EOMONTH(J72,L72)-29)),"-")</f>
        <v>46146</v>
      </c>
      <c r="L72" s="107">
        <v>60</v>
      </c>
      <c r="M72" s="99">
        <v>13.65</v>
      </c>
      <c r="N72" s="81">
        <f t="shared" si="112"/>
        <v>819000</v>
      </c>
      <c r="O72" s="81"/>
      <c r="P72" s="81"/>
      <c r="Q72" s="81">
        <f t="shared" si="113"/>
        <v>819000</v>
      </c>
      <c r="R72" s="81">
        <f t="shared" si="114"/>
        <v>81900</v>
      </c>
      <c r="S72" s="81">
        <f t="shared" si="115"/>
        <v>737100</v>
      </c>
      <c r="T72" s="42">
        <f t="shared" si="116"/>
        <v>144366.10169491527</v>
      </c>
      <c r="U72" s="42">
        <f t="shared" si="117"/>
        <v>149918.64406779659</v>
      </c>
      <c r="V72" s="108">
        <f t="shared" si="118"/>
        <v>524715.25423728814</v>
      </c>
      <c r="W72" s="2">
        <f t="shared" si="119"/>
        <v>819000</v>
      </c>
      <c r="X72" s="2">
        <f t="shared" si="120"/>
        <v>0</v>
      </c>
      <c r="Y72" s="2">
        <v>12493.22033898305</v>
      </c>
      <c r="Z72" s="109">
        <f t="shared" si="121"/>
        <v>11434.472852628556</v>
      </c>
    </row>
    <row r="73" spans="1:27" s="94" customFormat="1" x14ac:dyDescent="0.2">
      <c r="A73" s="88"/>
      <c r="B73" s="84"/>
      <c r="C73" s="84"/>
      <c r="D73" s="84"/>
      <c r="E73" s="88">
        <f>SUM(E71:E72)</f>
        <v>2</v>
      </c>
      <c r="F73" s="84"/>
      <c r="G73" s="115"/>
      <c r="H73" s="79">
        <f t="shared" ref="H73:I73" si="122">SUM(H71:H72)</f>
        <v>310000000</v>
      </c>
      <c r="I73" s="79">
        <f t="shared" si="122"/>
        <v>310000000</v>
      </c>
      <c r="J73" s="59"/>
      <c r="K73" s="59"/>
      <c r="L73" s="59"/>
      <c r="M73" s="59"/>
      <c r="N73" s="79">
        <f t="shared" ref="N73:Z73" si="123">SUM(N71:N72)</f>
        <v>7814000</v>
      </c>
      <c r="O73" s="79">
        <f t="shared" si="123"/>
        <v>0</v>
      </c>
      <c r="P73" s="79">
        <f t="shared" si="123"/>
        <v>0</v>
      </c>
      <c r="Q73" s="79">
        <f t="shared" si="123"/>
        <v>7814000</v>
      </c>
      <c r="R73" s="79">
        <f t="shared" si="123"/>
        <v>781400</v>
      </c>
      <c r="S73" s="79">
        <f t="shared" si="123"/>
        <v>7032600</v>
      </c>
      <c r="T73" s="79">
        <f t="shared" si="123"/>
        <v>1084152.3612369001</v>
      </c>
      <c r="U73" s="79">
        <f t="shared" si="123"/>
        <v>726605.66696855985</v>
      </c>
      <c r="V73" s="79">
        <f t="shared" si="123"/>
        <v>6003241.9717945401</v>
      </c>
      <c r="W73" s="79">
        <f t="shared" si="123"/>
        <v>7814000</v>
      </c>
      <c r="X73" s="79">
        <f t="shared" si="123"/>
        <v>0</v>
      </c>
      <c r="Y73" s="79">
        <f t="shared" si="123"/>
        <v>60550.472247379992</v>
      </c>
      <c r="Z73" s="79">
        <f t="shared" si="123"/>
        <v>57657.478504979816</v>
      </c>
    </row>
    <row r="74" spans="1:27" x14ac:dyDescent="0.2">
      <c r="A74" s="83"/>
      <c r="B74" s="83"/>
      <c r="C74" s="83" t="s">
        <v>147</v>
      </c>
      <c r="D74" s="84"/>
      <c r="E74" s="85">
        <f>E70+E55+E53+E50+E73</f>
        <v>20</v>
      </c>
      <c r="F74" s="87">
        <f t="shared" ref="F74:Z74" si="124">F70+F55+F53+F50+F73</f>
        <v>0</v>
      </c>
      <c r="G74" s="87">
        <f t="shared" si="124"/>
        <v>0</v>
      </c>
      <c r="H74" s="87">
        <f>H70+H55+H53+H50+H73</f>
        <v>4756450622</v>
      </c>
      <c r="I74" s="87">
        <f t="shared" si="124"/>
        <v>4756450622</v>
      </c>
      <c r="J74" s="87">
        <f t="shared" si="124"/>
        <v>0</v>
      </c>
      <c r="K74" s="87">
        <f t="shared" si="124"/>
        <v>0</v>
      </c>
      <c r="L74" s="87">
        <f t="shared" si="124"/>
        <v>0</v>
      </c>
      <c r="M74" s="87">
        <f t="shared" si="124"/>
        <v>0</v>
      </c>
      <c r="N74" s="87">
        <f t="shared" si="124"/>
        <v>144081307.23106</v>
      </c>
      <c r="O74" s="87">
        <f t="shared" si="124"/>
        <v>0</v>
      </c>
      <c r="P74" s="87">
        <f t="shared" si="124"/>
        <v>0</v>
      </c>
      <c r="Q74" s="87">
        <f t="shared" si="124"/>
        <v>144081307.23106</v>
      </c>
      <c r="R74" s="87">
        <f t="shared" si="124"/>
        <v>14408130.723106002</v>
      </c>
      <c r="S74" s="87">
        <f t="shared" si="124"/>
        <v>129673176.50795402</v>
      </c>
      <c r="T74" s="87">
        <f t="shared" si="124"/>
        <v>23004404.062726289</v>
      </c>
      <c r="U74" s="87">
        <f t="shared" si="124"/>
        <v>20631056.015088685</v>
      </c>
      <c r="V74" s="87">
        <f t="shared" si="124"/>
        <v>100445847.15324503</v>
      </c>
      <c r="W74" s="87">
        <f t="shared" si="124"/>
        <v>144081307.23106</v>
      </c>
      <c r="X74" s="87">
        <f t="shared" si="124"/>
        <v>0</v>
      </c>
      <c r="Y74" s="87">
        <f t="shared" si="124"/>
        <v>1719254.6679240575</v>
      </c>
      <c r="Z74" s="87">
        <f t="shared" si="124"/>
        <v>1514538.1760550828</v>
      </c>
    </row>
    <row r="75" spans="1:27" s="94" customFormat="1" x14ac:dyDescent="0.2">
      <c r="A75" s="83"/>
      <c r="B75" s="83"/>
      <c r="C75" s="83" t="s">
        <v>148</v>
      </c>
      <c r="D75" s="84"/>
      <c r="E75" s="93">
        <f t="shared" ref="E75:G75" si="125">E74+E44</f>
        <v>29</v>
      </c>
      <c r="F75" s="95">
        <f t="shared" si="125"/>
        <v>0</v>
      </c>
      <c r="G75" s="95">
        <f t="shared" si="125"/>
        <v>0</v>
      </c>
      <c r="H75" s="95">
        <f>H74+H44</f>
        <v>6129450622</v>
      </c>
      <c r="I75" s="95">
        <f t="shared" ref="I75:AA75" si="126">I74+I44</f>
        <v>6129450622</v>
      </c>
      <c r="J75" s="95">
        <f t="shared" si="126"/>
        <v>0</v>
      </c>
      <c r="K75" s="95">
        <f t="shared" si="126"/>
        <v>0</v>
      </c>
      <c r="L75" s="95">
        <f t="shared" si="126"/>
        <v>0</v>
      </c>
      <c r="M75" s="95">
        <f t="shared" si="126"/>
        <v>0</v>
      </c>
      <c r="N75" s="95">
        <f t="shared" si="126"/>
        <v>175057545.86488</v>
      </c>
      <c r="O75" s="95">
        <f t="shared" si="126"/>
        <v>300000</v>
      </c>
      <c r="P75" s="95">
        <f t="shared" si="126"/>
        <v>0</v>
      </c>
      <c r="Q75" s="95">
        <f t="shared" si="126"/>
        <v>191255545.86488</v>
      </c>
      <c r="R75" s="95">
        <f t="shared" si="126"/>
        <v>18995427.723106004</v>
      </c>
      <c r="S75" s="95">
        <f t="shared" si="126"/>
        <v>172260118.141774</v>
      </c>
      <c r="T75" s="95">
        <f t="shared" si="126"/>
        <v>30913666.210980736</v>
      </c>
      <c r="U75" s="95">
        <f t="shared" si="126"/>
        <v>25726834.372404464</v>
      </c>
      <c r="V75" s="95">
        <f t="shared" si="126"/>
        <v>134615045.2814948</v>
      </c>
      <c r="W75" s="95">
        <f t="shared" si="126"/>
        <v>191255545.86488</v>
      </c>
      <c r="X75" s="95">
        <f t="shared" si="126"/>
        <v>0</v>
      </c>
      <c r="Y75" s="95">
        <f t="shared" si="126"/>
        <v>2197903.7309662588</v>
      </c>
      <c r="Z75" s="95">
        <f t="shared" si="126"/>
        <v>2424465.4814196816</v>
      </c>
      <c r="AA75" s="95">
        <f t="shared" si="126"/>
        <v>0</v>
      </c>
    </row>
    <row r="77" spans="1:27" ht="23.25" x14ac:dyDescent="0.2">
      <c r="A77" s="86" t="s">
        <v>172</v>
      </c>
      <c r="B77" s="62"/>
      <c r="C77" s="62"/>
      <c r="D77" s="57"/>
      <c r="E77" s="63"/>
      <c r="F77" s="64"/>
      <c r="G77" s="139"/>
      <c r="H77" s="66"/>
      <c r="I77" s="66"/>
      <c r="J77" s="67"/>
      <c r="K77" s="67"/>
      <c r="L77" s="68"/>
      <c r="M77" s="68"/>
      <c r="N77" s="69"/>
      <c r="O77" s="69"/>
      <c r="P77" s="69"/>
      <c r="Q77" s="69"/>
      <c r="R77" s="69"/>
      <c r="S77" s="69"/>
      <c r="T77" s="70"/>
      <c r="U77" s="71"/>
      <c r="V77" s="71"/>
    </row>
    <row r="78" spans="1:27" x14ac:dyDescent="0.2">
      <c r="A78" s="231" t="s">
        <v>0</v>
      </c>
      <c r="B78" s="232" t="s">
        <v>1</v>
      </c>
      <c r="C78" s="229" t="s">
        <v>2</v>
      </c>
      <c r="D78" s="233" t="s">
        <v>3</v>
      </c>
      <c r="E78" s="234" t="s">
        <v>4</v>
      </c>
      <c r="F78" s="232" t="s">
        <v>5</v>
      </c>
      <c r="G78" s="237" t="s">
        <v>6</v>
      </c>
      <c r="H78" s="236" t="s">
        <v>7</v>
      </c>
      <c r="I78" s="236" t="s">
        <v>8</v>
      </c>
      <c r="J78" s="227" t="s">
        <v>9</v>
      </c>
      <c r="K78" s="227"/>
      <c r="L78" s="228" t="s">
        <v>10</v>
      </c>
      <c r="M78" s="229" t="s">
        <v>11</v>
      </c>
      <c r="N78" s="230" t="s">
        <v>12</v>
      </c>
      <c r="O78" s="230"/>
      <c r="P78" s="230"/>
      <c r="Q78" s="229" t="s">
        <v>13</v>
      </c>
      <c r="R78" s="229" t="s">
        <v>14</v>
      </c>
      <c r="S78" s="229" t="s">
        <v>15</v>
      </c>
      <c r="T78" s="36">
        <v>2021</v>
      </c>
      <c r="U78" s="37"/>
      <c r="V78" s="38" t="s">
        <v>44</v>
      </c>
    </row>
    <row r="79" spans="1:27" x14ac:dyDescent="0.2">
      <c r="A79" s="231"/>
      <c r="B79" s="232"/>
      <c r="C79" s="229"/>
      <c r="D79" s="233"/>
      <c r="E79" s="234"/>
      <c r="F79" s="232"/>
      <c r="G79" s="237"/>
      <c r="H79" s="236"/>
      <c r="I79" s="236"/>
      <c r="J79" s="227"/>
      <c r="K79" s="227"/>
      <c r="L79" s="228"/>
      <c r="M79" s="229"/>
      <c r="N79" s="210" t="s">
        <v>16</v>
      </c>
      <c r="O79" s="210" t="s">
        <v>17</v>
      </c>
      <c r="P79" s="210" t="s">
        <v>18</v>
      </c>
      <c r="Q79" s="229"/>
      <c r="R79" s="229"/>
      <c r="S79" s="229"/>
      <c r="T79" s="96" t="s">
        <v>240</v>
      </c>
      <c r="U79" s="39" t="s">
        <v>235</v>
      </c>
      <c r="V79" s="40"/>
    </row>
    <row r="80" spans="1:27" ht="12.75" x14ac:dyDescent="0.2">
      <c r="A80" s="154">
        <v>16</v>
      </c>
      <c r="B80" s="155" t="s">
        <v>111</v>
      </c>
      <c r="C80" s="155" t="s">
        <v>160</v>
      </c>
      <c r="D80" s="156">
        <v>44361</v>
      </c>
      <c r="E80" s="154">
        <v>1</v>
      </c>
      <c r="F80" s="155" t="s">
        <v>161</v>
      </c>
      <c r="G80" s="175">
        <v>1</v>
      </c>
      <c r="H80" s="176">
        <v>64397514</v>
      </c>
      <c r="I80" s="176">
        <f>H80*G80</f>
        <v>64397514</v>
      </c>
      <c r="J80" s="156">
        <v>44822</v>
      </c>
      <c r="K80" s="177">
        <v>44990</v>
      </c>
      <c r="L80" s="155">
        <v>6</v>
      </c>
      <c r="M80" s="99">
        <v>5.46</v>
      </c>
      <c r="N80" s="81">
        <f t="shared" ref="N80" si="127">M80*H80/1000</f>
        <v>351610.42644000001</v>
      </c>
      <c r="O80" s="81">
        <v>100000</v>
      </c>
      <c r="P80" s="81"/>
      <c r="Q80" s="81">
        <f t="shared" ref="Q80" si="128">N80+O80+P80</f>
        <v>451610.42644000001</v>
      </c>
      <c r="R80" s="81"/>
      <c r="S80" s="81">
        <f t="shared" ref="S80" si="129">Q80-R80</f>
        <v>451610.42644000001</v>
      </c>
      <c r="T80" s="182">
        <f>Q80/L80*6</f>
        <v>451610.42644000001</v>
      </c>
      <c r="U80" s="182"/>
      <c r="V80" s="182">
        <f>Q80-T80-U80</f>
        <v>0</v>
      </c>
    </row>
    <row r="81" spans="1:24" ht="12.75" x14ac:dyDescent="0.2">
      <c r="A81" s="159"/>
      <c r="B81" s="160"/>
      <c r="C81" s="160"/>
      <c r="D81" s="160"/>
      <c r="E81" s="178"/>
      <c r="F81" s="179"/>
      <c r="G81" s="179"/>
      <c r="H81" s="179"/>
      <c r="I81" s="179"/>
      <c r="J81" s="179"/>
      <c r="K81" s="179"/>
      <c r="L81" s="179"/>
      <c r="M81" s="179"/>
      <c r="N81" s="179">
        <f t="shared" ref="N81:V81" si="130">SUM(N80)</f>
        <v>351610.42644000001</v>
      </c>
      <c r="O81" s="179">
        <f t="shared" si="130"/>
        <v>100000</v>
      </c>
      <c r="P81" s="179">
        <f t="shared" si="130"/>
        <v>0</v>
      </c>
      <c r="Q81" s="179">
        <f t="shared" si="130"/>
        <v>451610.42644000001</v>
      </c>
      <c r="R81" s="179">
        <f t="shared" si="130"/>
        <v>0</v>
      </c>
      <c r="S81" s="179">
        <f t="shared" si="130"/>
        <v>451610.42644000001</v>
      </c>
      <c r="T81" s="179">
        <f t="shared" si="130"/>
        <v>451610.42644000001</v>
      </c>
      <c r="U81" s="179">
        <f t="shared" si="130"/>
        <v>0</v>
      </c>
      <c r="V81" s="179">
        <f t="shared" si="130"/>
        <v>0</v>
      </c>
    </row>
    <row r="82" spans="1:24" ht="12.75" x14ac:dyDescent="0.2">
      <c r="A82" s="154">
        <v>17</v>
      </c>
      <c r="B82" s="155" t="s">
        <v>49</v>
      </c>
      <c r="C82" s="155" t="s">
        <v>163</v>
      </c>
      <c r="D82" s="156">
        <v>44377</v>
      </c>
      <c r="E82" s="154">
        <v>1</v>
      </c>
      <c r="F82" s="155" t="s">
        <v>164</v>
      </c>
      <c r="G82" s="175">
        <v>1</v>
      </c>
      <c r="H82" s="176">
        <v>179133550</v>
      </c>
      <c r="I82" s="176">
        <f>H82*G82</f>
        <v>179133550</v>
      </c>
      <c r="J82" s="156">
        <v>44373</v>
      </c>
      <c r="K82" s="177">
        <v>46280</v>
      </c>
      <c r="L82" s="155">
        <v>63</v>
      </c>
      <c r="M82" s="99">
        <v>25.48</v>
      </c>
      <c r="N82" s="81">
        <f t="shared" ref="N82" si="131">M82*H82/1000</f>
        <v>4564322.8540000003</v>
      </c>
      <c r="O82" s="81"/>
      <c r="P82" s="81"/>
      <c r="Q82" s="81">
        <f t="shared" ref="Q82" si="132">N82+O82+P82</f>
        <v>4564322.8540000003</v>
      </c>
      <c r="R82" s="81">
        <f t="shared" ref="R82" si="133">10%*N82</f>
        <v>456432.28540000005</v>
      </c>
      <c r="S82" s="81">
        <f t="shared" ref="S82" si="134">Q82-R82</f>
        <v>4107890.5686000003</v>
      </c>
      <c r="T82" s="182">
        <f>Q82/L82*5</f>
        <v>362247.8455555556</v>
      </c>
      <c r="U82" s="182">
        <f t="shared" ref="U82" si="135">Q82/L82*12</f>
        <v>869394.82933333353</v>
      </c>
      <c r="V82" s="182">
        <f t="shared" ref="V82" si="136">Q82-T82-U82</f>
        <v>3332680.179111111</v>
      </c>
    </row>
    <row r="83" spans="1:24" ht="12.75" x14ac:dyDescent="0.2">
      <c r="A83" s="159"/>
      <c r="B83" s="160"/>
      <c r="C83" s="160"/>
      <c r="D83" s="160"/>
      <c r="E83" s="178">
        <f>SUM(E82)</f>
        <v>1</v>
      </c>
      <c r="F83" s="179"/>
      <c r="G83" s="179"/>
      <c r="H83" s="179">
        <f>SUM(H82)</f>
        <v>179133550</v>
      </c>
      <c r="I83" s="179">
        <f>SUM(I82)</f>
        <v>179133550</v>
      </c>
      <c r="J83" s="179"/>
      <c r="K83" s="179"/>
      <c r="L83" s="179"/>
      <c r="M83" s="179"/>
      <c r="N83" s="179">
        <f t="shared" ref="N83:V83" si="137">SUM(N82)</f>
        <v>4564322.8540000003</v>
      </c>
      <c r="O83" s="179">
        <f t="shared" si="137"/>
        <v>0</v>
      </c>
      <c r="P83" s="179">
        <f t="shared" si="137"/>
        <v>0</v>
      </c>
      <c r="Q83" s="179">
        <f t="shared" si="137"/>
        <v>4564322.8540000003</v>
      </c>
      <c r="R83" s="179">
        <f t="shared" si="137"/>
        <v>456432.28540000005</v>
      </c>
      <c r="S83" s="179">
        <f t="shared" si="137"/>
        <v>4107890.5686000003</v>
      </c>
      <c r="T83" s="179">
        <f t="shared" si="137"/>
        <v>362247.8455555556</v>
      </c>
      <c r="U83" s="179">
        <f t="shared" si="137"/>
        <v>869394.82933333353</v>
      </c>
      <c r="V83" s="179">
        <f t="shared" si="137"/>
        <v>3332680.179111111</v>
      </c>
    </row>
    <row r="84" spans="1:24" x14ac:dyDescent="0.2">
      <c r="A84" s="83"/>
      <c r="B84" s="83"/>
      <c r="C84" s="83" t="s">
        <v>147</v>
      </c>
      <c r="D84" s="84"/>
      <c r="E84" s="85">
        <f>E81+E83</f>
        <v>1</v>
      </c>
      <c r="F84" s="87"/>
      <c r="G84" s="87"/>
      <c r="H84" s="87">
        <f t="shared" ref="H84:V84" si="138">H81+H83</f>
        <v>179133550</v>
      </c>
      <c r="I84" s="87">
        <f t="shared" si="138"/>
        <v>179133550</v>
      </c>
      <c r="J84" s="87"/>
      <c r="K84" s="87"/>
      <c r="L84" s="87"/>
      <c r="M84" s="87"/>
      <c r="N84" s="87">
        <f t="shared" si="138"/>
        <v>4915933.2804399999</v>
      </c>
      <c r="O84" s="87">
        <f t="shared" si="138"/>
        <v>100000</v>
      </c>
      <c r="P84" s="87">
        <f t="shared" si="138"/>
        <v>0</v>
      </c>
      <c r="Q84" s="87">
        <f t="shared" si="138"/>
        <v>5015933.2804399999</v>
      </c>
      <c r="R84" s="87">
        <f t="shared" si="138"/>
        <v>456432.28540000005</v>
      </c>
      <c r="S84" s="87">
        <f t="shared" si="138"/>
        <v>4559500.9950400004</v>
      </c>
      <c r="T84" s="87">
        <f t="shared" si="138"/>
        <v>813858.27199555561</v>
      </c>
      <c r="U84" s="87">
        <f t="shared" si="138"/>
        <v>869394.82933333353</v>
      </c>
      <c r="V84" s="87">
        <f t="shared" si="138"/>
        <v>3332680.179111111</v>
      </c>
    </row>
    <row r="85" spans="1:24" x14ac:dyDescent="0.2">
      <c r="A85" s="83"/>
      <c r="B85" s="83"/>
      <c r="C85" s="83" t="s">
        <v>148</v>
      </c>
      <c r="D85" s="84"/>
      <c r="E85" s="93">
        <f>E84+E74</f>
        <v>21</v>
      </c>
      <c r="F85" s="95"/>
      <c r="G85" s="95"/>
      <c r="H85" s="95">
        <f t="shared" ref="H85:V85" si="139">H84+H74</f>
        <v>4935584172</v>
      </c>
      <c r="I85" s="95">
        <f t="shared" si="139"/>
        <v>4935584172</v>
      </c>
      <c r="J85" s="95"/>
      <c r="K85" s="95"/>
      <c r="L85" s="95"/>
      <c r="M85" s="95"/>
      <c r="N85" s="95">
        <f t="shared" si="139"/>
        <v>148997240.5115</v>
      </c>
      <c r="O85" s="95">
        <f t="shared" si="139"/>
        <v>100000</v>
      </c>
      <c r="P85" s="95">
        <f t="shared" si="139"/>
        <v>0</v>
      </c>
      <c r="Q85" s="95">
        <f t="shared" si="139"/>
        <v>149097240.5115</v>
      </c>
      <c r="R85" s="95">
        <f t="shared" si="139"/>
        <v>14864563.008506002</v>
      </c>
      <c r="S85" s="95">
        <f t="shared" si="139"/>
        <v>134232677.50299403</v>
      </c>
      <c r="T85" s="95">
        <f t="shared" si="139"/>
        <v>23818262.334721845</v>
      </c>
      <c r="U85" s="95">
        <f t="shared" si="139"/>
        <v>21500450.84442202</v>
      </c>
      <c r="V85" s="95">
        <f t="shared" si="139"/>
        <v>103778527.33235614</v>
      </c>
    </row>
    <row r="86" spans="1:24" x14ac:dyDescent="0.2">
      <c r="T86" s="181"/>
      <c r="U86" s="181"/>
      <c r="V86" s="181"/>
    </row>
    <row r="87" spans="1:24" ht="23.25" x14ac:dyDescent="0.2">
      <c r="A87" s="86" t="s">
        <v>201</v>
      </c>
      <c r="B87" s="62"/>
      <c r="C87" s="62"/>
      <c r="D87" s="57"/>
      <c r="E87" s="63"/>
      <c r="F87" s="64"/>
      <c r="G87" s="139"/>
      <c r="H87" s="66"/>
      <c r="I87" s="66"/>
      <c r="J87" s="67"/>
      <c r="K87" s="67"/>
      <c r="L87" s="68"/>
      <c r="M87" s="68"/>
      <c r="N87" s="69"/>
      <c r="O87" s="69"/>
      <c r="P87" s="69"/>
      <c r="Q87" s="69"/>
      <c r="R87" s="69"/>
      <c r="S87" s="69"/>
      <c r="T87" s="70"/>
      <c r="U87" s="71"/>
      <c r="V87" s="71"/>
    </row>
    <row r="88" spans="1:24" x14ac:dyDescent="0.2">
      <c r="A88" s="231" t="s">
        <v>0</v>
      </c>
      <c r="B88" s="232" t="s">
        <v>1</v>
      </c>
      <c r="C88" s="229" t="s">
        <v>2</v>
      </c>
      <c r="D88" s="233" t="s">
        <v>3</v>
      </c>
      <c r="E88" s="234" t="s">
        <v>4</v>
      </c>
      <c r="F88" s="232" t="s">
        <v>5</v>
      </c>
      <c r="G88" s="237" t="s">
        <v>6</v>
      </c>
      <c r="H88" s="236" t="s">
        <v>7</v>
      </c>
      <c r="I88" s="236" t="s">
        <v>8</v>
      </c>
      <c r="J88" s="227" t="s">
        <v>9</v>
      </c>
      <c r="K88" s="227"/>
      <c r="L88" s="228" t="s">
        <v>10</v>
      </c>
      <c r="M88" s="229" t="s">
        <v>11</v>
      </c>
      <c r="N88" s="230" t="s">
        <v>12</v>
      </c>
      <c r="O88" s="230"/>
      <c r="P88" s="230"/>
      <c r="Q88" s="229" t="s">
        <v>13</v>
      </c>
      <c r="R88" s="229" t="s">
        <v>14</v>
      </c>
      <c r="S88" s="229" t="s">
        <v>15</v>
      </c>
      <c r="T88" s="36">
        <v>2021</v>
      </c>
      <c r="U88" s="37"/>
      <c r="V88" s="38" t="s">
        <v>44</v>
      </c>
    </row>
    <row r="89" spans="1:24" x14ac:dyDescent="0.2">
      <c r="A89" s="231"/>
      <c r="B89" s="232"/>
      <c r="C89" s="229"/>
      <c r="D89" s="233"/>
      <c r="E89" s="234"/>
      <c r="F89" s="232"/>
      <c r="G89" s="237"/>
      <c r="H89" s="236"/>
      <c r="I89" s="236"/>
      <c r="J89" s="227"/>
      <c r="K89" s="227"/>
      <c r="L89" s="228"/>
      <c r="M89" s="229"/>
      <c r="N89" s="210" t="s">
        <v>16</v>
      </c>
      <c r="O89" s="210" t="s">
        <v>17</v>
      </c>
      <c r="P89" s="210" t="s">
        <v>18</v>
      </c>
      <c r="Q89" s="229"/>
      <c r="R89" s="229"/>
      <c r="S89" s="229"/>
      <c r="T89" s="96" t="s">
        <v>241</v>
      </c>
      <c r="U89" s="39" t="s">
        <v>235</v>
      </c>
      <c r="V89" s="40"/>
    </row>
    <row r="90" spans="1:24" ht="12.75" x14ac:dyDescent="0.2">
      <c r="A90" s="154">
        <v>18</v>
      </c>
      <c r="B90" s="155" t="s">
        <v>128</v>
      </c>
      <c r="C90" s="155" t="s">
        <v>178</v>
      </c>
      <c r="D90" s="156">
        <v>44391</v>
      </c>
      <c r="E90" s="154">
        <v>1</v>
      </c>
      <c r="F90" s="155" t="s">
        <v>179</v>
      </c>
      <c r="G90" s="175">
        <v>1</v>
      </c>
      <c r="H90" s="176">
        <v>380000000</v>
      </c>
      <c r="I90" s="176">
        <f>H90*G90</f>
        <v>380000000</v>
      </c>
      <c r="J90" s="156">
        <v>44350</v>
      </c>
      <c r="K90" s="77">
        <f t="shared" ref="K90:K105" si="140">IFERROR(VALUE(DAY(J90)&amp;" "&amp;TEXT(EOMONTH(J90,L90)-29,"mmm")&amp;" "&amp;YEAR(EOMONTH(J90,L90)-29)),"-")</f>
        <v>48002</v>
      </c>
      <c r="L90" s="155">
        <v>120</v>
      </c>
      <c r="M90" s="99">
        <v>25.48</v>
      </c>
      <c r="N90" s="81">
        <f t="shared" ref="N90:N105" si="141">M90*H90/1000</f>
        <v>9682400</v>
      </c>
      <c r="O90" s="81"/>
      <c r="P90" s="81"/>
      <c r="Q90" s="81">
        <f t="shared" ref="Q90:Q105" si="142">N90+O90+P90</f>
        <v>9682400</v>
      </c>
      <c r="R90" s="81">
        <f t="shared" ref="R90:R105" si="143">10%*N90</f>
        <v>968240</v>
      </c>
      <c r="S90" s="81">
        <f t="shared" ref="S90:S105" si="144">Q90-R90</f>
        <v>8714160</v>
      </c>
      <c r="T90" s="182">
        <f>Q90/L90*5</f>
        <v>403433.33333333337</v>
      </c>
      <c r="U90" s="182">
        <f>Q90/L90*12</f>
        <v>968240</v>
      </c>
      <c r="V90" s="182">
        <f>Q90-T90-U90</f>
        <v>8310726.666666666</v>
      </c>
      <c r="W90" s="181">
        <f>T90+U90+V90</f>
        <v>9682400</v>
      </c>
      <c r="X90" s="181">
        <f>Q90-W90</f>
        <v>0</v>
      </c>
    </row>
    <row r="91" spans="1:24" ht="12.75" x14ac:dyDescent="0.2">
      <c r="A91" s="168"/>
      <c r="B91" s="168"/>
      <c r="C91" s="168"/>
      <c r="D91" s="107"/>
      <c r="E91" s="154">
        <v>1</v>
      </c>
      <c r="F91" s="155" t="s">
        <v>180</v>
      </c>
      <c r="G91" s="175">
        <v>1</v>
      </c>
      <c r="H91" s="176">
        <v>445000000</v>
      </c>
      <c r="I91" s="176">
        <f t="shared" ref="I91:I105" si="145">H91*G91</f>
        <v>445000000</v>
      </c>
      <c r="J91" s="156">
        <v>44350</v>
      </c>
      <c r="K91" s="77">
        <f t="shared" si="140"/>
        <v>49312</v>
      </c>
      <c r="L91" s="155">
        <v>164</v>
      </c>
      <c r="M91" s="99">
        <v>35.409999999999997</v>
      </c>
      <c r="N91" s="81">
        <f t="shared" si="141"/>
        <v>15757449.999999998</v>
      </c>
      <c r="O91" s="81"/>
      <c r="P91" s="81"/>
      <c r="Q91" s="81">
        <f t="shared" si="142"/>
        <v>15757449.999999998</v>
      </c>
      <c r="R91" s="81">
        <f t="shared" si="143"/>
        <v>1575745</v>
      </c>
      <c r="S91" s="81">
        <f t="shared" si="144"/>
        <v>14181704.999999998</v>
      </c>
      <c r="T91" s="182">
        <f t="shared" ref="T91:T105" si="146">Q91/L91*5</f>
        <v>480410.0609756097</v>
      </c>
      <c r="U91" s="182">
        <f t="shared" ref="U91:U109" si="147">Q91/L91*12</f>
        <v>1152984.1463414631</v>
      </c>
      <c r="V91" s="182">
        <f t="shared" ref="V91:V105" si="148">Q91-T91-U91</f>
        <v>14124055.792682925</v>
      </c>
      <c r="W91" s="181">
        <f t="shared" ref="W91:W105" si="149">T91+U91+V91</f>
        <v>15757449.999999998</v>
      </c>
      <c r="X91" s="181">
        <f t="shared" ref="X91:X105" si="150">Q91-W91</f>
        <v>0</v>
      </c>
    </row>
    <row r="92" spans="1:24" ht="12.75" x14ac:dyDescent="0.2">
      <c r="A92" s="168"/>
      <c r="B92" s="168"/>
      <c r="C92" s="168"/>
      <c r="D92" s="107"/>
      <c r="E92" s="154">
        <v>1</v>
      </c>
      <c r="F92" s="155" t="s">
        <v>181</v>
      </c>
      <c r="G92" s="175">
        <v>1</v>
      </c>
      <c r="H92" s="176">
        <v>500000000</v>
      </c>
      <c r="I92" s="176">
        <f t="shared" si="145"/>
        <v>500000000</v>
      </c>
      <c r="J92" s="156">
        <v>44350</v>
      </c>
      <c r="K92" s="77">
        <f t="shared" si="140"/>
        <v>49463</v>
      </c>
      <c r="L92" s="155">
        <v>168</v>
      </c>
      <c r="M92" s="99">
        <v>35.409999999999997</v>
      </c>
      <c r="N92" s="81">
        <f t="shared" si="141"/>
        <v>17705000</v>
      </c>
      <c r="O92" s="81"/>
      <c r="P92" s="81"/>
      <c r="Q92" s="81">
        <f t="shared" si="142"/>
        <v>17705000</v>
      </c>
      <c r="R92" s="81">
        <f t="shared" si="143"/>
        <v>1770500</v>
      </c>
      <c r="S92" s="81">
        <f t="shared" si="144"/>
        <v>15934500</v>
      </c>
      <c r="T92" s="182">
        <f t="shared" si="146"/>
        <v>526934.52380952379</v>
      </c>
      <c r="U92" s="182">
        <f t="shared" si="147"/>
        <v>1264642.8571428573</v>
      </c>
      <c r="V92" s="182">
        <f t="shared" si="148"/>
        <v>15913422.619047619</v>
      </c>
      <c r="W92" s="181">
        <f t="shared" si="149"/>
        <v>17705000</v>
      </c>
      <c r="X92" s="181">
        <f t="shared" si="150"/>
        <v>0</v>
      </c>
    </row>
    <row r="93" spans="1:24" ht="12.75" x14ac:dyDescent="0.2">
      <c r="A93" s="168"/>
      <c r="B93" s="168"/>
      <c r="C93" s="168"/>
      <c r="D93" s="107"/>
      <c r="E93" s="154">
        <v>1</v>
      </c>
      <c r="F93" s="155" t="s">
        <v>182</v>
      </c>
      <c r="G93" s="175">
        <v>1</v>
      </c>
      <c r="H93" s="176">
        <v>330000000</v>
      </c>
      <c r="I93" s="176">
        <f t="shared" si="145"/>
        <v>330000000</v>
      </c>
      <c r="J93" s="156">
        <v>44350</v>
      </c>
      <c r="K93" s="77">
        <f t="shared" si="140"/>
        <v>49829</v>
      </c>
      <c r="L93" s="155">
        <v>180</v>
      </c>
      <c r="M93" s="99">
        <v>37.520000000000003</v>
      </c>
      <c r="N93" s="81">
        <f t="shared" si="141"/>
        <v>12381600.000000002</v>
      </c>
      <c r="O93" s="81"/>
      <c r="P93" s="81"/>
      <c r="Q93" s="81">
        <f t="shared" si="142"/>
        <v>12381600.000000002</v>
      </c>
      <c r="R93" s="81">
        <f t="shared" si="143"/>
        <v>1238160.0000000002</v>
      </c>
      <c r="S93" s="81">
        <f t="shared" si="144"/>
        <v>11143440.000000002</v>
      </c>
      <c r="T93" s="182">
        <f t="shared" si="146"/>
        <v>343933.33333333337</v>
      </c>
      <c r="U93" s="182">
        <f t="shared" si="147"/>
        <v>825440</v>
      </c>
      <c r="V93" s="182">
        <f t="shared" si="148"/>
        <v>11212226.666666668</v>
      </c>
      <c r="W93" s="181">
        <f t="shared" si="149"/>
        <v>12381600.000000002</v>
      </c>
      <c r="X93" s="181">
        <f t="shared" si="150"/>
        <v>0</v>
      </c>
    </row>
    <row r="94" spans="1:24" ht="12.75" x14ac:dyDescent="0.2">
      <c r="A94" s="168"/>
      <c r="B94" s="168"/>
      <c r="C94" s="168"/>
      <c r="D94" s="107"/>
      <c r="E94" s="154">
        <v>1</v>
      </c>
      <c r="F94" s="155" t="s">
        <v>193</v>
      </c>
      <c r="G94" s="175">
        <v>1</v>
      </c>
      <c r="H94" s="176">
        <v>331000000</v>
      </c>
      <c r="I94" s="176">
        <f t="shared" si="145"/>
        <v>331000000</v>
      </c>
      <c r="J94" s="156">
        <v>44350</v>
      </c>
      <c r="K94" s="77">
        <f t="shared" si="140"/>
        <v>49281</v>
      </c>
      <c r="L94" s="155">
        <v>162</v>
      </c>
      <c r="M94" s="99">
        <v>35.409999999999997</v>
      </c>
      <c r="N94" s="81">
        <f t="shared" si="141"/>
        <v>11720709.999999998</v>
      </c>
      <c r="O94" s="81"/>
      <c r="P94" s="81"/>
      <c r="Q94" s="81">
        <f t="shared" si="142"/>
        <v>11720709.999999998</v>
      </c>
      <c r="R94" s="81">
        <f t="shared" si="143"/>
        <v>1172070.9999999998</v>
      </c>
      <c r="S94" s="81">
        <f t="shared" si="144"/>
        <v>10548638.999999998</v>
      </c>
      <c r="T94" s="182">
        <f t="shared" si="146"/>
        <v>361750.30864197528</v>
      </c>
      <c r="U94" s="182">
        <f t="shared" si="147"/>
        <v>868200.74074074067</v>
      </c>
      <c r="V94" s="182">
        <f t="shared" si="148"/>
        <v>10490758.950617282</v>
      </c>
      <c r="W94" s="181">
        <f t="shared" si="149"/>
        <v>11720709.999999998</v>
      </c>
      <c r="X94" s="181">
        <f t="shared" si="150"/>
        <v>0</v>
      </c>
    </row>
    <row r="95" spans="1:24" ht="12.75" x14ac:dyDescent="0.2">
      <c r="A95" s="168"/>
      <c r="B95" s="168"/>
      <c r="C95" s="168"/>
      <c r="D95" s="107"/>
      <c r="E95" s="154">
        <v>1</v>
      </c>
      <c r="F95" s="155" t="s">
        <v>183</v>
      </c>
      <c r="G95" s="175">
        <v>1</v>
      </c>
      <c r="H95" s="176">
        <v>230000000</v>
      </c>
      <c r="I95" s="176">
        <f t="shared" si="145"/>
        <v>230000000</v>
      </c>
      <c r="J95" s="156">
        <v>44350</v>
      </c>
      <c r="K95" s="77">
        <f t="shared" si="140"/>
        <v>48002</v>
      </c>
      <c r="L95" s="155">
        <v>120</v>
      </c>
      <c r="M95" s="99">
        <v>25.48</v>
      </c>
      <c r="N95" s="81">
        <f t="shared" si="141"/>
        <v>5860400</v>
      </c>
      <c r="O95" s="81"/>
      <c r="P95" s="81"/>
      <c r="Q95" s="81">
        <f t="shared" si="142"/>
        <v>5860400</v>
      </c>
      <c r="R95" s="81">
        <f t="shared" si="143"/>
        <v>586040</v>
      </c>
      <c r="S95" s="81">
        <f t="shared" si="144"/>
        <v>5274360</v>
      </c>
      <c r="T95" s="182">
        <f t="shared" si="146"/>
        <v>244183.33333333331</v>
      </c>
      <c r="U95" s="182">
        <f t="shared" si="147"/>
        <v>586040</v>
      </c>
      <c r="V95" s="182">
        <f t="shared" si="148"/>
        <v>5030176.666666667</v>
      </c>
      <c r="W95" s="181">
        <f t="shared" si="149"/>
        <v>5860400</v>
      </c>
      <c r="X95" s="181">
        <f t="shared" si="150"/>
        <v>0</v>
      </c>
    </row>
    <row r="96" spans="1:24" ht="12.75" x14ac:dyDescent="0.2">
      <c r="A96" s="168"/>
      <c r="B96" s="168"/>
      <c r="C96" s="168"/>
      <c r="D96" s="107"/>
      <c r="E96" s="154">
        <v>1</v>
      </c>
      <c r="F96" s="155" t="s">
        <v>184</v>
      </c>
      <c r="G96" s="175">
        <v>1</v>
      </c>
      <c r="H96" s="176">
        <v>360000000</v>
      </c>
      <c r="I96" s="176">
        <f t="shared" si="145"/>
        <v>360000000</v>
      </c>
      <c r="J96" s="156">
        <v>44351</v>
      </c>
      <c r="K96" s="77">
        <f t="shared" si="140"/>
        <v>49647</v>
      </c>
      <c r="L96" s="155">
        <v>174</v>
      </c>
      <c r="M96" s="99">
        <v>37.520000000000003</v>
      </c>
      <c r="N96" s="81">
        <f t="shared" si="141"/>
        <v>13507200.000000002</v>
      </c>
      <c r="O96" s="81"/>
      <c r="P96" s="81"/>
      <c r="Q96" s="81">
        <f t="shared" si="142"/>
        <v>13507200.000000002</v>
      </c>
      <c r="R96" s="81">
        <f t="shared" si="143"/>
        <v>1350720.0000000002</v>
      </c>
      <c r="S96" s="81">
        <f t="shared" si="144"/>
        <v>12156480.000000002</v>
      </c>
      <c r="T96" s="182">
        <f t="shared" si="146"/>
        <v>388137.93103448284</v>
      </c>
      <c r="U96" s="182">
        <f t="shared" si="147"/>
        <v>931531.03448275873</v>
      </c>
      <c r="V96" s="182">
        <f t="shared" si="148"/>
        <v>12187531.03448276</v>
      </c>
      <c r="W96" s="181">
        <f t="shared" si="149"/>
        <v>13507200.000000002</v>
      </c>
      <c r="X96" s="181">
        <f t="shared" si="150"/>
        <v>0</v>
      </c>
    </row>
    <row r="97" spans="1:24" ht="12.75" x14ac:dyDescent="0.2">
      <c r="A97" s="168"/>
      <c r="B97" s="168"/>
      <c r="C97" s="168"/>
      <c r="D97" s="107"/>
      <c r="E97" s="154">
        <v>1</v>
      </c>
      <c r="F97" s="155" t="s">
        <v>185</v>
      </c>
      <c r="G97" s="175">
        <v>1</v>
      </c>
      <c r="H97" s="176">
        <v>310000000</v>
      </c>
      <c r="I97" s="176">
        <f t="shared" si="145"/>
        <v>310000000</v>
      </c>
      <c r="J97" s="156">
        <v>44354</v>
      </c>
      <c r="K97" s="77">
        <f t="shared" si="140"/>
        <v>48372</v>
      </c>
      <c r="L97" s="155">
        <v>132</v>
      </c>
      <c r="M97" s="169">
        <v>27.98</v>
      </c>
      <c r="N97" s="81">
        <f t="shared" si="141"/>
        <v>8673800</v>
      </c>
      <c r="O97" s="81"/>
      <c r="P97" s="81"/>
      <c r="Q97" s="81">
        <f t="shared" si="142"/>
        <v>8673800</v>
      </c>
      <c r="R97" s="81">
        <f t="shared" si="143"/>
        <v>867380</v>
      </c>
      <c r="S97" s="81">
        <f t="shared" si="144"/>
        <v>7806420</v>
      </c>
      <c r="T97" s="182">
        <f t="shared" si="146"/>
        <v>328553.03030303033</v>
      </c>
      <c r="U97" s="182">
        <f t="shared" si="147"/>
        <v>788527.27272727271</v>
      </c>
      <c r="V97" s="182">
        <f t="shared" si="148"/>
        <v>7556719.6969696973</v>
      </c>
      <c r="W97" s="181">
        <f t="shared" si="149"/>
        <v>8673800</v>
      </c>
      <c r="X97" s="181">
        <f t="shared" si="150"/>
        <v>0</v>
      </c>
    </row>
    <row r="98" spans="1:24" ht="12.75" x14ac:dyDescent="0.2">
      <c r="A98" s="168"/>
      <c r="B98" s="168"/>
      <c r="C98" s="168"/>
      <c r="D98" s="107"/>
      <c r="E98" s="154">
        <v>1</v>
      </c>
      <c r="F98" s="155" t="s">
        <v>186</v>
      </c>
      <c r="G98" s="175">
        <v>1</v>
      </c>
      <c r="H98" s="176">
        <v>350000000</v>
      </c>
      <c r="I98" s="176">
        <f t="shared" si="145"/>
        <v>350000000</v>
      </c>
      <c r="J98" s="156">
        <v>44354</v>
      </c>
      <c r="K98" s="77">
        <f t="shared" si="140"/>
        <v>48737</v>
      </c>
      <c r="L98" s="155">
        <v>144</v>
      </c>
      <c r="M98" s="99">
        <v>30.46</v>
      </c>
      <c r="N98" s="81">
        <f t="shared" si="141"/>
        <v>10661000</v>
      </c>
      <c r="O98" s="81"/>
      <c r="P98" s="81"/>
      <c r="Q98" s="81">
        <f t="shared" si="142"/>
        <v>10661000</v>
      </c>
      <c r="R98" s="81">
        <f t="shared" si="143"/>
        <v>1066100</v>
      </c>
      <c r="S98" s="81">
        <f t="shared" si="144"/>
        <v>9594900</v>
      </c>
      <c r="T98" s="182">
        <f t="shared" si="146"/>
        <v>370173.61111111112</v>
      </c>
      <c r="U98" s="182">
        <f t="shared" si="147"/>
        <v>888416.66666666663</v>
      </c>
      <c r="V98" s="182">
        <f t="shared" si="148"/>
        <v>9402409.722222222</v>
      </c>
      <c r="W98" s="181">
        <f t="shared" si="149"/>
        <v>10661000</v>
      </c>
      <c r="X98" s="181">
        <f t="shared" si="150"/>
        <v>0</v>
      </c>
    </row>
    <row r="99" spans="1:24" ht="12.75" x14ac:dyDescent="0.2">
      <c r="A99" s="168"/>
      <c r="B99" s="168"/>
      <c r="C99" s="168"/>
      <c r="D99" s="107"/>
      <c r="E99" s="154">
        <v>1</v>
      </c>
      <c r="F99" s="155" t="s">
        <v>187</v>
      </c>
      <c r="G99" s="175">
        <v>1</v>
      </c>
      <c r="H99" s="176">
        <v>400000000</v>
      </c>
      <c r="I99" s="176">
        <f t="shared" si="145"/>
        <v>400000000</v>
      </c>
      <c r="J99" s="156">
        <v>44354</v>
      </c>
      <c r="K99" s="77">
        <f t="shared" si="140"/>
        <v>49833</v>
      </c>
      <c r="L99" s="155">
        <v>180</v>
      </c>
      <c r="M99" s="99">
        <v>37.520000000000003</v>
      </c>
      <c r="N99" s="81">
        <f t="shared" si="141"/>
        <v>15008000.000000002</v>
      </c>
      <c r="O99" s="81"/>
      <c r="P99" s="81"/>
      <c r="Q99" s="81">
        <f t="shared" si="142"/>
        <v>15008000.000000002</v>
      </c>
      <c r="R99" s="81">
        <f t="shared" si="143"/>
        <v>1500800.0000000002</v>
      </c>
      <c r="S99" s="81">
        <f t="shared" si="144"/>
        <v>13507200.000000002</v>
      </c>
      <c r="T99" s="182">
        <f t="shared" si="146"/>
        <v>416888.88888888888</v>
      </c>
      <c r="U99" s="182">
        <f t="shared" si="147"/>
        <v>1000533.3333333334</v>
      </c>
      <c r="V99" s="182">
        <f t="shared" si="148"/>
        <v>13590577.77777778</v>
      </c>
      <c r="W99" s="181">
        <f t="shared" si="149"/>
        <v>15008000.000000002</v>
      </c>
      <c r="X99" s="181">
        <f t="shared" si="150"/>
        <v>0</v>
      </c>
    </row>
    <row r="100" spans="1:24" ht="12.75" x14ac:dyDescent="0.2">
      <c r="A100" s="168"/>
      <c r="B100" s="168"/>
      <c r="C100" s="168"/>
      <c r="D100" s="107"/>
      <c r="E100" s="154">
        <v>1</v>
      </c>
      <c r="F100" s="155" t="s">
        <v>188</v>
      </c>
      <c r="G100" s="175">
        <v>1</v>
      </c>
      <c r="H100" s="176">
        <v>310000000</v>
      </c>
      <c r="I100" s="176">
        <f t="shared" si="145"/>
        <v>310000000</v>
      </c>
      <c r="J100" s="156">
        <v>44355</v>
      </c>
      <c r="K100" s="77">
        <f t="shared" si="140"/>
        <v>47825</v>
      </c>
      <c r="L100" s="155">
        <v>114</v>
      </c>
      <c r="M100" s="99">
        <v>25.48</v>
      </c>
      <c r="N100" s="81">
        <f t="shared" si="141"/>
        <v>7898800</v>
      </c>
      <c r="O100" s="81"/>
      <c r="P100" s="81"/>
      <c r="Q100" s="81">
        <f t="shared" si="142"/>
        <v>7898800</v>
      </c>
      <c r="R100" s="81">
        <f t="shared" si="143"/>
        <v>789880</v>
      </c>
      <c r="S100" s="81">
        <f t="shared" si="144"/>
        <v>7108920</v>
      </c>
      <c r="T100" s="182">
        <f t="shared" si="146"/>
        <v>346438.59649122809</v>
      </c>
      <c r="U100" s="182">
        <f t="shared" si="147"/>
        <v>831452.63157894742</v>
      </c>
      <c r="V100" s="182">
        <f t="shared" si="148"/>
        <v>6720908.7719298247</v>
      </c>
      <c r="W100" s="181">
        <f t="shared" si="149"/>
        <v>7898800</v>
      </c>
      <c r="X100" s="181">
        <f t="shared" si="150"/>
        <v>0</v>
      </c>
    </row>
    <row r="101" spans="1:24" ht="12.75" x14ac:dyDescent="0.2">
      <c r="A101" s="168"/>
      <c r="B101" s="168"/>
      <c r="C101" s="168"/>
      <c r="D101" s="107"/>
      <c r="E101" s="154">
        <v>1</v>
      </c>
      <c r="F101" s="155" t="s">
        <v>189</v>
      </c>
      <c r="G101" s="175">
        <v>1</v>
      </c>
      <c r="H101" s="176">
        <v>165000000</v>
      </c>
      <c r="I101" s="176">
        <f t="shared" si="145"/>
        <v>165000000</v>
      </c>
      <c r="J101" s="156">
        <v>44355</v>
      </c>
      <c r="K101" s="77">
        <f t="shared" si="140"/>
        <v>47277</v>
      </c>
      <c r="L101" s="155">
        <v>96</v>
      </c>
      <c r="M101" s="99">
        <v>20.93</v>
      </c>
      <c r="N101" s="81">
        <f t="shared" si="141"/>
        <v>3453450</v>
      </c>
      <c r="O101" s="81"/>
      <c r="P101" s="81"/>
      <c r="Q101" s="81">
        <f t="shared" si="142"/>
        <v>3453450</v>
      </c>
      <c r="R101" s="81">
        <f t="shared" si="143"/>
        <v>345345</v>
      </c>
      <c r="S101" s="81">
        <f t="shared" si="144"/>
        <v>3108105</v>
      </c>
      <c r="T101" s="182">
        <f t="shared" si="146"/>
        <v>179867.1875</v>
      </c>
      <c r="U101" s="182">
        <f t="shared" si="147"/>
        <v>431681.25</v>
      </c>
      <c r="V101" s="182">
        <f t="shared" si="148"/>
        <v>2841901.5625</v>
      </c>
      <c r="W101" s="181">
        <f t="shared" si="149"/>
        <v>3453450</v>
      </c>
      <c r="X101" s="181">
        <f t="shared" si="150"/>
        <v>0</v>
      </c>
    </row>
    <row r="102" spans="1:24" ht="12.75" x14ac:dyDescent="0.2">
      <c r="A102" s="168"/>
      <c r="B102" s="168"/>
      <c r="C102" s="168"/>
      <c r="D102" s="107"/>
      <c r="E102" s="154">
        <v>1</v>
      </c>
      <c r="F102" s="155" t="s">
        <v>190</v>
      </c>
      <c r="G102" s="175">
        <v>1</v>
      </c>
      <c r="H102" s="176">
        <v>300000000</v>
      </c>
      <c r="I102" s="176">
        <f t="shared" si="145"/>
        <v>300000000</v>
      </c>
      <c r="J102" s="156">
        <v>44355</v>
      </c>
      <c r="K102" s="77">
        <f t="shared" si="140"/>
        <v>49834</v>
      </c>
      <c r="L102" s="155">
        <v>180</v>
      </c>
      <c r="M102" s="99">
        <v>37.520000000000003</v>
      </c>
      <c r="N102" s="81">
        <f t="shared" si="141"/>
        <v>11256000</v>
      </c>
      <c r="O102" s="81"/>
      <c r="P102" s="81"/>
      <c r="Q102" s="81">
        <f t="shared" si="142"/>
        <v>11256000</v>
      </c>
      <c r="R102" s="81">
        <f t="shared" si="143"/>
        <v>1125600</v>
      </c>
      <c r="S102" s="81">
        <f t="shared" si="144"/>
        <v>10130400</v>
      </c>
      <c r="T102" s="182">
        <f t="shared" si="146"/>
        <v>312666.66666666669</v>
      </c>
      <c r="U102" s="182">
        <f t="shared" si="147"/>
        <v>750400</v>
      </c>
      <c r="V102" s="182">
        <f t="shared" si="148"/>
        <v>10192933.333333334</v>
      </c>
      <c r="W102" s="181">
        <f t="shared" si="149"/>
        <v>11256000</v>
      </c>
      <c r="X102" s="181">
        <f t="shared" si="150"/>
        <v>0</v>
      </c>
    </row>
    <row r="103" spans="1:24" ht="12.75" x14ac:dyDescent="0.2">
      <c r="A103" s="168"/>
      <c r="B103" s="168"/>
      <c r="C103" s="168"/>
      <c r="D103" s="107"/>
      <c r="E103" s="154">
        <v>1</v>
      </c>
      <c r="F103" s="155" t="s">
        <v>191</v>
      </c>
      <c r="G103" s="175">
        <v>1</v>
      </c>
      <c r="H103" s="176">
        <v>25000000</v>
      </c>
      <c r="I103" s="176">
        <f t="shared" si="145"/>
        <v>25000000</v>
      </c>
      <c r="J103" s="156">
        <v>44361</v>
      </c>
      <c r="K103" s="77">
        <f t="shared" si="140"/>
        <v>45274</v>
      </c>
      <c r="L103" s="155">
        <v>30</v>
      </c>
      <c r="M103" s="99">
        <v>9.1</v>
      </c>
      <c r="N103" s="81">
        <f t="shared" si="141"/>
        <v>227500</v>
      </c>
      <c r="O103" s="81"/>
      <c r="P103" s="81"/>
      <c r="Q103" s="81">
        <f t="shared" si="142"/>
        <v>227500</v>
      </c>
      <c r="R103" s="81">
        <f t="shared" si="143"/>
        <v>22750</v>
      </c>
      <c r="S103" s="81">
        <f t="shared" si="144"/>
        <v>204750</v>
      </c>
      <c r="T103" s="182">
        <f t="shared" si="146"/>
        <v>37916.666666666664</v>
      </c>
      <c r="U103" s="182">
        <f t="shared" si="147"/>
        <v>91000</v>
      </c>
      <c r="V103" s="182">
        <f t="shared" si="148"/>
        <v>98583.333333333343</v>
      </c>
      <c r="W103" s="181">
        <f t="shared" si="149"/>
        <v>227500</v>
      </c>
      <c r="X103" s="181">
        <f t="shared" si="150"/>
        <v>0</v>
      </c>
    </row>
    <row r="104" spans="1:24" ht="12.75" x14ac:dyDescent="0.2">
      <c r="A104" s="168"/>
      <c r="B104" s="168"/>
      <c r="C104" s="168"/>
      <c r="D104" s="107"/>
      <c r="E104" s="154">
        <v>1</v>
      </c>
      <c r="F104" s="155" t="s">
        <v>192</v>
      </c>
      <c r="G104" s="175">
        <v>1</v>
      </c>
      <c r="H104" s="176">
        <v>170000000</v>
      </c>
      <c r="I104" s="176">
        <f t="shared" si="145"/>
        <v>170000000</v>
      </c>
      <c r="J104" s="156">
        <v>44362</v>
      </c>
      <c r="K104" s="77">
        <f t="shared" si="140"/>
        <v>48014</v>
      </c>
      <c r="L104" s="155">
        <v>120</v>
      </c>
      <c r="M104" s="99">
        <v>25.48</v>
      </c>
      <c r="N104" s="81">
        <f t="shared" si="141"/>
        <v>4331600</v>
      </c>
      <c r="O104" s="81"/>
      <c r="P104" s="81"/>
      <c r="Q104" s="81">
        <f t="shared" si="142"/>
        <v>4331600</v>
      </c>
      <c r="R104" s="81">
        <f t="shared" si="143"/>
        <v>433160</v>
      </c>
      <c r="S104" s="81">
        <f t="shared" si="144"/>
        <v>3898440</v>
      </c>
      <c r="T104" s="182">
        <f t="shared" si="146"/>
        <v>180483.33333333331</v>
      </c>
      <c r="U104" s="182">
        <f t="shared" si="147"/>
        <v>433160</v>
      </c>
      <c r="V104" s="182">
        <f t="shared" si="148"/>
        <v>3717956.6666666665</v>
      </c>
      <c r="W104" s="181">
        <f t="shared" si="149"/>
        <v>4331600</v>
      </c>
      <c r="X104" s="181">
        <f t="shared" si="150"/>
        <v>0</v>
      </c>
    </row>
    <row r="105" spans="1:24" ht="12.75" x14ac:dyDescent="0.2">
      <c r="A105" s="168"/>
      <c r="B105" s="168"/>
      <c r="C105" s="168"/>
      <c r="D105" s="107"/>
      <c r="E105" s="154">
        <v>1</v>
      </c>
      <c r="F105" s="155" t="s">
        <v>194</v>
      </c>
      <c r="G105" s="175">
        <v>1</v>
      </c>
      <c r="H105" s="188">
        <v>343000000</v>
      </c>
      <c r="I105" s="188">
        <f t="shared" si="145"/>
        <v>343000000</v>
      </c>
      <c r="J105" s="189">
        <v>44363</v>
      </c>
      <c r="K105" s="77">
        <f t="shared" si="140"/>
        <v>49476</v>
      </c>
      <c r="L105" s="187">
        <v>168</v>
      </c>
      <c r="M105" s="99">
        <v>35.409999999999997</v>
      </c>
      <c r="N105" s="190">
        <f t="shared" si="141"/>
        <v>12145629.999999998</v>
      </c>
      <c r="O105" s="190"/>
      <c r="P105" s="190"/>
      <c r="Q105" s="190">
        <f t="shared" si="142"/>
        <v>12145629.999999998</v>
      </c>
      <c r="R105" s="81">
        <f t="shared" si="143"/>
        <v>1214562.9999999998</v>
      </c>
      <c r="S105" s="190">
        <f t="shared" si="144"/>
        <v>10931066.999999998</v>
      </c>
      <c r="T105" s="182">
        <f t="shared" si="146"/>
        <v>361477.08333333326</v>
      </c>
      <c r="U105" s="182">
        <f t="shared" si="147"/>
        <v>867544.99999999988</v>
      </c>
      <c r="V105" s="182">
        <f t="shared" si="148"/>
        <v>10916607.916666664</v>
      </c>
      <c r="W105" s="181">
        <f t="shared" si="149"/>
        <v>12145629.999999996</v>
      </c>
      <c r="X105" s="181">
        <f t="shared" si="150"/>
        <v>0</v>
      </c>
    </row>
    <row r="106" spans="1:24" x14ac:dyDescent="0.2">
      <c r="A106" s="91"/>
      <c r="B106" s="91"/>
      <c r="C106" s="91"/>
      <c r="D106" s="59"/>
      <c r="E106" s="85">
        <f>SUM(E90:E105)</f>
        <v>16</v>
      </c>
      <c r="F106" s="91"/>
      <c r="G106" s="91"/>
      <c r="H106" s="91">
        <f>SUM(H90:H105)</f>
        <v>4949000000</v>
      </c>
      <c r="I106" s="91">
        <f>SUM(I90:I105)</f>
        <v>4949000000</v>
      </c>
      <c r="J106" s="91"/>
      <c r="K106" s="91"/>
      <c r="L106" s="91"/>
      <c r="M106" s="91"/>
      <c r="N106" s="91">
        <f t="shared" ref="N106:X106" si="151">SUM(N90:N105)</f>
        <v>160270540</v>
      </c>
      <c r="O106" s="91">
        <f t="shared" si="151"/>
        <v>0</v>
      </c>
      <c r="P106" s="91">
        <f t="shared" si="151"/>
        <v>0</v>
      </c>
      <c r="Q106" s="91">
        <f t="shared" si="151"/>
        <v>160270540</v>
      </c>
      <c r="R106" s="91">
        <f t="shared" si="151"/>
        <v>16027054</v>
      </c>
      <c r="S106" s="91">
        <f t="shared" si="151"/>
        <v>144243486</v>
      </c>
      <c r="T106" s="91">
        <f t="shared" si="151"/>
        <v>5283247.8887558505</v>
      </c>
      <c r="U106" s="91">
        <f t="shared" si="151"/>
        <v>12679794.933014039</v>
      </c>
      <c r="V106" s="91">
        <f t="shared" si="151"/>
        <v>142307497.17823011</v>
      </c>
      <c r="W106" s="91">
        <f t="shared" si="151"/>
        <v>160270540</v>
      </c>
      <c r="X106" s="91">
        <f t="shared" si="151"/>
        <v>0</v>
      </c>
    </row>
    <row r="107" spans="1:24" ht="12.75" x14ac:dyDescent="0.2">
      <c r="A107" s="154"/>
      <c r="B107" s="155" t="s">
        <v>46</v>
      </c>
      <c r="C107" s="155" t="s">
        <v>206</v>
      </c>
      <c r="D107" s="156">
        <v>44407</v>
      </c>
      <c r="E107" s="154">
        <v>1</v>
      </c>
      <c r="F107" s="155" t="s">
        <v>53</v>
      </c>
      <c r="G107" s="175">
        <v>1</v>
      </c>
      <c r="H107" s="176">
        <v>70717947</v>
      </c>
      <c r="I107" s="176">
        <f>H107*G107</f>
        <v>70717947</v>
      </c>
      <c r="J107" s="156">
        <v>46914</v>
      </c>
      <c r="K107" s="156">
        <v>47279</v>
      </c>
      <c r="L107" s="155">
        <v>12</v>
      </c>
      <c r="M107" s="195">
        <v>5.46</v>
      </c>
      <c r="N107" s="176">
        <f>M107*H107/1000</f>
        <v>386119.99062</v>
      </c>
      <c r="O107" s="176">
        <v>100000</v>
      </c>
      <c r="P107" s="176"/>
      <c r="Q107" s="176">
        <f>N107+O107+P107</f>
        <v>486119.99062</v>
      </c>
      <c r="R107" s="196"/>
      <c r="S107" s="176">
        <f>Q107-R107</f>
        <v>486119.99062</v>
      </c>
      <c r="T107" s="182">
        <f>Q107/L107*4</f>
        <v>162039.99687333332</v>
      </c>
      <c r="U107" s="182">
        <f>Q107/L107*8</f>
        <v>324079.99374666665</v>
      </c>
      <c r="V107" s="182">
        <f t="shared" ref="V107" si="152">Q107-T107-U107</f>
        <v>0</v>
      </c>
      <c r="W107" s="181">
        <f t="shared" ref="W107" si="153">T107+U107+V107</f>
        <v>486119.99061999994</v>
      </c>
      <c r="X107" s="181">
        <f t="shared" ref="X107" si="154">Q107-W107</f>
        <v>0</v>
      </c>
    </row>
    <row r="108" spans="1:24" ht="12.75" x14ac:dyDescent="0.2">
      <c r="A108" s="198"/>
      <c r="B108" s="199"/>
      <c r="C108" s="199"/>
      <c r="D108" s="199"/>
      <c r="E108" s="200"/>
      <c r="F108" s="201"/>
      <c r="G108" s="201"/>
      <c r="H108" s="201"/>
      <c r="I108" s="201"/>
      <c r="J108" s="201"/>
      <c r="K108" s="201"/>
      <c r="L108" s="201"/>
      <c r="M108" s="201"/>
      <c r="N108" s="201">
        <f t="shared" ref="N108:X108" si="155">SUM(N107:N107)</f>
        <v>386119.99062</v>
      </c>
      <c r="O108" s="201">
        <f t="shared" si="155"/>
        <v>100000</v>
      </c>
      <c r="P108" s="201">
        <f t="shared" si="155"/>
        <v>0</v>
      </c>
      <c r="Q108" s="201">
        <f t="shared" si="155"/>
        <v>486119.99062</v>
      </c>
      <c r="R108" s="201">
        <f t="shared" si="155"/>
        <v>0</v>
      </c>
      <c r="S108" s="201">
        <f t="shared" si="155"/>
        <v>486119.99062</v>
      </c>
      <c r="T108" s="201">
        <f t="shared" si="155"/>
        <v>162039.99687333332</v>
      </c>
      <c r="U108" s="201">
        <f t="shared" si="155"/>
        <v>324079.99374666665</v>
      </c>
      <c r="V108" s="201">
        <f t="shared" si="155"/>
        <v>0</v>
      </c>
      <c r="W108" s="201">
        <f t="shared" si="155"/>
        <v>486119.99061999994</v>
      </c>
      <c r="X108" s="201">
        <f t="shared" si="155"/>
        <v>0</v>
      </c>
    </row>
    <row r="109" spans="1:24" ht="12.75" x14ac:dyDescent="0.2">
      <c r="A109" s="154"/>
      <c r="B109" s="155" t="s">
        <v>122</v>
      </c>
      <c r="C109" s="155" t="s">
        <v>207</v>
      </c>
      <c r="D109" s="156">
        <v>44407</v>
      </c>
      <c r="E109" s="154">
        <v>1</v>
      </c>
      <c r="F109" s="155" t="s">
        <v>208</v>
      </c>
      <c r="G109" s="175">
        <v>1</v>
      </c>
      <c r="H109" s="176">
        <v>30000000</v>
      </c>
      <c r="I109" s="176">
        <f>H109*G109</f>
        <v>30000000</v>
      </c>
      <c r="J109" s="156">
        <v>44406</v>
      </c>
      <c r="K109" s="156">
        <v>45136</v>
      </c>
      <c r="L109" s="155">
        <v>24</v>
      </c>
      <c r="M109" s="195">
        <v>10.57</v>
      </c>
      <c r="N109" s="176">
        <f>M109*H109/1000</f>
        <v>317100</v>
      </c>
      <c r="O109" s="176"/>
      <c r="P109" s="176"/>
      <c r="Q109" s="190">
        <f t="shared" ref="Q109" si="156">N109+O109+P109</f>
        <v>317100</v>
      </c>
      <c r="R109" s="81">
        <f t="shared" ref="R109" si="157">10%*N109</f>
        <v>31710</v>
      </c>
      <c r="S109" s="190">
        <f t="shared" ref="S109" si="158">Q109-R109</f>
        <v>285390</v>
      </c>
      <c r="T109" s="182">
        <f>Q109/L109*4</f>
        <v>52850</v>
      </c>
      <c r="U109" s="182">
        <f t="shared" si="147"/>
        <v>158550</v>
      </c>
      <c r="V109" s="182">
        <f t="shared" ref="V109" si="159">Q109-T109-U109</f>
        <v>105700</v>
      </c>
      <c r="W109" s="181">
        <f t="shared" ref="W109" si="160">T109+U109+V109</f>
        <v>317100</v>
      </c>
      <c r="X109" s="181">
        <f t="shared" ref="X109" si="161">Q109-W109</f>
        <v>0</v>
      </c>
    </row>
    <row r="110" spans="1:24" ht="12.75" x14ac:dyDescent="0.2">
      <c r="A110" s="198"/>
      <c r="B110" s="199"/>
      <c r="C110" s="199"/>
      <c r="D110" s="199"/>
      <c r="E110" s="200">
        <f>SUM(E109:E109)</f>
        <v>1</v>
      </c>
      <c r="F110" s="201">
        <f>SUM(F109:F109)</f>
        <v>0</v>
      </c>
      <c r="G110" s="201"/>
      <c r="H110" s="201">
        <f>SUM(H109:H109)</f>
        <v>30000000</v>
      </c>
      <c r="I110" s="201">
        <f>SUM(I109:I109)</f>
        <v>30000000</v>
      </c>
      <c r="J110" s="201"/>
      <c r="K110" s="201"/>
      <c r="L110" s="201"/>
      <c r="M110" s="201"/>
      <c r="N110" s="201">
        <f t="shared" ref="N110:X110" si="162">SUM(N109:N109)</f>
        <v>317100</v>
      </c>
      <c r="O110" s="201">
        <f t="shared" si="162"/>
        <v>0</v>
      </c>
      <c r="P110" s="201">
        <f t="shared" si="162"/>
        <v>0</v>
      </c>
      <c r="Q110" s="201">
        <f t="shared" si="162"/>
        <v>317100</v>
      </c>
      <c r="R110" s="201">
        <f t="shared" si="162"/>
        <v>31710</v>
      </c>
      <c r="S110" s="201">
        <f t="shared" si="162"/>
        <v>285390</v>
      </c>
      <c r="T110" s="201">
        <f t="shared" si="162"/>
        <v>52850</v>
      </c>
      <c r="U110" s="201">
        <f t="shared" si="162"/>
        <v>158550</v>
      </c>
      <c r="V110" s="201">
        <f t="shared" si="162"/>
        <v>105700</v>
      </c>
      <c r="W110" s="201">
        <f t="shared" si="162"/>
        <v>317100</v>
      </c>
      <c r="X110" s="201">
        <f t="shared" si="162"/>
        <v>0</v>
      </c>
    </row>
    <row r="111" spans="1:24" x14ac:dyDescent="0.2">
      <c r="A111" s="83"/>
      <c r="B111" s="83"/>
      <c r="C111" s="83" t="s">
        <v>50</v>
      </c>
      <c r="D111" s="84"/>
      <c r="E111" s="185">
        <f t="shared" ref="E111:P111" si="163">E110+E106+E108</f>
        <v>17</v>
      </c>
      <c r="F111" s="185">
        <f t="shared" si="163"/>
        <v>0</v>
      </c>
      <c r="G111" s="185">
        <f t="shared" si="163"/>
        <v>0</v>
      </c>
      <c r="H111" s="185">
        <f t="shared" si="163"/>
        <v>4979000000</v>
      </c>
      <c r="I111" s="185">
        <f t="shared" si="163"/>
        <v>4979000000</v>
      </c>
      <c r="J111" s="185">
        <f t="shared" si="163"/>
        <v>0</v>
      </c>
      <c r="K111" s="185">
        <f t="shared" si="163"/>
        <v>0</v>
      </c>
      <c r="L111" s="185">
        <f t="shared" si="163"/>
        <v>0</v>
      </c>
      <c r="M111" s="185">
        <f t="shared" si="163"/>
        <v>0</v>
      </c>
      <c r="N111" s="185">
        <f t="shared" si="163"/>
        <v>160973759.99061999</v>
      </c>
      <c r="O111" s="185">
        <f t="shared" si="163"/>
        <v>100000</v>
      </c>
      <c r="P111" s="185">
        <f t="shared" si="163"/>
        <v>0</v>
      </c>
      <c r="Q111" s="185">
        <f>Q110+Q106+Q108</f>
        <v>161073759.99061999</v>
      </c>
      <c r="R111" s="185">
        <f t="shared" ref="R111:S111" si="164">R110+R106+R108</f>
        <v>16058764</v>
      </c>
      <c r="S111" s="185">
        <f t="shared" si="164"/>
        <v>145014995.99061999</v>
      </c>
      <c r="T111" s="185">
        <f>T110+T106+T108</f>
        <v>5498137.8856291836</v>
      </c>
      <c r="U111" s="185">
        <f t="shared" ref="U111:W111" si="165">U110+U106+U108</f>
        <v>13162424.926760705</v>
      </c>
      <c r="V111" s="185">
        <f t="shared" si="165"/>
        <v>142413197.17823011</v>
      </c>
      <c r="W111" s="185">
        <f t="shared" si="165"/>
        <v>161073759.99061999</v>
      </c>
      <c r="X111" s="185">
        <f t="shared" ref="X111" si="166">X110+X106</f>
        <v>0</v>
      </c>
    </row>
    <row r="112" spans="1:24" x14ac:dyDescent="0.2">
      <c r="A112" s="83"/>
      <c r="B112" s="83"/>
      <c r="C112" s="83" t="s">
        <v>209</v>
      </c>
      <c r="D112" s="84"/>
      <c r="E112" s="93">
        <f>E111+E85</f>
        <v>38</v>
      </c>
      <c r="F112" s="95">
        <f t="shared" ref="F112:X112" si="167">F111+F85</f>
        <v>0</v>
      </c>
      <c r="G112" s="95">
        <f t="shared" si="167"/>
        <v>0</v>
      </c>
      <c r="H112" s="95">
        <f t="shared" si="167"/>
        <v>9914584172</v>
      </c>
      <c r="I112" s="95">
        <f t="shared" si="167"/>
        <v>9914584172</v>
      </c>
      <c r="J112" s="95"/>
      <c r="K112" s="95"/>
      <c r="L112" s="95"/>
      <c r="M112" s="95"/>
      <c r="N112" s="95">
        <f t="shared" si="167"/>
        <v>309971000.50212002</v>
      </c>
      <c r="O112" s="95">
        <f t="shared" si="167"/>
        <v>200000</v>
      </c>
      <c r="P112" s="95">
        <f t="shared" si="167"/>
        <v>0</v>
      </c>
      <c r="Q112" s="95">
        <f t="shared" si="167"/>
        <v>310171000.50212002</v>
      </c>
      <c r="R112" s="95">
        <f t="shared" si="167"/>
        <v>30923327.008506</v>
      </c>
      <c r="S112" s="95">
        <f t="shared" si="167"/>
        <v>279247673.49361402</v>
      </c>
      <c r="T112" s="95">
        <f t="shared" si="167"/>
        <v>29316400.220351029</v>
      </c>
      <c r="U112" s="95">
        <f t="shared" si="167"/>
        <v>34662875.771182723</v>
      </c>
      <c r="V112" s="95">
        <f t="shared" si="167"/>
        <v>246191724.51058626</v>
      </c>
      <c r="W112" s="95">
        <f t="shared" si="167"/>
        <v>161073759.99061999</v>
      </c>
      <c r="X112" s="95">
        <f t="shared" si="167"/>
        <v>0</v>
      </c>
    </row>
    <row r="114" spans="1:24" ht="23.25" x14ac:dyDescent="0.2">
      <c r="A114" s="86" t="s">
        <v>230</v>
      </c>
      <c r="B114" s="62"/>
      <c r="C114" s="62"/>
      <c r="D114" s="57"/>
      <c r="E114" s="63"/>
      <c r="F114" s="64"/>
      <c r="G114" s="139"/>
      <c r="H114" s="66"/>
      <c r="I114" s="66"/>
      <c r="J114" s="67"/>
      <c r="K114" s="67"/>
      <c r="L114" s="68"/>
      <c r="M114" s="68"/>
      <c r="N114" s="69"/>
      <c r="O114" s="69"/>
      <c r="P114" s="69"/>
      <c r="Q114" s="69"/>
      <c r="R114" s="69"/>
      <c r="S114" s="69"/>
      <c r="T114" s="70"/>
      <c r="U114" s="71"/>
      <c r="V114" s="71"/>
    </row>
    <row r="115" spans="1:24" x14ac:dyDescent="0.2">
      <c r="A115" s="231" t="s">
        <v>0</v>
      </c>
      <c r="B115" s="232" t="s">
        <v>1</v>
      </c>
      <c r="C115" s="229" t="s">
        <v>2</v>
      </c>
      <c r="D115" s="233" t="s">
        <v>3</v>
      </c>
      <c r="E115" s="234" t="s">
        <v>4</v>
      </c>
      <c r="F115" s="232" t="s">
        <v>5</v>
      </c>
      <c r="G115" s="237" t="s">
        <v>6</v>
      </c>
      <c r="H115" s="236" t="s">
        <v>7</v>
      </c>
      <c r="I115" s="236" t="s">
        <v>8</v>
      </c>
      <c r="J115" s="227" t="s">
        <v>9</v>
      </c>
      <c r="K115" s="227"/>
      <c r="L115" s="228" t="s">
        <v>10</v>
      </c>
      <c r="M115" s="229" t="s">
        <v>11</v>
      </c>
      <c r="N115" s="230" t="s">
        <v>12</v>
      </c>
      <c r="O115" s="230"/>
      <c r="P115" s="230"/>
      <c r="Q115" s="229" t="s">
        <v>13</v>
      </c>
      <c r="R115" s="229" t="s">
        <v>14</v>
      </c>
      <c r="S115" s="229" t="s">
        <v>15</v>
      </c>
      <c r="T115" s="36">
        <v>2021</v>
      </c>
      <c r="U115" s="37"/>
      <c r="V115" s="38" t="s">
        <v>44</v>
      </c>
    </row>
    <row r="116" spans="1:24" x14ac:dyDescent="0.2">
      <c r="A116" s="231"/>
      <c r="B116" s="232"/>
      <c r="C116" s="229"/>
      <c r="D116" s="233"/>
      <c r="E116" s="234"/>
      <c r="F116" s="232"/>
      <c r="G116" s="237"/>
      <c r="H116" s="236"/>
      <c r="I116" s="236"/>
      <c r="J116" s="227"/>
      <c r="K116" s="227"/>
      <c r="L116" s="228"/>
      <c r="M116" s="229"/>
      <c r="N116" s="210" t="s">
        <v>16</v>
      </c>
      <c r="O116" s="210" t="s">
        <v>17</v>
      </c>
      <c r="P116" s="210" t="s">
        <v>18</v>
      </c>
      <c r="Q116" s="229"/>
      <c r="R116" s="229"/>
      <c r="S116" s="229"/>
      <c r="T116" s="96" t="s">
        <v>242</v>
      </c>
      <c r="U116" s="39" t="s">
        <v>235</v>
      </c>
      <c r="V116" s="40"/>
    </row>
    <row r="117" spans="1:24" ht="12.75" x14ac:dyDescent="0.2">
      <c r="A117" s="154">
        <v>21</v>
      </c>
      <c r="B117" s="155" t="s">
        <v>19</v>
      </c>
      <c r="C117" s="155" t="s">
        <v>211</v>
      </c>
      <c r="D117" s="156">
        <v>44463</v>
      </c>
      <c r="E117" s="154">
        <v>1</v>
      </c>
      <c r="F117" s="155" t="s">
        <v>212</v>
      </c>
      <c r="G117" s="175">
        <v>1</v>
      </c>
      <c r="H117" s="176">
        <v>25237639</v>
      </c>
      <c r="I117" s="176">
        <f>H117*G117</f>
        <v>25237639</v>
      </c>
      <c r="J117" s="205">
        <v>44611</v>
      </c>
      <c r="K117" s="205">
        <v>44895</v>
      </c>
      <c r="L117" s="155">
        <v>9</v>
      </c>
      <c r="M117" s="195">
        <v>5.46</v>
      </c>
      <c r="N117" s="176">
        <f>M117*H117/1000</f>
        <v>137797.50894</v>
      </c>
      <c r="O117" s="176">
        <v>100000</v>
      </c>
      <c r="P117" s="176"/>
      <c r="Q117" s="176">
        <f>N117+O117+P117</f>
        <v>237797.50894</v>
      </c>
      <c r="R117" s="196"/>
      <c r="S117" s="176">
        <f>Q117-R117</f>
        <v>237797.50894</v>
      </c>
      <c r="T117" s="182">
        <f>Q117/L117*2</f>
        <v>52843.890875555553</v>
      </c>
      <c r="U117" s="182">
        <f>Q117/L117*7</f>
        <v>184953.61806444442</v>
      </c>
      <c r="V117" s="182">
        <f t="shared" ref="V117" si="168">Q117-T117-U117</f>
        <v>0</v>
      </c>
      <c r="W117" s="181">
        <f t="shared" ref="W117" si="169">T117+U117+V117</f>
        <v>237797.50893999997</v>
      </c>
      <c r="X117" s="181">
        <f t="shared" ref="X117" si="170">Q117-W117</f>
        <v>0</v>
      </c>
    </row>
    <row r="118" spans="1:24" ht="12.75" x14ac:dyDescent="0.2">
      <c r="A118" s="198"/>
      <c r="B118" s="199"/>
      <c r="C118" s="199"/>
      <c r="D118" s="199"/>
      <c r="E118" s="200"/>
      <c r="F118" s="201"/>
      <c r="G118" s="201"/>
      <c r="H118" s="201"/>
      <c r="I118" s="201"/>
      <c r="J118" s="201"/>
      <c r="K118" s="201"/>
      <c r="L118" s="201"/>
      <c r="M118" s="201"/>
      <c r="N118" s="201">
        <f t="shared" ref="N118:X118" si="171">SUM(N117:N117)</f>
        <v>137797.50894</v>
      </c>
      <c r="O118" s="201">
        <f t="shared" si="171"/>
        <v>100000</v>
      </c>
      <c r="P118" s="201">
        <f t="shared" si="171"/>
        <v>0</v>
      </c>
      <c r="Q118" s="201">
        <f t="shared" si="171"/>
        <v>237797.50894</v>
      </c>
      <c r="R118" s="201">
        <f t="shared" si="171"/>
        <v>0</v>
      </c>
      <c r="S118" s="201">
        <f t="shared" si="171"/>
        <v>237797.50894</v>
      </c>
      <c r="T118" s="201">
        <f t="shared" si="171"/>
        <v>52843.890875555553</v>
      </c>
      <c r="U118" s="201">
        <f t="shared" si="171"/>
        <v>184953.61806444442</v>
      </c>
      <c r="V118" s="201">
        <f t="shared" si="171"/>
        <v>0</v>
      </c>
      <c r="W118" s="201">
        <f t="shared" si="171"/>
        <v>237797.50893999997</v>
      </c>
      <c r="X118" s="201">
        <f t="shared" si="171"/>
        <v>0</v>
      </c>
    </row>
    <row r="119" spans="1:24" ht="12.75" x14ac:dyDescent="0.2">
      <c r="A119" s="154">
        <v>22</v>
      </c>
      <c r="B119" s="155" t="s">
        <v>213</v>
      </c>
      <c r="C119" s="155" t="s">
        <v>214</v>
      </c>
      <c r="D119" s="156">
        <v>44468</v>
      </c>
      <c r="E119" s="154">
        <v>1</v>
      </c>
      <c r="F119" s="155" t="s">
        <v>215</v>
      </c>
      <c r="G119" s="175">
        <v>1</v>
      </c>
      <c r="H119" s="176">
        <v>13910250</v>
      </c>
      <c r="I119" s="176">
        <f>H119*G119</f>
        <v>13910250</v>
      </c>
      <c r="J119" s="205">
        <v>44447</v>
      </c>
      <c r="K119" s="205">
        <v>44812</v>
      </c>
      <c r="L119" s="155">
        <v>12</v>
      </c>
      <c r="M119" s="195">
        <v>60.9</v>
      </c>
      <c r="N119" s="176">
        <f>M119*H119/1000</f>
        <v>847134.22499999998</v>
      </c>
      <c r="O119" s="176"/>
      <c r="P119" s="176"/>
      <c r="Q119" s="190">
        <f t="shared" ref="Q119" si="172">N119+O119+P119</f>
        <v>847134.22499999998</v>
      </c>
      <c r="R119" s="81">
        <f t="shared" ref="R119:R129" si="173">10%*N119</f>
        <v>84713.422500000001</v>
      </c>
      <c r="S119" s="190">
        <f t="shared" ref="S119" si="174">Q119-R119</f>
        <v>762420.80249999999</v>
      </c>
      <c r="T119" s="182">
        <f>Q119/L119*2</f>
        <v>141189.03750000001</v>
      </c>
      <c r="U119" s="182">
        <f>Q119/L119*10</f>
        <v>705945.1875</v>
      </c>
      <c r="V119" s="182">
        <f t="shared" ref="V119:V132" si="175">Q119-T119-U119</f>
        <v>0</v>
      </c>
      <c r="W119" s="181">
        <f t="shared" ref="W119:W132" si="176">T119+U119+V119</f>
        <v>847134.22499999998</v>
      </c>
      <c r="X119" s="181">
        <f t="shared" ref="X119:X132" si="177">Q119-W119</f>
        <v>0</v>
      </c>
    </row>
    <row r="120" spans="1:24" ht="12.75" x14ac:dyDescent="0.2">
      <c r="A120" s="198"/>
      <c r="B120" s="199"/>
      <c r="C120" s="199"/>
      <c r="D120" s="199"/>
      <c r="E120" s="200">
        <f>SUM(E119:E119)</f>
        <v>1</v>
      </c>
      <c r="F120" s="201"/>
      <c r="G120" s="201"/>
      <c r="H120" s="201">
        <f>SUM(H119:H119)</f>
        <v>13910250</v>
      </c>
      <c r="I120" s="201">
        <f>SUM(I119:I119)</f>
        <v>13910250</v>
      </c>
      <c r="J120" s="201"/>
      <c r="K120" s="201"/>
      <c r="L120" s="201"/>
      <c r="M120" s="201"/>
      <c r="N120" s="201">
        <f t="shared" ref="N120:X120" si="178">SUM(N119:N119)</f>
        <v>847134.22499999998</v>
      </c>
      <c r="O120" s="201">
        <f t="shared" si="178"/>
        <v>0</v>
      </c>
      <c r="P120" s="201">
        <f t="shared" si="178"/>
        <v>0</v>
      </c>
      <c r="Q120" s="201">
        <f t="shared" si="178"/>
        <v>847134.22499999998</v>
      </c>
      <c r="R120" s="201">
        <f t="shared" si="178"/>
        <v>84713.422500000001</v>
      </c>
      <c r="S120" s="201">
        <f t="shared" si="178"/>
        <v>762420.80249999999</v>
      </c>
      <c r="T120" s="201">
        <f t="shared" si="178"/>
        <v>141189.03750000001</v>
      </c>
      <c r="U120" s="201">
        <f t="shared" si="178"/>
        <v>705945.1875</v>
      </c>
      <c r="V120" s="201">
        <f t="shared" si="178"/>
        <v>0</v>
      </c>
      <c r="W120" s="201">
        <f t="shared" si="178"/>
        <v>847134.22499999998</v>
      </c>
      <c r="X120" s="201">
        <f t="shared" si="178"/>
        <v>0</v>
      </c>
    </row>
    <row r="121" spans="1:24" ht="12.75" x14ac:dyDescent="0.2">
      <c r="A121" s="154">
        <v>23</v>
      </c>
      <c r="B121" s="155" t="s">
        <v>49</v>
      </c>
      <c r="C121" s="155" t="s">
        <v>216</v>
      </c>
      <c r="D121" s="156">
        <v>44467</v>
      </c>
      <c r="E121" s="154">
        <v>1</v>
      </c>
      <c r="F121" s="155" t="s">
        <v>217</v>
      </c>
      <c r="G121" s="175">
        <v>1</v>
      </c>
      <c r="H121" s="176">
        <v>22343000</v>
      </c>
      <c r="I121" s="176">
        <f t="shared" ref="I121:I129" si="179">H121*G121</f>
        <v>22343000</v>
      </c>
      <c r="J121" s="205">
        <v>44456</v>
      </c>
      <c r="K121" s="205">
        <v>45552</v>
      </c>
      <c r="L121" s="155">
        <v>36</v>
      </c>
      <c r="M121" s="195">
        <v>11.5</v>
      </c>
      <c r="N121" s="176">
        <f>M121*H121/1000</f>
        <v>256944.5</v>
      </c>
      <c r="O121" s="176"/>
      <c r="P121" s="176"/>
      <c r="Q121" s="176">
        <f>N121+O121+P121</f>
        <v>256944.5</v>
      </c>
      <c r="R121" s="81">
        <f t="shared" si="173"/>
        <v>25694.45</v>
      </c>
      <c r="S121" s="176">
        <f>Q121-R121</f>
        <v>231250.05</v>
      </c>
      <c r="T121" s="182">
        <f t="shared" ref="T121:T129" si="180">Q121/L121*2</f>
        <v>14274.694444444445</v>
      </c>
      <c r="U121" s="182">
        <f t="shared" ref="U121:U132" si="181">Q121/L121*12</f>
        <v>85648.166666666672</v>
      </c>
      <c r="V121" s="182">
        <f t="shared" si="175"/>
        <v>157021.63888888888</v>
      </c>
      <c r="W121" s="181">
        <f t="shared" si="176"/>
        <v>256944.5</v>
      </c>
      <c r="X121" s="181">
        <f t="shared" si="177"/>
        <v>0</v>
      </c>
    </row>
    <row r="122" spans="1:24" ht="12.75" x14ac:dyDescent="0.2">
      <c r="A122" s="154"/>
      <c r="B122" s="155"/>
      <c r="C122" s="155"/>
      <c r="D122" s="156"/>
      <c r="E122" s="154">
        <v>1</v>
      </c>
      <c r="F122" s="155" t="s">
        <v>218</v>
      </c>
      <c r="G122" s="175">
        <v>1</v>
      </c>
      <c r="H122" s="176">
        <v>330000000</v>
      </c>
      <c r="I122" s="176">
        <f t="shared" si="179"/>
        <v>330000000</v>
      </c>
      <c r="J122" s="205">
        <v>44467</v>
      </c>
      <c r="K122" s="205">
        <v>46293</v>
      </c>
      <c r="L122" s="155">
        <v>180</v>
      </c>
      <c r="M122" s="195">
        <v>37.520000000000003</v>
      </c>
      <c r="N122" s="176">
        <f t="shared" ref="N122:N129" si="182">M122*H122/1000</f>
        <v>12381600.000000002</v>
      </c>
      <c r="O122" s="176"/>
      <c r="P122" s="176"/>
      <c r="Q122" s="176">
        <f t="shared" ref="Q122:Q129" si="183">N122+O122+P122</f>
        <v>12381600.000000002</v>
      </c>
      <c r="R122" s="81">
        <f t="shared" si="173"/>
        <v>1238160.0000000002</v>
      </c>
      <c r="S122" s="190">
        <f t="shared" ref="S122:S129" si="184">Q122-R122</f>
        <v>11143440.000000002</v>
      </c>
      <c r="T122" s="182">
        <f t="shared" si="180"/>
        <v>137573.33333333334</v>
      </c>
      <c r="U122" s="182">
        <f t="shared" si="181"/>
        <v>825440</v>
      </c>
      <c r="V122" s="182">
        <f t="shared" si="175"/>
        <v>11418586.666666668</v>
      </c>
      <c r="W122" s="181">
        <f t="shared" si="176"/>
        <v>12381600.000000002</v>
      </c>
      <c r="X122" s="181">
        <f t="shared" si="177"/>
        <v>0</v>
      </c>
    </row>
    <row r="123" spans="1:24" ht="12.75" x14ac:dyDescent="0.2">
      <c r="A123" s="154"/>
      <c r="B123" s="155"/>
      <c r="C123" s="155"/>
      <c r="D123" s="156"/>
      <c r="E123" s="154">
        <v>1</v>
      </c>
      <c r="F123" s="155" t="s">
        <v>219</v>
      </c>
      <c r="G123" s="175">
        <v>1</v>
      </c>
      <c r="H123" s="176">
        <v>35000000</v>
      </c>
      <c r="I123" s="176">
        <f t="shared" si="179"/>
        <v>35000000</v>
      </c>
      <c r="J123" s="205">
        <v>44447</v>
      </c>
      <c r="K123" s="205">
        <v>46273</v>
      </c>
      <c r="L123" s="155">
        <v>60</v>
      </c>
      <c r="M123" s="195">
        <v>18.2</v>
      </c>
      <c r="N123" s="176">
        <f t="shared" si="182"/>
        <v>637000</v>
      </c>
      <c r="O123" s="176"/>
      <c r="P123" s="176"/>
      <c r="Q123" s="176">
        <f t="shared" si="183"/>
        <v>637000</v>
      </c>
      <c r="R123" s="81">
        <f t="shared" si="173"/>
        <v>63700</v>
      </c>
      <c r="S123" s="190">
        <f t="shared" si="184"/>
        <v>573300</v>
      </c>
      <c r="T123" s="182">
        <f t="shared" si="180"/>
        <v>21233.333333333332</v>
      </c>
      <c r="U123" s="182">
        <f t="shared" si="181"/>
        <v>127400</v>
      </c>
      <c r="V123" s="182">
        <f t="shared" si="175"/>
        <v>488366.66666666663</v>
      </c>
      <c r="W123" s="181">
        <f t="shared" si="176"/>
        <v>637000</v>
      </c>
      <c r="X123" s="181">
        <f t="shared" si="177"/>
        <v>0</v>
      </c>
    </row>
    <row r="124" spans="1:24" ht="12.75" x14ac:dyDescent="0.2">
      <c r="A124" s="154"/>
      <c r="B124" s="155"/>
      <c r="C124" s="155"/>
      <c r="D124" s="156"/>
      <c r="E124" s="154">
        <v>1</v>
      </c>
      <c r="F124" s="155" t="s">
        <v>220</v>
      </c>
      <c r="G124" s="175">
        <v>1</v>
      </c>
      <c r="H124" s="176">
        <v>250000000</v>
      </c>
      <c r="I124" s="176">
        <f t="shared" si="179"/>
        <v>250000000</v>
      </c>
      <c r="J124" s="205">
        <v>44446</v>
      </c>
      <c r="K124" s="205">
        <v>49194</v>
      </c>
      <c r="L124" s="155">
        <v>156</v>
      </c>
      <c r="M124" s="195">
        <v>32.94</v>
      </c>
      <c r="N124" s="176">
        <f t="shared" si="182"/>
        <v>8234999.9999999991</v>
      </c>
      <c r="O124" s="176"/>
      <c r="P124" s="176"/>
      <c r="Q124" s="176">
        <f t="shared" si="183"/>
        <v>8234999.9999999991</v>
      </c>
      <c r="R124" s="81">
        <f t="shared" si="173"/>
        <v>823500</v>
      </c>
      <c r="S124" s="190">
        <f t="shared" si="184"/>
        <v>7411499.9999999991</v>
      </c>
      <c r="T124" s="182">
        <f t="shared" si="180"/>
        <v>105576.92307692306</v>
      </c>
      <c r="U124" s="182">
        <f t="shared" si="181"/>
        <v>633461.53846153838</v>
      </c>
      <c r="V124" s="182">
        <f t="shared" si="175"/>
        <v>7495961.538461538</v>
      </c>
      <c r="W124" s="181">
        <f t="shared" si="176"/>
        <v>8235000</v>
      </c>
      <c r="X124" s="181">
        <f t="shared" si="177"/>
        <v>0</v>
      </c>
    </row>
    <row r="125" spans="1:24" ht="12.75" x14ac:dyDescent="0.2">
      <c r="A125" s="154"/>
      <c r="B125" s="155"/>
      <c r="C125" s="155"/>
      <c r="D125" s="156"/>
      <c r="E125" s="154">
        <v>1</v>
      </c>
      <c r="F125" s="155" t="s">
        <v>221</v>
      </c>
      <c r="G125" s="175">
        <v>1</v>
      </c>
      <c r="H125" s="176">
        <v>270000000</v>
      </c>
      <c r="I125" s="176">
        <f t="shared" si="179"/>
        <v>270000000</v>
      </c>
      <c r="J125" s="205">
        <v>44446</v>
      </c>
      <c r="K125" s="205">
        <v>48098</v>
      </c>
      <c r="L125" s="155">
        <v>120</v>
      </c>
      <c r="M125" s="195">
        <v>25.48</v>
      </c>
      <c r="N125" s="176">
        <f t="shared" si="182"/>
        <v>6879600</v>
      </c>
      <c r="O125" s="176"/>
      <c r="P125" s="176"/>
      <c r="Q125" s="176">
        <f t="shared" si="183"/>
        <v>6879600</v>
      </c>
      <c r="R125" s="81">
        <f t="shared" si="173"/>
        <v>687960</v>
      </c>
      <c r="S125" s="190">
        <f t="shared" si="184"/>
        <v>6191640</v>
      </c>
      <c r="T125" s="182">
        <f t="shared" si="180"/>
        <v>114660</v>
      </c>
      <c r="U125" s="182">
        <f t="shared" si="181"/>
        <v>687960</v>
      </c>
      <c r="V125" s="182">
        <f t="shared" si="175"/>
        <v>6076980</v>
      </c>
      <c r="W125" s="181">
        <f t="shared" si="176"/>
        <v>6879600</v>
      </c>
      <c r="X125" s="181">
        <f t="shared" si="177"/>
        <v>0</v>
      </c>
    </row>
    <row r="126" spans="1:24" ht="12.75" x14ac:dyDescent="0.2">
      <c r="A126" s="154"/>
      <c r="B126" s="155"/>
      <c r="C126" s="155"/>
      <c r="D126" s="156"/>
      <c r="E126" s="154">
        <v>1</v>
      </c>
      <c r="F126" s="155" t="s">
        <v>222</v>
      </c>
      <c r="G126" s="175">
        <v>1</v>
      </c>
      <c r="H126" s="176">
        <v>310000000</v>
      </c>
      <c r="I126" s="176">
        <f t="shared" si="179"/>
        <v>310000000</v>
      </c>
      <c r="J126" s="205">
        <v>44453</v>
      </c>
      <c r="K126" s="205">
        <v>48105</v>
      </c>
      <c r="L126" s="155">
        <v>120</v>
      </c>
      <c r="M126" s="195">
        <v>25.48</v>
      </c>
      <c r="N126" s="176">
        <f t="shared" si="182"/>
        <v>7898800</v>
      </c>
      <c r="O126" s="176"/>
      <c r="P126" s="176"/>
      <c r="Q126" s="176">
        <f t="shared" si="183"/>
        <v>7898800</v>
      </c>
      <c r="R126" s="81">
        <f t="shared" si="173"/>
        <v>789880</v>
      </c>
      <c r="S126" s="190">
        <f t="shared" si="184"/>
        <v>7108920</v>
      </c>
      <c r="T126" s="182">
        <f t="shared" si="180"/>
        <v>131646.66666666666</v>
      </c>
      <c r="U126" s="182">
        <f t="shared" si="181"/>
        <v>789880</v>
      </c>
      <c r="V126" s="182">
        <f t="shared" si="175"/>
        <v>6977273.333333333</v>
      </c>
      <c r="W126" s="181">
        <f t="shared" si="176"/>
        <v>7898800</v>
      </c>
      <c r="X126" s="181">
        <f t="shared" si="177"/>
        <v>0</v>
      </c>
    </row>
    <row r="127" spans="1:24" ht="12.75" x14ac:dyDescent="0.2">
      <c r="A127" s="154"/>
      <c r="B127" s="155"/>
      <c r="C127" s="155"/>
      <c r="D127" s="156"/>
      <c r="E127" s="154">
        <v>1</v>
      </c>
      <c r="F127" s="155" t="s">
        <v>223</v>
      </c>
      <c r="G127" s="175">
        <v>1</v>
      </c>
      <c r="H127" s="176">
        <v>50000000</v>
      </c>
      <c r="I127" s="176">
        <f t="shared" si="179"/>
        <v>50000000</v>
      </c>
      <c r="J127" s="205">
        <v>44460</v>
      </c>
      <c r="K127" s="205">
        <v>48112</v>
      </c>
      <c r="L127" s="155">
        <v>36</v>
      </c>
      <c r="M127" s="195">
        <v>9.1</v>
      </c>
      <c r="N127" s="176">
        <f t="shared" si="182"/>
        <v>455000</v>
      </c>
      <c r="O127" s="176"/>
      <c r="P127" s="176"/>
      <c r="Q127" s="176">
        <f t="shared" si="183"/>
        <v>455000</v>
      </c>
      <c r="R127" s="81">
        <f t="shared" si="173"/>
        <v>45500</v>
      </c>
      <c r="S127" s="190">
        <f t="shared" si="184"/>
        <v>409500</v>
      </c>
      <c r="T127" s="182">
        <f t="shared" si="180"/>
        <v>25277.777777777777</v>
      </c>
      <c r="U127" s="182">
        <f t="shared" si="181"/>
        <v>151666.66666666666</v>
      </c>
      <c r="V127" s="182">
        <f t="shared" si="175"/>
        <v>278055.55555555562</v>
      </c>
      <c r="W127" s="181">
        <f t="shared" si="176"/>
        <v>455000.00000000006</v>
      </c>
      <c r="X127" s="181">
        <f t="shared" si="177"/>
        <v>0</v>
      </c>
    </row>
    <row r="128" spans="1:24" ht="12.75" x14ac:dyDescent="0.2">
      <c r="A128" s="154"/>
      <c r="B128" s="155"/>
      <c r="C128" s="155"/>
      <c r="D128" s="156"/>
      <c r="E128" s="154">
        <v>1</v>
      </c>
      <c r="F128" s="155" t="s">
        <v>224</v>
      </c>
      <c r="G128" s="175">
        <v>1</v>
      </c>
      <c r="H128" s="176">
        <v>334000000</v>
      </c>
      <c r="I128" s="176">
        <f t="shared" si="179"/>
        <v>334000000</v>
      </c>
      <c r="J128" s="205">
        <v>44453</v>
      </c>
      <c r="K128" s="205">
        <v>44453</v>
      </c>
      <c r="L128" s="155">
        <v>180</v>
      </c>
      <c r="M128" s="195">
        <v>35.409999999999997</v>
      </c>
      <c r="N128" s="176">
        <f t="shared" si="182"/>
        <v>11826939.999999998</v>
      </c>
      <c r="O128" s="176"/>
      <c r="P128" s="176"/>
      <c r="Q128" s="176">
        <f t="shared" si="183"/>
        <v>11826939.999999998</v>
      </c>
      <c r="R128" s="81">
        <f t="shared" si="173"/>
        <v>1182693.9999999998</v>
      </c>
      <c r="S128" s="190">
        <f t="shared" si="184"/>
        <v>10644245.999999998</v>
      </c>
      <c r="T128" s="182">
        <f t="shared" si="180"/>
        <v>131410.44444444444</v>
      </c>
      <c r="U128" s="182">
        <f t="shared" si="181"/>
        <v>788462.66666666663</v>
      </c>
      <c r="V128" s="182">
        <f t="shared" si="175"/>
        <v>10907066.888888888</v>
      </c>
      <c r="W128" s="181">
        <f t="shared" si="176"/>
        <v>11826940</v>
      </c>
      <c r="X128" s="181">
        <f t="shared" si="177"/>
        <v>0</v>
      </c>
    </row>
    <row r="129" spans="1:24" ht="12.75" x14ac:dyDescent="0.2">
      <c r="A129" s="154"/>
      <c r="B129" s="155"/>
      <c r="C129" s="155"/>
      <c r="D129" s="156"/>
      <c r="E129" s="154">
        <v>1</v>
      </c>
      <c r="F129" s="155" t="s">
        <v>225</v>
      </c>
      <c r="G129" s="175">
        <v>1</v>
      </c>
      <c r="H129" s="176">
        <v>230000000</v>
      </c>
      <c r="I129" s="176">
        <f t="shared" si="179"/>
        <v>230000000</v>
      </c>
      <c r="J129" s="205">
        <v>44436</v>
      </c>
      <c r="K129" s="205">
        <v>44436</v>
      </c>
      <c r="L129" s="155">
        <v>84</v>
      </c>
      <c r="M129" s="195">
        <v>25.48</v>
      </c>
      <c r="N129" s="176">
        <f t="shared" si="182"/>
        <v>5860400</v>
      </c>
      <c r="O129" s="176"/>
      <c r="P129" s="176"/>
      <c r="Q129" s="176">
        <f t="shared" si="183"/>
        <v>5860400</v>
      </c>
      <c r="R129" s="81">
        <f t="shared" si="173"/>
        <v>586040</v>
      </c>
      <c r="S129" s="190">
        <f t="shared" si="184"/>
        <v>5274360</v>
      </c>
      <c r="T129" s="182">
        <f t="shared" si="180"/>
        <v>139533.33333333334</v>
      </c>
      <c r="U129" s="182">
        <f t="shared" si="181"/>
        <v>837200</v>
      </c>
      <c r="V129" s="182">
        <f t="shared" si="175"/>
        <v>4883666.666666667</v>
      </c>
      <c r="W129" s="181">
        <f t="shared" si="176"/>
        <v>5860400</v>
      </c>
      <c r="X129" s="181">
        <f t="shared" si="177"/>
        <v>0</v>
      </c>
    </row>
    <row r="130" spans="1:24" ht="12.75" x14ac:dyDescent="0.2">
      <c r="A130" s="198"/>
      <c r="B130" s="199"/>
      <c r="C130" s="199"/>
      <c r="D130" s="199"/>
      <c r="E130" s="201">
        <f t="shared" ref="E130:X130" si="185">SUM(E121:E129)</f>
        <v>9</v>
      </c>
      <c r="F130" s="201">
        <f t="shared" si="185"/>
        <v>0</v>
      </c>
      <c r="G130" s="201">
        <f t="shared" si="185"/>
        <v>9</v>
      </c>
      <c r="H130" s="201">
        <f t="shared" si="185"/>
        <v>1831343000</v>
      </c>
      <c r="I130" s="201">
        <f t="shared" si="185"/>
        <v>1831343000</v>
      </c>
      <c r="J130" s="201"/>
      <c r="K130" s="201"/>
      <c r="L130" s="201"/>
      <c r="M130" s="201"/>
      <c r="N130" s="201">
        <f t="shared" si="185"/>
        <v>54431284.5</v>
      </c>
      <c r="O130" s="201">
        <f t="shared" si="185"/>
        <v>0</v>
      </c>
      <c r="P130" s="201">
        <f t="shared" si="185"/>
        <v>0</v>
      </c>
      <c r="Q130" s="201">
        <f t="shared" si="185"/>
        <v>54431284.5</v>
      </c>
      <c r="R130" s="201">
        <f t="shared" si="185"/>
        <v>5443128.4500000002</v>
      </c>
      <c r="S130" s="201">
        <f t="shared" si="185"/>
        <v>48988156.049999997</v>
      </c>
      <c r="T130" s="201">
        <f t="shared" si="185"/>
        <v>821186.50641025638</v>
      </c>
      <c r="U130" s="201">
        <f t="shared" si="185"/>
        <v>4927119.038461538</v>
      </c>
      <c r="V130" s="201">
        <f t="shared" si="185"/>
        <v>48682978.9551282</v>
      </c>
      <c r="W130" s="201">
        <f t="shared" si="185"/>
        <v>54431284.5</v>
      </c>
      <c r="X130" s="201">
        <f t="shared" si="185"/>
        <v>0</v>
      </c>
    </row>
    <row r="131" spans="1:24" ht="12.75" x14ac:dyDescent="0.2">
      <c r="A131" s="154">
        <v>24</v>
      </c>
      <c r="B131" s="155" t="s">
        <v>51</v>
      </c>
      <c r="C131" s="155" t="s">
        <v>226</v>
      </c>
      <c r="D131" s="156">
        <v>44469</v>
      </c>
      <c r="E131" s="154">
        <v>1</v>
      </c>
      <c r="F131" s="155" t="s">
        <v>227</v>
      </c>
      <c r="G131" s="175">
        <v>1</v>
      </c>
      <c r="H131" s="176">
        <v>300000000</v>
      </c>
      <c r="I131" s="176">
        <f t="shared" ref="I131:I132" si="186">H131*G131</f>
        <v>300000000</v>
      </c>
      <c r="J131" s="205">
        <v>44442</v>
      </c>
      <c r="K131" s="205">
        <v>48094</v>
      </c>
      <c r="L131" s="155">
        <v>120</v>
      </c>
      <c r="M131" s="195">
        <v>25.48</v>
      </c>
      <c r="N131" s="176">
        <f t="shared" ref="N131:N132" si="187">M131*H131/1000</f>
        <v>7644000</v>
      </c>
      <c r="O131" s="176"/>
      <c r="P131" s="176"/>
      <c r="Q131" s="176">
        <f t="shared" ref="Q131:Q132" si="188">N131+O131+P131</f>
        <v>7644000</v>
      </c>
      <c r="R131" s="196"/>
      <c r="S131" s="190">
        <f t="shared" ref="S131:S132" si="189">Q131-R131</f>
        <v>7644000</v>
      </c>
      <c r="T131" s="182">
        <f t="shared" ref="T131:T132" si="190">Q131/L131*2</f>
        <v>127400</v>
      </c>
      <c r="U131" s="182">
        <f t="shared" si="181"/>
        <v>764400</v>
      </c>
      <c r="V131" s="182">
        <f t="shared" si="175"/>
        <v>6752200</v>
      </c>
      <c r="W131" s="181">
        <f t="shared" si="176"/>
        <v>7644000</v>
      </c>
      <c r="X131" s="181">
        <f t="shared" si="177"/>
        <v>0</v>
      </c>
    </row>
    <row r="132" spans="1:24" ht="12.75" x14ac:dyDescent="0.2">
      <c r="A132" s="154"/>
      <c r="B132" s="155"/>
      <c r="C132" s="155"/>
      <c r="D132" s="156"/>
      <c r="E132" s="154">
        <v>1</v>
      </c>
      <c r="F132" s="155" t="s">
        <v>228</v>
      </c>
      <c r="G132" s="175">
        <v>1</v>
      </c>
      <c r="H132" s="176">
        <v>260000000</v>
      </c>
      <c r="I132" s="176">
        <f t="shared" si="186"/>
        <v>260000000</v>
      </c>
      <c r="J132" s="205">
        <v>44466</v>
      </c>
      <c r="K132" s="205">
        <v>48118</v>
      </c>
      <c r="L132" s="155">
        <v>120</v>
      </c>
      <c r="M132" s="195">
        <v>36.4</v>
      </c>
      <c r="N132" s="176">
        <f t="shared" si="187"/>
        <v>9464000</v>
      </c>
      <c r="O132" s="176"/>
      <c r="P132" s="176"/>
      <c r="Q132" s="176">
        <f t="shared" si="188"/>
        <v>9464000</v>
      </c>
      <c r="R132" s="196"/>
      <c r="S132" s="190">
        <f t="shared" si="189"/>
        <v>9464000</v>
      </c>
      <c r="T132" s="182">
        <f t="shared" si="190"/>
        <v>157733.33333333334</v>
      </c>
      <c r="U132" s="182">
        <f t="shared" si="181"/>
        <v>946400</v>
      </c>
      <c r="V132" s="182">
        <f t="shared" si="175"/>
        <v>8359866.666666666</v>
      </c>
      <c r="W132" s="181">
        <f t="shared" si="176"/>
        <v>9464000</v>
      </c>
      <c r="X132" s="181">
        <f t="shared" si="177"/>
        <v>0</v>
      </c>
    </row>
    <row r="133" spans="1:24" ht="12.75" x14ac:dyDescent="0.2">
      <c r="A133" s="198"/>
      <c r="B133" s="199"/>
      <c r="C133" s="199"/>
      <c r="D133" s="199"/>
      <c r="E133" s="200">
        <f>SUM(E131:E132)</f>
        <v>2</v>
      </c>
      <c r="F133" s="201"/>
      <c r="G133" s="201"/>
      <c r="H133" s="201">
        <f>SUM(H131:H132)</f>
        <v>560000000</v>
      </c>
      <c r="I133" s="201">
        <f>SUM(I131:I132)</f>
        <v>560000000</v>
      </c>
      <c r="J133" s="201"/>
      <c r="K133" s="201"/>
      <c r="L133" s="201"/>
      <c r="M133" s="201"/>
      <c r="N133" s="201">
        <f t="shared" ref="N133:X133" si="191">SUM(N131:N132)</f>
        <v>17108000</v>
      </c>
      <c r="O133" s="201">
        <f t="shared" si="191"/>
        <v>0</v>
      </c>
      <c r="P133" s="201">
        <f t="shared" si="191"/>
        <v>0</v>
      </c>
      <c r="Q133" s="201">
        <f t="shared" si="191"/>
        <v>17108000</v>
      </c>
      <c r="R133" s="201">
        <f t="shared" si="191"/>
        <v>0</v>
      </c>
      <c r="S133" s="201">
        <f t="shared" si="191"/>
        <v>17108000</v>
      </c>
      <c r="T133" s="201">
        <f t="shared" si="191"/>
        <v>285133.33333333337</v>
      </c>
      <c r="U133" s="201">
        <f t="shared" si="191"/>
        <v>1710800</v>
      </c>
      <c r="V133" s="201">
        <f t="shared" si="191"/>
        <v>15112066.666666666</v>
      </c>
      <c r="W133" s="201">
        <f t="shared" si="191"/>
        <v>17108000</v>
      </c>
      <c r="X133" s="201">
        <f t="shared" si="191"/>
        <v>0</v>
      </c>
    </row>
    <row r="134" spans="1:24" x14ac:dyDescent="0.2">
      <c r="A134" s="83"/>
      <c r="B134" s="83"/>
      <c r="C134" s="83" t="s">
        <v>52</v>
      </c>
      <c r="D134" s="84"/>
      <c r="E134" s="85">
        <f>E133+E130+E120+E118</f>
        <v>12</v>
      </c>
      <c r="F134" s="87"/>
      <c r="G134" s="87"/>
      <c r="H134" s="87">
        <f t="shared" ref="H134:X134" si="192">H133+H130+H120+H118</f>
        <v>2405253250</v>
      </c>
      <c r="I134" s="87">
        <f t="shared" si="192"/>
        <v>2405253250</v>
      </c>
      <c r="J134" s="87"/>
      <c r="K134" s="87"/>
      <c r="L134" s="87"/>
      <c r="M134" s="87"/>
      <c r="N134" s="87">
        <f t="shared" si="192"/>
        <v>72524216.23393999</v>
      </c>
      <c r="O134" s="87">
        <f t="shared" si="192"/>
        <v>100000</v>
      </c>
      <c r="P134" s="87">
        <f t="shared" si="192"/>
        <v>0</v>
      </c>
      <c r="Q134" s="87">
        <f t="shared" si="192"/>
        <v>72624216.23393999</v>
      </c>
      <c r="R134" s="87">
        <f t="shared" si="192"/>
        <v>5527841.8725000005</v>
      </c>
      <c r="S134" s="87">
        <f t="shared" si="192"/>
        <v>67096374.361439995</v>
      </c>
      <c r="T134" s="87">
        <f t="shared" si="192"/>
        <v>1300352.7681191454</v>
      </c>
      <c r="U134" s="87">
        <f t="shared" si="192"/>
        <v>7528817.8440259825</v>
      </c>
      <c r="V134" s="87">
        <f t="shared" si="192"/>
        <v>63795045.621794865</v>
      </c>
      <c r="W134" s="87">
        <f t="shared" si="192"/>
        <v>72624216.23393999</v>
      </c>
      <c r="X134" s="87">
        <f t="shared" si="192"/>
        <v>0</v>
      </c>
    </row>
    <row r="135" spans="1:24" x14ac:dyDescent="0.2">
      <c r="A135" s="83"/>
      <c r="B135" s="83"/>
      <c r="C135" s="83" t="s">
        <v>229</v>
      </c>
      <c r="D135" s="84"/>
      <c r="E135" s="93">
        <f>E134+E112</f>
        <v>50</v>
      </c>
      <c r="F135" s="95"/>
      <c r="G135" s="95"/>
      <c r="H135" s="95">
        <f t="shared" ref="H135:X135" si="193">H134+H112</f>
        <v>12319837422</v>
      </c>
      <c r="I135" s="95">
        <f t="shared" si="193"/>
        <v>12319837422</v>
      </c>
      <c r="J135" s="95"/>
      <c r="K135" s="95"/>
      <c r="L135" s="95"/>
      <c r="M135" s="95"/>
      <c r="N135" s="95">
        <f t="shared" si="193"/>
        <v>382495216.73606002</v>
      </c>
      <c r="O135" s="95">
        <f t="shared" si="193"/>
        <v>300000</v>
      </c>
      <c r="P135" s="95">
        <f t="shared" si="193"/>
        <v>0</v>
      </c>
      <c r="Q135" s="95">
        <f t="shared" si="193"/>
        <v>382795216.73606002</v>
      </c>
      <c r="R135" s="95">
        <f t="shared" si="193"/>
        <v>36451168.881006002</v>
      </c>
      <c r="S135" s="95">
        <f t="shared" si="193"/>
        <v>346344047.85505402</v>
      </c>
      <c r="T135" s="95">
        <f t="shared" si="193"/>
        <v>30616752.988470174</v>
      </c>
      <c r="U135" s="95">
        <f t="shared" si="193"/>
        <v>42191693.615208708</v>
      </c>
      <c r="V135" s="95">
        <f t="shared" si="193"/>
        <v>309986770.13238114</v>
      </c>
      <c r="W135" s="95">
        <f t="shared" si="193"/>
        <v>233697976.22455996</v>
      </c>
      <c r="X135" s="95">
        <f t="shared" si="193"/>
        <v>0</v>
      </c>
    </row>
  </sheetData>
  <mergeCells count="128">
    <mergeCell ref="N115:P115"/>
    <mergeCell ref="Q115:Q116"/>
    <mergeCell ref="R115:R116"/>
    <mergeCell ref="S115:S116"/>
    <mergeCell ref="G115:G116"/>
    <mergeCell ref="H115:H116"/>
    <mergeCell ref="I115:I116"/>
    <mergeCell ref="J115:K116"/>
    <mergeCell ref="L115:L116"/>
    <mergeCell ref="M115:M116"/>
    <mergeCell ref="A115:A116"/>
    <mergeCell ref="B115:B116"/>
    <mergeCell ref="C115:C116"/>
    <mergeCell ref="D115:D116"/>
    <mergeCell ref="E115:E116"/>
    <mergeCell ref="F115:F116"/>
    <mergeCell ref="G88:G89"/>
    <mergeCell ref="H88:H89"/>
    <mergeCell ref="I88:I89"/>
    <mergeCell ref="Q78:Q79"/>
    <mergeCell ref="R78:R79"/>
    <mergeCell ref="S78:S79"/>
    <mergeCell ref="A88:A89"/>
    <mergeCell ref="B88:B89"/>
    <mergeCell ref="C88:C89"/>
    <mergeCell ref="D88:D89"/>
    <mergeCell ref="E88:E89"/>
    <mergeCell ref="F88:F89"/>
    <mergeCell ref="G78:G79"/>
    <mergeCell ref="H78:H79"/>
    <mergeCell ref="I78:I79"/>
    <mergeCell ref="J78:K79"/>
    <mergeCell ref="L78:L79"/>
    <mergeCell ref="M78:M79"/>
    <mergeCell ref="N88:P88"/>
    <mergeCell ref="Q88:Q89"/>
    <mergeCell ref="R88:R89"/>
    <mergeCell ref="S88:S89"/>
    <mergeCell ref="J88:K89"/>
    <mergeCell ref="L88:L89"/>
    <mergeCell ref="M88:M89"/>
    <mergeCell ref="A78:A79"/>
    <mergeCell ref="B78:B79"/>
    <mergeCell ref="C78:C79"/>
    <mergeCell ref="D78:D79"/>
    <mergeCell ref="E78:E79"/>
    <mergeCell ref="F78:F79"/>
    <mergeCell ref="G47:G48"/>
    <mergeCell ref="H47:H48"/>
    <mergeCell ref="I47:I48"/>
    <mergeCell ref="N27:P27"/>
    <mergeCell ref="C27:C28"/>
    <mergeCell ref="D27:D28"/>
    <mergeCell ref="E27:E28"/>
    <mergeCell ref="F27:F28"/>
    <mergeCell ref="N78:P78"/>
    <mergeCell ref="Q27:Q28"/>
    <mergeCell ref="R27:R28"/>
    <mergeCell ref="S27:S28"/>
    <mergeCell ref="A47:A48"/>
    <mergeCell ref="B47:B48"/>
    <mergeCell ref="C47:C48"/>
    <mergeCell ref="D47:D48"/>
    <mergeCell ref="E47:E48"/>
    <mergeCell ref="F47:F48"/>
    <mergeCell ref="G27:G28"/>
    <mergeCell ref="H27:H28"/>
    <mergeCell ref="I27:I28"/>
    <mergeCell ref="J27:K28"/>
    <mergeCell ref="L27:L28"/>
    <mergeCell ref="M27:M28"/>
    <mergeCell ref="N47:P47"/>
    <mergeCell ref="Q47:Q48"/>
    <mergeCell ref="R47:R48"/>
    <mergeCell ref="S47:S48"/>
    <mergeCell ref="J47:K48"/>
    <mergeCell ref="L47:L48"/>
    <mergeCell ref="M47:M48"/>
    <mergeCell ref="A27:A28"/>
    <mergeCell ref="B27:B28"/>
    <mergeCell ref="G17:G18"/>
    <mergeCell ref="H17:H18"/>
    <mergeCell ref="I17:I18"/>
    <mergeCell ref="R9:R10"/>
    <mergeCell ref="S9:S10"/>
    <mergeCell ref="A17:A18"/>
    <mergeCell ref="B17:B18"/>
    <mergeCell ref="C17:C18"/>
    <mergeCell ref="D17:D18"/>
    <mergeCell ref="E17:E18"/>
    <mergeCell ref="F17:F18"/>
    <mergeCell ref="G9:G10"/>
    <mergeCell ref="H9:H10"/>
    <mergeCell ref="I9:I10"/>
    <mergeCell ref="J9:K10"/>
    <mergeCell ref="L9:L10"/>
    <mergeCell ref="M9:M10"/>
    <mergeCell ref="N17:P17"/>
    <mergeCell ref="Q17:Q18"/>
    <mergeCell ref="R17:R18"/>
    <mergeCell ref="S17:S18"/>
    <mergeCell ref="J17:K18"/>
    <mergeCell ref="L17:L18"/>
    <mergeCell ref="M17:M18"/>
    <mergeCell ref="N3:P3"/>
    <mergeCell ref="Q3:Q4"/>
    <mergeCell ref="R3:R4"/>
    <mergeCell ref="S3:S4"/>
    <mergeCell ref="A9:A10"/>
    <mergeCell ref="B9:B10"/>
    <mergeCell ref="C9:C10"/>
    <mergeCell ref="D9:D10"/>
    <mergeCell ref="E9:E10"/>
    <mergeCell ref="F9:F10"/>
    <mergeCell ref="G3:G4"/>
    <mergeCell ref="H3:H4"/>
    <mergeCell ref="I3:I4"/>
    <mergeCell ref="J3:K4"/>
    <mergeCell ref="L3:L4"/>
    <mergeCell ref="M3:M4"/>
    <mergeCell ref="A3:A4"/>
    <mergeCell ref="B3:B4"/>
    <mergeCell ref="C3:C4"/>
    <mergeCell ref="D3:D4"/>
    <mergeCell ref="E3:E4"/>
    <mergeCell ref="F3:F4"/>
    <mergeCell ref="N9:P9"/>
    <mergeCell ref="Q9:Q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55"/>
  <sheetViews>
    <sheetView workbookViewId="0">
      <selection activeCell="B14" sqref="B14"/>
    </sheetView>
  </sheetViews>
  <sheetFormatPr defaultRowHeight="12" x14ac:dyDescent="0.2"/>
  <cols>
    <col min="1" max="1" width="4.140625" style="3" customWidth="1"/>
    <col min="2" max="2" width="14.7109375" style="3" customWidth="1"/>
    <col min="3" max="3" width="19.85546875" style="3" customWidth="1"/>
    <col min="4" max="4" width="10.85546875" style="82" customWidth="1"/>
    <col min="5" max="5" width="7.85546875" style="97" customWidth="1"/>
    <col min="6" max="6" width="25.85546875" style="3" customWidth="1"/>
    <col min="7" max="7" width="8.85546875" style="3" hidden="1" customWidth="1"/>
    <col min="8" max="8" width="14" style="3" customWidth="1"/>
    <col min="9" max="9" width="13.7109375" style="3" customWidth="1"/>
    <col min="10" max="10" width="12" style="3" customWidth="1"/>
    <col min="11" max="11" width="10.28515625" style="3" customWidth="1"/>
    <col min="12" max="12" width="4.28515625" style="3" bestFit="1" customWidth="1"/>
    <col min="13" max="13" width="6.7109375" style="3" customWidth="1"/>
    <col min="14" max="14" width="12.5703125" style="3" hidden="1" customWidth="1"/>
    <col min="15" max="16" width="9.140625" style="3" hidden="1" customWidth="1"/>
    <col min="17" max="17" width="9" style="3" hidden="1" customWidth="1"/>
    <col min="18" max="18" width="10.7109375" style="3" customWidth="1"/>
    <col min="19" max="19" width="17.28515625" style="3" hidden="1" customWidth="1"/>
    <col min="20" max="20" width="16.5703125" style="3" customWidth="1"/>
    <col min="21" max="21" width="16.140625" style="3" customWidth="1"/>
    <col min="22" max="22" width="13" style="3" customWidth="1"/>
    <col min="23" max="23" width="10.85546875" style="3" customWidth="1"/>
    <col min="24" max="27" width="9.140625" style="3"/>
    <col min="28" max="30" width="17.5703125" style="3" customWidth="1"/>
    <col min="31" max="16384" width="9.140625" style="3"/>
  </cols>
  <sheetData>
    <row r="2" spans="1:26" ht="14.25" customHeight="1" x14ac:dyDescent="0.2">
      <c r="A2" s="86" t="s">
        <v>76</v>
      </c>
      <c r="B2" s="62"/>
      <c r="C2" s="62"/>
      <c r="D2" s="57"/>
      <c r="E2" s="63"/>
      <c r="F2" s="64"/>
      <c r="G2" s="65"/>
      <c r="H2" s="66"/>
      <c r="I2" s="66"/>
      <c r="J2" s="67"/>
      <c r="K2" s="67"/>
      <c r="L2" s="68"/>
      <c r="M2" s="68"/>
      <c r="N2" s="69"/>
      <c r="O2" s="69"/>
      <c r="P2" s="69"/>
      <c r="Q2" s="69"/>
      <c r="R2" s="69"/>
      <c r="S2" s="69"/>
      <c r="T2" s="70"/>
      <c r="U2" s="71"/>
      <c r="V2" s="71"/>
    </row>
    <row r="3" spans="1:26" ht="14.25" customHeight="1" x14ac:dyDescent="0.2">
      <c r="A3" s="231" t="s">
        <v>0</v>
      </c>
      <c r="B3" s="232" t="s">
        <v>1</v>
      </c>
      <c r="C3" s="229" t="s">
        <v>2</v>
      </c>
      <c r="D3" s="233" t="s">
        <v>3</v>
      </c>
      <c r="E3" s="234" t="s">
        <v>4</v>
      </c>
      <c r="F3" s="232" t="s">
        <v>5</v>
      </c>
      <c r="G3" s="235" t="s">
        <v>6</v>
      </c>
      <c r="H3" s="236" t="s">
        <v>7</v>
      </c>
      <c r="I3" s="236" t="s">
        <v>8</v>
      </c>
      <c r="J3" s="227" t="s">
        <v>9</v>
      </c>
      <c r="K3" s="227"/>
      <c r="L3" s="228" t="s">
        <v>10</v>
      </c>
      <c r="M3" s="229" t="s">
        <v>11</v>
      </c>
      <c r="N3" s="230" t="s">
        <v>12</v>
      </c>
      <c r="O3" s="230"/>
      <c r="P3" s="230"/>
      <c r="Q3" s="229" t="s">
        <v>13</v>
      </c>
      <c r="R3" s="229" t="s">
        <v>14</v>
      </c>
      <c r="S3" s="229" t="s">
        <v>15</v>
      </c>
      <c r="T3" s="36">
        <v>2021</v>
      </c>
      <c r="U3" s="37"/>
      <c r="V3" s="38" t="s">
        <v>44</v>
      </c>
    </row>
    <row r="4" spans="1:26" ht="14.25" customHeight="1" x14ac:dyDescent="0.2">
      <c r="A4" s="231"/>
      <c r="B4" s="232"/>
      <c r="C4" s="229"/>
      <c r="D4" s="233"/>
      <c r="E4" s="234"/>
      <c r="F4" s="232"/>
      <c r="G4" s="235"/>
      <c r="H4" s="236"/>
      <c r="I4" s="236"/>
      <c r="J4" s="227"/>
      <c r="K4" s="227"/>
      <c r="L4" s="228"/>
      <c r="M4" s="229"/>
      <c r="N4" s="213" t="s">
        <v>16</v>
      </c>
      <c r="O4" s="213" t="s">
        <v>17</v>
      </c>
      <c r="P4" s="213" t="s">
        <v>18</v>
      </c>
      <c r="Q4" s="229"/>
      <c r="R4" s="229"/>
      <c r="S4" s="229"/>
      <c r="T4" s="96" t="s">
        <v>234</v>
      </c>
      <c r="U4" s="39" t="s">
        <v>243</v>
      </c>
      <c r="V4" s="40"/>
    </row>
    <row r="5" spans="1:26" x14ac:dyDescent="0.2">
      <c r="A5" s="72">
        <v>1</v>
      </c>
      <c r="B5" s="73" t="s">
        <v>49</v>
      </c>
      <c r="C5" s="73" t="s">
        <v>55</v>
      </c>
      <c r="D5" s="58">
        <v>44225</v>
      </c>
      <c r="E5" s="74">
        <v>1</v>
      </c>
      <c r="F5" s="73" t="s">
        <v>56</v>
      </c>
      <c r="G5" s="75">
        <v>1</v>
      </c>
      <c r="H5" s="42">
        <v>200000000</v>
      </c>
      <c r="I5" s="42">
        <f>H5*G5</f>
        <v>200000000</v>
      </c>
      <c r="J5" s="76">
        <v>44207</v>
      </c>
      <c r="K5" s="77">
        <f>IFERROR(VALUE(DAY(J5)&amp;" "&amp;TEXT(EOMONTH(J5,L5)-29,"mmm")&amp;" "&amp;YEAR(EOMONTH(J5,L5)-29)),"-")</f>
        <v>47494</v>
      </c>
      <c r="L5" s="78">
        <v>108</v>
      </c>
      <c r="M5" s="99">
        <v>23.21</v>
      </c>
      <c r="N5" s="81">
        <f t="shared" ref="N5" si="0">M5*H5/1000</f>
        <v>4642000</v>
      </c>
      <c r="O5" s="81"/>
      <c r="P5" s="81"/>
      <c r="Q5" s="81">
        <f t="shared" ref="Q5" si="1">N5+O5+P5</f>
        <v>4642000</v>
      </c>
      <c r="R5" s="81">
        <f t="shared" ref="R5" si="2">10%*N5</f>
        <v>464200</v>
      </c>
      <c r="S5" s="81">
        <f t="shared" ref="S5" si="3">Q5-R5</f>
        <v>4177800</v>
      </c>
      <c r="T5" s="42">
        <f>R5*10%+(Y5*9)</f>
        <v>81560.373831775709</v>
      </c>
      <c r="U5" s="1">
        <f t="shared" ref="U5" si="4">Y5*12</f>
        <v>46853.831775700935</v>
      </c>
      <c r="V5" s="34">
        <f t="shared" ref="V5" si="5">R5-T5-U5</f>
        <v>335785.79439252336</v>
      </c>
      <c r="W5" s="35">
        <f t="shared" ref="W5" si="6">T5+U5+V5</f>
        <v>464200</v>
      </c>
      <c r="X5" s="35">
        <f t="shared" ref="X5" si="7">R5-W5</f>
        <v>0</v>
      </c>
      <c r="Y5" s="35">
        <v>3904.4859813084113</v>
      </c>
      <c r="Z5" s="41">
        <f t="shared" ref="Z5" si="8">(R5-T5)/(L5-1)</f>
        <v>3576.0712726002266</v>
      </c>
    </row>
    <row r="6" spans="1:26" x14ac:dyDescent="0.2">
      <c r="A6" s="79"/>
      <c r="B6" s="59"/>
      <c r="C6" s="59"/>
      <c r="D6" s="59"/>
      <c r="E6" s="80">
        <f>SUM(E5:E5)</f>
        <v>1</v>
      </c>
      <c r="F6" s="80"/>
      <c r="G6" s="80"/>
      <c r="H6" s="79">
        <f>SUM(H5:H5)</f>
        <v>200000000</v>
      </c>
      <c r="I6" s="79">
        <f>SUM(I5:I5)</f>
        <v>200000000</v>
      </c>
      <c r="J6" s="79"/>
      <c r="K6" s="79"/>
      <c r="L6" s="79"/>
      <c r="M6" s="79"/>
      <c r="N6" s="79">
        <f t="shared" ref="N6:Z6" si="9">SUM(N5:N5)</f>
        <v>4642000</v>
      </c>
      <c r="O6" s="79">
        <f t="shared" si="9"/>
        <v>0</v>
      </c>
      <c r="P6" s="79">
        <f t="shared" si="9"/>
        <v>0</v>
      </c>
      <c r="Q6" s="79">
        <f t="shared" si="9"/>
        <v>4642000</v>
      </c>
      <c r="R6" s="79">
        <f t="shared" si="9"/>
        <v>464200</v>
      </c>
      <c r="S6" s="79">
        <f t="shared" si="9"/>
        <v>4177800</v>
      </c>
      <c r="T6" s="79">
        <f t="shared" si="9"/>
        <v>81560.373831775709</v>
      </c>
      <c r="U6" s="79">
        <f t="shared" si="9"/>
        <v>46853.831775700935</v>
      </c>
      <c r="V6" s="79">
        <f t="shared" si="9"/>
        <v>335785.79439252336</v>
      </c>
      <c r="W6" s="79">
        <f t="shared" si="9"/>
        <v>464200</v>
      </c>
      <c r="X6" s="79">
        <f t="shared" si="9"/>
        <v>0</v>
      </c>
      <c r="Y6" s="79">
        <f t="shared" si="9"/>
        <v>3904.4859813084113</v>
      </c>
      <c r="Z6" s="79">
        <f t="shared" si="9"/>
        <v>3576.0712726002266</v>
      </c>
    </row>
    <row r="8" spans="1:26" ht="14.25" customHeight="1" x14ac:dyDescent="0.2">
      <c r="A8" s="86" t="s">
        <v>74</v>
      </c>
      <c r="B8" s="62"/>
      <c r="C8" s="62"/>
      <c r="D8" s="57"/>
      <c r="E8" s="63"/>
      <c r="F8" s="64"/>
      <c r="G8" s="65"/>
      <c r="H8" s="66"/>
      <c r="I8" s="66"/>
      <c r="J8" s="67"/>
      <c r="K8" s="67"/>
      <c r="L8" s="68"/>
      <c r="M8" s="68"/>
      <c r="N8" s="69"/>
      <c r="O8" s="69"/>
      <c r="P8" s="69"/>
      <c r="Q8" s="69"/>
      <c r="R8" s="69"/>
      <c r="S8" s="69"/>
      <c r="T8" s="70"/>
      <c r="U8" s="71"/>
      <c r="V8" s="71"/>
    </row>
    <row r="9" spans="1:26" ht="14.25" customHeight="1" x14ac:dyDescent="0.2">
      <c r="A9" s="231" t="s">
        <v>0</v>
      </c>
      <c r="B9" s="232" t="s">
        <v>1</v>
      </c>
      <c r="C9" s="229" t="s">
        <v>2</v>
      </c>
      <c r="D9" s="233" t="s">
        <v>3</v>
      </c>
      <c r="E9" s="234" t="s">
        <v>4</v>
      </c>
      <c r="F9" s="232" t="s">
        <v>5</v>
      </c>
      <c r="G9" s="235" t="s">
        <v>6</v>
      </c>
      <c r="H9" s="236" t="s">
        <v>7</v>
      </c>
      <c r="I9" s="236" t="s">
        <v>8</v>
      </c>
      <c r="J9" s="227" t="s">
        <v>9</v>
      </c>
      <c r="K9" s="227"/>
      <c r="L9" s="228" t="s">
        <v>10</v>
      </c>
      <c r="M9" s="229" t="s">
        <v>11</v>
      </c>
      <c r="N9" s="230" t="s">
        <v>12</v>
      </c>
      <c r="O9" s="230"/>
      <c r="P9" s="230"/>
      <c r="Q9" s="229" t="s">
        <v>13</v>
      </c>
      <c r="R9" s="229" t="s">
        <v>14</v>
      </c>
      <c r="S9" s="229" t="s">
        <v>15</v>
      </c>
      <c r="T9" s="36">
        <v>2021</v>
      </c>
      <c r="U9" s="37"/>
      <c r="V9" s="38" t="s">
        <v>44</v>
      </c>
    </row>
    <row r="10" spans="1:26" ht="14.25" customHeight="1" x14ac:dyDescent="0.2">
      <c r="A10" s="231"/>
      <c r="B10" s="232"/>
      <c r="C10" s="229"/>
      <c r="D10" s="233"/>
      <c r="E10" s="234"/>
      <c r="F10" s="232"/>
      <c r="G10" s="235"/>
      <c r="H10" s="236"/>
      <c r="I10" s="236"/>
      <c r="J10" s="227"/>
      <c r="K10" s="227"/>
      <c r="L10" s="228"/>
      <c r="M10" s="229"/>
      <c r="N10" s="213" t="s">
        <v>16</v>
      </c>
      <c r="O10" s="213" t="s">
        <v>17</v>
      </c>
      <c r="P10" s="213" t="s">
        <v>18</v>
      </c>
      <c r="Q10" s="229"/>
      <c r="R10" s="229"/>
      <c r="S10" s="229"/>
      <c r="T10" s="96" t="s">
        <v>236</v>
      </c>
      <c r="U10" s="39" t="s">
        <v>243</v>
      </c>
      <c r="V10" s="40"/>
    </row>
    <row r="11" spans="1:26" x14ac:dyDescent="0.2">
      <c r="A11" s="74">
        <v>2</v>
      </c>
      <c r="B11" s="107" t="s">
        <v>59</v>
      </c>
      <c r="C11" s="107" t="s">
        <v>60</v>
      </c>
      <c r="D11" s="110">
        <v>44237</v>
      </c>
      <c r="E11" s="74">
        <v>1</v>
      </c>
      <c r="F11" s="107" t="s">
        <v>61</v>
      </c>
      <c r="G11" s="111">
        <v>1</v>
      </c>
      <c r="H11" s="112">
        <v>300000000</v>
      </c>
      <c r="I11" s="112">
        <f>H11*G11</f>
        <v>300000000</v>
      </c>
      <c r="J11" s="110">
        <v>44222</v>
      </c>
      <c r="K11" s="77">
        <f>IFERROR(VALUE(DAY(J11)&amp;" "&amp;TEXT(EOMONTH(J11,L11)-29,"mmm")&amp;" "&amp;YEAR(EOMONTH(J11,L11)-29)),"-")</f>
        <v>49700</v>
      </c>
      <c r="L11" s="107">
        <v>180</v>
      </c>
      <c r="M11" s="99">
        <v>37.520000000000003</v>
      </c>
      <c r="N11" s="81">
        <f t="shared" ref="N11" si="10">M11*H11/1000</f>
        <v>11256000</v>
      </c>
      <c r="O11" s="81"/>
      <c r="P11" s="81"/>
      <c r="Q11" s="81">
        <f t="shared" ref="Q11" si="11">N11+O11+P11</f>
        <v>11256000</v>
      </c>
      <c r="R11" s="81">
        <f t="shared" ref="R11" si="12">10%*N11</f>
        <v>1125600</v>
      </c>
      <c r="S11" s="81">
        <f t="shared" ref="S11" si="13">Q11-R11</f>
        <v>10130400</v>
      </c>
      <c r="T11" s="42">
        <f>(R11*10%)+(Y11*8)</f>
        <v>157835.53072625698</v>
      </c>
      <c r="U11" s="1">
        <f t="shared" ref="U11" si="14">Y11*12</f>
        <v>67913.296089385476</v>
      </c>
      <c r="V11" s="34">
        <f t="shared" ref="V11" si="15">R11-T11-U11</f>
        <v>899851.17318435747</v>
      </c>
      <c r="W11" s="35">
        <f t="shared" ref="W11" si="16">T11+U11+V11</f>
        <v>1125600</v>
      </c>
      <c r="X11" s="35">
        <f t="shared" ref="X11" si="17">R11-W11</f>
        <v>0</v>
      </c>
      <c r="Y11" s="35">
        <v>5659.441340782123</v>
      </c>
      <c r="Z11" s="41">
        <f t="shared" ref="Z11" si="18">(R11-T11)/(L11-1)</f>
        <v>5406.5054149371117</v>
      </c>
    </row>
    <row r="12" spans="1:26" x14ac:dyDescent="0.2">
      <c r="A12" s="79"/>
      <c r="B12" s="59"/>
      <c r="C12" s="59"/>
      <c r="D12" s="59"/>
      <c r="E12" s="80">
        <f>SUM(E11:E11)</f>
        <v>1</v>
      </c>
      <c r="F12" s="80"/>
      <c r="G12" s="80"/>
      <c r="H12" s="79">
        <f>SUM(H11:H11)</f>
        <v>300000000</v>
      </c>
      <c r="I12" s="79">
        <f>SUM(I11:I11)</f>
        <v>300000000</v>
      </c>
      <c r="J12" s="79"/>
      <c r="K12" s="79"/>
      <c r="L12" s="79"/>
      <c r="M12" s="79"/>
      <c r="N12" s="79">
        <f t="shared" ref="N12:Z12" si="19">SUM(N11:N11)</f>
        <v>11256000</v>
      </c>
      <c r="O12" s="79">
        <f t="shared" si="19"/>
        <v>0</v>
      </c>
      <c r="P12" s="79">
        <f t="shared" si="19"/>
        <v>0</v>
      </c>
      <c r="Q12" s="79">
        <f t="shared" si="19"/>
        <v>11256000</v>
      </c>
      <c r="R12" s="79">
        <f t="shared" si="19"/>
        <v>1125600</v>
      </c>
      <c r="S12" s="79">
        <f t="shared" si="19"/>
        <v>10130400</v>
      </c>
      <c r="T12" s="79">
        <f t="shared" si="19"/>
        <v>157835.53072625698</v>
      </c>
      <c r="U12" s="79">
        <f t="shared" si="19"/>
        <v>67913.296089385476</v>
      </c>
      <c r="V12" s="79">
        <f t="shared" si="19"/>
        <v>899851.17318435747</v>
      </c>
      <c r="W12" s="79">
        <f t="shared" si="19"/>
        <v>1125600</v>
      </c>
      <c r="X12" s="79">
        <f t="shared" si="19"/>
        <v>0</v>
      </c>
      <c r="Y12" s="79">
        <f t="shared" si="19"/>
        <v>5659.441340782123</v>
      </c>
      <c r="Z12" s="79">
        <f t="shared" si="19"/>
        <v>5406.5054149371117</v>
      </c>
    </row>
    <row r="13" spans="1:26" x14ac:dyDescent="0.2">
      <c r="A13" s="89"/>
      <c r="B13" s="89"/>
      <c r="C13" s="89" t="s">
        <v>73</v>
      </c>
      <c r="D13" s="90"/>
      <c r="E13" s="85">
        <f>E6+E12</f>
        <v>2</v>
      </c>
      <c r="F13" s="87">
        <f t="shared" ref="F13:G13" si="20">F6</f>
        <v>0</v>
      </c>
      <c r="G13" s="87">
        <f t="shared" si="20"/>
        <v>0</v>
      </c>
      <c r="H13" s="87">
        <f>H6+H12</f>
        <v>500000000</v>
      </c>
      <c r="I13" s="87">
        <f t="shared" ref="I13:Z13" si="21">I6+I12</f>
        <v>500000000</v>
      </c>
      <c r="J13" s="87">
        <f t="shared" si="21"/>
        <v>0</v>
      </c>
      <c r="K13" s="87">
        <f t="shared" si="21"/>
        <v>0</v>
      </c>
      <c r="L13" s="87">
        <f t="shared" si="21"/>
        <v>0</v>
      </c>
      <c r="M13" s="87">
        <f t="shared" si="21"/>
        <v>0</v>
      </c>
      <c r="N13" s="87">
        <f t="shared" si="21"/>
        <v>15898000</v>
      </c>
      <c r="O13" s="87">
        <f t="shared" si="21"/>
        <v>0</v>
      </c>
      <c r="P13" s="87">
        <f t="shared" si="21"/>
        <v>0</v>
      </c>
      <c r="Q13" s="87">
        <f t="shared" si="21"/>
        <v>15898000</v>
      </c>
      <c r="R13" s="87">
        <f t="shared" si="21"/>
        <v>1589800</v>
      </c>
      <c r="S13" s="87">
        <f t="shared" si="21"/>
        <v>14308200</v>
      </c>
      <c r="T13" s="87">
        <f t="shared" si="21"/>
        <v>239395.90455803269</v>
      </c>
      <c r="U13" s="87">
        <f t="shared" si="21"/>
        <v>114767.12786508641</v>
      </c>
      <c r="V13" s="87">
        <f t="shared" si="21"/>
        <v>1235636.9675768809</v>
      </c>
      <c r="W13" s="87">
        <f t="shared" si="21"/>
        <v>1589800</v>
      </c>
      <c r="X13" s="87">
        <f t="shared" si="21"/>
        <v>0</v>
      </c>
      <c r="Y13" s="87">
        <f t="shared" si="21"/>
        <v>9563.9273220905343</v>
      </c>
      <c r="Z13" s="87">
        <f t="shared" si="21"/>
        <v>8982.5766875373374</v>
      </c>
    </row>
    <row r="16" spans="1:26" ht="14.25" customHeight="1" x14ac:dyDescent="0.2">
      <c r="A16" s="86" t="s">
        <v>91</v>
      </c>
      <c r="B16" s="62"/>
      <c r="C16" s="62"/>
      <c r="D16" s="57"/>
      <c r="E16" s="63"/>
      <c r="F16" s="64"/>
      <c r="G16" s="65"/>
      <c r="H16" s="66"/>
      <c r="I16" s="66"/>
      <c r="J16" s="67"/>
      <c r="K16" s="67"/>
      <c r="L16" s="68"/>
      <c r="M16" s="68"/>
      <c r="N16" s="69"/>
      <c r="O16" s="69"/>
      <c r="P16" s="69"/>
      <c r="Q16" s="69"/>
      <c r="R16" s="69"/>
      <c r="S16" s="69"/>
      <c r="T16" s="70"/>
      <c r="U16" s="71"/>
      <c r="V16" s="71"/>
    </row>
    <row r="17" spans="1:26" ht="14.25" customHeight="1" x14ac:dyDescent="0.2">
      <c r="A17" s="231" t="s">
        <v>0</v>
      </c>
      <c r="B17" s="232" t="s">
        <v>1</v>
      </c>
      <c r="C17" s="229" t="s">
        <v>2</v>
      </c>
      <c r="D17" s="233" t="s">
        <v>3</v>
      </c>
      <c r="E17" s="234" t="s">
        <v>4</v>
      </c>
      <c r="F17" s="232" t="s">
        <v>5</v>
      </c>
      <c r="G17" s="235" t="s">
        <v>6</v>
      </c>
      <c r="H17" s="236" t="s">
        <v>7</v>
      </c>
      <c r="I17" s="236" t="s">
        <v>8</v>
      </c>
      <c r="J17" s="227" t="s">
        <v>9</v>
      </c>
      <c r="K17" s="227"/>
      <c r="L17" s="228" t="s">
        <v>10</v>
      </c>
      <c r="M17" s="229" t="s">
        <v>11</v>
      </c>
      <c r="N17" s="230" t="s">
        <v>12</v>
      </c>
      <c r="O17" s="230"/>
      <c r="P17" s="230"/>
      <c r="Q17" s="229" t="s">
        <v>13</v>
      </c>
      <c r="R17" s="229" t="s">
        <v>14</v>
      </c>
      <c r="S17" s="229" t="s">
        <v>15</v>
      </c>
      <c r="T17" s="36">
        <v>2021</v>
      </c>
      <c r="U17" s="37"/>
      <c r="V17" s="38" t="s">
        <v>44</v>
      </c>
    </row>
    <row r="18" spans="1:26" ht="14.25" customHeight="1" x14ac:dyDescent="0.2">
      <c r="A18" s="231"/>
      <c r="B18" s="232"/>
      <c r="C18" s="229"/>
      <c r="D18" s="233"/>
      <c r="E18" s="234"/>
      <c r="F18" s="232"/>
      <c r="G18" s="235"/>
      <c r="H18" s="236"/>
      <c r="I18" s="236"/>
      <c r="J18" s="227"/>
      <c r="K18" s="227"/>
      <c r="L18" s="228"/>
      <c r="M18" s="229"/>
      <c r="N18" s="213" t="s">
        <v>16</v>
      </c>
      <c r="O18" s="213" t="s">
        <v>17</v>
      </c>
      <c r="P18" s="213" t="s">
        <v>18</v>
      </c>
      <c r="Q18" s="229"/>
      <c r="R18" s="229"/>
      <c r="S18" s="229"/>
      <c r="T18" s="96" t="s">
        <v>237</v>
      </c>
      <c r="U18" s="39" t="s">
        <v>243</v>
      </c>
      <c r="V18" s="40"/>
    </row>
    <row r="19" spans="1:26" x14ac:dyDescent="0.2">
      <c r="A19" s="74">
        <v>3</v>
      </c>
      <c r="B19" s="107" t="s">
        <v>49</v>
      </c>
      <c r="C19" s="107" t="s">
        <v>78</v>
      </c>
      <c r="D19" s="110">
        <v>44237</v>
      </c>
      <c r="E19" s="74">
        <v>1</v>
      </c>
      <c r="F19" s="107" t="s">
        <v>79</v>
      </c>
      <c r="G19" s="111">
        <v>1</v>
      </c>
      <c r="H19" s="112">
        <v>40000000</v>
      </c>
      <c r="I19" s="112">
        <f>H19*G19</f>
        <v>40000000</v>
      </c>
      <c r="J19" s="110">
        <v>44245</v>
      </c>
      <c r="K19" s="77">
        <f>IFERROR(VALUE(DAY(J19)&amp;" "&amp;TEXT(EOMONTH(J19,L19)-29,"mmm")&amp;" "&amp;YEAR(EOMONTH(J19,L19)-29)),"-")</f>
        <v>44944</v>
      </c>
      <c r="L19" s="107">
        <v>24</v>
      </c>
      <c r="M19" s="99">
        <v>21.1</v>
      </c>
      <c r="N19" s="81">
        <f t="shared" ref="N19" si="22">M19*H19/1000</f>
        <v>844000</v>
      </c>
      <c r="O19" s="81"/>
      <c r="P19" s="81"/>
      <c r="Q19" s="81">
        <f t="shared" ref="Q19" si="23">N19+O19+P19</f>
        <v>844000</v>
      </c>
      <c r="R19" s="81">
        <f t="shared" ref="R19" si="24">10%*N19</f>
        <v>84400</v>
      </c>
      <c r="S19" s="81">
        <f t="shared" ref="S19" si="25">Q19-R19</f>
        <v>759600</v>
      </c>
      <c r="T19" s="42">
        <f>R19*10%+(Y19*7)</f>
        <v>31558.260869565216</v>
      </c>
      <c r="U19" s="1">
        <f>Y19*12</f>
        <v>39631.304347826088</v>
      </c>
      <c r="V19" s="34">
        <f t="shared" ref="V19" si="26">R19-T19-U19</f>
        <v>13210.434782608696</v>
      </c>
      <c r="W19" s="35">
        <f t="shared" ref="W19" si="27">T19+U19+V19</f>
        <v>84400</v>
      </c>
      <c r="X19" s="35">
        <f t="shared" ref="X19" si="28">R19-W19</f>
        <v>0</v>
      </c>
      <c r="Y19" s="35">
        <v>3302.608695652174</v>
      </c>
      <c r="Z19" s="41">
        <f>(R19-T19)/(L19-1)</f>
        <v>2297.466918714556</v>
      </c>
    </row>
    <row r="20" spans="1:26" x14ac:dyDescent="0.2">
      <c r="A20" s="88"/>
      <c r="B20" s="84"/>
      <c r="C20" s="84"/>
      <c r="D20" s="84"/>
      <c r="E20" s="88">
        <f>SUM(E19:E19)</f>
        <v>1</v>
      </c>
      <c r="F20" s="84"/>
      <c r="G20" s="115"/>
      <c r="H20" s="59">
        <f>SUM(H19:H19)</f>
        <v>40000000</v>
      </c>
      <c r="I20" s="59">
        <f>SUM(I19:I19)</f>
        <v>40000000</v>
      </c>
      <c r="J20" s="59"/>
      <c r="K20" s="59"/>
      <c r="L20" s="59"/>
      <c r="M20" s="59"/>
      <c r="N20" s="59">
        <f t="shared" ref="N20:Z20" si="29">SUM(N19:N19)</f>
        <v>844000</v>
      </c>
      <c r="O20" s="59">
        <f t="shared" si="29"/>
        <v>0</v>
      </c>
      <c r="P20" s="59">
        <f t="shared" si="29"/>
        <v>0</v>
      </c>
      <c r="Q20" s="59">
        <f t="shared" si="29"/>
        <v>844000</v>
      </c>
      <c r="R20" s="59">
        <f t="shared" si="29"/>
        <v>84400</v>
      </c>
      <c r="S20" s="59">
        <f t="shared" si="29"/>
        <v>759600</v>
      </c>
      <c r="T20" s="59">
        <f t="shared" si="29"/>
        <v>31558.260869565216</v>
      </c>
      <c r="U20" s="59">
        <f t="shared" si="29"/>
        <v>39631.304347826088</v>
      </c>
      <c r="V20" s="59">
        <f t="shared" si="29"/>
        <v>13210.434782608696</v>
      </c>
      <c r="W20" s="59">
        <f t="shared" si="29"/>
        <v>84400</v>
      </c>
      <c r="X20" s="59">
        <f t="shared" si="29"/>
        <v>0</v>
      </c>
      <c r="Y20" s="59">
        <f t="shared" si="29"/>
        <v>3302.608695652174</v>
      </c>
      <c r="Z20" s="59">
        <f t="shared" si="29"/>
        <v>2297.466918714556</v>
      </c>
    </row>
    <row r="21" spans="1:26" x14ac:dyDescent="0.2">
      <c r="A21" s="74">
        <v>4</v>
      </c>
      <c r="B21" s="107" t="s">
        <v>84</v>
      </c>
      <c r="C21" s="107" t="s">
        <v>85</v>
      </c>
      <c r="D21" s="110">
        <v>44286</v>
      </c>
      <c r="E21" s="74">
        <v>1</v>
      </c>
      <c r="F21" s="107" t="s">
        <v>86</v>
      </c>
      <c r="G21" s="111">
        <v>1</v>
      </c>
      <c r="H21" s="112">
        <v>300000000</v>
      </c>
      <c r="I21" s="112">
        <f>H21*G21</f>
        <v>300000000</v>
      </c>
      <c r="J21" s="110">
        <v>44263</v>
      </c>
      <c r="K21" s="77">
        <f t="shared" ref="K21" si="30">IFERROR(VALUE(DAY(J21)&amp;" "&amp;TEXT(EOMONTH(J21,L21)-29,"mmm")&amp;" "&amp;YEAR(EOMONTH(J21,L21)-29)),"-")</f>
        <v>44993</v>
      </c>
      <c r="L21" s="107">
        <v>24</v>
      </c>
      <c r="M21" s="99">
        <v>51.12</v>
      </c>
      <c r="N21" s="81">
        <f t="shared" ref="N21" si="31">M21*H21/1000</f>
        <v>15336000</v>
      </c>
      <c r="O21" s="81"/>
      <c r="P21" s="81"/>
      <c r="Q21" s="81">
        <f t="shared" ref="Q21" si="32">N21+O21+P21</f>
        <v>15336000</v>
      </c>
      <c r="R21" s="81">
        <f t="shared" ref="R21" si="33">10%*N21</f>
        <v>1533600</v>
      </c>
      <c r="S21" s="81">
        <f t="shared" ref="S21" si="34">Q21-R21</f>
        <v>13802400</v>
      </c>
      <c r="T21" s="42"/>
      <c r="U21" s="1"/>
      <c r="V21" s="34"/>
      <c r="W21" s="35"/>
      <c r="X21" s="35"/>
      <c r="Y21" s="35"/>
      <c r="Z21" s="41"/>
    </row>
    <row r="22" spans="1:26" x14ac:dyDescent="0.2">
      <c r="A22" s="88"/>
      <c r="B22" s="84"/>
      <c r="C22" s="84"/>
      <c r="D22" s="84"/>
      <c r="E22" s="88"/>
      <c r="F22" s="84"/>
      <c r="G22" s="115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>
        <f t="shared" ref="S22:Z22" si="35">SUM(S21:S21)</f>
        <v>13802400</v>
      </c>
      <c r="T22" s="59">
        <f t="shared" si="35"/>
        <v>0</v>
      </c>
      <c r="U22" s="59">
        <f t="shared" si="35"/>
        <v>0</v>
      </c>
      <c r="V22" s="59">
        <f t="shared" si="35"/>
        <v>0</v>
      </c>
      <c r="W22" s="59">
        <f t="shared" si="35"/>
        <v>0</v>
      </c>
      <c r="X22" s="59">
        <f t="shared" si="35"/>
        <v>0</v>
      </c>
      <c r="Y22" s="59">
        <f t="shared" si="35"/>
        <v>0</v>
      </c>
      <c r="Z22" s="59">
        <f t="shared" si="35"/>
        <v>0</v>
      </c>
    </row>
    <row r="23" spans="1:26" x14ac:dyDescent="0.2">
      <c r="A23" s="83"/>
      <c r="B23" s="83"/>
      <c r="C23" s="83" t="s">
        <v>92</v>
      </c>
      <c r="D23" s="84"/>
      <c r="E23" s="85">
        <f>E22+E20</f>
        <v>1</v>
      </c>
      <c r="F23" s="87"/>
      <c r="G23" s="87"/>
      <c r="H23" s="87">
        <f t="shared" ref="H23:Z23" si="36">H22+H20</f>
        <v>40000000</v>
      </c>
      <c r="I23" s="87">
        <f t="shared" si="36"/>
        <v>40000000</v>
      </c>
      <c r="J23" s="87">
        <f t="shared" si="36"/>
        <v>0</v>
      </c>
      <c r="K23" s="87">
        <f t="shared" si="36"/>
        <v>0</v>
      </c>
      <c r="L23" s="87"/>
      <c r="M23" s="87"/>
      <c r="N23" s="87">
        <f t="shared" si="36"/>
        <v>844000</v>
      </c>
      <c r="O23" s="87">
        <f t="shared" si="36"/>
        <v>0</v>
      </c>
      <c r="P23" s="87">
        <f t="shared" si="36"/>
        <v>0</v>
      </c>
      <c r="Q23" s="87">
        <f t="shared" si="36"/>
        <v>844000</v>
      </c>
      <c r="R23" s="87">
        <f t="shared" si="36"/>
        <v>84400</v>
      </c>
      <c r="S23" s="87">
        <f t="shared" si="36"/>
        <v>14562000</v>
      </c>
      <c r="T23" s="87">
        <f t="shared" si="36"/>
        <v>31558.260869565216</v>
      </c>
      <c r="U23" s="87">
        <f t="shared" si="36"/>
        <v>39631.304347826088</v>
      </c>
      <c r="V23" s="87">
        <f t="shared" si="36"/>
        <v>13210.434782608696</v>
      </c>
      <c r="W23" s="87">
        <f t="shared" si="36"/>
        <v>84400</v>
      </c>
      <c r="X23" s="87">
        <f t="shared" si="36"/>
        <v>0</v>
      </c>
      <c r="Y23" s="87">
        <f t="shared" si="36"/>
        <v>3302.608695652174</v>
      </c>
      <c r="Z23" s="87">
        <f t="shared" si="36"/>
        <v>2297.466918714556</v>
      </c>
    </row>
    <row r="24" spans="1:26" s="94" customFormat="1" x14ac:dyDescent="0.2">
      <c r="A24" s="83"/>
      <c r="B24" s="83"/>
      <c r="C24" s="83" t="s">
        <v>93</v>
      </c>
      <c r="D24" s="84"/>
      <c r="E24" s="85">
        <f>E23+E13</f>
        <v>3</v>
      </c>
      <c r="F24" s="87">
        <f t="shared" ref="F24:Z24" si="37">F23+F13</f>
        <v>0</v>
      </c>
      <c r="G24" s="87">
        <f t="shared" si="37"/>
        <v>0</v>
      </c>
      <c r="H24" s="87">
        <f t="shared" si="37"/>
        <v>540000000</v>
      </c>
      <c r="I24" s="87">
        <f t="shared" si="37"/>
        <v>540000000</v>
      </c>
      <c r="J24" s="87">
        <f t="shared" si="37"/>
        <v>0</v>
      </c>
      <c r="K24" s="87">
        <f t="shared" si="37"/>
        <v>0</v>
      </c>
      <c r="L24" s="87">
        <f t="shared" si="37"/>
        <v>0</v>
      </c>
      <c r="M24" s="87">
        <f t="shared" si="37"/>
        <v>0</v>
      </c>
      <c r="N24" s="87">
        <f t="shared" si="37"/>
        <v>16742000</v>
      </c>
      <c r="O24" s="87">
        <f t="shared" si="37"/>
        <v>0</v>
      </c>
      <c r="P24" s="87">
        <f t="shared" si="37"/>
        <v>0</v>
      </c>
      <c r="Q24" s="87">
        <f t="shared" si="37"/>
        <v>16742000</v>
      </c>
      <c r="R24" s="87">
        <f>R23+R13</f>
        <v>1674200</v>
      </c>
      <c r="S24" s="87">
        <f t="shared" si="37"/>
        <v>28870200</v>
      </c>
      <c r="T24" s="87">
        <f t="shared" si="37"/>
        <v>270954.16542759794</v>
      </c>
      <c r="U24" s="87">
        <f t="shared" si="37"/>
        <v>154398.43221291251</v>
      </c>
      <c r="V24" s="87">
        <f t="shared" si="37"/>
        <v>1248847.4023594896</v>
      </c>
      <c r="W24" s="87">
        <f t="shared" si="37"/>
        <v>1674200</v>
      </c>
      <c r="X24" s="87">
        <f t="shared" si="37"/>
        <v>0</v>
      </c>
      <c r="Y24" s="87">
        <f t="shared" si="37"/>
        <v>12866.536017742708</v>
      </c>
      <c r="Z24" s="87">
        <f t="shared" si="37"/>
        <v>11280.043606251893</v>
      </c>
    </row>
    <row r="26" spans="1:26" ht="14.25" customHeight="1" x14ac:dyDescent="0.2">
      <c r="A26" s="86" t="s">
        <v>120</v>
      </c>
      <c r="B26" s="62"/>
      <c r="C26" s="62"/>
      <c r="D26" s="57"/>
      <c r="E26" s="63"/>
      <c r="F26" s="64"/>
      <c r="G26" s="65"/>
      <c r="H26" s="66"/>
      <c r="I26" s="66"/>
      <c r="J26" s="67"/>
      <c r="K26" s="67"/>
      <c r="L26" s="68"/>
      <c r="M26" s="68"/>
      <c r="N26" s="69"/>
      <c r="O26" s="69"/>
      <c r="P26" s="69"/>
      <c r="Q26" s="69"/>
      <c r="R26" s="69"/>
      <c r="S26" s="69"/>
      <c r="T26" s="70"/>
      <c r="U26" s="71"/>
      <c r="V26" s="71"/>
    </row>
    <row r="27" spans="1:26" ht="14.25" customHeight="1" x14ac:dyDescent="0.2">
      <c r="A27" s="231" t="s">
        <v>0</v>
      </c>
      <c r="B27" s="232" t="s">
        <v>1</v>
      </c>
      <c r="C27" s="229" t="s">
        <v>2</v>
      </c>
      <c r="D27" s="233" t="s">
        <v>3</v>
      </c>
      <c r="E27" s="234" t="s">
        <v>4</v>
      </c>
      <c r="F27" s="232" t="s">
        <v>5</v>
      </c>
      <c r="G27" s="235" t="s">
        <v>6</v>
      </c>
      <c r="H27" s="236" t="s">
        <v>7</v>
      </c>
      <c r="I27" s="236" t="s">
        <v>8</v>
      </c>
      <c r="J27" s="227" t="s">
        <v>9</v>
      </c>
      <c r="K27" s="227"/>
      <c r="L27" s="228" t="s">
        <v>10</v>
      </c>
      <c r="M27" s="229" t="s">
        <v>11</v>
      </c>
      <c r="N27" s="230" t="s">
        <v>12</v>
      </c>
      <c r="O27" s="230"/>
      <c r="P27" s="230"/>
      <c r="Q27" s="229" t="s">
        <v>13</v>
      </c>
      <c r="R27" s="229" t="s">
        <v>14</v>
      </c>
      <c r="S27" s="229" t="s">
        <v>15</v>
      </c>
      <c r="T27" s="36">
        <v>2021</v>
      </c>
      <c r="U27" s="37"/>
      <c r="V27" s="38" t="s">
        <v>44</v>
      </c>
    </row>
    <row r="28" spans="1:26" ht="14.25" customHeight="1" x14ac:dyDescent="0.2">
      <c r="A28" s="231"/>
      <c r="B28" s="232"/>
      <c r="C28" s="229"/>
      <c r="D28" s="233"/>
      <c r="E28" s="234"/>
      <c r="F28" s="232"/>
      <c r="G28" s="235"/>
      <c r="H28" s="236"/>
      <c r="I28" s="236"/>
      <c r="J28" s="227"/>
      <c r="K28" s="227"/>
      <c r="L28" s="228"/>
      <c r="M28" s="229"/>
      <c r="N28" s="213" t="s">
        <v>16</v>
      </c>
      <c r="O28" s="213" t="s">
        <v>17</v>
      </c>
      <c r="P28" s="213" t="s">
        <v>18</v>
      </c>
      <c r="Q28" s="229"/>
      <c r="R28" s="229"/>
      <c r="S28" s="229"/>
      <c r="T28" s="96" t="s">
        <v>238</v>
      </c>
      <c r="U28" s="39" t="s">
        <v>243</v>
      </c>
      <c r="V28" s="40"/>
    </row>
    <row r="29" spans="1:26" x14ac:dyDescent="0.2">
      <c r="A29" s="74">
        <v>5</v>
      </c>
      <c r="B29" s="107" t="s">
        <v>46</v>
      </c>
      <c r="C29" s="107" t="s">
        <v>96</v>
      </c>
      <c r="D29" s="110">
        <v>44313</v>
      </c>
      <c r="E29" s="74">
        <v>1</v>
      </c>
      <c r="F29" s="107" t="s">
        <v>47</v>
      </c>
      <c r="G29" s="111">
        <v>1</v>
      </c>
      <c r="H29" s="112">
        <v>57599206</v>
      </c>
      <c r="I29" s="112">
        <f>H29*G29</f>
        <v>57599206</v>
      </c>
      <c r="J29" s="110">
        <v>46069</v>
      </c>
      <c r="K29" s="77">
        <v>46446</v>
      </c>
      <c r="L29" s="107">
        <v>12</v>
      </c>
      <c r="M29" s="99">
        <v>9.1</v>
      </c>
      <c r="N29" s="81">
        <f t="shared" ref="N29:N30" si="38">M29*H29/1000</f>
        <v>524152.77459999995</v>
      </c>
      <c r="O29" s="81">
        <v>100000</v>
      </c>
      <c r="P29" s="81"/>
      <c r="Q29" s="81">
        <f t="shared" ref="Q29:Q30" si="39">N29+O29+P29</f>
        <v>624152.77459999989</v>
      </c>
      <c r="R29" s="81"/>
      <c r="S29" s="81">
        <f t="shared" ref="S29:S30" si="40">Q29-R29</f>
        <v>624152.77459999989</v>
      </c>
      <c r="T29" s="42">
        <f>R29*10%</f>
        <v>0</v>
      </c>
      <c r="U29" s="1">
        <f>Y29*12</f>
        <v>0</v>
      </c>
      <c r="V29" s="34">
        <f t="shared" ref="V29:V41" si="41">R29-T29-U29</f>
        <v>0</v>
      </c>
      <c r="W29" s="35">
        <f t="shared" ref="W29:W41" si="42">T29+U29+V29</f>
        <v>0</v>
      </c>
      <c r="X29" s="35">
        <f t="shared" ref="X29:X41" si="43">R29-W29</f>
        <v>0</v>
      </c>
      <c r="Y29" s="35">
        <v>0</v>
      </c>
      <c r="Z29" s="41">
        <f>(R29-T29)/(L29-1)</f>
        <v>0</v>
      </c>
    </row>
    <row r="30" spans="1:26" x14ac:dyDescent="0.2">
      <c r="A30" s="74"/>
      <c r="B30" s="107"/>
      <c r="C30" s="107"/>
      <c r="D30" s="110"/>
      <c r="E30" s="74">
        <v>1</v>
      </c>
      <c r="F30" s="107" t="s">
        <v>48</v>
      </c>
      <c r="G30" s="111">
        <v>1</v>
      </c>
      <c r="H30" s="112">
        <v>11844392</v>
      </c>
      <c r="I30" s="112">
        <f>H30*G30</f>
        <v>11844392</v>
      </c>
      <c r="J30" s="110">
        <v>46523</v>
      </c>
      <c r="K30" s="77">
        <v>46768</v>
      </c>
      <c r="L30" s="107">
        <v>8</v>
      </c>
      <c r="M30" s="99">
        <v>5.46</v>
      </c>
      <c r="N30" s="81">
        <f t="shared" si="38"/>
        <v>64670.380320000004</v>
      </c>
      <c r="O30" s="81">
        <v>100000</v>
      </c>
      <c r="P30" s="81"/>
      <c r="Q30" s="81">
        <f t="shared" si="39"/>
        <v>164670.38032</v>
      </c>
      <c r="R30" s="81"/>
      <c r="S30" s="81">
        <f t="shared" si="40"/>
        <v>164670.38032</v>
      </c>
      <c r="T30" s="42">
        <f t="shared" ref="T30:T41" si="44">R30*10%</f>
        <v>0</v>
      </c>
      <c r="U30" s="1">
        <f t="shared" ref="U30:U41" si="45">Y30*12</f>
        <v>0</v>
      </c>
      <c r="V30" s="34">
        <f t="shared" si="41"/>
        <v>0</v>
      </c>
      <c r="W30" s="35">
        <f t="shared" si="42"/>
        <v>0</v>
      </c>
      <c r="X30" s="35">
        <f t="shared" si="43"/>
        <v>0</v>
      </c>
      <c r="Y30" s="35">
        <v>0</v>
      </c>
      <c r="Z30" s="41">
        <f t="shared" ref="Z30:Z41" si="46">(R30-T30)/(L30-1)</f>
        <v>0</v>
      </c>
    </row>
    <row r="31" spans="1:26" x14ac:dyDescent="0.2">
      <c r="A31" s="88"/>
      <c r="B31" s="84"/>
      <c r="C31" s="84"/>
      <c r="D31" s="84"/>
      <c r="E31" s="88"/>
      <c r="F31" s="84"/>
      <c r="G31" s="115"/>
      <c r="H31" s="59"/>
      <c r="I31" s="59"/>
      <c r="J31" s="59"/>
      <c r="K31" s="59"/>
      <c r="L31" s="59"/>
      <c r="M31" s="59"/>
      <c r="N31" s="59">
        <f t="shared" ref="N31:Z31" si="47">SUM(N29:N30)</f>
        <v>588823.15492</v>
      </c>
      <c r="O31" s="59">
        <f t="shared" si="47"/>
        <v>200000</v>
      </c>
      <c r="P31" s="59">
        <f t="shared" si="47"/>
        <v>0</v>
      </c>
      <c r="Q31" s="59">
        <f t="shared" si="47"/>
        <v>788823.15491999988</v>
      </c>
      <c r="R31" s="59">
        <f t="shared" si="47"/>
        <v>0</v>
      </c>
      <c r="S31" s="59">
        <f t="shared" si="47"/>
        <v>788823.15491999988</v>
      </c>
      <c r="T31" s="59">
        <f t="shared" si="47"/>
        <v>0</v>
      </c>
      <c r="U31" s="59">
        <f t="shared" si="47"/>
        <v>0</v>
      </c>
      <c r="V31" s="59">
        <f t="shared" si="47"/>
        <v>0</v>
      </c>
      <c r="W31" s="59">
        <f t="shared" si="47"/>
        <v>0</v>
      </c>
      <c r="X31" s="59">
        <f t="shared" si="47"/>
        <v>0</v>
      </c>
      <c r="Y31" s="59">
        <f t="shared" si="47"/>
        <v>0</v>
      </c>
      <c r="Z31" s="59">
        <f t="shared" si="47"/>
        <v>0</v>
      </c>
    </row>
    <row r="32" spans="1:26" x14ac:dyDescent="0.2">
      <c r="A32" s="74">
        <v>6</v>
      </c>
      <c r="B32" s="107" t="s">
        <v>49</v>
      </c>
      <c r="C32" s="107" t="s">
        <v>101</v>
      </c>
      <c r="D32" s="110">
        <v>44301</v>
      </c>
      <c r="E32" s="74">
        <v>1</v>
      </c>
      <c r="F32" s="107" t="s">
        <v>102</v>
      </c>
      <c r="G32" s="111">
        <v>1</v>
      </c>
      <c r="H32" s="112">
        <v>35000000</v>
      </c>
      <c r="I32" s="112">
        <f>H32*G32</f>
        <v>35000000</v>
      </c>
      <c r="J32" s="110">
        <v>44278</v>
      </c>
      <c r="K32" s="77">
        <f t="shared" ref="K32" si="48">IFERROR(VALUE(DAY(J32)&amp;" "&amp;TEXT(EOMONTH(J32,L32)-29,"mmm")&amp;" "&amp;YEAR(EOMONTH(J32,L32)-29)),"-")</f>
        <v>45374</v>
      </c>
      <c r="L32" s="107">
        <v>36</v>
      </c>
      <c r="M32" s="99">
        <v>31.16</v>
      </c>
      <c r="N32" s="81">
        <f t="shared" ref="N32" si="49">M32*H32/1000</f>
        <v>1090600</v>
      </c>
      <c r="O32" s="81"/>
      <c r="P32" s="81"/>
      <c r="Q32" s="81">
        <f t="shared" ref="Q32" si="50">N32+O32+P32</f>
        <v>1090600</v>
      </c>
      <c r="R32" s="81">
        <f t="shared" ref="R32" si="51">10%*N32</f>
        <v>109060</v>
      </c>
      <c r="S32" s="81">
        <f t="shared" ref="S32" si="52">Q32-R32</f>
        <v>981540</v>
      </c>
      <c r="T32" s="42">
        <f>R32*10%+(Y32*6)</f>
        <v>27732.400000000001</v>
      </c>
      <c r="U32" s="1">
        <f t="shared" si="45"/>
        <v>33652.800000000003</v>
      </c>
      <c r="V32" s="34">
        <f t="shared" si="41"/>
        <v>47674.8</v>
      </c>
      <c r="W32" s="35">
        <f t="shared" si="42"/>
        <v>109060</v>
      </c>
      <c r="X32" s="35">
        <f t="shared" si="43"/>
        <v>0</v>
      </c>
      <c r="Y32" s="35">
        <v>2804.4</v>
      </c>
      <c r="Z32" s="41">
        <f t="shared" si="46"/>
        <v>2323.6457142857143</v>
      </c>
    </row>
    <row r="33" spans="1:26" x14ac:dyDescent="0.2">
      <c r="A33" s="88"/>
      <c r="B33" s="84"/>
      <c r="C33" s="84"/>
      <c r="D33" s="84"/>
      <c r="E33" s="88">
        <f>SUM(E32:E32)</f>
        <v>1</v>
      </c>
      <c r="F33" s="84"/>
      <c r="G33" s="115"/>
      <c r="H33" s="59">
        <f>SUM(H32:H32)</f>
        <v>35000000</v>
      </c>
      <c r="I33" s="59">
        <f>SUM(I32:I32)</f>
        <v>35000000</v>
      </c>
      <c r="J33" s="59"/>
      <c r="K33" s="59"/>
      <c r="L33" s="59"/>
      <c r="M33" s="59"/>
      <c r="N33" s="59">
        <f t="shared" ref="N33:Z33" si="53">SUM(N32:N32)</f>
        <v>1090600</v>
      </c>
      <c r="O33" s="59">
        <f t="shared" si="53"/>
        <v>0</v>
      </c>
      <c r="P33" s="59">
        <f t="shared" si="53"/>
        <v>0</v>
      </c>
      <c r="Q33" s="59">
        <f t="shared" si="53"/>
        <v>1090600</v>
      </c>
      <c r="R33" s="59">
        <f t="shared" si="53"/>
        <v>109060</v>
      </c>
      <c r="S33" s="59">
        <f t="shared" si="53"/>
        <v>981540</v>
      </c>
      <c r="T33" s="59">
        <f t="shared" si="53"/>
        <v>27732.400000000001</v>
      </c>
      <c r="U33" s="59">
        <f t="shared" si="53"/>
        <v>33652.800000000003</v>
      </c>
      <c r="V33" s="59">
        <f t="shared" si="53"/>
        <v>47674.8</v>
      </c>
      <c r="W33" s="59">
        <f t="shared" si="53"/>
        <v>109060</v>
      </c>
      <c r="X33" s="59">
        <f t="shared" si="53"/>
        <v>0</v>
      </c>
      <c r="Y33" s="59">
        <f t="shared" si="53"/>
        <v>2804.4</v>
      </c>
      <c r="Z33" s="59">
        <f t="shared" si="53"/>
        <v>2323.6457142857143</v>
      </c>
    </row>
    <row r="34" spans="1:26" x14ac:dyDescent="0.2">
      <c r="A34" s="74">
        <v>7</v>
      </c>
      <c r="B34" s="107" t="s">
        <v>49</v>
      </c>
      <c r="C34" s="107" t="s">
        <v>103</v>
      </c>
      <c r="D34" s="110">
        <v>44316</v>
      </c>
      <c r="E34" s="74">
        <v>1</v>
      </c>
      <c r="F34" s="107" t="s">
        <v>104</v>
      </c>
      <c r="G34" s="111">
        <v>1</v>
      </c>
      <c r="H34" s="112">
        <v>83000000</v>
      </c>
      <c r="I34" s="112">
        <f>H34*G34</f>
        <v>83000000</v>
      </c>
      <c r="J34" s="110">
        <v>44315</v>
      </c>
      <c r="K34" s="77">
        <f>IFERROR(VALUE(DAY(J34)&amp;" "&amp;TEXT(EOMONTH(J34,L34)-29,"mmm")&amp;" "&amp;YEAR(EOMONTH(J34,L34)-29)),"-")</f>
        <v>46506</v>
      </c>
      <c r="L34" s="107">
        <v>72</v>
      </c>
      <c r="M34" s="99">
        <v>50.64</v>
      </c>
      <c r="N34" s="81">
        <f t="shared" ref="N34" si="54">M34*H34/1000</f>
        <v>4203120</v>
      </c>
      <c r="O34" s="81"/>
      <c r="P34" s="81"/>
      <c r="Q34" s="81">
        <f t="shared" ref="Q34" si="55">N34+O34+P34</f>
        <v>4203120</v>
      </c>
      <c r="R34" s="81">
        <f t="shared" ref="R34" si="56">10%*N34</f>
        <v>420312</v>
      </c>
      <c r="S34" s="81">
        <f t="shared" ref="S34" si="57">Q34-R34</f>
        <v>3782808</v>
      </c>
      <c r="T34" s="42">
        <f>R34*10%+(Y34*6)</f>
        <v>73998.591549295787</v>
      </c>
      <c r="U34" s="1">
        <f t="shared" si="45"/>
        <v>63934.78309859155</v>
      </c>
      <c r="V34" s="34">
        <f t="shared" si="41"/>
        <v>282378.62535211263</v>
      </c>
      <c r="W34" s="35">
        <f t="shared" si="42"/>
        <v>420312</v>
      </c>
      <c r="X34" s="35">
        <f t="shared" si="43"/>
        <v>0</v>
      </c>
      <c r="Y34" s="35">
        <v>5327.8985915492958</v>
      </c>
      <c r="Z34" s="41">
        <f t="shared" si="46"/>
        <v>4877.6536401507628</v>
      </c>
    </row>
    <row r="35" spans="1:26" x14ac:dyDescent="0.2">
      <c r="A35" s="150"/>
      <c r="B35" s="90"/>
      <c r="C35" s="90"/>
      <c r="D35" s="90"/>
      <c r="E35" s="150">
        <f>SUM(E34:E34)</f>
        <v>1</v>
      </c>
      <c r="F35" s="90"/>
      <c r="G35" s="151"/>
      <c r="H35" s="152">
        <f>SUM(H34:H34)</f>
        <v>83000000</v>
      </c>
      <c r="I35" s="152">
        <f>SUM(I34:I34)</f>
        <v>83000000</v>
      </c>
      <c r="J35" s="152"/>
      <c r="K35" s="152"/>
      <c r="L35" s="152"/>
      <c r="M35" s="152"/>
      <c r="N35" s="152">
        <f t="shared" ref="N35:Z35" si="58">SUM(N34:N34)</f>
        <v>4203120</v>
      </c>
      <c r="O35" s="152">
        <f t="shared" si="58"/>
        <v>0</v>
      </c>
      <c r="P35" s="152">
        <f t="shared" si="58"/>
        <v>0</v>
      </c>
      <c r="Q35" s="152">
        <f t="shared" si="58"/>
        <v>4203120</v>
      </c>
      <c r="R35" s="152">
        <f t="shared" si="58"/>
        <v>420312</v>
      </c>
      <c r="S35" s="152">
        <f t="shared" si="58"/>
        <v>3782808</v>
      </c>
      <c r="T35" s="152">
        <f t="shared" si="58"/>
        <v>73998.591549295787</v>
      </c>
      <c r="U35" s="152">
        <f t="shared" si="58"/>
        <v>63934.78309859155</v>
      </c>
      <c r="V35" s="152">
        <f t="shared" si="58"/>
        <v>282378.62535211263</v>
      </c>
      <c r="W35" s="152">
        <f t="shared" si="58"/>
        <v>420312</v>
      </c>
      <c r="X35" s="152">
        <f t="shared" si="58"/>
        <v>0</v>
      </c>
      <c r="Y35" s="152">
        <f t="shared" si="58"/>
        <v>5327.8985915492958</v>
      </c>
      <c r="Z35" s="152">
        <f t="shared" si="58"/>
        <v>4877.6536401507628</v>
      </c>
    </row>
    <row r="36" spans="1:26" x14ac:dyDescent="0.2">
      <c r="A36" s="74">
        <v>8</v>
      </c>
      <c r="B36" s="107" t="s">
        <v>49</v>
      </c>
      <c r="C36" s="107" t="s">
        <v>105</v>
      </c>
      <c r="D36" s="110">
        <v>44316</v>
      </c>
      <c r="E36" s="74">
        <v>1</v>
      </c>
      <c r="F36" s="107" t="s">
        <v>106</v>
      </c>
      <c r="G36" s="111">
        <v>1</v>
      </c>
      <c r="H36" s="112">
        <v>35000000</v>
      </c>
      <c r="I36" s="112">
        <f>H36*G36</f>
        <v>35000000</v>
      </c>
      <c r="J36" s="110">
        <v>44313</v>
      </c>
      <c r="K36" s="77">
        <f>IFERROR(VALUE(DAY(J36)&amp;" "&amp;TEXT(EOMONTH(J36,L36)-29,"mmm")&amp;" "&amp;YEAR(EOMONTH(J36,L36)-29)),"-")</f>
        <v>45409</v>
      </c>
      <c r="L36" s="107">
        <v>36</v>
      </c>
      <c r="M36" s="99">
        <v>30.71</v>
      </c>
      <c r="N36" s="81">
        <f t="shared" ref="N36" si="59">M36*H36/1000</f>
        <v>1074850</v>
      </c>
      <c r="O36" s="81"/>
      <c r="P36" s="81"/>
      <c r="Q36" s="81">
        <f t="shared" ref="Q36" si="60">N36+O36+P36</f>
        <v>1074850</v>
      </c>
      <c r="R36" s="81">
        <f t="shared" ref="R36" si="61">10%*N36</f>
        <v>107485</v>
      </c>
      <c r="S36" s="81">
        <f t="shared" ref="S36" si="62">Q36-R36</f>
        <v>967365</v>
      </c>
      <c r="T36" s="42">
        <f>R36*10%+(Y36*6)</f>
        <v>27331.9</v>
      </c>
      <c r="U36" s="1">
        <f t="shared" si="45"/>
        <v>33166.800000000003</v>
      </c>
      <c r="V36" s="34">
        <f t="shared" si="41"/>
        <v>46986.3</v>
      </c>
      <c r="W36" s="35">
        <f t="shared" si="42"/>
        <v>107485</v>
      </c>
      <c r="X36" s="35">
        <f t="shared" si="43"/>
        <v>0</v>
      </c>
      <c r="Y36" s="35">
        <v>2763.9</v>
      </c>
      <c r="Z36" s="41">
        <f t="shared" si="46"/>
        <v>2290.0885714285714</v>
      </c>
    </row>
    <row r="37" spans="1:26" x14ac:dyDescent="0.2">
      <c r="A37" s="150"/>
      <c r="B37" s="90"/>
      <c r="C37" s="90"/>
      <c r="D37" s="90"/>
      <c r="E37" s="150">
        <f>SUM(E36:E36)</f>
        <v>1</v>
      </c>
      <c r="F37" s="90"/>
      <c r="G37" s="151"/>
      <c r="H37" s="152">
        <f>SUM(H36:H36)</f>
        <v>35000000</v>
      </c>
      <c r="I37" s="152">
        <f>SUM(I36:I36)</f>
        <v>35000000</v>
      </c>
      <c r="J37" s="152"/>
      <c r="K37" s="152"/>
      <c r="L37" s="152"/>
      <c r="M37" s="152"/>
      <c r="N37" s="152">
        <f t="shared" ref="N37:Z37" si="63">SUM(N36:N36)</f>
        <v>1074850</v>
      </c>
      <c r="O37" s="152">
        <f t="shared" si="63"/>
        <v>0</v>
      </c>
      <c r="P37" s="152">
        <f t="shared" si="63"/>
        <v>0</v>
      </c>
      <c r="Q37" s="152">
        <f t="shared" si="63"/>
        <v>1074850</v>
      </c>
      <c r="R37" s="152">
        <f t="shared" si="63"/>
        <v>107485</v>
      </c>
      <c r="S37" s="152">
        <f t="shared" si="63"/>
        <v>967365</v>
      </c>
      <c r="T37" s="152">
        <f t="shared" si="63"/>
        <v>27331.9</v>
      </c>
      <c r="U37" s="152">
        <f t="shared" si="63"/>
        <v>33166.800000000003</v>
      </c>
      <c r="V37" s="152">
        <f t="shared" si="63"/>
        <v>46986.3</v>
      </c>
      <c r="W37" s="152">
        <f t="shared" si="63"/>
        <v>107485</v>
      </c>
      <c r="X37" s="152">
        <f t="shared" si="63"/>
        <v>0</v>
      </c>
      <c r="Y37" s="152">
        <f t="shared" si="63"/>
        <v>2763.9</v>
      </c>
      <c r="Z37" s="152">
        <f t="shared" si="63"/>
        <v>2290.0885714285714</v>
      </c>
    </row>
    <row r="38" spans="1:26" x14ac:dyDescent="0.2">
      <c r="A38" s="74">
        <v>9</v>
      </c>
      <c r="B38" s="107" t="s">
        <v>49</v>
      </c>
      <c r="C38" s="107" t="s">
        <v>108</v>
      </c>
      <c r="D38" s="110">
        <v>44316</v>
      </c>
      <c r="E38" s="74">
        <v>1</v>
      </c>
      <c r="F38" s="107" t="s">
        <v>109</v>
      </c>
      <c r="G38" s="111">
        <v>1</v>
      </c>
      <c r="H38" s="112">
        <v>220000000</v>
      </c>
      <c r="I38" s="112">
        <f>H38*G38</f>
        <v>220000000</v>
      </c>
      <c r="J38" s="110">
        <v>44300</v>
      </c>
      <c r="K38" s="77">
        <f>IFERROR(VALUE(DAY(J38)&amp;" "&amp;TEXT(EOMONTH(J38,L38)-29,"mmm")&amp;" "&amp;YEAR(EOMONTH(J38,L38)-29)),"-")</f>
        <v>47952</v>
      </c>
      <c r="L38" s="107">
        <v>120</v>
      </c>
      <c r="M38" s="99">
        <v>25.48</v>
      </c>
      <c r="N38" s="81">
        <f t="shared" ref="N38:N39" si="64">M38*H38/1000</f>
        <v>5605600</v>
      </c>
      <c r="O38" s="81"/>
      <c r="P38" s="81"/>
      <c r="Q38" s="81">
        <f t="shared" ref="Q38:Q39" si="65">N38+O38+P38</f>
        <v>5605600</v>
      </c>
      <c r="R38" s="81">
        <f t="shared" ref="R38:R39" si="66">10%*N38</f>
        <v>560560</v>
      </c>
      <c r="S38" s="81">
        <f t="shared" ref="S38:S39" si="67">Q38-R38</f>
        <v>5045040</v>
      </c>
      <c r="T38" s="42">
        <f t="shared" ref="T38:T39" si="68">R38*10%+(Y38*6)</f>
        <v>81493.176470588238</v>
      </c>
      <c r="U38" s="1">
        <f t="shared" si="45"/>
        <v>50874.352941176476</v>
      </c>
      <c r="V38" s="34">
        <f t="shared" si="41"/>
        <v>428192.4705882353</v>
      </c>
      <c r="W38" s="35">
        <f t="shared" si="42"/>
        <v>560560</v>
      </c>
      <c r="X38" s="35">
        <f t="shared" si="43"/>
        <v>0</v>
      </c>
      <c r="Y38" s="35">
        <v>4239.5294117647063</v>
      </c>
      <c r="Z38" s="41">
        <f t="shared" si="46"/>
        <v>4025.7716262975778</v>
      </c>
    </row>
    <row r="39" spans="1:26" x14ac:dyDescent="0.2">
      <c r="A39" s="74"/>
      <c r="B39" s="107"/>
      <c r="C39" s="107"/>
      <c r="D39" s="110"/>
      <c r="E39" s="74">
        <v>1</v>
      </c>
      <c r="F39" s="107" t="s">
        <v>110</v>
      </c>
      <c r="G39" s="111">
        <v>1</v>
      </c>
      <c r="H39" s="112">
        <v>160000000</v>
      </c>
      <c r="I39" s="112">
        <f>H39*G39</f>
        <v>160000000</v>
      </c>
      <c r="J39" s="110">
        <v>44305</v>
      </c>
      <c r="K39" s="77">
        <f>IFERROR(VALUE(DAY(J39)&amp;" "&amp;TEXT(EOMONTH(J39,L39)-29,"mmm")&amp;" "&amp;YEAR(EOMONTH(J39,L39)-29)),"-")</f>
        <v>45554</v>
      </c>
      <c r="L39" s="107">
        <v>41</v>
      </c>
      <c r="M39" s="99">
        <v>11.38</v>
      </c>
      <c r="N39" s="81">
        <f t="shared" si="64"/>
        <v>1820800.0000000002</v>
      </c>
      <c r="O39" s="81"/>
      <c r="P39" s="81"/>
      <c r="Q39" s="81">
        <f t="shared" si="65"/>
        <v>1820800.0000000002</v>
      </c>
      <c r="R39" s="81">
        <f t="shared" si="66"/>
        <v>182080.00000000003</v>
      </c>
      <c r="S39" s="81">
        <f t="shared" si="67"/>
        <v>1638720.0000000002</v>
      </c>
      <c r="T39" s="42">
        <f t="shared" si="68"/>
        <v>42788.80000000001</v>
      </c>
      <c r="U39" s="1">
        <f t="shared" si="45"/>
        <v>49161.600000000013</v>
      </c>
      <c r="V39" s="34">
        <f t="shared" si="41"/>
        <v>90129.600000000006</v>
      </c>
      <c r="W39" s="35">
        <f t="shared" si="42"/>
        <v>182080.00000000003</v>
      </c>
      <c r="X39" s="35">
        <f t="shared" si="43"/>
        <v>0</v>
      </c>
      <c r="Y39" s="35">
        <v>4096.8000000000011</v>
      </c>
      <c r="Z39" s="41">
        <f t="shared" si="46"/>
        <v>3482.28</v>
      </c>
    </row>
    <row r="40" spans="1:26" x14ac:dyDescent="0.2">
      <c r="A40" s="88"/>
      <c r="B40" s="84"/>
      <c r="C40" s="84"/>
      <c r="D40" s="84"/>
      <c r="E40" s="88">
        <f>SUM(E38:E39)</f>
        <v>2</v>
      </c>
      <c r="F40" s="84"/>
      <c r="G40" s="115"/>
      <c r="H40" s="79">
        <f t="shared" ref="H40:I40" si="69">SUM(H38:H39)</f>
        <v>380000000</v>
      </c>
      <c r="I40" s="79">
        <f t="shared" si="69"/>
        <v>380000000</v>
      </c>
      <c r="J40" s="59"/>
      <c r="K40" s="59"/>
      <c r="L40" s="59"/>
      <c r="M40" s="59"/>
      <c r="N40" s="79">
        <f t="shared" ref="N40:Z40" si="70">SUM(N38:N39)</f>
        <v>7426400</v>
      </c>
      <c r="O40" s="79">
        <f t="shared" si="70"/>
        <v>0</v>
      </c>
      <c r="P40" s="79">
        <f t="shared" si="70"/>
        <v>0</v>
      </c>
      <c r="Q40" s="79">
        <f t="shared" si="70"/>
        <v>7426400</v>
      </c>
      <c r="R40" s="79">
        <f t="shared" si="70"/>
        <v>742640</v>
      </c>
      <c r="S40" s="79">
        <f t="shared" si="70"/>
        <v>6683760</v>
      </c>
      <c r="T40" s="79">
        <f t="shared" si="70"/>
        <v>124281.97647058824</v>
      </c>
      <c r="U40" s="79">
        <f t="shared" si="70"/>
        <v>100035.95294117648</v>
      </c>
      <c r="V40" s="79">
        <f t="shared" si="70"/>
        <v>518322.07058823528</v>
      </c>
      <c r="W40" s="79">
        <f t="shared" si="70"/>
        <v>742640</v>
      </c>
      <c r="X40" s="79">
        <f t="shared" si="70"/>
        <v>0</v>
      </c>
      <c r="Y40" s="79">
        <f t="shared" si="70"/>
        <v>8336.3294117647074</v>
      </c>
      <c r="Z40" s="79">
        <f t="shared" si="70"/>
        <v>7508.051626297578</v>
      </c>
    </row>
    <row r="41" spans="1:26" x14ac:dyDescent="0.2">
      <c r="A41" s="74">
        <v>10</v>
      </c>
      <c r="B41" s="107" t="s">
        <v>111</v>
      </c>
      <c r="C41" s="107" t="s">
        <v>112</v>
      </c>
      <c r="D41" s="110">
        <v>44316</v>
      </c>
      <c r="E41" s="74">
        <v>1</v>
      </c>
      <c r="F41" s="107" t="s">
        <v>113</v>
      </c>
      <c r="G41" s="111">
        <v>1</v>
      </c>
      <c r="H41" s="112">
        <v>45323679</v>
      </c>
      <c r="I41" s="112">
        <f>H41*G41</f>
        <v>45323679</v>
      </c>
      <c r="J41" s="110">
        <v>45784</v>
      </c>
      <c r="K41" s="77">
        <v>46302</v>
      </c>
      <c r="L41" s="107">
        <v>17</v>
      </c>
      <c r="M41" s="99">
        <v>9.1</v>
      </c>
      <c r="N41" s="81">
        <f t="shared" ref="N41" si="71">M41*H41/1000</f>
        <v>412445.47889999999</v>
      </c>
      <c r="O41" s="81">
        <v>100000</v>
      </c>
      <c r="P41" s="81"/>
      <c r="Q41" s="81">
        <f t="shared" ref="Q41" si="72">N41+O41+P41</f>
        <v>512445.47889999999</v>
      </c>
      <c r="R41" s="81"/>
      <c r="S41" s="81">
        <f t="shared" ref="S41" si="73">Q41-R41</f>
        <v>512445.47889999999</v>
      </c>
      <c r="T41" s="42">
        <f t="shared" si="44"/>
        <v>0</v>
      </c>
      <c r="U41" s="1">
        <f t="shared" si="45"/>
        <v>0</v>
      </c>
      <c r="V41" s="34">
        <f t="shared" si="41"/>
        <v>0</v>
      </c>
      <c r="W41" s="35">
        <f t="shared" si="42"/>
        <v>0</v>
      </c>
      <c r="X41" s="35">
        <f t="shared" si="43"/>
        <v>0</v>
      </c>
      <c r="Y41" s="35">
        <v>0</v>
      </c>
      <c r="Z41" s="41">
        <f t="shared" si="46"/>
        <v>0</v>
      </c>
    </row>
    <row r="42" spans="1:26" x14ac:dyDescent="0.2">
      <c r="A42" s="150"/>
      <c r="B42" s="90"/>
      <c r="C42" s="90"/>
      <c r="D42" s="90"/>
      <c r="E42" s="150"/>
      <c r="F42" s="90"/>
      <c r="G42" s="151"/>
      <c r="H42" s="152"/>
      <c r="I42" s="152"/>
      <c r="J42" s="152"/>
      <c r="K42" s="152"/>
      <c r="L42" s="152"/>
      <c r="M42" s="152"/>
      <c r="N42" s="152">
        <f t="shared" ref="N42:Z42" si="74">SUM(N41:N41)</f>
        <v>412445.47889999999</v>
      </c>
      <c r="O42" s="152">
        <f t="shared" si="74"/>
        <v>100000</v>
      </c>
      <c r="P42" s="152">
        <f t="shared" si="74"/>
        <v>0</v>
      </c>
      <c r="Q42" s="152">
        <f t="shared" si="74"/>
        <v>512445.47889999999</v>
      </c>
      <c r="R42" s="152">
        <f t="shared" si="74"/>
        <v>0</v>
      </c>
      <c r="S42" s="152">
        <f t="shared" si="74"/>
        <v>512445.47889999999</v>
      </c>
      <c r="T42" s="152">
        <f t="shared" si="74"/>
        <v>0</v>
      </c>
      <c r="U42" s="152">
        <f t="shared" si="74"/>
        <v>0</v>
      </c>
      <c r="V42" s="152">
        <f t="shared" si="74"/>
        <v>0</v>
      </c>
      <c r="W42" s="152">
        <f t="shared" si="74"/>
        <v>0</v>
      </c>
      <c r="X42" s="152">
        <f t="shared" si="74"/>
        <v>0</v>
      </c>
      <c r="Y42" s="152">
        <f t="shared" si="74"/>
        <v>0</v>
      </c>
      <c r="Z42" s="152">
        <f t="shared" si="74"/>
        <v>0</v>
      </c>
    </row>
    <row r="43" spans="1:26" x14ac:dyDescent="0.2">
      <c r="A43" s="83"/>
      <c r="B43" s="83"/>
      <c r="C43" s="83" t="s">
        <v>115</v>
      </c>
      <c r="D43" s="84"/>
      <c r="E43" s="85">
        <f>E42+E40+E37+E35+E33+E31</f>
        <v>5</v>
      </c>
      <c r="F43" s="87"/>
      <c r="G43" s="87"/>
      <c r="H43" s="87">
        <f t="shared" ref="H43:Z43" si="75">H42+H40+H37+H35+H33+H31</f>
        <v>533000000</v>
      </c>
      <c r="I43" s="87">
        <f t="shared" si="75"/>
        <v>533000000</v>
      </c>
      <c r="J43" s="87">
        <f t="shared" si="75"/>
        <v>0</v>
      </c>
      <c r="K43" s="87">
        <f t="shared" si="75"/>
        <v>0</v>
      </c>
      <c r="L43" s="87"/>
      <c r="M43" s="87"/>
      <c r="N43" s="87">
        <f t="shared" si="75"/>
        <v>14796238.633820001</v>
      </c>
      <c r="O43" s="87">
        <f t="shared" si="75"/>
        <v>300000</v>
      </c>
      <c r="P43" s="87">
        <f t="shared" si="75"/>
        <v>0</v>
      </c>
      <c r="Q43" s="87">
        <f t="shared" si="75"/>
        <v>15096238.633820001</v>
      </c>
      <c r="R43" s="87">
        <f t="shared" si="75"/>
        <v>1379497</v>
      </c>
      <c r="S43" s="87">
        <f t="shared" si="75"/>
        <v>13716741.633820001</v>
      </c>
      <c r="T43" s="87">
        <f t="shared" si="75"/>
        <v>253344.86801988402</v>
      </c>
      <c r="U43" s="87">
        <f t="shared" si="75"/>
        <v>230790.33603976801</v>
      </c>
      <c r="V43" s="87">
        <f t="shared" si="75"/>
        <v>895361.79594034795</v>
      </c>
      <c r="W43" s="87">
        <f t="shared" si="75"/>
        <v>1379497</v>
      </c>
      <c r="X43" s="87">
        <f t="shared" si="75"/>
        <v>0</v>
      </c>
      <c r="Y43" s="87">
        <f t="shared" si="75"/>
        <v>19232.528003314004</v>
      </c>
      <c r="Z43" s="87">
        <f t="shared" si="75"/>
        <v>16999.439552162625</v>
      </c>
    </row>
    <row r="44" spans="1:26" x14ac:dyDescent="0.2">
      <c r="A44" s="83"/>
      <c r="B44" s="83"/>
      <c r="C44" s="83" t="s">
        <v>116</v>
      </c>
      <c r="D44" s="84"/>
      <c r="E44" s="93">
        <f>E43+E24</f>
        <v>8</v>
      </c>
      <c r="F44" s="95"/>
      <c r="G44" s="95"/>
      <c r="H44" s="95">
        <f t="shared" ref="H44:Q44" si="76">H43+H24</f>
        <v>1073000000</v>
      </c>
      <c r="I44" s="95">
        <f t="shared" si="76"/>
        <v>1073000000</v>
      </c>
      <c r="J44" s="95">
        <f t="shared" si="76"/>
        <v>0</v>
      </c>
      <c r="K44" s="95">
        <f t="shared" si="76"/>
        <v>0</v>
      </c>
      <c r="L44" s="95"/>
      <c r="M44" s="95"/>
      <c r="N44" s="95">
        <f t="shared" si="76"/>
        <v>31538238.633820001</v>
      </c>
      <c r="O44" s="95">
        <f t="shared" si="76"/>
        <v>300000</v>
      </c>
      <c r="P44" s="95">
        <f t="shared" si="76"/>
        <v>0</v>
      </c>
      <c r="Q44" s="95">
        <f t="shared" si="76"/>
        <v>31838238.633820001</v>
      </c>
      <c r="R44" s="95">
        <f>R43+R24</f>
        <v>3053697</v>
      </c>
      <c r="S44" s="95">
        <f t="shared" ref="S44:Z44" si="77">S43+S24</f>
        <v>42586941.633819997</v>
      </c>
      <c r="T44" s="95">
        <f t="shared" si="77"/>
        <v>524299.03344748192</v>
      </c>
      <c r="U44" s="95">
        <f t="shared" si="77"/>
        <v>385188.76825268054</v>
      </c>
      <c r="V44" s="95">
        <f t="shared" si="77"/>
        <v>2144209.1982998373</v>
      </c>
      <c r="W44" s="95">
        <f t="shared" si="77"/>
        <v>3053697</v>
      </c>
      <c r="X44" s="95">
        <f t="shared" si="77"/>
        <v>0</v>
      </c>
      <c r="Y44" s="95">
        <f t="shared" si="77"/>
        <v>32099.064021056714</v>
      </c>
      <c r="Z44" s="95">
        <f t="shared" si="77"/>
        <v>28279.483158414518</v>
      </c>
    </row>
    <row r="46" spans="1:26" ht="23.25" x14ac:dyDescent="0.2">
      <c r="A46" s="86" t="s">
        <v>159</v>
      </c>
      <c r="B46" s="62"/>
      <c r="C46" s="62"/>
      <c r="D46" s="57"/>
      <c r="E46" s="63"/>
      <c r="F46" s="64"/>
      <c r="G46" s="65"/>
      <c r="H46" s="66"/>
      <c r="I46" s="66"/>
      <c r="J46" s="67"/>
      <c r="K46" s="67"/>
      <c r="L46" s="68"/>
      <c r="M46" s="68"/>
      <c r="N46" s="69"/>
      <c r="O46" s="69"/>
      <c r="P46" s="69"/>
      <c r="Q46" s="69"/>
      <c r="R46" s="69"/>
      <c r="S46" s="69"/>
      <c r="T46" s="70"/>
      <c r="U46" s="71"/>
      <c r="V46" s="71"/>
    </row>
    <row r="47" spans="1:26" x14ac:dyDescent="0.2">
      <c r="A47" s="231" t="s">
        <v>0</v>
      </c>
      <c r="B47" s="232" t="s">
        <v>1</v>
      </c>
      <c r="C47" s="229" t="s">
        <v>2</v>
      </c>
      <c r="D47" s="233" t="s">
        <v>3</v>
      </c>
      <c r="E47" s="234" t="s">
        <v>4</v>
      </c>
      <c r="F47" s="232" t="s">
        <v>5</v>
      </c>
      <c r="G47" s="235" t="s">
        <v>6</v>
      </c>
      <c r="H47" s="236" t="s">
        <v>7</v>
      </c>
      <c r="I47" s="236" t="s">
        <v>8</v>
      </c>
      <c r="J47" s="227" t="s">
        <v>9</v>
      </c>
      <c r="K47" s="227"/>
      <c r="L47" s="228" t="s">
        <v>10</v>
      </c>
      <c r="M47" s="229" t="s">
        <v>11</v>
      </c>
      <c r="N47" s="230" t="s">
        <v>12</v>
      </c>
      <c r="O47" s="230"/>
      <c r="P47" s="230"/>
      <c r="Q47" s="229" t="s">
        <v>13</v>
      </c>
      <c r="R47" s="229" t="s">
        <v>14</v>
      </c>
      <c r="S47" s="229" t="s">
        <v>15</v>
      </c>
      <c r="T47" s="36">
        <v>2021</v>
      </c>
      <c r="U47" s="37"/>
      <c r="V47" s="38" t="s">
        <v>44</v>
      </c>
    </row>
    <row r="48" spans="1:26" x14ac:dyDescent="0.2">
      <c r="A48" s="231"/>
      <c r="B48" s="232"/>
      <c r="C48" s="229"/>
      <c r="D48" s="233"/>
      <c r="E48" s="234"/>
      <c r="F48" s="232"/>
      <c r="G48" s="235"/>
      <c r="H48" s="236"/>
      <c r="I48" s="236"/>
      <c r="J48" s="227"/>
      <c r="K48" s="227"/>
      <c r="L48" s="228"/>
      <c r="M48" s="229"/>
      <c r="N48" s="213" t="s">
        <v>16</v>
      </c>
      <c r="O48" s="213" t="s">
        <v>17</v>
      </c>
      <c r="P48" s="213" t="s">
        <v>18</v>
      </c>
      <c r="Q48" s="229"/>
      <c r="R48" s="229"/>
      <c r="S48" s="229"/>
      <c r="T48" s="96" t="s">
        <v>239</v>
      </c>
      <c r="U48" s="39" t="s">
        <v>243</v>
      </c>
      <c r="V48" s="40"/>
    </row>
    <row r="49" spans="1:26" ht="12.75" x14ac:dyDescent="0.2">
      <c r="A49" s="154">
        <v>11</v>
      </c>
      <c r="B49" s="155" t="s">
        <v>122</v>
      </c>
      <c r="C49" s="155" t="s">
        <v>123</v>
      </c>
      <c r="D49" s="156">
        <v>44334</v>
      </c>
      <c r="E49" s="154">
        <v>1</v>
      </c>
      <c r="F49" s="155" t="s">
        <v>124</v>
      </c>
      <c r="G49" s="111">
        <v>1</v>
      </c>
      <c r="H49" s="112">
        <v>30000000</v>
      </c>
      <c r="I49" s="112">
        <f>H49*G49</f>
        <v>30000000</v>
      </c>
      <c r="J49" s="110">
        <v>44257</v>
      </c>
      <c r="K49" s="77">
        <f>IFERROR(VALUE(DAY(J49)&amp;" "&amp;TEXT(EOMONTH(J49,L49)-29,"mmm")&amp;" "&amp;YEAR(EOMONTH(J49,L49)-29)),"-")</f>
        <v>44987</v>
      </c>
      <c r="L49" s="107">
        <v>24</v>
      </c>
      <c r="M49" s="99">
        <v>10.57</v>
      </c>
      <c r="N49" s="81">
        <f t="shared" ref="N49" si="78">M49*H49/1000</f>
        <v>317100</v>
      </c>
      <c r="O49" s="81"/>
      <c r="P49" s="81"/>
      <c r="Q49" s="81">
        <f t="shared" ref="Q49" si="79">N49+O49+P49</f>
        <v>317100</v>
      </c>
      <c r="R49" s="81">
        <f t="shared" ref="R49" si="80">10%*N49</f>
        <v>31710</v>
      </c>
      <c r="S49" s="81">
        <f t="shared" ref="S49" si="81">Q49-R49</f>
        <v>285390</v>
      </c>
      <c r="T49" s="42">
        <f>R49*10%+(Y49*5)</f>
        <v>9375.1304347826081</v>
      </c>
      <c r="U49" s="1">
        <f t="shared" ref="U49" si="82">Y49*12</f>
        <v>14889.91304347826</v>
      </c>
      <c r="V49" s="34">
        <f t="shared" ref="V49" si="83">R49-T49-U49</f>
        <v>7444.9565217391319</v>
      </c>
      <c r="W49" s="35">
        <f t="shared" ref="W49" si="84">T49+U49+V49</f>
        <v>31710</v>
      </c>
      <c r="X49" s="35">
        <f t="shared" ref="X49" si="85">R49-W49</f>
        <v>0</v>
      </c>
      <c r="Y49" s="35">
        <v>1240.8260869565217</v>
      </c>
      <c r="Z49" s="41">
        <f t="shared" ref="Z49" si="86">(R49-T49)/(L49-1)</f>
        <v>971.08128544423448</v>
      </c>
    </row>
    <row r="50" spans="1:26" ht="12.75" x14ac:dyDescent="0.2">
      <c r="A50" s="159"/>
      <c r="B50" s="160"/>
      <c r="C50" s="160"/>
      <c r="D50" s="160"/>
      <c r="E50" s="159">
        <f>SUM(E49)</f>
        <v>1</v>
      </c>
      <c r="F50" s="160"/>
      <c r="G50" s="161"/>
      <c r="H50" s="162">
        <f>SUM(H49)</f>
        <v>30000000</v>
      </c>
      <c r="I50" s="162">
        <f>SUM(I49)</f>
        <v>30000000</v>
      </c>
      <c r="J50" s="162"/>
      <c r="K50" s="162"/>
      <c r="L50" s="162"/>
      <c r="M50" s="162"/>
      <c r="N50" s="162">
        <f t="shared" ref="N50:Z50" si="87">SUM(N49)</f>
        <v>317100</v>
      </c>
      <c r="O50" s="162">
        <f t="shared" si="87"/>
        <v>0</v>
      </c>
      <c r="P50" s="162">
        <f t="shared" si="87"/>
        <v>0</v>
      </c>
      <c r="Q50" s="162">
        <f t="shared" si="87"/>
        <v>317100</v>
      </c>
      <c r="R50" s="162">
        <f t="shared" si="87"/>
        <v>31710</v>
      </c>
      <c r="S50" s="162">
        <f t="shared" si="87"/>
        <v>285390</v>
      </c>
      <c r="T50" s="162">
        <f t="shared" si="87"/>
        <v>9375.1304347826081</v>
      </c>
      <c r="U50" s="162">
        <f t="shared" si="87"/>
        <v>14889.91304347826</v>
      </c>
      <c r="V50" s="162">
        <f t="shared" si="87"/>
        <v>7444.9565217391319</v>
      </c>
      <c r="W50" s="162">
        <f t="shared" si="87"/>
        <v>31710</v>
      </c>
      <c r="X50" s="162">
        <f t="shared" si="87"/>
        <v>0</v>
      </c>
      <c r="Y50" s="162">
        <f t="shared" si="87"/>
        <v>1240.8260869565217</v>
      </c>
      <c r="Z50" s="162">
        <f t="shared" si="87"/>
        <v>971.08128544423448</v>
      </c>
    </row>
    <row r="51" spans="1:26" x14ac:dyDescent="0.2">
      <c r="A51" s="74">
        <v>12</v>
      </c>
      <c r="B51" s="107" t="s">
        <v>111</v>
      </c>
      <c r="C51" s="107" t="s">
        <v>125</v>
      </c>
      <c r="D51" s="110">
        <v>44336</v>
      </c>
      <c r="E51" s="74">
        <v>1</v>
      </c>
      <c r="F51" s="107" t="s">
        <v>126</v>
      </c>
      <c r="G51" s="111">
        <v>1</v>
      </c>
      <c r="H51" s="112">
        <v>69230850</v>
      </c>
      <c r="I51" s="112">
        <f>H51*G51</f>
        <v>69230850</v>
      </c>
      <c r="J51" s="110">
        <v>44315</v>
      </c>
      <c r="K51" s="77">
        <f>IFERROR(VALUE(DAY(J51)&amp;" "&amp;TEXT(EOMONTH(J51,L51)-29,"mmm")&amp;" "&amp;YEAR(EOMONTH(J51,L51)-29)),"-")</f>
        <v>45686</v>
      </c>
      <c r="L51" s="107">
        <v>45</v>
      </c>
      <c r="M51" s="99">
        <v>15.93</v>
      </c>
      <c r="N51" s="81">
        <f t="shared" ref="N51:N52" si="88">M51*H51/1000</f>
        <v>1102847.4405</v>
      </c>
      <c r="O51" s="81"/>
      <c r="P51" s="81"/>
      <c r="Q51" s="81">
        <f t="shared" ref="Q51:Q52" si="89">N51+O51+P51</f>
        <v>1102847.4405</v>
      </c>
      <c r="R51" s="81">
        <f t="shared" ref="R51:R52" si="90">10%*N51</f>
        <v>110284.74405000001</v>
      </c>
      <c r="S51" s="81">
        <f t="shared" ref="S51:S52" si="91">Q51-R51</f>
        <v>992562.69645000005</v>
      </c>
      <c r="T51" s="42"/>
      <c r="U51" s="1"/>
      <c r="V51" s="34"/>
      <c r="W51" s="35"/>
      <c r="X51" s="35"/>
      <c r="Y51" s="35"/>
      <c r="Z51" s="41"/>
    </row>
    <row r="52" spans="1:26" x14ac:dyDescent="0.2">
      <c r="A52" s="74"/>
      <c r="B52" s="107"/>
      <c r="C52" s="107"/>
      <c r="D52" s="110"/>
      <c r="E52" s="74">
        <v>1</v>
      </c>
      <c r="F52" s="107" t="s">
        <v>127</v>
      </c>
      <c r="G52" s="111">
        <v>1</v>
      </c>
      <c r="H52" s="112">
        <v>82219772</v>
      </c>
      <c r="I52" s="112">
        <f>H52*G52</f>
        <v>82219772</v>
      </c>
      <c r="J52" s="110">
        <v>44307</v>
      </c>
      <c r="K52" s="77">
        <f>IFERROR(VALUE(DAY(J52)&amp;" "&amp;TEXT(EOMONTH(J52,L52)-29,"mmm")&amp;" "&amp;YEAR(EOMONTH(J52,L52)-29)),"-")</f>
        <v>46742</v>
      </c>
      <c r="L52" s="107">
        <v>80</v>
      </c>
      <c r="M52" s="99">
        <v>25.48</v>
      </c>
      <c r="N52" s="81">
        <f t="shared" si="88"/>
        <v>2094959.7905599999</v>
      </c>
      <c r="O52" s="81"/>
      <c r="P52" s="81"/>
      <c r="Q52" s="81">
        <f t="shared" si="89"/>
        <v>2094959.7905599999</v>
      </c>
      <c r="R52" s="81">
        <f t="shared" si="90"/>
        <v>209495.97905600001</v>
      </c>
      <c r="S52" s="81">
        <f t="shared" si="91"/>
        <v>1885463.8115039999</v>
      </c>
      <c r="T52" s="42"/>
      <c r="U52" s="1"/>
      <c r="V52" s="34"/>
      <c r="W52" s="35"/>
      <c r="X52" s="35"/>
      <c r="Y52" s="35"/>
      <c r="Z52" s="41"/>
    </row>
    <row r="53" spans="1:26" x14ac:dyDescent="0.2">
      <c r="A53" s="88"/>
      <c r="B53" s="84"/>
      <c r="C53" s="84"/>
      <c r="D53" s="84"/>
      <c r="E53" s="88">
        <f>SUM(E51:E52)</f>
        <v>2</v>
      </c>
      <c r="F53" s="84"/>
      <c r="G53" s="115"/>
      <c r="H53" s="79">
        <f t="shared" ref="H53:I53" si="92">SUM(H51:H52)</f>
        <v>151450622</v>
      </c>
      <c r="I53" s="79">
        <f t="shared" si="92"/>
        <v>151450622</v>
      </c>
      <c r="J53" s="59"/>
      <c r="K53" s="59"/>
      <c r="L53" s="59"/>
      <c r="M53" s="59"/>
      <c r="N53" s="79">
        <f t="shared" ref="N53:Z53" si="93">SUM(N51:N52)</f>
        <v>3197807.2310600001</v>
      </c>
      <c r="O53" s="79">
        <f t="shared" si="93"/>
        <v>0</v>
      </c>
      <c r="P53" s="79">
        <f t="shared" si="93"/>
        <v>0</v>
      </c>
      <c r="Q53" s="79">
        <f t="shared" si="93"/>
        <v>3197807.2310600001</v>
      </c>
      <c r="R53" s="79"/>
      <c r="S53" s="79">
        <f t="shared" si="93"/>
        <v>2878026.507954</v>
      </c>
      <c r="T53" s="79">
        <f t="shared" si="93"/>
        <v>0</v>
      </c>
      <c r="U53" s="79">
        <f t="shared" si="93"/>
        <v>0</v>
      </c>
      <c r="V53" s="79">
        <f t="shared" si="93"/>
        <v>0</v>
      </c>
      <c r="W53" s="79">
        <f t="shared" si="93"/>
        <v>0</v>
      </c>
      <c r="X53" s="79">
        <f t="shared" si="93"/>
        <v>0</v>
      </c>
      <c r="Y53" s="79">
        <f t="shared" si="93"/>
        <v>0</v>
      </c>
      <c r="Z53" s="79">
        <f t="shared" si="93"/>
        <v>0</v>
      </c>
    </row>
    <row r="54" spans="1:26" ht="12.75" x14ac:dyDescent="0.2">
      <c r="A54" s="154">
        <v>13</v>
      </c>
      <c r="B54" s="155" t="s">
        <v>128</v>
      </c>
      <c r="C54" s="155" t="s">
        <v>129</v>
      </c>
      <c r="D54" s="156">
        <v>44347</v>
      </c>
      <c r="E54" s="154">
        <v>1</v>
      </c>
      <c r="F54" s="155" t="s">
        <v>130</v>
      </c>
      <c r="G54" s="111">
        <v>1</v>
      </c>
      <c r="H54" s="112">
        <v>1000000000</v>
      </c>
      <c r="I54" s="112">
        <f>H54*G54</f>
        <v>1000000000</v>
      </c>
      <c r="J54" s="110">
        <v>44327</v>
      </c>
      <c r="K54" s="77">
        <f>IFERROR(VALUE(DAY(J54)&amp;" "&amp;TEXT(EOMONTH(J54,L54)-29,"mmm")&amp;" "&amp;YEAR(EOMONTH(J54,L54)-29)),"-")</f>
        <v>45241</v>
      </c>
      <c r="L54" s="107">
        <v>30</v>
      </c>
      <c r="M54" s="99">
        <v>30.71</v>
      </c>
      <c r="N54" s="81">
        <f t="shared" ref="N54" si="94">M54*H54/1000</f>
        <v>30710000</v>
      </c>
      <c r="O54" s="81"/>
      <c r="P54" s="81"/>
      <c r="Q54" s="81">
        <f t="shared" ref="Q54" si="95">N54+O54+P54</f>
        <v>30710000</v>
      </c>
      <c r="R54" s="81">
        <f t="shared" ref="R54" si="96">10%*N54</f>
        <v>3071000</v>
      </c>
      <c r="S54" s="81">
        <f t="shared" ref="S54" si="97">Q54-R54</f>
        <v>27639000</v>
      </c>
      <c r="T54" s="42">
        <f>R54*10%+(Y54*5)</f>
        <v>783634.48275862075</v>
      </c>
      <c r="U54" s="1">
        <f t="shared" ref="U54:U72" si="98">Y54*12</f>
        <v>1143682.7586206896</v>
      </c>
      <c r="V54" s="34">
        <f t="shared" ref="V54:V72" si="99">R54-T54-U54</f>
        <v>1143682.7586206896</v>
      </c>
      <c r="W54" s="35">
        <f t="shared" ref="W54:W72" si="100">T54+U54+V54</f>
        <v>3071000</v>
      </c>
      <c r="X54" s="35">
        <f t="shared" ref="X54:X72" si="101">R54-W54</f>
        <v>0</v>
      </c>
      <c r="Y54" s="35">
        <v>95306.896551724145</v>
      </c>
      <c r="Z54" s="41">
        <f t="shared" ref="Z54:Z72" si="102">(R54-T54)/(L54-1)</f>
        <v>78874.673008323429</v>
      </c>
    </row>
    <row r="55" spans="1:26" ht="12.75" x14ac:dyDescent="0.2">
      <c r="A55" s="159"/>
      <c r="B55" s="160"/>
      <c r="C55" s="160"/>
      <c r="D55" s="160"/>
      <c r="E55" s="159">
        <f>SUM(E54)</f>
        <v>1</v>
      </c>
      <c r="F55" s="160"/>
      <c r="G55" s="161"/>
      <c r="H55" s="162">
        <f>SUM(H54)</f>
        <v>1000000000</v>
      </c>
      <c r="I55" s="162">
        <f>SUM(I54)</f>
        <v>1000000000</v>
      </c>
      <c r="J55" s="162"/>
      <c r="K55" s="162"/>
      <c r="L55" s="162"/>
      <c r="M55" s="162"/>
      <c r="N55" s="162">
        <f t="shared" ref="N55:Z55" si="103">SUM(N54)</f>
        <v>30710000</v>
      </c>
      <c r="O55" s="162">
        <f t="shared" si="103"/>
        <v>0</v>
      </c>
      <c r="P55" s="162">
        <f t="shared" si="103"/>
        <v>0</v>
      </c>
      <c r="Q55" s="162">
        <f t="shared" si="103"/>
        <v>30710000</v>
      </c>
      <c r="R55" s="162">
        <f t="shared" si="103"/>
        <v>3071000</v>
      </c>
      <c r="S55" s="162">
        <f t="shared" si="103"/>
        <v>27639000</v>
      </c>
      <c r="T55" s="162">
        <f t="shared" si="103"/>
        <v>783634.48275862075</v>
      </c>
      <c r="U55" s="162">
        <f t="shared" si="103"/>
        <v>1143682.7586206896</v>
      </c>
      <c r="V55" s="162">
        <f t="shared" si="103"/>
        <v>1143682.7586206896</v>
      </c>
      <c r="W55" s="162">
        <f t="shared" si="103"/>
        <v>3071000</v>
      </c>
      <c r="X55" s="162">
        <f t="shared" si="103"/>
        <v>0</v>
      </c>
      <c r="Y55" s="162">
        <f t="shared" si="103"/>
        <v>95306.896551724145</v>
      </c>
      <c r="Z55" s="162">
        <f t="shared" si="103"/>
        <v>78874.673008323429</v>
      </c>
    </row>
    <row r="56" spans="1:26" ht="12.75" x14ac:dyDescent="0.2">
      <c r="A56" s="154">
        <v>14</v>
      </c>
      <c r="B56" s="155" t="s">
        <v>128</v>
      </c>
      <c r="C56" s="155" t="s">
        <v>131</v>
      </c>
      <c r="D56" s="156">
        <v>44347</v>
      </c>
      <c r="E56" s="154">
        <v>1</v>
      </c>
      <c r="F56" s="155" t="s">
        <v>132</v>
      </c>
      <c r="G56" s="111">
        <v>1</v>
      </c>
      <c r="H56" s="112">
        <v>170000000</v>
      </c>
      <c r="I56" s="112">
        <f>H56*G56</f>
        <v>170000000</v>
      </c>
      <c r="J56" s="110">
        <v>44319</v>
      </c>
      <c r="K56" s="77">
        <f>IFERROR(VALUE(DAY(J56)&amp;" "&amp;TEXT(EOMONTH(J56,L56)-29,"mmm")&amp;" "&amp;YEAR(EOMONTH(J56,L56)-29)),"-")</f>
        <v>46145</v>
      </c>
      <c r="L56" s="107">
        <v>60</v>
      </c>
      <c r="M56" s="169">
        <v>13.65</v>
      </c>
      <c r="N56" s="81">
        <f t="shared" ref="N56:N69" si="104">M56*H56/1000</f>
        <v>2320500</v>
      </c>
      <c r="O56" s="81"/>
      <c r="P56" s="81"/>
      <c r="Q56" s="81">
        <f t="shared" ref="Q56:Q69" si="105">N56+O56+P56</f>
        <v>2320500</v>
      </c>
      <c r="R56" s="81">
        <f t="shared" ref="R56:R69" si="106">10%*N56</f>
        <v>232050</v>
      </c>
      <c r="S56" s="81">
        <f t="shared" ref="S56:S69" si="107">Q56-R56</f>
        <v>2088450</v>
      </c>
      <c r="T56" s="42">
        <f t="shared" ref="T56:T69" si="108">R56*10%+(Y56*5)</f>
        <v>40903.728813559326</v>
      </c>
      <c r="U56" s="1">
        <f t="shared" si="98"/>
        <v>42476.949152542373</v>
      </c>
      <c r="V56" s="34">
        <f t="shared" si="99"/>
        <v>148669.32203389829</v>
      </c>
      <c r="W56" s="35">
        <f t="shared" si="100"/>
        <v>232050</v>
      </c>
      <c r="X56" s="35">
        <f t="shared" si="101"/>
        <v>0</v>
      </c>
      <c r="Y56" s="35">
        <v>3539.7457627118642</v>
      </c>
      <c r="Z56" s="41">
        <f t="shared" si="102"/>
        <v>3239.7673082447568</v>
      </c>
    </row>
    <row r="57" spans="1:26" ht="12.75" x14ac:dyDescent="0.2">
      <c r="A57" s="164"/>
      <c r="B57" s="165"/>
      <c r="C57" s="165"/>
      <c r="D57" s="165"/>
      <c r="E57" s="154">
        <v>1</v>
      </c>
      <c r="F57" s="155" t="s">
        <v>133</v>
      </c>
      <c r="G57" s="111">
        <v>1</v>
      </c>
      <c r="H57" s="112">
        <v>250000000</v>
      </c>
      <c r="I57" s="112">
        <f t="shared" ref="I57:I69" si="109">H57*G57</f>
        <v>250000000</v>
      </c>
      <c r="J57" s="110">
        <v>44320</v>
      </c>
      <c r="K57" s="77">
        <f t="shared" ref="K57:K69" si="110">IFERROR(VALUE(DAY(J57)&amp;" "&amp;TEXT(EOMONTH(J57,L57)-29,"mmm")&amp;" "&amp;YEAR(EOMONTH(J57,L57)-29)),"-")</f>
        <v>45781</v>
      </c>
      <c r="L57" s="107">
        <v>48</v>
      </c>
      <c r="M57" s="169">
        <v>11.38</v>
      </c>
      <c r="N57" s="81">
        <f t="shared" si="104"/>
        <v>2845000</v>
      </c>
      <c r="O57" s="81"/>
      <c r="P57" s="81"/>
      <c r="Q57" s="81">
        <f t="shared" si="105"/>
        <v>2845000</v>
      </c>
      <c r="R57" s="81">
        <f t="shared" si="106"/>
        <v>284500</v>
      </c>
      <c r="S57" s="81">
        <f t="shared" si="107"/>
        <v>2560500</v>
      </c>
      <c r="T57" s="42">
        <f t="shared" si="108"/>
        <v>55689.361702127659</v>
      </c>
      <c r="U57" s="1">
        <f t="shared" si="98"/>
        <v>65374.468085106375</v>
      </c>
      <c r="V57" s="34">
        <f t="shared" si="99"/>
        <v>163436.17021276595</v>
      </c>
      <c r="W57" s="35">
        <f t="shared" si="100"/>
        <v>284500</v>
      </c>
      <c r="X57" s="35">
        <f t="shared" si="101"/>
        <v>0</v>
      </c>
      <c r="Y57" s="35">
        <v>5447.8723404255315</v>
      </c>
      <c r="Z57" s="41">
        <f t="shared" si="102"/>
        <v>4868.3114531462197</v>
      </c>
    </row>
    <row r="58" spans="1:26" ht="12.75" x14ac:dyDescent="0.2">
      <c r="A58" s="166"/>
      <c r="B58" s="166"/>
      <c r="C58" s="166"/>
      <c r="D58" s="167"/>
      <c r="E58" s="154">
        <v>1</v>
      </c>
      <c r="F58" s="155" t="s">
        <v>134</v>
      </c>
      <c r="G58" s="111">
        <v>1</v>
      </c>
      <c r="H58" s="112">
        <v>315000000</v>
      </c>
      <c r="I58" s="112">
        <f t="shared" si="109"/>
        <v>315000000</v>
      </c>
      <c r="J58" s="110">
        <v>44319</v>
      </c>
      <c r="K58" s="77">
        <f t="shared" si="110"/>
        <v>49798</v>
      </c>
      <c r="L58" s="107">
        <v>180</v>
      </c>
      <c r="M58" s="169">
        <v>37.520000000000003</v>
      </c>
      <c r="N58" s="81">
        <f t="shared" si="104"/>
        <v>11818800.000000002</v>
      </c>
      <c r="O58" s="81"/>
      <c r="P58" s="81"/>
      <c r="Q58" s="81">
        <f t="shared" si="105"/>
        <v>11818800.000000002</v>
      </c>
      <c r="R58" s="81">
        <f t="shared" si="106"/>
        <v>1181880.0000000002</v>
      </c>
      <c r="S58" s="81">
        <f t="shared" si="107"/>
        <v>10636920.000000002</v>
      </c>
      <c r="T58" s="42">
        <f t="shared" si="108"/>
        <v>147900.06703910619</v>
      </c>
      <c r="U58" s="1">
        <f t="shared" si="98"/>
        <v>71308.960893854761</v>
      </c>
      <c r="V58" s="34">
        <f t="shared" si="99"/>
        <v>962670.97206703934</v>
      </c>
      <c r="W58" s="35">
        <f t="shared" si="100"/>
        <v>1181880.0000000002</v>
      </c>
      <c r="X58" s="35">
        <f t="shared" si="101"/>
        <v>0</v>
      </c>
      <c r="Y58" s="35">
        <v>5942.4134078212301</v>
      </c>
      <c r="Z58" s="41">
        <f t="shared" si="102"/>
        <v>5776.4242064854416</v>
      </c>
    </row>
    <row r="59" spans="1:26" ht="12.75" x14ac:dyDescent="0.2">
      <c r="A59" s="168"/>
      <c r="B59" s="168"/>
      <c r="C59" s="168"/>
      <c r="D59" s="107"/>
      <c r="E59" s="154">
        <v>1</v>
      </c>
      <c r="F59" s="155" t="s">
        <v>135</v>
      </c>
      <c r="G59" s="111">
        <v>1</v>
      </c>
      <c r="H59" s="112">
        <v>315000000</v>
      </c>
      <c r="I59" s="112">
        <f t="shared" si="109"/>
        <v>315000000</v>
      </c>
      <c r="J59" s="110">
        <v>44320</v>
      </c>
      <c r="K59" s="77">
        <f t="shared" si="110"/>
        <v>49799</v>
      </c>
      <c r="L59" s="107">
        <v>180</v>
      </c>
      <c r="M59" s="169">
        <v>37.520000000000003</v>
      </c>
      <c r="N59" s="81">
        <f t="shared" si="104"/>
        <v>11818800.000000002</v>
      </c>
      <c r="O59" s="81"/>
      <c r="P59" s="81"/>
      <c r="Q59" s="81">
        <f t="shared" si="105"/>
        <v>11818800.000000002</v>
      </c>
      <c r="R59" s="81">
        <f t="shared" si="106"/>
        <v>1181880.0000000002</v>
      </c>
      <c r="S59" s="81">
        <f t="shared" si="107"/>
        <v>10636920.000000002</v>
      </c>
      <c r="T59" s="42">
        <f t="shared" si="108"/>
        <v>147900.06703910619</v>
      </c>
      <c r="U59" s="1">
        <f t="shared" si="98"/>
        <v>71308.960893854761</v>
      </c>
      <c r="V59" s="34">
        <f t="shared" si="99"/>
        <v>962670.97206703934</v>
      </c>
      <c r="W59" s="35">
        <f t="shared" si="100"/>
        <v>1181880.0000000002</v>
      </c>
      <c r="X59" s="35">
        <f t="shared" si="101"/>
        <v>0</v>
      </c>
      <c r="Y59" s="35">
        <v>5942.4134078212301</v>
      </c>
      <c r="Z59" s="41">
        <f t="shared" si="102"/>
        <v>5776.4242064854416</v>
      </c>
    </row>
    <row r="60" spans="1:26" ht="12.75" x14ac:dyDescent="0.2">
      <c r="A60" s="168"/>
      <c r="B60" s="168"/>
      <c r="C60" s="168"/>
      <c r="D60" s="107"/>
      <c r="E60" s="154">
        <v>1</v>
      </c>
      <c r="F60" s="155" t="s">
        <v>136</v>
      </c>
      <c r="G60" s="111">
        <v>1</v>
      </c>
      <c r="H60" s="112">
        <v>250000000</v>
      </c>
      <c r="I60" s="112">
        <f t="shared" si="109"/>
        <v>250000000</v>
      </c>
      <c r="J60" s="110">
        <v>44320</v>
      </c>
      <c r="K60" s="77">
        <f t="shared" si="110"/>
        <v>47972</v>
      </c>
      <c r="L60" s="107">
        <v>120</v>
      </c>
      <c r="M60" s="169">
        <v>25.48</v>
      </c>
      <c r="N60" s="81">
        <f t="shared" si="104"/>
        <v>6370000</v>
      </c>
      <c r="O60" s="81"/>
      <c r="P60" s="81"/>
      <c r="Q60" s="81">
        <f t="shared" si="105"/>
        <v>6370000</v>
      </c>
      <c r="R60" s="81">
        <f t="shared" si="106"/>
        <v>637000</v>
      </c>
      <c r="S60" s="81">
        <f t="shared" si="107"/>
        <v>5733000</v>
      </c>
      <c r="T60" s="42">
        <f t="shared" si="108"/>
        <v>87788.23529411765</v>
      </c>
      <c r="U60" s="1">
        <f t="shared" si="98"/>
        <v>57811.764705882357</v>
      </c>
      <c r="V60" s="34">
        <f t="shared" si="99"/>
        <v>491400.00000000006</v>
      </c>
      <c r="W60" s="35">
        <f t="shared" si="100"/>
        <v>637000</v>
      </c>
      <c r="X60" s="35">
        <f t="shared" si="101"/>
        <v>0</v>
      </c>
      <c r="Y60" s="35">
        <v>4817.6470588235297</v>
      </c>
      <c r="Z60" s="41">
        <f t="shared" si="102"/>
        <v>4615.2249134948097</v>
      </c>
    </row>
    <row r="61" spans="1:26" ht="12.75" x14ac:dyDescent="0.2">
      <c r="A61" s="168"/>
      <c r="B61" s="168"/>
      <c r="C61" s="168"/>
      <c r="D61" s="107"/>
      <c r="E61" s="154">
        <v>1</v>
      </c>
      <c r="F61" s="155" t="s">
        <v>137</v>
      </c>
      <c r="G61" s="111">
        <v>1</v>
      </c>
      <c r="H61" s="112">
        <v>450000000</v>
      </c>
      <c r="I61" s="112">
        <f t="shared" si="109"/>
        <v>450000000</v>
      </c>
      <c r="J61" s="110">
        <v>44320</v>
      </c>
      <c r="K61" s="77">
        <f t="shared" si="110"/>
        <v>49799</v>
      </c>
      <c r="L61" s="107">
        <v>180</v>
      </c>
      <c r="M61" s="169">
        <v>37.520000000000003</v>
      </c>
      <c r="N61" s="81">
        <f t="shared" si="104"/>
        <v>16884000.000000004</v>
      </c>
      <c r="O61" s="81"/>
      <c r="P61" s="81"/>
      <c r="Q61" s="81">
        <f t="shared" si="105"/>
        <v>16884000.000000004</v>
      </c>
      <c r="R61" s="81">
        <f t="shared" si="106"/>
        <v>1688400.0000000005</v>
      </c>
      <c r="S61" s="81">
        <f t="shared" si="107"/>
        <v>15195600.000000004</v>
      </c>
      <c r="T61" s="42">
        <f t="shared" si="108"/>
        <v>211285.81005586599</v>
      </c>
      <c r="U61" s="1">
        <f t="shared" si="98"/>
        <v>101869.94413407824</v>
      </c>
      <c r="V61" s="34">
        <f t="shared" si="99"/>
        <v>1375244.2458100563</v>
      </c>
      <c r="W61" s="35">
        <f t="shared" si="100"/>
        <v>1688400.0000000005</v>
      </c>
      <c r="X61" s="35">
        <f t="shared" si="101"/>
        <v>0</v>
      </c>
      <c r="Y61" s="35">
        <v>8489.1620111731863</v>
      </c>
      <c r="Z61" s="41">
        <f t="shared" si="102"/>
        <v>8252.0345806934893</v>
      </c>
    </row>
    <row r="62" spans="1:26" ht="12.75" x14ac:dyDescent="0.2">
      <c r="A62" s="168"/>
      <c r="B62" s="168"/>
      <c r="C62" s="168"/>
      <c r="D62" s="107"/>
      <c r="E62" s="154">
        <v>1</v>
      </c>
      <c r="F62" s="155" t="s">
        <v>138</v>
      </c>
      <c r="G62" s="111">
        <v>1</v>
      </c>
      <c r="H62" s="112">
        <v>340000000</v>
      </c>
      <c r="I62" s="112">
        <f t="shared" si="109"/>
        <v>340000000</v>
      </c>
      <c r="J62" s="110">
        <v>44320</v>
      </c>
      <c r="K62" s="77">
        <f t="shared" si="110"/>
        <v>49799</v>
      </c>
      <c r="L62" s="107">
        <v>180</v>
      </c>
      <c r="M62" s="169">
        <v>37.520000000000003</v>
      </c>
      <c r="N62" s="81">
        <f t="shared" si="104"/>
        <v>12756800.000000002</v>
      </c>
      <c r="O62" s="81"/>
      <c r="P62" s="81"/>
      <c r="Q62" s="81">
        <f t="shared" si="105"/>
        <v>12756800.000000002</v>
      </c>
      <c r="R62" s="81">
        <f t="shared" si="106"/>
        <v>1275680.0000000002</v>
      </c>
      <c r="S62" s="81">
        <f t="shared" si="107"/>
        <v>11481120.000000002</v>
      </c>
      <c r="T62" s="42">
        <f t="shared" si="108"/>
        <v>159638.16759776539</v>
      </c>
      <c r="U62" s="1">
        <f t="shared" si="98"/>
        <v>76968.402234636887</v>
      </c>
      <c r="V62" s="34">
        <f t="shared" si="99"/>
        <v>1039073.430167598</v>
      </c>
      <c r="W62" s="35">
        <f t="shared" si="100"/>
        <v>1275680.0000000002</v>
      </c>
      <c r="X62" s="35">
        <f t="shared" si="101"/>
        <v>0</v>
      </c>
      <c r="Y62" s="35">
        <v>6414.0335195530743</v>
      </c>
      <c r="Z62" s="41">
        <f t="shared" si="102"/>
        <v>6234.8705720795242</v>
      </c>
    </row>
    <row r="63" spans="1:26" ht="12.75" x14ac:dyDescent="0.2">
      <c r="A63" s="168"/>
      <c r="B63" s="168"/>
      <c r="C63" s="168"/>
      <c r="D63" s="107"/>
      <c r="E63" s="154">
        <v>1</v>
      </c>
      <c r="F63" s="155" t="s">
        <v>139</v>
      </c>
      <c r="G63" s="111">
        <v>1</v>
      </c>
      <c r="H63" s="112">
        <v>30000000</v>
      </c>
      <c r="I63" s="112">
        <f t="shared" si="109"/>
        <v>30000000</v>
      </c>
      <c r="J63" s="110">
        <v>44321</v>
      </c>
      <c r="K63" s="77">
        <f t="shared" si="110"/>
        <v>45417</v>
      </c>
      <c r="L63" s="107">
        <v>36</v>
      </c>
      <c r="M63" s="169">
        <v>17.88</v>
      </c>
      <c r="N63" s="81">
        <f t="shared" si="104"/>
        <v>536399.99999999988</v>
      </c>
      <c r="O63" s="81"/>
      <c r="P63" s="81"/>
      <c r="Q63" s="81">
        <f t="shared" si="105"/>
        <v>536399.99999999988</v>
      </c>
      <c r="R63" s="81">
        <f t="shared" si="106"/>
        <v>53639.999999999993</v>
      </c>
      <c r="S63" s="81">
        <f t="shared" si="107"/>
        <v>482759.99999999988</v>
      </c>
      <c r="T63" s="42">
        <f t="shared" si="108"/>
        <v>12260.571428571428</v>
      </c>
      <c r="U63" s="1">
        <f t="shared" si="98"/>
        <v>16551.771428571425</v>
      </c>
      <c r="V63" s="34">
        <f t="shared" si="99"/>
        <v>24827.657142857141</v>
      </c>
      <c r="W63" s="35">
        <f t="shared" si="100"/>
        <v>53639.999999999993</v>
      </c>
      <c r="X63" s="35">
        <f t="shared" si="101"/>
        <v>0</v>
      </c>
      <c r="Y63" s="35">
        <v>1379.3142857142855</v>
      </c>
      <c r="Z63" s="41">
        <f t="shared" si="102"/>
        <v>1182.2693877551019</v>
      </c>
    </row>
    <row r="64" spans="1:26" ht="12.75" x14ac:dyDescent="0.2">
      <c r="A64" s="168"/>
      <c r="B64" s="168"/>
      <c r="C64" s="168"/>
      <c r="D64" s="107"/>
      <c r="E64" s="154">
        <v>1</v>
      </c>
      <c r="F64" s="155" t="s">
        <v>140</v>
      </c>
      <c r="G64" s="111">
        <v>1</v>
      </c>
      <c r="H64" s="112">
        <v>170000000</v>
      </c>
      <c r="I64" s="112">
        <f t="shared" si="109"/>
        <v>170000000</v>
      </c>
      <c r="J64" s="110">
        <v>44321</v>
      </c>
      <c r="K64" s="77">
        <f t="shared" si="110"/>
        <v>49800</v>
      </c>
      <c r="L64" s="107">
        <v>180</v>
      </c>
      <c r="M64" s="169">
        <v>37.520000000000003</v>
      </c>
      <c r="N64" s="81">
        <f t="shared" si="104"/>
        <v>6378400.0000000009</v>
      </c>
      <c r="O64" s="81"/>
      <c r="P64" s="81"/>
      <c r="Q64" s="81">
        <f t="shared" si="105"/>
        <v>6378400.0000000009</v>
      </c>
      <c r="R64" s="81">
        <f t="shared" si="106"/>
        <v>637840.00000000012</v>
      </c>
      <c r="S64" s="81">
        <f t="shared" si="107"/>
        <v>5740560.0000000009</v>
      </c>
      <c r="T64" s="42">
        <f t="shared" si="108"/>
        <v>79819.083798882697</v>
      </c>
      <c r="U64" s="1">
        <f t="shared" si="98"/>
        <v>38484.201117318444</v>
      </c>
      <c r="V64" s="34">
        <f t="shared" si="99"/>
        <v>519536.71508379898</v>
      </c>
      <c r="W64" s="35">
        <f t="shared" si="100"/>
        <v>637840.00000000012</v>
      </c>
      <c r="X64" s="35">
        <f t="shared" si="101"/>
        <v>0</v>
      </c>
      <c r="Y64" s="35">
        <v>3207.0167597765371</v>
      </c>
      <c r="Z64" s="41">
        <f t="shared" si="102"/>
        <v>3117.4352860397621</v>
      </c>
    </row>
    <row r="65" spans="1:26" ht="12.75" x14ac:dyDescent="0.2">
      <c r="A65" s="168"/>
      <c r="B65" s="168"/>
      <c r="C65" s="168"/>
      <c r="D65" s="107"/>
      <c r="E65" s="154">
        <v>1</v>
      </c>
      <c r="F65" s="155" t="s">
        <v>141</v>
      </c>
      <c r="G65" s="111">
        <v>1</v>
      </c>
      <c r="H65" s="112">
        <v>40000000</v>
      </c>
      <c r="I65" s="112">
        <f t="shared" si="109"/>
        <v>40000000</v>
      </c>
      <c r="J65" s="110">
        <v>44322</v>
      </c>
      <c r="K65" s="77">
        <f t="shared" si="110"/>
        <v>45418</v>
      </c>
      <c r="L65" s="107">
        <v>36</v>
      </c>
      <c r="M65" s="169">
        <v>9.1</v>
      </c>
      <c r="N65" s="81">
        <f t="shared" si="104"/>
        <v>364000</v>
      </c>
      <c r="O65" s="81"/>
      <c r="P65" s="81"/>
      <c r="Q65" s="81">
        <f t="shared" si="105"/>
        <v>364000</v>
      </c>
      <c r="R65" s="81">
        <f t="shared" si="106"/>
        <v>36400</v>
      </c>
      <c r="S65" s="81">
        <f t="shared" si="107"/>
        <v>327600</v>
      </c>
      <c r="T65" s="42">
        <f t="shared" si="108"/>
        <v>8320</v>
      </c>
      <c r="U65" s="1">
        <f t="shared" si="98"/>
        <v>11232</v>
      </c>
      <c r="V65" s="34">
        <f t="shared" si="99"/>
        <v>16848</v>
      </c>
      <c r="W65" s="35">
        <f t="shared" si="100"/>
        <v>36400</v>
      </c>
      <c r="X65" s="35">
        <f t="shared" si="101"/>
        <v>0</v>
      </c>
      <c r="Y65" s="35">
        <v>936</v>
      </c>
      <c r="Z65" s="41">
        <f t="shared" si="102"/>
        <v>802.28571428571433</v>
      </c>
    </row>
    <row r="66" spans="1:26" ht="12.75" x14ac:dyDescent="0.2">
      <c r="A66" s="168"/>
      <c r="B66" s="168"/>
      <c r="C66" s="168"/>
      <c r="D66" s="107"/>
      <c r="E66" s="154">
        <v>1</v>
      </c>
      <c r="F66" s="155" t="s">
        <v>142</v>
      </c>
      <c r="G66" s="111">
        <v>1</v>
      </c>
      <c r="H66" s="112">
        <v>440000000</v>
      </c>
      <c r="I66" s="112">
        <f t="shared" si="109"/>
        <v>440000000</v>
      </c>
      <c r="J66" s="110">
        <v>44323</v>
      </c>
      <c r="K66" s="77">
        <f t="shared" si="110"/>
        <v>49802</v>
      </c>
      <c r="L66" s="107">
        <v>180</v>
      </c>
      <c r="M66" s="169">
        <v>37.520000000000003</v>
      </c>
      <c r="N66" s="81">
        <f t="shared" si="104"/>
        <v>16508800.000000002</v>
      </c>
      <c r="O66" s="81"/>
      <c r="P66" s="81"/>
      <c r="Q66" s="81">
        <f t="shared" si="105"/>
        <v>16508800.000000002</v>
      </c>
      <c r="R66" s="81">
        <f t="shared" si="106"/>
        <v>1650880.0000000002</v>
      </c>
      <c r="S66" s="81">
        <f t="shared" si="107"/>
        <v>14857920.000000002</v>
      </c>
      <c r="T66" s="42">
        <f t="shared" si="108"/>
        <v>206590.56983240228</v>
      </c>
      <c r="U66" s="1">
        <f t="shared" si="98"/>
        <v>99606.167597765379</v>
      </c>
      <c r="V66" s="34">
        <f t="shared" si="99"/>
        <v>1344683.2625698326</v>
      </c>
      <c r="W66" s="35">
        <f t="shared" si="100"/>
        <v>1650880.0000000002</v>
      </c>
      <c r="X66" s="35">
        <f t="shared" si="101"/>
        <v>0</v>
      </c>
      <c r="Y66" s="35">
        <v>8300.5139664804483</v>
      </c>
      <c r="Z66" s="41">
        <f t="shared" si="102"/>
        <v>8068.6560344558548</v>
      </c>
    </row>
    <row r="67" spans="1:26" ht="12.75" x14ac:dyDescent="0.2">
      <c r="A67" s="168"/>
      <c r="B67" s="168"/>
      <c r="C67" s="168"/>
      <c r="D67" s="107"/>
      <c r="E67" s="154">
        <v>1</v>
      </c>
      <c r="F67" s="155" t="s">
        <v>144</v>
      </c>
      <c r="G67" s="111">
        <v>1</v>
      </c>
      <c r="H67" s="112">
        <v>30000000</v>
      </c>
      <c r="I67" s="112">
        <f t="shared" si="109"/>
        <v>30000000</v>
      </c>
      <c r="J67" s="110">
        <v>44323</v>
      </c>
      <c r="K67" s="77">
        <f t="shared" si="110"/>
        <v>45053</v>
      </c>
      <c r="L67" s="107">
        <v>24</v>
      </c>
      <c r="M67" s="169">
        <v>9.1</v>
      </c>
      <c r="N67" s="81">
        <f t="shared" si="104"/>
        <v>273000</v>
      </c>
      <c r="O67" s="81"/>
      <c r="P67" s="81"/>
      <c r="Q67" s="81">
        <f t="shared" si="105"/>
        <v>273000</v>
      </c>
      <c r="R67" s="81">
        <f t="shared" si="106"/>
        <v>27300</v>
      </c>
      <c r="S67" s="81">
        <f t="shared" si="107"/>
        <v>245700</v>
      </c>
      <c r="T67" s="42">
        <f t="shared" si="108"/>
        <v>8071.3043478260879</v>
      </c>
      <c r="U67" s="1">
        <f t="shared" si="98"/>
        <v>12819.13043478261</v>
      </c>
      <c r="V67" s="34">
        <f t="shared" si="99"/>
        <v>6409.5652173913022</v>
      </c>
      <c r="W67" s="35">
        <f t="shared" si="100"/>
        <v>27300</v>
      </c>
      <c r="X67" s="35">
        <f t="shared" si="101"/>
        <v>0</v>
      </c>
      <c r="Y67" s="35">
        <v>1068.2608695652175</v>
      </c>
      <c r="Z67" s="41">
        <f t="shared" si="102"/>
        <v>836.03024574669178</v>
      </c>
    </row>
    <row r="68" spans="1:26" ht="12.75" x14ac:dyDescent="0.2">
      <c r="A68" s="168"/>
      <c r="B68" s="168"/>
      <c r="C68" s="168"/>
      <c r="D68" s="107"/>
      <c r="E68" s="154">
        <v>1</v>
      </c>
      <c r="F68" s="155" t="s">
        <v>143</v>
      </c>
      <c r="G68" s="111">
        <v>1</v>
      </c>
      <c r="H68" s="112">
        <v>200000000</v>
      </c>
      <c r="I68" s="112">
        <f t="shared" si="109"/>
        <v>200000000</v>
      </c>
      <c r="J68" s="110">
        <v>44326</v>
      </c>
      <c r="K68" s="77">
        <f t="shared" si="110"/>
        <v>47978</v>
      </c>
      <c r="L68" s="107">
        <v>120</v>
      </c>
      <c r="M68" s="169">
        <v>25.48</v>
      </c>
      <c r="N68" s="81">
        <f t="shared" si="104"/>
        <v>5096000</v>
      </c>
      <c r="O68" s="81"/>
      <c r="P68" s="81"/>
      <c r="Q68" s="81">
        <f t="shared" si="105"/>
        <v>5096000</v>
      </c>
      <c r="R68" s="81">
        <f t="shared" si="106"/>
        <v>509600</v>
      </c>
      <c r="S68" s="81">
        <f t="shared" si="107"/>
        <v>4586400</v>
      </c>
      <c r="T68" s="42">
        <f t="shared" si="108"/>
        <v>70230.588235294126</v>
      </c>
      <c r="U68" s="1">
        <f t="shared" si="98"/>
        <v>46249.411764705881</v>
      </c>
      <c r="V68" s="34">
        <f t="shared" si="99"/>
        <v>393120</v>
      </c>
      <c r="W68" s="35">
        <f t="shared" si="100"/>
        <v>509600</v>
      </c>
      <c r="X68" s="35">
        <f t="shared" si="101"/>
        <v>0</v>
      </c>
      <c r="Y68" s="35">
        <v>3854.1176470588234</v>
      </c>
      <c r="Z68" s="41">
        <f t="shared" si="102"/>
        <v>3692.1799307958481</v>
      </c>
    </row>
    <row r="69" spans="1:26" ht="12.75" x14ac:dyDescent="0.2">
      <c r="A69" s="168"/>
      <c r="B69" s="168"/>
      <c r="C69" s="168"/>
      <c r="D69" s="107"/>
      <c r="E69" s="154">
        <v>1</v>
      </c>
      <c r="F69" s="155" t="s">
        <v>145</v>
      </c>
      <c r="G69" s="111">
        <v>1</v>
      </c>
      <c r="H69" s="112">
        <v>265000000</v>
      </c>
      <c r="I69" s="112">
        <f t="shared" si="109"/>
        <v>265000000</v>
      </c>
      <c r="J69" s="110">
        <v>44326</v>
      </c>
      <c r="K69" s="77">
        <f t="shared" si="110"/>
        <v>48497</v>
      </c>
      <c r="L69" s="107">
        <v>137</v>
      </c>
      <c r="M69" s="169">
        <v>30.46</v>
      </c>
      <c r="N69" s="81">
        <f t="shared" si="104"/>
        <v>8071900</v>
      </c>
      <c r="O69" s="81"/>
      <c r="P69" s="81"/>
      <c r="Q69" s="81">
        <f t="shared" si="105"/>
        <v>8071900</v>
      </c>
      <c r="R69" s="81">
        <f t="shared" si="106"/>
        <v>807190</v>
      </c>
      <c r="S69" s="81">
        <f t="shared" si="107"/>
        <v>7264710</v>
      </c>
      <c r="T69" s="42">
        <f t="shared" si="108"/>
        <v>107427.49264705883</v>
      </c>
      <c r="U69" s="1">
        <f t="shared" si="98"/>
        <v>64100.382352941175</v>
      </c>
      <c r="V69" s="34">
        <f t="shared" si="99"/>
        <v>635662.125</v>
      </c>
      <c r="W69" s="35">
        <f t="shared" si="100"/>
        <v>807190</v>
      </c>
      <c r="X69" s="35">
        <f t="shared" si="101"/>
        <v>0</v>
      </c>
      <c r="Y69" s="35">
        <v>5341.6985294117649</v>
      </c>
      <c r="Z69" s="41">
        <f t="shared" si="102"/>
        <v>5145.3125540657438</v>
      </c>
    </row>
    <row r="70" spans="1:26" x14ac:dyDescent="0.2">
      <c r="A70" s="83"/>
      <c r="B70" s="83"/>
      <c r="C70" s="83"/>
      <c r="D70" s="84"/>
      <c r="E70" s="93">
        <f>SUM(E56:E69)</f>
        <v>14</v>
      </c>
      <c r="F70" s="83"/>
      <c r="G70" s="83"/>
      <c r="H70" s="92">
        <f>SUM(H56:H69)</f>
        <v>3265000000</v>
      </c>
      <c r="I70" s="92">
        <f t="shared" ref="I70:Z70" si="111">SUM(I56:I69)</f>
        <v>3265000000</v>
      </c>
      <c r="J70" s="92"/>
      <c r="K70" s="92"/>
      <c r="L70" s="92"/>
      <c r="M70" s="92"/>
      <c r="N70" s="92">
        <f t="shared" si="111"/>
        <v>102042400</v>
      </c>
      <c r="O70" s="92">
        <f t="shared" si="111"/>
        <v>0</v>
      </c>
      <c r="P70" s="92">
        <f t="shared" si="111"/>
        <v>0</v>
      </c>
      <c r="Q70" s="92">
        <f t="shared" si="111"/>
        <v>102042400</v>
      </c>
      <c r="R70" s="92">
        <f t="shared" si="111"/>
        <v>10204240.000000002</v>
      </c>
      <c r="S70" s="92">
        <f t="shared" si="111"/>
        <v>91838160.000000015</v>
      </c>
      <c r="T70" s="92">
        <f t="shared" si="111"/>
        <v>1343825.0478316839</v>
      </c>
      <c r="U70" s="92">
        <f t="shared" si="111"/>
        <v>776162.5147960406</v>
      </c>
      <c r="V70" s="92">
        <f t="shared" si="111"/>
        <v>8084252.4373722775</v>
      </c>
      <c r="W70" s="92">
        <f t="shared" si="111"/>
        <v>10204240.000000002</v>
      </c>
      <c r="X70" s="92">
        <f t="shared" si="111"/>
        <v>0</v>
      </c>
      <c r="Y70" s="92">
        <f t="shared" si="111"/>
        <v>64680.209566336722</v>
      </c>
      <c r="Z70" s="92">
        <f t="shared" si="111"/>
        <v>61607.226393774399</v>
      </c>
    </row>
    <row r="71" spans="1:26" x14ac:dyDescent="0.2">
      <c r="A71" s="74">
        <v>15</v>
      </c>
      <c r="B71" s="107" t="s">
        <v>49</v>
      </c>
      <c r="C71" s="107" t="s">
        <v>156</v>
      </c>
      <c r="D71" s="110">
        <v>44347</v>
      </c>
      <c r="E71" s="74">
        <v>1</v>
      </c>
      <c r="F71" s="107" t="s">
        <v>157</v>
      </c>
      <c r="G71" s="111">
        <v>1</v>
      </c>
      <c r="H71" s="112">
        <v>250000000</v>
      </c>
      <c r="I71" s="112">
        <f>H71*G71</f>
        <v>250000000</v>
      </c>
      <c r="J71" s="110">
        <v>44320</v>
      </c>
      <c r="K71" s="77">
        <f>IFERROR(VALUE(DAY(J71)&amp;" "&amp;TEXT(EOMONTH(J71,L71)-29,"mmm")&amp;" "&amp;YEAR(EOMONTH(J71,L71)-29)),"-")</f>
        <v>48338</v>
      </c>
      <c r="L71" s="107">
        <v>132</v>
      </c>
      <c r="M71" s="99">
        <v>27.98</v>
      </c>
      <c r="N71" s="81">
        <f t="shared" ref="N71:N72" si="112">M71*H71/1000</f>
        <v>6995000</v>
      </c>
      <c r="O71" s="81"/>
      <c r="P71" s="81"/>
      <c r="Q71" s="81">
        <f t="shared" ref="Q71:Q72" si="113">N71+O71+P71</f>
        <v>6995000</v>
      </c>
      <c r="R71" s="81">
        <f t="shared" ref="R71:R72" si="114">10%*N71</f>
        <v>699500</v>
      </c>
      <c r="S71" s="81">
        <f t="shared" ref="S71:S72" si="115">Q71-R71</f>
        <v>6295500</v>
      </c>
      <c r="T71" s="42">
        <f t="shared" ref="T71:T72" si="116">R71*10%+(Y71*5)</f>
        <v>93978.625954198476</v>
      </c>
      <c r="U71" s="1">
        <f t="shared" si="98"/>
        <v>57668.70229007634</v>
      </c>
      <c r="V71" s="34">
        <f t="shared" si="99"/>
        <v>547852.67175572529</v>
      </c>
      <c r="W71" s="35">
        <f t="shared" si="100"/>
        <v>699500.00000000012</v>
      </c>
      <c r="X71" s="35">
        <f t="shared" si="101"/>
        <v>0</v>
      </c>
      <c r="Y71" s="35">
        <v>4805.7251908396947</v>
      </c>
      <c r="Z71" s="41">
        <f t="shared" si="102"/>
        <v>4622.3005652351267</v>
      </c>
    </row>
    <row r="72" spans="1:26" x14ac:dyDescent="0.2">
      <c r="A72" s="74"/>
      <c r="B72" s="107"/>
      <c r="C72" s="107"/>
      <c r="D72" s="110"/>
      <c r="E72" s="74">
        <v>1</v>
      </c>
      <c r="F72" s="107" t="s">
        <v>158</v>
      </c>
      <c r="G72" s="111">
        <v>1</v>
      </c>
      <c r="H72" s="112">
        <v>60000000</v>
      </c>
      <c r="I72" s="112">
        <f>H72*G72</f>
        <v>60000000</v>
      </c>
      <c r="J72" s="110">
        <v>44320</v>
      </c>
      <c r="K72" s="77">
        <f>IFERROR(VALUE(DAY(J72)&amp;" "&amp;TEXT(EOMONTH(J72,L72)-29,"mmm")&amp;" "&amp;YEAR(EOMONTH(J72,L72)-29)),"-")</f>
        <v>46146</v>
      </c>
      <c r="L72" s="107">
        <v>60</v>
      </c>
      <c r="M72" s="99">
        <v>13.65</v>
      </c>
      <c r="N72" s="81">
        <f t="shared" si="112"/>
        <v>819000</v>
      </c>
      <c r="O72" s="81"/>
      <c r="P72" s="81"/>
      <c r="Q72" s="81">
        <f t="shared" si="113"/>
        <v>819000</v>
      </c>
      <c r="R72" s="81">
        <f t="shared" si="114"/>
        <v>81900</v>
      </c>
      <c r="S72" s="81">
        <f t="shared" si="115"/>
        <v>737100</v>
      </c>
      <c r="T72" s="42">
        <f t="shared" si="116"/>
        <v>14436.610169491525</v>
      </c>
      <c r="U72" s="1">
        <f t="shared" si="98"/>
        <v>14991.864406779661</v>
      </c>
      <c r="V72" s="34">
        <f t="shared" si="99"/>
        <v>52471.52542372881</v>
      </c>
      <c r="W72" s="35">
        <f t="shared" si="100"/>
        <v>81900</v>
      </c>
      <c r="X72" s="35">
        <f t="shared" si="101"/>
        <v>0</v>
      </c>
      <c r="Y72" s="35">
        <v>1249.3220338983051</v>
      </c>
      <c r="Z72" s="41">
        <f t="shared" si="102"/>
        <v>1143.4472852628555</v>
      </c>
    </row>
    <row r="73" spans="1:26" x14ac:dyDescent="0.2">
      <c r="A73" s="88"/>
      <c r="B73" s="84"/>
      <c r="C73" s="84"/>
      <c r="D73" s="84"/>
      <c r="E73" s="88">
        <f>SUM(E71:E72)</f>
        <v>2</v>
      </c>
      <c r="F73" s="84"/>
      <c r="G73" s="115"/>
      <c r="H73" s="79">
        <f t="shared" ref="H73:I73" si="117">SUM(H71:H72)</f>
        <v>310000000</v>
      </c>
      <c r="I73" s="79">
        <f t="shared" si="117"/>
        <v>310000000</v>
      </c>
      <c r="J73" s="59"/>
      <c r="K73" s="59"/>
      <c r="L73" s="59"/>
      <c r="M73" s="59"/>
      <c r="N73" s="79">
        <f t="shared" ref="N73:Z73" si="118">SUM(N71:N72)</f>
        <v>7814000</v>
      </c>
      <c r="O73" s="79">
        <f t="shared" si="118"/>
        <v>0</v>
      </c>
      <c r="P73" s="79">
        <f t="shared" si="118"/>
        <v>0</v>
      </c>
      <c r="Q73" s="79">
        <f t="shared" si="118"/>
        <v>7814000</v>
      </c>
      <c r="R73" s="79">
        <f t="shared" si="118"/>
        <v>781400</v>
      </c>
      <c r="S73" s="79">
        <f t="shared" si="118"/>
        <v>7032600</v>
      </c>
      <c r="T73" s="79">
        <f t="shared" si="118"/>
        <v>108415.23612369</v>
      </c>
      <c r="U73" s="79">
        <f t="shared" si="118"/>
        <v>72660.566696855996</v>
      </c>
      <c r="V73" s="79">
        <f t="shared" si="118"/>
        <v>600324.19717945415</v>
      </c>
      <c r="W73" s="79">
        <f t="shared" si="118"/>
        <v>781400.00000000012</v>
      </c>
      <c r="X73" s="79">
        <f t="shared" si="118"/>
        <v>0</v>
      </c>
      <c r="Y73" s="79">
        <f t="shared" si="118"/>
        <v>6055.0472247380003</v>
      </c>
      <c r="Z73" s="79">
        <f t="shared" si="118"/>
        <v>5765.7478504979827</v>
      </c>
    </row>
    <row r="74" spans="1:26" x14ac:dyDescent="0.2">
      <c r="A74" s="83"/>
      <c r="B74" s="83"/>
      <c r="C74" s="83" t="s">
        <v>147</v>
      </c>
      <c r="D74" s="84"/>
      <c r="E74" s="85">
        <f>E70+E55+E53+E50+E73</f>
        <v>20</v>
      </c>
      <c r="F74" s="87">
        <f t="shared" ref="F74:S74" si="119">F70+F55+F53+F50+F73</f>
        <v>0</v>
      </c>
      <c r="G74" s="87">
        <f t="shared" si="119"/>
        <v>0</v>
      </c>
      <c r="H74" s="87">
        <f t="shared" si="119"/>
        <v>4756450622</v>
      </c>
      <c r="I74" s="87">
        <f t="shared" si="119"/>
        <v>4756450622</v>
      </c>
      <c r="J74" s="87">
        <f t="shared" si="119"/>
        <v>0</v>
      </c>
      <c r="K74" s="87">
        <f t="shared" si="119"/>
        <v>0</v>
      </c>
      <c r="L74" s="87">
        <f t="shared" si="119"/>
        <v>0</v>
      </c>
      <c r="M74" s="87">
        <f t="shared" si="119"/>
        <v>0</v>
      </c>
      <c r="N74" s="87">
        <f t="shared" si="119"/>
        <v>144081307.23106</v>
      </c>
      <c r="O74" s="87">
        <f t="shared" si="119"/>
        <v>0</v>
      </c>
      <c r="P74" s="87">
        <f t="shared" si="119"/>
        <v>0</v>
      </c>
      <c r="Q74" s="87">
        <f t="shared" si="119"/>
        <v>144081307.23106</v>
      </c>
      <c r="R74" s="87">
        <f t="shared" si="119"/>
        <v>14088350.000000002</v>
      </c>
      <c r="S74" s="87">
        <f t="shared" si="119"/>
        <v>129673176.50795402</v>
      </c>
      <c r="T74" s="87">
        <f>T70+T55+T53+T50+T73</f>
        <v>2245249.8971487773</v>
      </c>
      <c r="U74" s="87">
        <f t="shared" ref="U74:Z74" si="120">U70+U55+U53+U50+U73</f>
        <v>2007395.7531570643</v>
      </c>
      <c r="V74" s="87">
        <f t="shared" si="120"/>
        <v>9835704.3496941589</v>
      </c>
      <c r="W74" s="87">
        <f t="shared" si="120"/>
        <v>14088350.000000002</v>
      </c>
      <c r="X74" s="87">
        <f t="shared" si="120"/>
        <v>0</v>
      </c>
      <c r="Y74" s="87">
        <f t="shared" si="120"/>
        <v>167282.97942975539</v>
      </c>
      <c r="Z74" s="87">
        <f t="shared" si="120"/>
        <v>147218.72853804004</v>
      </c>
    </row>
    <row r="75" spans="1:26" x14ac:dyDescent="0.2">
      <c r="A75" s="83"/>
      <c r="B75" s="83"/>
      <c r="C75" s="83" t="s">
        <v>148</v>
      </c>
      <c r="D75" s="84"/>
      <c r="E75" s="93">
        <f>E74+E43</f>
        <v>25</v>
      </c>
      <c r="F75" s="95">
        <f t="shared" ref="F75:Z75" si="121">F74+F43</f>
        <v>0</v>
      </c>
      <c r="G75" s="95">
        <f t="shared" si="121"/>
        <v>0</v>
      </c>
      <c r="H75" s="95">
        <f t="shared" si="121"/>
        <v>5289450622</v>
      </c>
      <c r="I75" s="95">
        <f t="shared" si="121"/>
        <v>5289450622</v>
      </c>
      <c r="J75" s="95"/>
      <c r="K75" s="95"/>
      <c r="L75" s="95"/>
      <c r="M75" s="95"/>
      <c r="N75" s="95">
        <f t="shared" si="121"/>
        <v>158877545.86488</v>
      </c>
      <c r="O75" s="95">
        <f t="shared" si="121"/>
        <v>300000</v>
      </c>
      <c r="P75" s="95">
        <f t="shared" si="121"/>
        <v>0</v>
      </c>
      <c r="Q75" s="95">
        <f t="shared" si="121"/>
        <v>159177545.86488</v>
      </c>
      <c r="R75" s="95">
        <f t="shared" si="121"/>
        <v>15467847.000000002</v>
      </c>
      <c r="S75" s="95">
        <f t="shared" si="121"/>
        <v>143389918.14177403</v>
      </c>
      <c r="T75" s="95">
        <f t="shared" si="121"/>
        <v>2498594.7651686613</v>
      </c>
      <c r="U75" s="95">
        <f t="shared" si="121"/>
        <v>2238186.0891968324</v>
      </c>
      <c r="V75" s="95">
        <f t="shared" si="121"/>
        <v>10731066.145634506</v>
      </c>
      <c r="W75" s="95">
        <f t="shared" si="121"/>
        <v>15467847.000000002</v>
      </c>
      <c r="X75" s="95">
        <f t="shared" si="121"/>
        <v>0</v>
      </c>
      <c r="Y75" s="95">
        <f t="shared" si="121"/>
        <v>186515.5074330694</v>
      </c>
      <c r="Z75" s="95">
        <f t="shared" si="121"/>
        <v>164218.16809020267</v>
      </c>
    </row>
    <row r="77" spans="1:26" ht="23.25" x14ac:dyDescent="0.2">
      <c r="A77" s="86" t="s">
        <v>176</v>
      </c>
      <c r="B77" s="62"/>
      <c r="C77" s="62"/>
      <c r="D77" s="57"/>
      <c r="E77" s="63"/>
      <c r="F77" s="64"/>
      <c r="G77" s="65"/>
      <c r="H77" s="66"/>
      <c r="I77" s="66"/>
      <c r="J77" s="67"/>
      <c r="K77" s="67"/>
      <c r="L77" s="68"/>
      <c r="M77" s="68"/>
      <c r="N77" s="69"/>
      <c r="O77" s="69"/>
      <c r="P77" s="69"/>
      <c r="Q77" s="69"/>
      <c r="R77" s="69"/>
      <c r="S77" s="69"/>
      <c r="T77" s="70"/>
      <c r="U77" s="71"/>
      <c r="V77" s="71"/>
    </row>
    <row r="78" spans="1:26" x14ac:dyDescent="0.2">
      <c r="A78" s="231" t="s">
        <v>0</v>
      </c>
      <c r="B78" s="232" t="s">
        <v>1</v>
      </c>
      <c r="C78" s="229" t="s">
        <v>2</v>
      </c>
      <c r="D78" s="233" t="s">
        <v>3</v>
      </c>
      <c r="E78" s="234" t="s">
        <v>4</v>
      </c>
      <c r="F78" s="232" t="s">
        <v>5</v>
      </c>
      <c r="G78" s="235" t="s">
        <v>6</v>
      </c>
      <c r="H78" s="236" t="s">
        <v>7</v>
      </c>
      <c r="I78" s="236" t="s">
        <v>8</v>
      </c>
      <c r="J78" s="227" t="s">
        <v>9</v>
      </c>
      <c r="K78" s="227"/>
      <c r="L78" s="228" t="s">
        <v>10</v>
      </c>
      <c r="M78" s="229" t="s">
        <v>11</v>
      </c>
      <c r="N78" s="230" t="s">
        <v>12</v>
      </c>
      <c r="O78" s="230"/>
      <c r="P78" s="230"/>
      <c r="Q78" s="229" t="s">
        <v>13</v>
      </c>
      <c r="R78" s="229" t="s">
        <v>14</v>
      </c>
      <c r="S78" s="229" t="s">
        <v>15</v>
      </c>
      <c r="T78" s="36">
        <v>2021</v>
      </c>
      <c r="U78" s="37"/>
      <c r="V78" s="38" t="s">
        <v>44</v>
      </c>
    </row>
    <row r="79" spans="1:26" x14ac:dyDescent="0.2">
      <c r="A79" s="231"/>
      <c r="B79" s="232"/>
      <c r="C79" s="229"/>
      <c r="D79" s="233"/>
      <c r="E79" s="234"/>
      <c r="F79" s="232"/>
      <c r="G79" s="235"/>
      <c r="H79" s="236"/>
      <c r="I79" s="236"/>
      <c r="J79" s="227"/>
      <c r="K79" s="227"/>
      <c r="L79" s="228"/>
      <c r="M79" s="229"/>
      <c r="N79" s="213" t="s">
        <v>16</v>
      </c>
      <c r="O79" s="213" t="s">
        <v>17</v>
      </c>
      <c r="P79" s="213" t="s">
        <v>18</v>
      </c>
      <c r="Q79" s="229"/>
      <c r="R79" s="229"/>
      <c r="S79" s="229"/>
      <c r="T79" s="96" t="s">
        <v>240</v>
      </c>
      <c r="U79" s="39" t="s">
        <v>243</v>
      </c>
      <c r="V79" s="40"/>
    </row>
    <row r="80" spans="1:26" ht="12.75" x14ac:dyDescent="0.2">
      <c r="A80" s="154">
        <v>16</v>
      </c>
      <c r="B80" s="155" t="s">
        <v>111</v>
      </c>
      <c r="C80" s="155" t="s">
        <v>160</v>
      </c>
      <c r="D80" s="156">
        <v>44361</v>
      </c>
      <c r="E80" s="154">
        <v>1</v>
      </c>
      <c r="F80" s="155" t="s">
        <v>161</v>
      </c>
      <c r="G80" s="175">
        <v>1</v>
      </c>
      <c r="H80" s="176">
        <v>64397514</v>
      </c>
      <c r="I80" s="176">
        <f>H80*G80</f>
        <v>64397514</v>
      </c>
      <c r="J80" s="156">
        <v>44822</v>
      </c>
      <c r="K80" s="177">
        <v>44990</v>
      </c>
      <c r="L80" s="155">
        <v>6</v>
      </c>
      <c r="M80" s="99">
        <v>5.46</v>
      </c>
      <c r="N80" s="81">
        <f t="shared" ref="N80" si="122">M80*H80/1000</f>
        <v>351610.42644000001</v>
      </c>
      <c r="O80" s="81">
        <v>100000</v>
      </c>
      <c r="P80" s="81"/>
      <c r="Q80" s="81">
        <f t="shared" ref="Q80" si="123">N80+O80+P80</f>
        <v>451610.42644000001</v>
      </c>
      <c r="R80" s="81"/>
      <c r="S80" s="81">
        <f t="shared" ref="S80" si="124">Q80-R80</f>
        <v>451610.42644000001</v>
      </c>
      <c r="T80" s="42"/>
      <c r="U80" s="1"/>
      <c r="V80" s="34"/>
      <c r="W80" s="35"/>
      <c r="X80" s="35"/>
    </row>
    <row r="81" spans="1:24" ht="12.75" x14ac:dyDescent="0.2">
      <c r="A81" s="159"/>
      <c r="B81" s="160"/>
      <c r="C81" s="160"/>
      <c r="D81" s="160"/>
      <c r="E81" s="178"/>
      <c r="F81" s="179"/>
      <c r="G81" s="179"/>
      <c r="H81" s="179"/>
      <c r="I81" s="179"/>
      <c r="J81" s="179"/>
      <c r="K81" s="179"/>
      <c r="L81" s="179"/>
      <c r="M81" s="179"/>
      <c r="N81" s="179">
        <f t="shared" ref="N81:X81" si="125">SUM(N80)</f>
        <v>351610.42644000001</v>
      </c>
      <c r="O81" s="179">
        <f t="shared" si="125"/>
        <v>100000</v>
      </c>
      <c r="P81" s="179">
        <f t="shared" si="125"/>
        <v>0</v>
      </c>
      <c r="Q81" s="179">
        <f t="shared" si="125"/>
        <v>451610.42644000001</v>
      </c>
      <c r="R81" s="179">
        <f t="shared" si="125"/>
        <v>0</v>
      </c>
      <c r="S81" s="179">
        <f t="shared" si="125"/>
        <v>451610.42644000001</v>
      </c>
      <c r="T81" s="179">
        <f t="shared" si="125"/>
        <v>0</v>
      </c>
      <c r="U81" s="179">
        <f t="shared" si="125"/>
        <v>0</v>
      </c>
      <c r="V81" s="179">
        <f t="shared" si="125"/>
        <v>0</v>
      </c>
      <c r="W81" s="179">
        <f t="shared" si="125"/>
        <v>0</v>
      </c>
      <c r="X81" s="179">
        <f t="shared" si="125"/>
        <v>0</v>
      </c>
    </row>
    <row r="82" spans="1:24" ht="12.75" x14ac:dyDescent="0.2">
      <c r="A82" s="154">
        <v>17</v>
      </c>
      <c r="B82" s="155" t="s">
        <v>49</v>
      </c>
      <c r="C82" s="155" t="s">
        <v>163</v>
      </c>
      <c r="D82" s="156">
        <v>44377</v>
      </c>
      <c r="E82" s="154">
        <v>1</v>
      </c>
      <c r="F82" s="155" t="s">
        <v>164</v>
      </c>
      <c r="G82" s="175">
        <v>1</v>
      </c>
      <c r="H82" s="176">
        <v>179133550</v>
      </c>
      <c r="I82" s="176">
        <f>H82*G82</f>
        <v>179133550</v>
      </c>
      <c r="J82" s="156">
        <v>44373</v>
      </c>
      <c r="K82" s="177">
        <v>46280</v>
      </c>
      <c r="L82" s="155">
        <v>63</v>
      </c>
      <c r="M82" s="99">
        <v>25.48</v>
      </c>
      <c r="N82" s="81">
        <f t="shared" ref="N82" si="126">M82*H82/1000</f>
        <v>4564322.8540000003</v>
      </c>
      <c r="O82" s="81"/>
      <c r="P82" s="81"/>
      <c r="Q82" s="81">
        <f t="shared" ref="Q82" si="127">N82+O82+P82</f>
        <v>4564322.8540000003</v>
      </c>
      <c r="R82" s="81">
        <f t="shared" ref="R82" si="128">10%*N82</f>
        <v>456432.28540000005</v>
      </c>
      <c r="S82" s="81">
        <f t="shared" ref="S82" si="129">Q82-R82</f>
        <v>4107890.5686000003</v>
      </c>
      <c r="T82" s="42">
        <f>R82/L82*5</f>
        <v>36224.784555555561</v>
      </c>
      <c r="U82" s="1">
        <f>R82/L82*12</f>
        <v>86939.482933333347</v>
      </c>
      <c r="V82" s="34">
        <f>R82-T82-U82</f>
        <v>333268.01791111112</v>
      </c>
      <c r="W82" s="35">
        <f t="shared" ref="W82" si="130">T82+U82+V82</f>
        <v>456432.28540000005</v>
      </c>
      <c r="X82" s="35">
        <f t="shared" ref="X82" si="131">R82-W82</f>
        <v>0</v>
      </c>
    </row>
    <row r="83" spans="1:24" ht="12.75" x14ac:dyDescent="0.2">
      <c r="A83" s="159"/>
      <c r="B83" s="160"/>
      <c r="C83" s="160"/>
      <c r="D83" s="160"/>
      <c r="E83" s="179">
        <f>SUM(E82)</f>
        <v>1</v>
      </c>
      <c r="F83" s="179">
        <f t="shared" ref="F83:X83" si="132">SUM(F82)</f>
        <v>0</v>
      </c>
      <c r="G83" s="179">
        <f t="shared" si="132"/>
        <v>1</v>
      </c>
      <c r="H83" s="179">
        <f t="shared" si="132"/>
        <v>179133550</v>
      </c>
      <c r="I83" s="179">
        <f t="shared" si="132"/>
        <v>179133550</v>
      </c>
      <c r="J83" s="179"/>
      <c r="K83" s="179"/>
      <c r="L83" s="179"/>
      <c r="M83" s="179"/>
      <c r="N83" s="179">
        <f t="shared" si="132"/>
        <v>4564322.8540000003</v>
      </c>
      <c r="O83" s="179">
        <f t="shared" si="132"/>
        <v>0</v>
      </c>
      <c r="P83" s="179">
        <f t="shared" si="132"/>
        <v>0</v>
      </c>
      <c r="Q83" s="179">
        <f t="shared" si="132"/>
        <v>4564322.8540000003</v>
      </c>
      <c r="R83" s="179">
        <f t="shared" si="132"/>
        <v>456432.28540000005</v>
      </c>
      <c r="S83" s="179">
        <f t="shared" si="132"/>
        <v>4107890.5686000003</v>
      </c>
      <c r="T83" s="179">
        <f t="shared" si="132"/>
        <v>36224.784555555561</v>
      </c>
      <c r="U83" s="179">
        <f t="shared" si="132"/>
        <v>86939.482933333347</v>
      </c>
      <c r="V83" s="179">
        <f t="shared" si="132"/>
        <v>333268.01791111112</v>
      </c>
      <c r="W83" s="179">
        <f t="shared" si="132"/>
        <v>456432.28540000005</v>
      </c>
      <c r="X83" s="179">
        <f t="shared" si="132"/>
        <v>0</v>
      </c>
    </row>
    <row r="84" spans="1:24" x14ac:dyDescent="0.2">
      <c r="A84" s="83"/>
      <c r="B84" s="83"/>
      <c r="C84" s="83" t="s">
        <v>174</v>
      </c>
      <c r="D84" s="84"/>
      <c r="E84" s="185">
        <f>E83</f>
        <v>1</v>
      </c>
      <c r="F84" s="185">
        <f t="shared" ref="F84:X84" si="133">F83</f>
        <v>0</v>
      </c>
      <c r="G84" s="185">
        <f t="shared" si="133"/>
        <v>1</v>
      </c>
      <c r="H84" s="185">
        <f t="shared" si="133"/>
        <v>179133550</v>
      </c>
      <c r="I84" s="185">
        <f t="shared" si="133"/>
        <v>179133550</v>
      </c>
      <c r="J84" s="185"/>
      <c r="K84" s="185"/>
      <c r="L84" s="185"/>
      <c r="M84" s="185"/>
      <c r="N84" s="185">
        <f t="shared" si="133"/>
        <v>4564322.8540000003</v>
      </c>
      <c r="O84" s="185">
        <f t="shared" si="133"/>
        <v>0</v>
      </c>
      <c r="P84" s="185">
        <f t="shared" si="133"/>
        <v>0</v>
      </c>
      <c r="Q84" s="185">
        <f t="shared" si="133"/>
        <v>4564322.8540000003</v>
      </c>
      <c r="R84" s="185">
        <f t="shared" si="133"/>
        <v>456432.28540000005</v>
      </c>
      <c r="S84" s="185">
        <f t="shared" si="133"/>
        <v>4107890.5686000003</v>
      </c>
      <c r="T84" s="185">
        <f t="shared" si="133"/>
        <v>36224.784555555561</v>
      </c>
      <c r="U84" s="185">
        <f t="shared" si="133"/>
        <v>86939.482933333347</v>
      </c>
      <c r="V84" s="185">
        <f t="shared" si="133"/>
        <v>333268.01791111112</v>
      </c>
      <c r="W84" s="185">
        <f t="shared" si="133"/>
        <v>456432.28540000005</v>
      </c>
      <c r="X84" s="185">
        <f t="shared" si="133"/>
        <v>0</v>
      </c>
    </row>
    <row r="85" spans="1:24" x14ac:dyDescent="0.2">
      <c r="A85" s="83"/>
      <c r="B85" s="83"/>
      <c r="C85" s="83" t="s">
        <v>175</v>
      </c>
      <c r="D85" s="84"/>
      <c r="E85" s="95">
        <f>E84+E75</f>
        <v>26</v>
      </c>
      <c r="F85" s="95">
        <f t="shared" ref="F85:X85" si="134">F84+F75</f>
        <v>0</v>
      </c>
      <c r="G85" s="95">
        <f t="shared" si="134"/>
        <v>1</v>
      </c>
      <c r="H85" s="95">
        <f t="shared" si="134"/>
        <v>5468584172</v>
      </c>
      <c r="I85" s="95">
        <f t="shared" si="134"/>
        <v>5468584172</v>
      </c>
      <c r="J85" s="95"/>
      <c r="K85" s="95"/>
      <c r="L85" s="95"/>
      <c r="M85" s="95"/>
      <c r="N85" s="95">
        <f t="shared" si="134"/>
        <v>163441868.71888</v>
      </c>
      <c r="O85" s="95">
        <f t="shared" si="134"/>
        <v>300000</v>
      </c>
      <c r="P85" s="95">
        <f t="shared" si="134"/>
        <v>0</v>
      </c>
      <c r="Q85" s="95">
        <f t="shared" si="134"/>
        <v>163741868.71888</v>
      </c>
      <c r="R85" s="95">
        <f t="shared" si="134"/>
        <v>15924279.285400001</v>
      </c>
      <c r="S85" s="95">
        <f t="shared" si="134"/>
        <v>147497808.71037403</v>
      </c>
      <c r="T85" s="95">
        <f t="shared" si="134"/>
        <v>2534819.549724217</v>
      </c>
      <c r="U85" s="95">
        <f t="shared" si="134"/>
        <v>2325125.5721301655</v>
      </c>
      <c r="V85" s="95">
        <f t="shared" si="134"/>
        <v>11064334.163545618</v>
      </c>
      <c r="W85" s="95">
        <f t="shared" si="134"/>
        <v>15924279.285400001</v>
      </c>
      <c r="X85" s="95">
        <f t="shared" si="134"/>
        <v>0</v>
      </c>
    </row>
    <row r="87" spans="1:24" ht="23.25" x14ac:dyDescent="0.2">
      <c r="A87" s="86" t="s">
        <v>205</v>
      </c>
      <c r="B87" s="62"/>
      <c r="C87" s="62"/>
      <c r="D87" s="57"/>
      <c r="E87" s="63"/>
      <c r="F87" s="64"/>
      <c r="G87" s="65"/>
      <c r="H87" s="66"/>
      <c r="I87" s="66"/>
      <c r="J87" s="67"/>
      <c r="K87" s="67"/>
      <c r="L87" s="68"/>
      <c r="M87" s="68"/>
      <c r="N87" s="69"/>
      <c r="O87" s="69"/>
      <c r="P87" s="69"/>
      <c r="Q87" s="69"/>
      <c r="R87" s="69"/>
      <c r="S87" s="69"/>
      <c r="T87" s="70"/>
      <c r="U87" s="71"/>
      <c r="V87" s="71"/>
    </row>
    <row r="88" spans="1:24" x14ac:dyDescent="0.2">
      <c r="A88" s="231" t="s">
        <v>0</v>
      </c>
      <c r="B88" s="232" t="s">
        <v>1</v>
      </c>
      <c r="C88" s="229" t="s">
        <v>2</v>
      </c>
      <c r="D88" s="233" t="s">
        <v>3</v>
      </c>
      <c r="E88" s="234" t="s">
        <v>4</v>
      </c>
      <c r="F88" s="232" t="s">
        <v>5</v>
      </c>
      <c r="G88" s="235" t="s">
        <v>6</v>
      </c>
      <c r="H88" s="236" t="s">
        <v>7</v>
      </c>
      <c r="I88" s="236" t="s">
        <v>8</v>
      </c>
      <c r="J88" s="227" t="s">
        <v>9</v>
      </c>
      <c r="K88" s="227"/>
      <c r="L88" s="228" t="s">
        <v>10</v>
      </c>
      <c r="M88" s="229" t="s">
        <v>11</v>
      </c>
      <c r="N88" s="230" t="s">
        <v>12</v>
      </c>
      <c r="O88" s="230"/>
      <c r="P88" s="230"/>
      <c r="Q88" s="229" t="s">
        <v>13</v>
      </c>
      <c r="R88" s="229" t="s">
        <v>14</v>
      </c>
      <c r="S88" s="229" t="s">
        <v>15</v>
      </c>
      <c r="T88" s="36">
        <v>2021</v>
      </c>
      <c r="U88" s="37"/>
      <c r="V88" s="38" t="s">
        <v>44</v>
      </c>
    </row>
    <row r="89" spans="1:24" x14ac:dyDescent="0.2">
      <c r="A89" s="231"/>
      <c r="B89" s="232"/>
      <c r="C89" s="229"/>
      <c r="D89" s="233"/>
      <c r="E89" s="234"/>
      <c r="F89" s="232"/>
      <c r="G89" s="235"/>
      <c r="H89" s="236"/>
      <c r="I89" s="236"/>
      <c r="J89" s="227"/>
      <c r="K89" s="227"/>
      <c r="L89" s="228"/>
      <c r="M89" s="229"/>
      <c r="N89" s="213" t="s">
        <v>16</v>
      </c>
      <c r="O89" s="213" t="s">
        <v>17</v>
      </c>
      <c r="P89" s="213" t="s">
        <v>18</v>
      </c>
      <c r="Q89" s="229"/>
      <c r="R89" s="229"/>
      <c r="S89" s="229"/>
      <c r="T89" s="96" t="s">
        <v>241</v>
      </c>
      <c r="U89" s="39" t="s">
        <v>243</v>
      </c>
      <c r="V89" s="40"/>
    </row>
    <row r="90" spans="1:24" ht="12.75" x14ac:dyDescent="0.2">
      <c r="A90" s="154">
        <v>18</v>
      </c>
      <c r="B90" s="155" t="s">
        <v>128</v>
      </c>
      <c r="C90" s="155" t="s">
        <v>178</v>
      </c>
      <c r="D90" s="156">
        <v>44391</v>
      </c>
      <c r="E90" s="154">
        <v>1</v>
      </c>
      <c r="F90" s="155" t="s">
        <v>179</v>
      </c>
      <c r="G90" s="175">
        <v>1</v>
      </c>
      <c r="H90" s="176">
        <v>380000000</v>
      </c>
      <c r="I90" s="176">
        <f>H90*G90</f>
        <v>380000000</v>
      </c>
      <c r="J90" s="156">
        <v>44350</v>
      </c>
      <c r="K90" s="77">
        <f t="shared" ref="K90:K105" si="135">IFERROR(VALUE(DAY(J90)&amp;" "&amp;TEXT(EOMONTH(J90,L90)-29,"mmm")&amp;" "&amp;YEAR(EOMONTH(J90,L90)-29)),"-")</f>
        <v>48002</v>
      </c>
      <c r="L90" s="155">
        <v>120</v>
      </c>
      <c r="M90" s="99">
        <v>25.48</v>
      </c>
      <c r="N90" s="81">
        <f t="shared" ref="N90:N105" si="136">M90*H90/1000</f>
        <v>9682400</v>
      </c>
      <c r="O90" s="81"/>
      <c r="P90" s="81"/>
      <c r="Q90" s="81">
        <f t="shared" ref="Q90:Q105" si="137">N90+O90+P90</f>
        <v>9682400</v>
      </c>
      <c r="R90" s="81">
        <f t="shared" ref="R90:R105" si="138">10%*N90</f>
        <v>968240</v>
      </c>
      <c r="S90" s="81">
        <f t="shared" ref="S90:S105" si="139">Q90-R90</f>
        <v>8714160</v>
      </c>
      <c r="T90" s="42">
        <f>R90/L90*4</f>
        <v>32274.666666666668</v>
      </c>
      <c r="U90" s="1">
        <f>R90/L90*12</f>
        <v>96824</v>
      </c>
      <c r="V90" s="34">
        <f>R90-T90-U90</f>
        <v>839141.33333333337</v>
      </c>
      <c r="W90" s="35">
        <f t="shared" ref="W90:W105" si="140">T90+U90+V90</f>
        <v>968240</v>
      </c>
      <c r="X90" s="35">
        <f t="shared" ref="X90:X105" si="141">R90-W90</f>
        <v>0</v>
      </c>
    </row>
    <row r="91" spans="1:24" ht="12.75" x14ac:dyDescent="0.2">
      <c r="A91" s="168"/>
      <c r="B91" s="168"/>
      <c r="C91" s="168"/>
      <c r="D91" s="107"/>
      <c r="E91" s="154">
        <v>1</v>
      </c>
      <c r="F91" s="155" t="s">
        <v>180</v>
      </c>
      <c r="G91" s="175">
        <v>1</v>
      </c>
      <c r="H91" s="176">
        <v>445000000</v>
      </c>
      <c r="I91" s="176">
        <f t="shared" ref="I91:I105" si="142">H91*G91</f>
        <v>445000000</v>
      </c>
      <c r="J91" s="156">
        <v>44350</v>
      </c>
      <c r="K91" s="77">
        <f t="shared" si="135"/>
        <v>49312</v>
      </c>
      <c r="L91" s="155">
        <v>164</v>
      </c>
      <c r="M91" s="99">
        <v>35.409999999999997</v>
      </c>
      <c r="N91" s="81">
        <f t="shared" si="136"/>
        <v>15757449.999999998</v>
      </c>
      <c r="O91" s="81"/>
      <c r="P91" s="81"/>
      <c r="Q91" s="81">
        <f t="shared" si="137"/>
        <v>15757449.999999998</v>
      </c>
      <c r="R91" s="81">
        <f t="shared" si="138"/>
        <v>1575745</v>
      </c>
      <c r="S91" s="81">
        <f t="shared" si="139"/>
        <v>14181704.999999998</v>
      </c>
      <c r="T91" s="42">
        <f t="shared" ref="T91:T105" si="143">R91/L91*4</f>
        <v>38432.804878048781</v>
      </c>
      <c r="U91" s="1">
        <f t="shared" ref="U91:U105" si="144">R91/L91*12</f>
        <v>115298.41463414635</v>
      </c>
      <c r="V91" s="34">
        <f t="shared" ref="V91:V105" si="145">R91-T91-U91</f>
        <v>1422013.7804878049</v>
      </c>
      <c r="W91" s="35">
        <f t="shared" si="140"/>
        <v>1575745</v>
      </c>
      <c r="X91" s="35">
        <f t="shared" si="141"/>
        <v>0</v>
      </c>
    </row>
    <row r="92" spans="1:24" ht="12.75" x14ac:dyDescent="0.2">
      <c r="A92" s="168"/>
      <c r="B92" s="168"/>
      <c r="C92" s="168"/>
      <c r="D92" s="107"/>
      <c r="E92" s="154">
        <v>1</v>
      </c>
      <c r="F92" s="155" t="s">
        <v>181</v>
      </c>
      <c r="G92" s="175">
        <v>1</v>
      </c>
      <c r="H92" s="176">
        <v>500000000</v>
      </c>
      <c r="I92" s="176">
        <f t="shared" si="142"/>
        <v>500000000</v>
      </c>
      <c r="J92" s="156">
        <v>44350</v>
      </c>
      <c r="K92" s="77">
        <f t="shared" si="135"/>
        <v>49463</v>
      </c>
      <c r="L92" s="155">
        <v>168</v>
      </c>
      <c r="M92" s="99">
        <v>35.409999999999997</v>
      </c>
      <c r="N92" s="81">
        <f t="shared" si="136"/>
        <v>17705000</v>
      </c>
      <c r="O92" s="81"/>
      <c r="P92" s="81"/>
      <c r="Q92" s="81">
        <f t="shared" si="137"/>
        <v>17705000</v>
      </c>
      <c r="R92" s="81">
        <f t="shared" si="138"/>
        <v>1770500</v>
      </c>
      <c r="S92" s="81">
        <f t="shared" si="139"/>
        <v>15934500</v>
      </c>
      <c r="T92" s="42">
        <f t="shared" si="143"/>
        <v>42154.761904761908</v>
      </c>
      <c r="U92" s="1">
        <f t="shared" si="144"/>
        <v>126464.28571428572</v>
      </c>
      <c r="V92" s="34">
        <f t="shared" si="145"/>
        <v>1601880.9523809524</v>
      </c>
      <c r="W92" s="35">
        <f t="shared" si="140"/>
        <v>1770500</v>
      </c>
      <c r="X92" s="35">
        <f t="shared" si="141"/>
        <v>0</v>
      </c>
    </row>
    <row r="93" spans="1:24" ht="12.75" x14ac:dyDescent="0.2">
      <c r="A93" s="168"/>
      <c r="B93" s="168"/>
      <c r="C93" s="168"/>
      <c r="D93" s="107"/>
      <c r="E93" s="154">
        <v>1</v>
      </c>
      <c r="F93" s="155" t="s">
        <v>182</v>
      </c>
      <c r="G93" s="175">
        <v>1</v>
      </c>
      <c r="H93" s="176">
        <v>330000000</v>
      </c>
      <c r="I93" s="176">
        <f t="shared" si="142"/>
        <v>330000000</v>
      </c>
      <c r="J93" s="156">
        <v>44350</v>
      </c>
      <c r="K93" s="77">
        <f t="shared" si="135"/>
        <v>49829</v>
      </c>
      <c r="L93" s="155">
        <v>180</v>
      </c>
      <c r="M93" s="99">
        <v>37.520000000000003</v>
      </c>
      <c r="N93" s="81">
        <f t="shared" si="136"/>
        <v>12381600.000000002</v>
      </c>
      <c r="O93" s="81"/>
      <c r="P93" s="81"/>
      <c r="Q93" s="81">
        <f t="shared" si="137"/>
        <v>12381600.000000002</v>
      </c>
      <c r="R93" s="81">
        <f t="shared" si="138"/>
        <v>1238160.0000000002</v>
      </c>
      <c r="S93" s="81">
        <f t="shared" si="139"/>
        <v>11143440.000000002</v>
      </c>
      <c r="T93" s="42">
        <f t="shared" si="143"/>
        <v>27514.666666666672</v>
      </c>
      <c r="U93" s="1">
        <f t="shared" si="144"/>
        <v>82544.000000000015</v>
      </c>
      <c r="V93" s="34">
        <f t="shared" si="145"/>
        <v>1128101.3333333335</v>
      </c>
      <c r="W93" s="35">
        <f t="shared" si="140"/>
        <v>1238160.0000000002</v>
      </c>
      <c r="X93" s="35">
        <f t="shared" si="141"/>
        <v>0</v>
      </c>
    </row>
    <row r="94" spans="1:24" ht="12.75" x14ac:dyDescent="0.2">
      <c r="A94" s="168"/>
      <c r="B94" s="168"/>
      <c r="C94" s="168"/>
      <c r="D94" s="107"/>
      <c r="E94" s="154">
        <v>1</v>
      </c>
      <c r="F94" s="155" t="s">
        <v>193</v>
      </c>
      <c r="G94" s="175">
        <v>1</v>
      </c>
      <c r="H94" s="176">
        <v>331000000</v>
      </c>
      <c r="I94" s="176">
        <f t="shared" si="142"/>
        <v>331000000</v>
      </c>
      <c r="J94" s="156">
        <v>44350</v>
      </c>
      <c r="K94" s="77">
        <f t="shared" si="135"/>
        <v>49281</v>
      </c>
      <c r="L94" s="155">
        <v>162</v>
      </c>
      <c r="M94" s="99">
        <v>35.409999999999997</v>
      </c>
      <c r="N94" s="81">
        <f t="shared" si="136"/>
        <v>11720709.999999998</v>
      </c>
      <c r="O94" s="81"/>
      <c r="P94" s="81"/>
      <c r="Q94" s="81">
        <f t="shared" si="137"/>
        <v>11720709.999999998</v>
      </c>
      <c r="R94" s="81">
        <f t="shared" si="138"/>
        <v>1172070.9999999998</v>
      </c>
      <c r="S94" s="81">
        <f t="shared" si="139"/>
        <v>10548638.999999998</v>
      </c>
      <c r="T94" s="42">
        <f t="shared" si="143"/>
        <v>28940.024691358019</v>
      </c>
      <c r="U94" s="1">
        <f t="shared" si="144"/>
        <v>86820.074074074058</v>
      </c>
      <c r="V94" s="34">
        <f t="shared" si="145"/>
        <v>1056310.9012345676</v>
      </c>
      <c r="W94" s="35">
        <f t="shared" si="140"/>
        <v>1172070.9999999998</v>
      </c>
      <c r="X94" s="35">
        <f t="shared" si="141"/>
        <v>0</v>
      </c>
    </row>
    <row r="95" spans="1:24" ht="12.75" x14ac:dyDescent="0.2">
      <c r="A95" s="168"/>
      <c r="B95" s="168"/>
      <c r="C95" s="168"/>
      <c r="D95" s="107"/>
      <c r="E95" s="154">
        <v>1</v>
      </c>
      <c r="F95" s="155" t="s">
        <v>183</v>
      </c>
      <c r="G95" s="175">
        <v>1</v>
      </c>
      <c r="H95" s="176">
        <v>230000000</v>
      </c>
      <c r="I95" s="176">
        <f t="shared" si="142"/>
        <v>230000000</v>
      </c>
      <c r="J95" s="156">
        <v>44350</v>
      </c>
      <c r="K95" s="77">
        <f t="shared" si="135"/>
        <v>48002</v>
      </c>
      <c r="L95" s="155">
        <v>120</v>
      </c>
      <c r="M95" s="99">
        <v>25.48</v>
      </c>
      <c r="N95" s="81">
        <f t="shared" si="136"/>
        <v>5860400</v>
      </c>
      <c r="O95" s="81"/>
      <c r="P95" s="81"/>
      <c r="Q95" s="81">
        <f t="shared" si="137"/>
        <v>5860400</v>
      </c>
      <c r="R95" s="81">
        <f t="shared" si="138"/>
        <v>586040</v>
      </c>
      <c r="S95" s="81">
        <f t="shared" si="139"/>
        <v>5274360</v>
      </c>
      <c r="T95" s="42">
        <f t="shared" si="143"/>
        <v>19534.666666666668</v>
      </c>
      <c r="U95" s="1">
        <f t="shared" si="144"/>
        <v>58604</v>
      </c>
      <c r="V95" s="34">
        <f t="shared" si="145"/>
        <v>507901.33333333337</v>
      </c>
      <c r="W95" s="35">
        <f t="shared" si="140"/>
        <v>586040</v>
      </c>
      <c r="X95" s="35">
        <f t="shared" si="141"/>
        <v>0</v>
      </c>
    </row>
    <row r="96" spans="1:24" ht="12.75" x14ac:dyDescent="0.2">
      <c r="A96" s="168"/>
      <c r="B96" s="168"/>
      <c r="C96" s="168"/>
      <c r="D96" s="107"/>
      <c r="E96" s="154">
        <v>1</v>
      </c>
      <c r="F96" s="155" t="s">
        <v>184</v>
      </c>
      <c r="G96" s="175">
        <v>1</v>
      </c>
      <c r="H96" s="176">
        <v>360000000</v>
      </c>
      <c r="I96" s="176">
        <f t="shared" si="142"/>
        <v>360000000</v>
      </c>
      <c r="J96" s="156">
        <v>44351</v>
      </c>
      <c r="K96" s="77">
        <f t="shared" si="135"/>
        <v>49647</v>
      </c>
      <c r="L96" s="155">
        <v>174</v>
      </c>
      <c r="M96" s="99">
        <v>37.520000000000003</v>
      </c>
      <c r="N96" s="81">
        <f t="shared" si="136"/>
        <v>13507200.000000002</v>
      </c>
      <c r="O96" s="81"/>
      <c r="P96" s="81"/>
      <c r="Q96" s="81">
        <f t="shared" si="137"/>
        <v>13507200.000000002</v>
      </c>
      <c r="R96" s="81">
        <f t="shared" si="138"/>
        <v>1350720.0000000002</v>
      </c>
      <c r="S96" s="81">
        <f t="shared" si="139"/>
        <v>12156480.000000002</v>
      </c>
      <c r="T96" s="42">
        <f t="shared" si="143"/>
        <v>31051.034482758627</v>
      </c>
      <c r="U96" s="1">
        <f t="shared" si="144"/>
        <v>93153.103448275884</v>
      </c>
      <c r="V96" s="34">
        <f t="shared" si="145"/>
        <v>1226515.8620689656</v>
      </c>
      <c r="W96" s="35">
        <f t="shared" si="140"/>
        <v>1350720</v>
      </c>
      <c r="X96" s="35">
        <f t="shared" si="141"/>
        <v>0</v>
      </c>
    </row>
    <row r="97" spans="1:24" ht="12.75" x14ac:dyDescent="0.2">
      <c r="A97" s="168"/>
      <c r="B97" s="168"/>
      <c r="C97" s="168"/>
      <c r="D97" s="107"/>
      <c r="E97" s="154">
        <v>1</v>
      </c>
      <c r="F97" s="155" t="s">
        <v>185</v>
      </c>
      <c r="G97" s="175">
        <v>1</v>
      </c>
      <c r="H97" s="176">
        <v>310000000</v>
      </c>
      <c r="I97" s="176">
        <f t="shared" si="142"/>
        <v>310000000</v>
      </c>
      <c r="J97" s="156">
        <v>44354</v>
      </c>
      <c r="K97" s="77">
        <f t="shared" si="135"/>
        <v>48372</v>
      </c>
      <c r="L97" s="155">
        <v>132</v>
      </c>
      <c r="M97" s="169">
        <v>27.98</v>
      </c>
      <c r="N97" s="81">
        <f t="shared" si="136"/>
        <v>8673800</v>
      </c>
      <c r="O97" s="81"/>
      <c r="P97" s="81"/>
      <c r="Q97" s="81">
        <f t="shared" si="137"/>
        <v>8673800</v>
      </c>
      <c r="R97" s="81">
        <f t="shared" si="138"/>
        <v>867380</v>
      </c>
      <c r="S97" s="81">
        <f t="shared" si="139"/>
        <v>7806420</v>
      </c>
      <c r="T97" s="42">
        <f t="shared" si="143"/>
        <v>26284.242424242424</v>
      </c>
      <c r="U97" s="1">
        <f t="shared" si="144"/>
        <v>78852.727272727265</v>
      </c>
      <c r="V97" s="34">
        <f t="shared" si="145"/>
        <v>762243.03030303027</v>
      </c>
      <c r="W97" s="35">
        <f t="shared" si="140"/>
        <v>867380</v>
      </c>
      <c r="X97" s="35">
        <f t="shared" si="141"/>
        <v>0</v>
      </c>
    </row>
    <row r="98" spans="1:24" ht="12.75" x14ac:dyDescent="0.2">
      <c r="A98" s="168"/>
      <c r="B98" s="168"/>
      <c r="C98" s="168"/>
      <c r="D98" s="107"/>
      <c r="E98" s="154">
        <v>1</v>
      </c>
      <c r="F98" s="155" t="s">
        <v>186</v>
      </c>
      <c r="G98" s="175">
        <v>1</v>
      </c>
      <c r="H98" s="176">
        <v>350000000</v>
      </c>
      <c r="I98" s="176">
        <f t="shared" si="142"/>
        <v>350000000</v>
      </c>
      <c r="J98" s="156">
        <v>44354</v>
      </c>
      <c r="K98" s="77">
        <f t="shared" si="135"/>
        <v>48737</v>
      </c>
      <c r="L98" s="155">
        <v>144</v>
      </c>
      <c r="M98" s="99">
        <v>30.46</v>
      </c>
      <c r="N98" s="81">
        <f t="shared" si="136"/>
        <v>10661000</v>
      </c>
      <c r="O98" s="81"/>
      <c r="P98" s="81"/>
      <c r="Q98" s="81">
        <f t="shared" si="137"/>
        <v>10661000</v>
      </c>
      <c r="R98" s="81">
        <f t="shared" si="138"/>
        <v>1066100</v>
      </c>
      <c r="S98" s="81">
        <f t="shared" si="139"/>
        <v>9594900</v>
      </c>
      <c r="T98" s="42">
        <f t="shared" si="143"/>
        <v>29613.888888888891</v>
      </c>
      <c r="U98" s="1">
        <f t="shared" si="144"/>
        <v>88841.666666666672</v>
      </c>
      <c r="V98" s="34">
        <f t="shared" si="145"/>
        <v>947644.4444444445</v>
      </c>
      <c r="W98" s="35">
        <f t="shared" si="140"/>
        <v>1066100</v>
      </c>
      <c r="X98" s="35">
        <f t="shared" si="141"/>
        <v>0</v>
      </c>
    </row>
    <row r="99" spans="1:24" ht="12.75" x14ac:dyDescent="0.2">
      <c r="A99" s="168"/>
      <c r="B99" s="168"/>
      <c r="C99" s="168"/>
      <c r="D99" s="107"/>
      <c r="E99" s="154">
        <v>1</v>
      </c>
      <c r="F99" s="155" t="s">
        <v>187</v>
      </c>
      <c r="G99" s="175">
        <v>1</v>
      </c>
      <c r="H99" s="176">
        <v>400000000</v>
      </c>
      <c r="I99" s="176">
        <f t="shared" si="142"/>
        <v>400000000</v>
      </c>
      <c r="J99" s="156">
        <v>44354</v>
      </c>
      <c r="K99" s="77">
        <f t="shared" si="135"/>
        <v>49833</v>
      </c>
      <c r="L99" s="155">
        <v>180</v>
      </c>
      <c r="M99" s="99">
        <v>37.520000000000003</v>
      </c>
      <c r="N99" s="81">
        <f t="shared" si="136"/>
        <v>15008000.000000002</v>
      </c>
      <c r="O99" s="81"/>
      <c r="P99" s="81"/>
      <c r="Q99" s="81">
        <f t="shared" si="137"/>
        <v>15008000.000000002</v>
      </c>
      <c r="R99" s="81">
        <f t="shared" si="138"/>
        <v>1500800.0000000002</v>
      </c>
      <c r="S99" s="81">
        <f t="shared" si="139"/>
        <v>13507200.000000002</v>
      </c>
      <c r="T99" s="42">
        <f t="shared" si="143"/>
        <v>33351.111111111117</v>
      </c>
      <c r="U99" s="1">
        <f t="shared" si="144"/>
        <v>100053.33333333334</v>
      </c>
      <c r="V99" s="34">
        <f t="shared" si="145"/>
        <v>1367395.555555556</v>
      </c>
      <c r="W99" s="35">
        <f t="shared" si="140"/>
        <v>1500800.0000000005</v>
      </c>
      <c r="X99" s="35">
        <f t="shared" si="141"/>
        <v>0</v>
      </c>
    </row>
    <row r="100" spans="1:24" ht="12.75" x14ac:dyDescent="0.2">
      <c r="A100" s="168"/>
      <c r="B100" s="168"/>
      <c r="C100" s="168"/>
      <c r="D100" s="107"/>
      <c r="E100" s="154">
        <v>1</v>
      </c>
      <c r="F100" s="155" t="s">
        <v>188</v>
      </c>
      <c r="G100" s="175">
        <v>1</v>
      </c>
      <c r="H100" s="176">
        <v>310000000</v>
      </c>
      <c r="I100" s="176">
        <f t="shared" si="142"/>
        <v>310000000</v>
      </c>
      <c r="J100" s="156">
        <v>44355</v>
      </c>
      <c r="K100" s="77">
        <f t="shared" si="135"/>
        <v>47825</v>
      </c>
      <c r="L100" s="155">
        <v>114</v>
      </c>
      <c r="M100" s="99">
        <v>25.48</v>
      </c>
      <c r="N100" s="81">
        <f t="shared" si="136"/>
        <v>7898800</v>
      </c>
      <c r="O100" s="81"/>
      <c r="P100" s="81"/>
      <c r="Q100" s="81">
        <f t="shared" si="137"/>
        <v>7898800</v>
      </c>
      <c r="R100" s="81">
        <f t="shared" si="138"/>
        <v>789880</v>
      </c>
      <c r="S100" s="81">
        <f t="shared" si="139"/>
        <v>7108920</v>
      </c>
      <c r="T100" s="42">
        <f t="shared" si="143"/>
        <v>27715.087719298244</v>
      </c>
      <c r="U100" s="1">
        <f t="shared" si="144"/>
        <v>83145.263157894733</v>
      </c>
      <c r="V100" s="34">
        <f t="shared" si="145"/>
        <v>679019.64912280708</v>
      </c>
      <c r="W100" s="35">
        <f t="shared" si="140"/>
        <v>789880</v>
      </c>
      <c r="X100" s="35">
        <f t="shared" si="141"/>
        <v>0</v>
      </c>
    </row>
    <row r="101" spans="1:24" ht="12.75" x14ac:dyDescent="0.2">
      <c r="A101" s="168"/>
      <c r="B101" s="168"/>
      <c r="C101" s="168"/>
      <c r="D101" s="107"/>
      <c r="E101" s="154">
        <v>1</v>
      </c>
      <c r="F101" s="155" t="s">
        <v>189</v>
      </c>
      <c r="G101" s="175">
        <v>1</v>
      </c>
      <c r="H101" s="176">
        <v>165000000</v>
      </c>
      <c r="I101" s="176">
        <f t="shared" si="142"/>
        <v>165000000</v>
      </c>
      <c r="J101" s="156">
        <v>44355</v>
      </c>
      <c r="K101" s="77">
        <f t="shared" si="135"/>
        <v>47277</v>
      </c>
      <c r="L101" s="155">
        <v>96</v>
      </c>
      <c r="M101" s="99">
        <v>20.93</v>
      </c>
      <c r="N101" s="81">
        <f t="shared" si="136"/>
        <v>3453450</v>
      </c>
      <c r="O101" s="81"/>
      <c r="P101" s="81"/>
      <c r="Q101" s="81">
        <f t="shared" si="137"/>
        <v>3453450</v>
      </c>
      <c r="R101" s="81">
        <f t="shared" si="138"/>
        <v>345345</v>
      </c>
      <c r="S101" s="81">
        <f t="shared" si="139"/>
        <v>3108105</v>
      </c>
      <c r="T101" s="42">
        <f t="shared" si="143"/>
        <v>14389.375</v>
      </c>
      <c r="U101" s="1">
        <f t="shared" si="144"/>
        <v>43168.125</v>
      </c>
      <c r="V101" s="34">
        <f t="shared" si="145"/>
        <v>287787.5</v>
      </c>
      <c r="W101" s="35">
        <f t="shared" si="140"/>
        <v>345345</v>
      </c>
      <c r="X101" s="35">
        <f t="shared" si="141"/>
        <v>0</v>
      </c>
    </row>
    <row r="102" spans="1:24" ht="12.75" x14ac:dyDescent="0.2">
      <c r="A102" s="168"/>
      <c r="B102" s="168"/>
      <c r="C102" s="168"/>
      <c r="D102" s="107"/>
      <c r="E102" s="154">
        <v>1</v>
      </c>
      <c r="F102" s="155" t="s">
        <v>190</v>
      </c>
      <c r="G102" s="175">
        <v>1</v>
      </c>
      <c r="H102" s="176">
        <v>300000000</v>
      </c>
      <c r="I102" s="176">
        <f t="shared" si="142"/>
        <v>300000000</v>
      </c>
      <c r="J102" s="156">
        <v>44355</v>
      </c>
      <c r="K102" s="77">
        <f t="shared" si="135"/>
        <v>49834</v>
      </c>
      <c r="L102" s="155">
        <v>180</v>
      </c>
      <c r="M102" s="99">
        <v>37.520000000000003</v>
      </c>
      <c r="N102" s="81">
        <f t="shared" si="136"/>
        <v>11256000</v>
      </c>
      <c r="O102" s="81"/>
      <c r="P102" s="81"/>
      <c r="Q102" s="81">
        <f t="shared" si="137"/>
        <v>11256000</v>
      </c>
      <c r="R102" s="81">
        <f t="shared" si="138"/>
        <v>1125600</v>
      </c>
      <c r="S102" s="81">
        <f t="shared" si="139"/>
        <v>10130400</v>
      </c>
      <c r="T102" s="42">
        <f t="shared" si="143"/>
        <v>25013.333333333332</v>
      </c>
      <c r="U102" s="1">
        <f t="shared" si="144"/>
        <v>75040</v>
      </c>
      <c r="V102" s="34">
        <f t="shared" si="145"/>
        <v>1025546.6666666667</v>
      </c>
      <c r="W102" s="35">
        <f t="shared" si="140"/>
        <v>1125600</v>
      </c>
      <c r="X102" s="35">
        <f t="shared" si="141"/>
        <v>0</v>
      </c>
    </row>
    <row r="103" spans="1:24" ht="12.75" x14ac:dyDescent="0.2">
      <c r="A103" s="168"/>
      <c r="B103" s="168"/>
      <c r="C103" s="168"/>
      <c r="D103" s="107"/>
      <c r="E103" s="154">
        <v>1</v>
      </c>
      <c r="F103" s="155" t="s">
        <v>191</v>
      </c>
      <c r="G103" s="175">
        <v>1</v>
      </c>
      <c r="H103" s="176">
        <v>25000000</v>
      </c>
      <c r="I103" s="176">
        <f t="shared" si="142"/>
        <v>25000000</v>
      </c>
      <c r="J103" s="156">
        <v>44361</v>
      </c>
      <c r="K103" s="77">
        <f t="shared" si="135"/>
        <v>45274</v>
      </c>
      <c r="L103" s="155">
        <v>30</v>
      </c>
      <c r="M103" s="99">
        <v>9.1</v>
      </c>
      <c r="N103" s="81">
        <f t="shared" si="136"/>
        <v>227500</v>
      </c>
      <c r="O103" s="81"/>
      <c r="P103" s="81"/>
      <c r="Q103" s="81">
        <f t="shared" si="137"/>
        <v>227500</v>
      </c>
      <c r="R103" s="81">
        <f t="shared" si="138"/>
        <v>22750</v>
      </c>
      <c r="S103" s="81">
        <f t="shared" si="139"/>
        <v>204750</v>
      </c>
      <c r="T103" s="42">
        <f t="shared" si="143"/>
        <v>3033.3333333333335</v>
      </c>
      <c r="U103" s="1">
        <f t="shared" si="144"/>
        <v>9100</v>
      </c>
      <c r="V103" s="34">
        <f t="shared" si="145"/>
        <v>10616.666666666668</v>
      </c>
      <c r="W103" s="35">
        <f t="shared" si="140"/>
        <v>22750</v>
      </c>
      <c r="X103" s="35">
        <f t="shared" si="141"/>
        <v>0</v>
      </c>
    </row>
    <row r="104" spans="1:24" ht="12.75" x14ac:dyDescent="0.2">
      <c r="A104" s="168"/>
      <c r="B104" s="168"/>
      <c r="C104" s="168"/>
      <c r="D104" s="107"/>
      <c r="E104" s="154">
        <v>1</v>
      </c>
      <c r="F104" s="155" t="s">
        <v>192</v>
      </c>
      <c r="G104" s="175">
        <v>1</v>
      </c>
      <c r="H104" s="176">
        <v>170000000</v>
      </c>
      <c r="I104" s="176">
        <f t="shared" si="142"/>
        <v>170000000</v>
      </c>
      <c r="J104" s="156">
        <v>44362</v>
      </c>
      <c r="K104" s="77">
        <f t="shared" si="135"/>
        <v>48014</v>
      </c>
      <c r="L104" s="155">
        <v>120</v>
      </c>
      <c r="M104" s="99">
        <v>25.48</v>
      </c>
      <c r="N104" s="81">
        <f t="shared" si="136"/>
        <v>4331600</v>
      </c>
      <c r="O104" s="81"/>
      <c r="P104" s="81"/>
      <c r="Q104" s="81">
        <f t="shared" si="137"/>
        <v>4331600</v>
      </c>
      <c r="R104" s="81">
        <f t="shared" si="138"/>
        <v>433160</v>
      </c>
      <c r="S104" s="81">
        <f t="shared" si="139"/>
        <v>3898440</v>
      </c>
      <c r="T104" s="42">
        <f t="shared" si="143"/>
        <v>14438.666666666666</v>
      </c>
      <c r="U104" s="1">
        <f t="shared" si="144"/>
        <v>43316</v>
      </c>
      <c r="V104" s="34">
        <f t="shared" si="145"/>
        <v>375405.33333333331</v>
      </c>
      <c r="W104" s="35">
        <f t="shared" si="140"/>
        <v>433160</v>
      </c>
      <c r="X104" s="35">
        <f t="shared" si="141"/>
        <v>0</v>
      </c>
    </row>
    <row r="105" spans="1:24" ht="12.75" x14ac:dyDescent="0.2">
      <c r="A105" s="168"/>
      <c r="B105" s="168"/>
      <c r="C105" s="168"/>
      <c r="D105" s="107"/>
      <c r="E105" s="154">
        <v>1</v>
      </c>
      <c r="F105" s="155" t="s">
        <v>194</v>
      </c>
      <c r="G105" s="175">
        <v>1</v>
      </c>
      <c r="H105" s="188">
        <v>343000000</v>
      </c>
      <c r="I105" s="188">
        <f t="shared" si="142"/>
        <v>343000000</v>
      </c>
      <c r="J105" s="189">
        <v>44363</v>
      </c>
      <c r="K105" s="77">
        <f t="shared" si="135"/>
        <v>49476</v>
      </c>
      <c r="L105" s="187">
        <v>168</v>
      </c>
      <c r="M105" s="99">
        <v>35.409999999999997</v>
      </c>
      <c r="N105" s="190">
        <f t="shared" si="136"/>
        <v>12145629.999999998</v>
      </c>
      <c r="O105" s="190"/>
      <c r="P105" s="190"/>
      <c r="Q105" s="190">
        <f t="shared" si="137"/>
        <v>12145629.999999998</v>
      </c>
      <c r="R105" s="81">
        <f t="shared" si="138"/>
        <v>1214562.9999999998</v>
      </c>
      <c r="S105" s="190">
        <f t="shared" si="139"/>
        <v>10931066.999999998</v>
      </c>
      <c r="T105" s="42">
        <f t="shared" si="143"/>
        <v>28918.166666666661</v>
      </c>
      <c r="U105" s="1">
        <f t="shared" si="144"/>
        <v>86754.499999999985</v>
      </c>
      <c r="V105" s="34">
        <f t="shared" si="145"/>
        <v>1098890.333333333</v>
      </c>
      <c r="W105" s="35">
        <f t="shared" si="140"/>
        <v>1214562.9999999998</v>
      </c>
      <c r="X105" s="35">
        <f t="shared" si="141"/>
        <v>0</v>
      </c>
    </row>
    <row r="106" spans="1:24" x14ac:dyDescent="0.2">
      <c r="A106" s="91"/>
      <c r="B106" s="91"/>
      <c r="C106" s="91"/>
      <c r="D106" s="59"/>
      <c r="E106" s="91">
        <f>SUM(E90:E105)</f>
        <v>16</v>
      </c>
      <c r="F106" s="91"/>
      <c r="G106" s="91"/>
      <c r="H106" s="91">
        <f>SUM(H90:H105)</f>
        <v>4949000000</v>
      </c>
      <c r="I106" s="91">
        <f>SUM(I90:I105)</f>
        <v>4949000000</v>
      </c>
      <c r="J106" s="91"/>
      <c r="K106" s="91"/>
      <c r="L106" s="91"/>
      <c r="M106" s="91"/>
      <c r="N106" s="91">
        <f t="shared" ref="N106:X106" si="146">SUM(N90:N105)</f>
        <v>160270540</v>
      </c>
      <c r="O106" s="91">
        <f t="shared" si="146"/>
        <v>0</v>
      </c>
      <c r="P106" s="91">
        <f t="shared" si="146"/>
        <v>0</v>
      </c>
      <c r="Q106" s="91">
        <f t="shared" si="146"/>
        <v>160270540</v>
      </c>
      <c r="R106" s="91">
        <f t="shared" si="146"/>
        <v>16027054</v>
      </c>
      <c r="S106" s="91">
        <f t="shared" si="146"/>
        <v>144243486</v>
      </c>
      <c r="T106" s="91">
        <f t="shared" si="146"/>
        <v>422659.83110046806</v>
      </c>
      <c r="U106" s="91">
        <f t="shared" si="146"/>
        <v>1267979.4933014042</v>
      </c>
      <c r="V106" s="91">
        <f t="shared" si="146"/>
        <v>14336414.675598126</v>
      </c>
      <c r="W106" s="91">
        <f t="shared" si="146"/>
        <v>16027054</v>
      </c>
      <c r="X106" s="91">
        <f t="shared" si="146"/>
        <v>0</v>
      </c>
    </row>
    <row r="107" spans="1:24" ht="12.75" x14ac:dyDescent="0.2">
      <c r="A107" s="154"/>
      <c r="B107" s="155" t="s">
        <v>46</v>
      </c>
      <c r="C107" s="155" t="s">
        <v>206</v>
      </c>
      <c r="D107" s="156">
        <v>44407</v>
      </c>
      <c r="E107" s="154">
        <v>1</v>
      </c>
      <c r="F107" s="155" t="s">
        <v>53</v>
      </c>
      <c r="G107" s="175">
        <v>1</v>
      </c>
      <c r="H107" s="176">
        <v>70717947</v>
      </c>
      <c r="I107" s="176">
        <f>H107*G107</f>
        <v>70717947</v>
      </c>
      <c r="J107" s="156">
        <v>46914</v>
      </c>
      <c r="K107" s="156">
        <v>47279</v>
      </c>
      <c r="L107" s="155">
        <v>12</v>
      </c>
      <c r="M107" s="195">
        <v>5.46</v>
      </c>
      <c r="N107" s="176">
        <f>M107*H107/1000</f>
        <v>386119.99062</v>
      </c>
      <c r="O107" s="176">
        <v>100000</v>
      </c>
      <c r="P107" s="176"/>
      <c r="Q107" s="176">
        <f>N107+O107+P107</f>
        <v>486119.99062</v>
      </c>
      <c r="R107" s="196"/>
      <c r="S107" s="176">
        <f>Q107-R107</f>
        <v>486119.99062</v>
      </c>
      <c r="T107" s="42">
        <f t="shared" ref="T107" si="147">R107/L107*2</f>
        <v>0</v>
      </c>
      <c r="U107" s="1">
        <f t="shared" ref="U107:U109" si="148">R107/L107*12</f>
        <v>0</v>
      </c>
      <c r="V107" s="34">
        <f t="shared" ref="V107:V109" si="149">R107-T107-U107</f>
        <v>0</v>
      </c>
      <c r="W107" s="35">
        <f t="shared" ref="W107:W109" si="150">T107+U107+V107</f>
        <v>0</v>
      </c>
      <c r="X107" s="35">
        <f t="shared" ref="X107:X109" si="151">R107-W107</f>
        <v>0</v>
      </c>
    </row>
    <row r="108" spans="1:24" ht="12.75" x14ac:dyDescent="0.2">
      <c r="A108" s="198"/>
      <c r="B108" s="199"/>
      <c r="C108" s="199"/>
      <c r="D108" s="199"/>
      <c r="E108" s="200"/>
      <c r="F108" s="201"/>
      <c r="G108" s="201"/>
      <c r="H108" s="201"/>
      <c r="I108" s="201"/>
      <c r="J108" s="201"/>
      <c r="K108" s="201"/>
      <c r="L108" s="201"/>
      <c r="M108" s="201"/>
      <c r="N108" s="201">
        <f t="shared" ref="N108:X108" si="152">SUM(N107:N107)</f>
        <v>386119.99062</v>
      </c>
      <c r="O108" s="201">
        <f t="shared" si="152"/>
        <v>100000</v>
      </c>
      <c r="P108" s="201">
        <f t="shared" si="152"/>
        <v>0</v>
      </c>
      <c r="Q108" s="201">
        <f t="shared" si="152"/>
        <v>486119.99062</v>
      </c>
      <c r="R108" s="201">
        <f t="shared" si="152"/>
        <v>0</v>
      </c>
      <c r="S108" s="201">
        <f t="shared" si="152"/>
        <v>486119.99062</v>
      </c>
      <c r="T108" s="201">
        <f t="shared" si="152"/>
        <v>0</v>
      </c>
      <c r="U108" s="201">
        <f t="shared" si="152"/>
        <v>0</v>
      </c>
      <c r="V108" s="201">
        <f t="shared" si="152"/>
        <v>0</v>
      </c>
      <c r="W108" s="201">
        <f t="shared" si="152"/>
        <v>0</v>
      </c>
      <c r="X108" s="201">
        <f t="shared" si="152"/>
        <v>0</v>
      </c>
    </row>
    <row r="109" spans="1:24" ht="12.75" x14ac:dyDescent="0.2">
      <c r="A109" s="154"/>
      <c r="B109" s="155" t="s">
        <v>122</v>
      </c>
      <c r="C109" s="155" t="s">
        <v>207</v>
      </c>
      <c r="D109" s="156">
        <v>44407</v>
      </c>
      <c r="E109" s="154">
        <v>1</v>
      </c>
      <c r="F109" s="155" t="s">
        <v>208</v>
      </c>
      <c r="G109" s="175">
        <v>1</v>
      </c>
      <c r="H109" s="176">
        <v>30000000</v>
      </c>
      <c r="I109" s="176">
        <f>H109*G109</f>
        <v>30000000</v>
      </c>
      <c r="J109" s="156">
        <v>44406</v>
      </c>
      <c r="K109" s="156">
        <v>45136</v>
      </c>
      <c r="L109" s="155">
        <v>24</v>
      </c>
      <c r="M109" s="195">
        <v>10.57</v>
      </c>
      <c r="N109" s="176">
        <f>M109*H109/1000</f>
        <v>317100</v>
      </c>
      <c r="O109" s="176"/>
      <c r="P109" s="176"/>
      <c r="Q109" s="190">
        <f t="shared" ref="Q109" si="153">N109+O109+P109</f>
        <v>317100</v>
      </c>
      <c r="R109" s="81">
        <f t="shared" ref="R109" si="154">10%*N109</f>
        <v>31710</v>
      </c>
      <c r="S109" s="190">
        <f t="shared" ref="S109" si="155">Q109-R109</f>
        <v>285390</v>
      </c>
      <c r="T109" s="42">
        <f>R109/L109*4</f>
        <v>5285</v>
      </c>
      <c r="U109" s="1">
        <f t="shared" si="148"/>
        <v>15855</v>
      </c>
      <c r="V109" s="34">
        <f t="shared" si="149"/>
        <v>10570</v>
      </c>
      <c r="W109" s="35">
        <f t="shared" si="150"/>
        <v>31710</v>
      </c>
      <c r="X109" s="35">
        <f t="shared" si="151"/>
        <v>0</v>
      </c>
    </row>
    <row r="110" spans="1:24" ht="12.75" x14ac:dyDescent="0.2">
      <c r="A110" s="198"/>
      <c r="B110" s="199"/>
      <c r="C110" s="199"/>
      <c r="D110" s="199"/>
      <c r="E110" s="200">
        <f>SUM(E109:E109)</f>
        <v>1</v>
      </c>
      <c r="F110" s="201">
        <f>SUM(F109:F109)</f>
        <v>0</v>
      </c>
      <c r="G110" s="201"/>
      <c r="H110" s="201">
        <f>SUM(H109:H109)</f>
        <v>30000000</v>
      </c>
      <c r="I110" s="201">
        <f>SUM(I109:I109)</f>
        <v>30000000</v>
      </c>
      <c r="J110" s="201"/>
      <c r="K110" s="201"/>
      <c r="L110" s="201"/>
      <c r="M110" s="201"/>
      <c r="N110" s="201">
        <f t="shared" ref="N110:X110" si="156">SUM(N109:N109)</f>
        <v>317100</v>
      </c>
      <c r="O110" s="201">
        <f t="shared" si="156"/>
        <v>0</v>
      </c>
      <c r="P110" s="201">
        <f t="shared" si="156"/>
        <v>0</v>
      </c>
      <c r="Q110" s="201">
        <f t="shared" si="156"/>
        <v>317100</v>
      </c>
      <c r="R110" s="201">
        <f t="shared" si="156"/>
        <v>31710</v>
      </c>
      <c r="S110" s="201">
        <f t="shared" si="156"/>
        <v>285390</v>
      </c>
      <c r="T110" s="201">
        <f t="shared" si="156"/>
        <v>5285</v>
      </c>
      <c r="U110" s="201">
        <f t="shared" si="156"/>
        <v>15855</v>
      </c>
      <c r="V110" s="201">
        <f t="shared" si="156"/>
        <v>10570</v>
      </c>
      <c r="W110" s="201">
        <f t="shared" si="156"/>
        <v>31710</v>
      </c>
      <c r="X110" s="201">
        <f t="shared" si="156"/>
        <v>0</v>
      </c>
    </row>
    <row r="111" spans="1:24" x14ac:dyDescent="0.2">
      <c r="A111" s="83"/>
      <c r="B111" s="83"/>
      <c r="C111" s="83" t="s">
        <v>50</v>
      </c>
      <c r="D111" s="84"/>
      <c r="E111" s="185">
        <f>E110+E106</f>
        <v>17</v>
      </c>
      <c r="F111" s="185">
        <f t="shared" ref="F111:S111" si="157">F110+F106</f>
        <v>0</v>
      </c>
      <c r="G111" s="185">
        <f t="shared" si="157"/>
        <v>0</v>
      </c>
      <c r="H111" s="185">
        <f t="shared" si="157"/>
        <v>4979000000</v>
      </c>
      <c r="I111" s="185">
        <f t="shared" si="157"/>
        <v>4979000000</v>
      </c>
      <c r="J111" s="185"/>
      <c r="K111" s="185"/>
      <c r="L111" s="185"/>
      <c r="M111" s="185"/>
      <c r="N111" s="185">
        <f t="shared" si="157"/>
        <v>160587640</v>
      </c>
      <c r="O111" s="185">
        <f t="shared" si="157"/>
        <v>0</v>
      </c>
      <c r="P111" s="185">
        <f t="shared" si="157"/>
        <v>0</v>
      </c>
      <c r="Q111" s="185">
        <f t="shared" si="157"/>
        <v>160587640</v>
      </c>
      <c r="R111" s="185">
        <f t="shared" si="157"/>
        <v>16058764</v>
      </c>
      <c r="S111" s="185">
        <f t="shared" si="157"/>
        <v>144528876</v>
      </c>
      <c r="T111" s="185">
        <f>T110+T106</f>
        <v>427944.83110046806</v>
      </c>
      <c r="U111" s="185">
        <f t="shared" ref="U111:X111" si="158">U110+U106</f>
        <v>1283834.4933014042</v>
      </c>
      <c r="V111" s="185">
        <f t="shared" si="158"/>
        <v>14346984.675598126</v>
      </c>
      <c r="W111" s="185">
        <f t="shared" si="158"/>
        <v>16058764</v>
      </c>
      <c r="X111" s="185">
        <f t="shared" si="158"/>
        <v>0</v>
      </c>
    </row>
    <row r="112" spans="1:24" x14ac:dyDescent="0.2">
      <c r="A112" s="83"/>
      <c r="B112" s="83"/>
      <c r="C112" s="83" t="s">
        <v>209</v>
      </c>
      <c r="D112" s="84"/>
      <c r="E112" s="95">
        <f>E111+E85</f>
        <v>43</v>
      </c>
      <c r="F112" s="95">
        <f t="shared" ref="F112:X112" si="159">F111+F85</f>
        <v>0</v>
      </c>
      <c r="G112" s="95">
        <f t="shared" si="159"/>
        <v>1</v>
      </c>
      <c r="H112" s="95">
        <f t="shared" si="159"/>
        <v>10447584172</v>
      </c>
      <c r="I112" s="95">
        <f t="shared" si="159"/>
        <v>10447584172</v>
      </c>
      <c r="J112" s="95"/>
      <c r="K112" s="95"/>
      <c r="L112" s="95"/>
      <c r="M112" s="95"/>
      <c r="N112" s="95">
        <f t="shared" si="159"/>
        <v>324029508.71888</v>
      </c>
      <c r="O112" s="95">
        <f t="shared" si="159"/>
        <v>300000</v>
      </c>
      <c r="P112" s="95">
        <f t="shared" si="159"/>
        <v>0</v>
      </c>
      <c r="Q112" s="95">
        <f t="shared" si="159"/>
        <v>324329508.71888</v>
      </c>
      <c r="R112" s="95">
        <f t="shared" si="159"/>
        <v>31983043.285400003</v>
      </c>
      <c r="S112" s="95">
        <f t="shared" si="159"/>
        <v>292026684.710374</v>
      </c>
      <c r="T112" s="95">
        <f t="shared" si="159"/>
        <v>2962764.3808246851</v>
      </c>
      <c r="U112" s="95">
        <f t="shared" si="159"/>
        <v>3608960.0654315697</v>
      </c>
      <c r="V112" s="95">
        <f t="shared" si="159"/>
        <v>25411318.839143746</v>
      </c>
      <c r="W112" s="95">
        <f t="shared" si="159"/>
        <v>31983043.285400003</v>
      </c>
      <c r="X112" s="95">
        <f t="shared" si="159"/>
        <v>0</v>
      </c>
    </row>
    <row r="115" spans="1:24" ht="23.25" x14ac:dyDescent="0.2">
      <c r="A115" s="86" t="s">
        <v>233</v>
      </c>
      <c r="B115" s="62"/>
      <c r="C115" s="62"/>
      <c r="D115" s="57"/>
      <c r="E115" s="63"/>
      <c r="F115" s="64"/>
      <c r="G115" s="139"/>
      <c r="H115" s="66"/>
      <c r="I115" s="66"/>
      <c r="J115" s="67"/>
      <c r="K115" s="67"/>
      <c r="L115" s="68"/>
      <c r="M115" s="68"/>
      <c r="N115" s="69"/>
      <c r="O115" s="69"/>
      <c r="P115" s="69"/>
      <c r="Q115" s="69"/>
      <c r="R115" s="69"/>
      <c r="S115" s="69"/>
      <c r="T115" s="70"/>
      <c r="U115" s="71"/>
      <c r="V115" s="71"/>
    </row>
    <row r="116" spans="1:24" x14ac:dyDescent="0.2">
      <c r="A116" s="231" t="s">
        <v>0</v>
      </c>
      <c r="B116" s="232" t="s">
        <v>1</v>
      </c>
      <c r="C116" s="229" t="s">
        <v>2</v>
      </c>
      <c r="D116" s="233" t="s">
        <v>3</v>
      </c>
      <c r="E116" s="234" t="s">
        <v>4</v>
      </c>
      <c r="F116" s="232" t="s">
        <v>5</v>
      </c>
      <c r="G116" s="237" t="s">
        <v>6</v>
      </c>
      <c r="H116" s="236" t="s">
        <v>7</v>
      </c>
      <c r="I116" s="236" t="s">
        <v>8</v>
      </c>
      <c r="J116" s="227" t="s">
        <v>9</v>
      </c>
      <c r="K116" s="227"/>
      <c r="L116" s="228" t="s">
        <v>10</v>
      </c>
      <c r="M116" s="229" t="s">
        <v>11</v>
      </c>
      <c r="N116" s="230" t="s">
        <v>12</v>
      </c>
      <c r="O116" s="230"/>
      <c r="P116" s="230"/>
      <c r="Q116" s="229" t="s">
        <v>13</v>
      </c>
      <c r="R116" s="229" t="s">
        <v>14</v>
      </c>
      <c r="S116" s="229" t="s">
        <v>15</v>
      </c>
      <c r="T116" s="36">
        <v>2021</v>
      </c>
      <c r="U116" s="37"/>
      <c r="V116" s="38" t="s">
        <v>44</v>
      </c>
    </row>
    <row r="117" spans="1:24" x14ac:dyDescent="0.2">
      <c r="A117" s="231"/>
      <c r="B117" s="232"/>
      <c r="C117" s="229"/>
      <c r="D117" s="233"/>
      <c r="E117" s="234"/>
      <c r="F117" s="232"/>
      <c r="G117" s="237"/>
      <c r="H117" s="236"/>
      <c r="I117" s="236"/>
      <c r="J117" s="227"/>
      <c r="K117" s="227"/>
      <c r="L117" s="228"/>
      <c r="M117" s="229"/>
      <c r="N117" s="213" t="s">
        <v>16</v>
      </c>
      <c r="O117" s="213" t="s">
        <v>17</v>
      </c>
      <c r="P117" s="213" t="s">
        <v>18</v>
      </c>
      <c r="Q117" s="229"/>
      <c r="R117" s="229"/>
      <c r="S117" s="229"/>
      <c r="T117" s="96" t="s">
        <v>244</v>
      </c>
      <c r="U117" s="39" t="s">
        <v>243</v>
      </c>
      <c r="V117" s="40"/>
    </row>
    <row r="118" spans="1:24" ht="12.75" x14ac:dyDescent="0.2">
      <c r="A118" s="154">
        <v>21</v>
      </c>
      <c r="B118" s="155" t="s">
        <v>19</v>
      </c>
      <c r="C118" s="155" t="s">
        <v>211</v>
      </c>
      <c r="D118" s="156">
        <v>44463</v>
      </c>
      <c r="E118" s="154">
        <v>1</v>
      </c>
      <c r="F118" s="155" t="s">
        <v>212</v>
      </c>
      <c r="G118" s="175">
        <v>1</v>
      </c>
      <c r="H118" s="176">
        <v>25237639</v>
      </c>
      <c r="I118" s="176">
        <f>H118*G118</f>
        <v>25237639</v>
      </c>
      <c r="J118" s="205">
        <v>44611</v>
      </c>
      <c r="K118" s="205">
        <v>44895</v>
      </c>
      <c r="L118" s="155">
        <v>9</v>
      </c>
      <c r="M118" s="195">
        <v>5.46</v>
      </c>
      <c r="N118" s="176">
        <f>M118*H118/1000</f>
        <v>137797.50894</v>
      </c>
      <c r="O118" s="176">
        <v>100000</v>
      </c>
      <c r="P118" s="176"/>
      <c r="Q118" s="176">
        <f>N118+O118+P118</f>
        <v>237797.50894</v>
      </c>
      <c r="R118" s="196"/>
      <c r="S118" s="176">
        <f>Q118-R118</f>
        <v>237797.50894</v>
      </c>
      <c r="T118" s="42">
        <f>R118/L118</f>
        <v>0</v>
      </c>
      <c r="U118" s="1">
        <f t="shared" ref="U118" si="160">R118/L118*12</f>
        <v>0</v>
      </c>
      <c r="V118" s="34">
        <f t="shared" ref="V118" si="161">R118-T118-U118</f>
        <v>0</v>
      </c>
      <c r="W118" s="35">
        <f t="shared" ref="W118" si="162">T118+U118+V118</f>
        <v>0</v>
      </c>
      <c r="X118" s="35">
        <f t="shared" ref="X118" si="163">R118-W118</f>
        <v>0</v>
      </c>
    </row>
    <row r="119" spans="1:24" ht="12.75" x14ac:dyDescent="0.2">
      <c r="A119" s="198"/>
      <c r="B119" s="199"/>
      <c r="C119" s="199"/>
      <c r="D119" s="199"/>
      <c r="E119" s="200"/>
      <c r="F119" s="201"/>
      <c r="G119" s="201"/>
      <c r="H119" s="201"/>
      <c r="I119" s="201"/>
      <c r="J119" s="201"/>
      <c r="K119" s="201"/>
      <c r="L119" s="201"/>
      <c r="M119" s="201"/>
      <c r="N119" s="201">
        <f t="shared" ref="N119:X119" si="164">SUM(N118:N118)</f>
        <v>137797.50894</v>
      </c>
      <c r="O119" s="201">
        <f t="shared" si="164"/>
        <v>100000</v>
      </c>
      <c r="P119" s="201">
        <f t="shared" si="164"/>
        <v>0</v>
      </c>
      <c r="Q119" s="201">
        <f t="shared" si="164"/>
        <v>237797.50894</v>
      </c>
      <c r="R119" s="201">
        <f t="shared" si="164"/>
        <v>0</v>
      </c>
      <c r="S119" s="201">
        <f t="shared" si="164"/>
        <v>237797.50894</v>
      </c>
      <c r="T119" s="201">
        <f t="shared" si="164"/>
        <v>0</v>
      </c>
      <c r="U119" s="201">
        <f t="shared" si="164"/>
        <v>0</v>
      </c>
      <c r="V119" s="201">
        <f t="shared" si="164"/>
        <v>0</v>
      </c>
      <c r="W119" s="201">
        <f t="shared" si="164"/>
        <v>0</v>
      </c>
      <c r="X119" s="201">
        <f t="shared" si="164"/>
        <v>0</v>
      </c>
    </row>
    <row r="120" spans="1:24" ht="12.75" x14ac:dyDescent="0.2">
      <c r="A120" s="154">
        <v>22</v>
      </c>
      <c r="B120" s="155" t="s">
        <v>213</v>
      </c>
      <c r="C120" s="155" t="s">
        <v>214</v>
      </c>
      <c r="D120" s="156">
        <v>44468</v>
      </c>
      <c r="E120" s="154">
        <v>1</v>
      </c>
      <c r="F120" s="155" t="s">
        <v>215</v>
      </c>
      <c r="G120" s="175">
        <v>1</v>
      </c>
      <c r="H120" s="176">
        <v>13910250</v>
      </c>
      <c r="I120" s="176">
        <f>H120*G120</f>
        <v>13910250</v>
      </c>
      <c r="J120" s="205">
        <v>44447</v>
      </c>
      <c r="K120" s="205">
        <v>44812</v>
      </c>
      <c r="L120" s="155">
        <v>12</v>
      </c>
      <c r="M120" s="195">
        <v>60.9</v>
      </c>
      <c r="N120" s="176">
        <f>M120*H120/1000</f>
        <v>847134.22499999998</v>
      </c>
      <c r="O120" s="176"/>
      <c r="P120" s="176"/>
      <c r="Q120" s="190">
        <f t="shared" ref="Q120" si="165">N120+O120+P120</f>
        <v>847134.22499999998</v>
      </c>
      <c r="R120" s="81">
        <f t="shared" ref="R120:R130" si="166">10%*N120</f>
        <v>84713.422500000001</v>
      </c>
      <c r="S120" s="190">
        <f t="shared" ref="S120" si="167">Q120-R120</f>
        <v>762420.80249999999</v>
      </c>
      <c r="T120" s="42">
        <f>R120/L120*2</f>
        <v>14118.903749999999</v>
      </c>
      <c r="U120" s="1">
        <f>R120/L120*10</f>
        <v>70594.518750000003</v>
      </c>
      <c r="V120" s="34">
        <f t="shared" ref="V120:V133" si="168">R120-T120-U120</f>
        <v>0</v>
      </c>
      <c r="W120" s="35">
        <f t="shared" ref="W120:W133" si="169">T120+U120+V120</f>
        <v>84713.422500000001</v>
      </c>
      <c r="X120" s="35">
        <f t="shared" ref="X120:X133" si="170">R120-W120</f>
        <v>0</v>
      </c>
    </row>
    <row r="121" spans="1:24" ht="12.75" x14ac:dyDescent="0.2">
      <c r="A121" s="198"/>
      <c r="B121" s="199"/>
      <c r="C121" s="199"/>
      <c r="D121" s="199"/>
      <c r="E121" s="200">
        <f>SUM(E120:E120)</f>
        <v>1</v>
      </c>
      <c r="F121" s="201"/>
      <c r="G121" s="201"/>
      <c r="H121" s="201">
        <f>SUM(H120:H120)</f>
        <v>13910250</v>
      </c>
      <c r="I121" s="201">
        <f>SUM(I120:I120)</f>
        <v>13910250</v>
      </c>
      <c r="J121" s="201"/>
      <c r="K121" s="201"/>
      <c r="L121" s="201"/>
      <c r="M121" s="201"/>
      <c r="N121" s="201">
        <f t="shared" ref="N121:X121" si="171">SUM(N120:N120)</f>
        <v>847134.22499999998</v>
      </c>
      <c r="O121" s="201">
        <f t="shared" si="171"/>
        <v>0</v>
      </c>
      <c r="P121" s="201">
        <f t="shared" si="171"/>
        <v>0</v>
      </c>
      <c r="Q121" s="201">
        <f t="shared" si="171"/>
        <v>847134.22499999998</v>
      </c>
      <c r="R121" s="201">
        <f t="shared" si="171"/>
        <v>84713.422500000001</v>
      </c>
      <c r="S121" s="201">
        <f t="shared" si="171"/>
        <v>762420.80249999999</v>
      </c>
      <c r="T121" s="201">
        <f t="shared" si="171"/>
        <v>14118.903749999999</v>
      </c>
      <c r="U121" s="201">
        <f t="shared" si="171"/>
        <v>70594.518750000003</v>
      </c>
      <c r="V121" s="201">
        <f t="shared" si="171"/>
        <v>0</v>
      </c>
      <c r="W121" s="201">
        <f t="shared" si="171"/>
        <v>84713.422500000001</v>
      </c>
      <c r="X121" s="201">
        <f t="shared" si="171"/>
        <v>0</v>
      </c>
    </row>
    <row r="122" spans="1:24" ht="12.75" x14ac:dyDescent="0.2">
      <c r="A122" s="154">
        <v>23</v>
      </c>
      <c r="B122" s="155" t="s">
        <v>49</v>
      </c>
      <c r="C122" s="155" t="s">
        <v>216</v>
      </c>
      <c r="D122" s="156">
        <v>44467</v>
      </c>
      <c r="E122" s="154">
        <v>1</v>
      </c>
      <c r="F122" s="155" t="s">
        <v>217</v>
      </c>
      <c r="G122" s="175">
        <v>1</v>
      </c>
      <c r="H122" s="176">
        <v>22343000</v>
      </c>
      <c r="I122" s="176">
        <f t="shared" ref="I122:I130" si="172">H122*G122</f>
        <v>22343000</v>
      </c>
      <c r="J122" s="205">
        <v>44456</v>
      </c>
      <c r="K122" s="205">
        <v>45552</v>
      </c>
      <c r="L122" s="155">
        <v>36</v>
      </c>
      <c r="M122" s="195">
        <v>11.5</v>
      </c>
      <c r="N122" s="176">
        <f>M122*H122/1000</f>
        <v>256944.5</v>
      </c>
      <c r="O122" s="176"/>
      <c r="P122" s="176"/>
      <c r="Q122" s="176">
        <f>N122+O122+P122</f>
        <v>256944.5</v>
      </c>
      <c r="R122" s="81">
        <f t="shared" si="166"/>
        <v>25694.45</v>
      </c>
      <c r="S122" s="176">
        <f>Q122-R122</f>
        <v>231250.05</v>
      </c>
      <c r="T122" s="42">
        <f t="shared" ref="T122:T130" si="173">R122/L122*2</f>
        <v>1427.4694444444444</v>
      </c>
      <c r="U122" s="1">
        <f t="shared" ref="U122:U133" si="174">R122/L122*12</f>
        <v>8564.8166666666657</v>
      </c>
      <c r="V122" s="34">
        <f t="shared" si="168"/>
        <v>15702.163888888892</v>
      </c>
      <c r="W122" s="35">
        <f t="shared" si="169"/>
        <v>25694.450000000004</v>
      </c>
      <c r="X122" s="35">
        <f t="shared" si="170"/>
        <v>0</v>
      </c>
    </row>
    <row r="123" spans="1:24" ht="12.75" x14ac:dyDescent="0.2">
      <c r="A123" s="154"/>
      <c r="B123" s="155"/>
      <c r="C123" s="155"/>
      <c r="D123" s="156"/>
      <c r="E123" s="154">
        <v>1</v>
      </c>
      <c r="F123" s="155" t="s">
        <v>218</v>
      </c>
      <c r="G123" s="175">
        <v>1</v>
      </c>
      <c r="H123" s="176">
        <v>330000000</v>
      </c>
      <c r="I123" s="176">
        <f t="shared" si="172"/>
        <v>330000000</v>
      </c>
      <c r="J123" s="205">
        <v>44467</v>
      </c>
      <c r="K123" s="205">
        <v>46293</v>
      </c>
      <c r="L123" s="155">
        <v>180</v>
      </c>
      <c r="M123" s="195">
        <v>37.520000000000003</v>
      </c>
      <c r="N123" s="176">
        <f t="shared" ref="N123:N130" si="175">M123*H123/1000</f>
        <v>12381600.000000002</v>
      </c>
      <c r="O123" s="176"/>
      <c r="P123" s="176"/>
      <c r="Q123" s="176">
        <f t="shared" ref="Q123:Q130" si="176">N123+O123+P123</f>
        <v>12381600.000000002</v>
      </c>
      <c r="R123" s="81">
        <f t="shared" si="166"/>
        <v>1238160.0000000002</v>
      </c>
      <c r="S123" s="190">
        <f t="shared" ref="S123:S130" si="177">Q123-R123</f>
        <v>11143440.000000002</v>
      </c>
      <c r="T123" s="42">
        <f t="shared" si="173"/>
        <v>13757.333333333336</v>
      </c>
      <c r="U123" s="1">
        <f t="shared" si="174"/>
        <v>82544.000000000015</v>
      </c>
      <c r="V123" s="34">
        <f t="shared" si="168"/>
        <v>1141858.666666667</v>
      </c>
      <c r="W123" s="35">
        <f t="shared" si="169"/>
        <v>1238160.0000000002</v>
      </c>
      <c r="X123" s="35">
        <f t="shared" si="170"/>
        <v>0</v>
      </c>
    </row>
    <row r="124" spans="1:24" ht="12.75" x14ac:dyDescent="0.2">
      <c r="A124" s="154"/>
      <c r="B124" s="155"/>
      <c r="C124" s="155"/>
      <c r="D124" s="156"/>
      <c r="E124" s="154">
        <v>1</v>
      </c>
      <c r="F124" s="155" t="s">
        <v>219</v>
      </c>
      <c r="G124" s="175">
        <v>1</v>
      </c>
      <c r="H124" s="176">
        <v>35000000</v>
      </c>
      <c r="I124" s="176">
        <f t="shared" si="172"/>
        <v>35000000</v>
      </c>
      <c r="J124" s="205">
        <v>44447</v>
      </c>
      <c r="K124" s="205">
        <v>46273</v>
      </c>
      <c r="L124" s="155">
        <v>60</v>
      </c>
      <c r="M124" s="195">
        <v>18.2</v>
      </c>
      <c r="N124" s="176">
        <f t="shared" si="175"/>
        <v>637000</v>
      </c>
      <c r="O124" s="176"/>
      <c r="P124" s="176"/>
      <c r="Q124" s="176">
        <f t="shared" si="176"/>
        <v>637000</v>
      </c>
      <c r="R124" s="81">
        <f t="shared" si="166"/>
        <v>63700</v>
      </c>
      <c r="S124" s="190">
        <f t="shared" si="177"/>
        <v>573300</v>
      </c>
      <c r="T124" s="42">
        <f t="shared" si="173"/>
        <v>2123.3333333333335</v>
      </c>
      <c r="U124" s="1">
        <f t="shared" si="174"/>
        <v>12740</v>
      </c>
      <c r="V124" s="34">
        <f t="shared" si="168"/>
        <v>48836.666666666664</v>
      </c>
      <c r="W124" s="35">
        <f t="shared" si="169"/>
        <v>63700</v>
      </c>
      <c r="X124" s="35">
        <f t="shared" si="170"/>
        <v>0</v>
      </c>
    </row>
    <row r="125" spans="1:24" ht="12.75" x14ac:dyDescent="0.2">
      <c r="A125" s="154"/>
      <c r="B125" s="155"/>
      <c r="C125" s="155"/>
      <c r="D125" s="156"/>
      <c r="E125" s="154">
        <v>1</v>
      </c>
      <c r="F125" s="155" t="s">
        <v>220</v>
      </c>
      <c r="G125" s="175">
        <v>1</v>
      </c>
      <c r="H125" s="176">
        <v>250000000</v>
      </c>
      <c r="I125" s="176">
        <f t="shared" si="172"/>
        <v>250000000</v>
      </c>
      <c r="J125" s="205">
        <v>44446</v>
      </c>
      <c r="K125" s="205">
        <v>49194</v>
      </c>
      <c r="L125" s="155">
        <v>156</v>
      </c>
      <c r="M125" s="195">
        <v>32.94</v>
      </c>
      <c r="N125" s="176">
        <f t="shared" si="175"/>
        <v>8234999.9999999991</v>
      </c>
      <c r="O125" s="176"/>
      <c r="P125" s="176"/>
      <c r="Q125" s="176">
        <f t="shared" si="176"/>
        <v>8234999.9999999991</v>
      </c>
      <c r="R125" s="81">
        <f t="shared" si="166"/>
        <v>823500</v>
      </c>
      <c r="S125" s="190">
        <f t="shared" si="177"/>
        <v>7411499.9999999991</v>
      </c>
      <c r="T125" s="42">
        <f t="shared" si="173"/>
        <v>10557.692307692309</v>
      </c>
      <c r="U125" s="1">
        <f t="shared" si="174"/>
        <v>63346.153846153851</v>
      </c>
      <c r="V125" s="34">
        <f t="shared" si="168"/>
        <v>749596.15384615387</v>
      </c>
      <c r="W125" s="35">
        <f t="shared" si="169"/>
        <v>823500</v>
      </c>
      <c r="X125" s="35">
        <f t="shared" si="170"/>
        <v>0</v>
      </c>
    </row>
    <row r="126" spans="1:24" ht="12.75" x14ac:dyDescent="0.2">
      <c r="A126" s="154"/>
      <c r="B126" s="155"/>
      <c r="C126" s="155"/>
      <c r="D126" s="156"/>
      <c r="E126" s="154">
        <v>1</v>
      </c>
      <c r="F126" s="155" t="s">
        <v>221</v>
      </c>
      <c r="G126" s="175">
        <v>1</v>
      </c>
      <c r="H126" s="176">
        <v>270000000</v>
      </c>
      <c r="I126" s="176">
        <f t="shared" si="172"/>
        <v>270000000</v>
      </c>
      <c r="J126" s="205">
        <v>44446</v>
      </c>
      <c r="K126" s="205">
        <v>48098</v>
      </c>
      <c r="L126" s="155">
        <v>120</v>
      </c>
      <c r="M126" s="195">
        <v>25.48</v>
      </c>
      <c r="N126" s="176">
        <f t="shared" si="175"/>
        <v>6879600</v>
      </c>
      <c r="O126" s="176"/>
      <c r="P126" s="176"/>
      <c r="Q126" s="176">
        <f t="shared" si="176"/>
        <v>6879600</v>
      </c>
      <c r="R126" s="81">
        <f t="shared" si="166"/>
        <v>687960</v>
      </c>
      <c r="S126" s="190">
        <f t="shared" si="177"/>
        <v>6191640</v>
      </c>
      <c r="T126" s="42">
        <f t="shared" si="173"/>
        <v>11466</v>
      </c>
      <c r="U126" s="1">
        <f t="shared" si="174"/>
        <v>68796</v>
      </c>
      <c r="V126" s="34">
        <f t="shared" si="168"/>
        <v>607698</v>
      </c>
      <c r="W126" s="35">
        <f t="shared" si="169"/>
        <v>687960</v>
      </c>
      <c r="X126" s="35">
        <f t="shared" si="170"/>
        <v>0</v>
      </c>
    </row>
    <row r="127" spans="1:24" ht="12.75" x14ac:dyDescent="0.2">
      <c r="A127" s="154"/>
      <c r="B127" s="155"/>
      <c r="C127" s="155"/>
      <c r="D127" s="156"/>
      <c r="E127" s="154">
        <v>1</v>
      </c>
      <c r="F127" s="155" t="s">
        <v>222</v>
      </c>
      <c r="G127" s="175">
        <v>1</v>
      </c>
      <c r="H127" s="176">
        <v>310000000</v>
      </c>
      <c r="I127" s="176">
        <f t="shared" si="172"/>
        <v>310000000</v>
      </c>
      <c r="J127" s="205">
        <v>44453</v>
      </c>
      <c r="K127" s="205">
        <v>48105</v>
      </c>
      <c r="L127" s="155">
        <v>120</v>
      </c>
      <c r="M127" s="195">
        <v>25.48</v>
      </c>
      <c r="N127" s="176">
        <f t="shared" si="175"/>
        <v>7898800</v>
      </c>
      <c r="O127" s="176"/>
      <c r="P127" s="176"/>
      <c r="Q127" s="176">
        <f t="shared" si="176"/>
        <v>7898800</v>
      </c>
      <c r="R127" s="81">
        <f t="shared" si="166"/>
        <v>789880</v>
      </c>
      <c r="S127" s="190">
        <f t="shared" si="177"/>
        <v>7108920</v>
      </c>
      <c r="T127" s="42">
        <f t="shared" si="173"/>
        <v>13164.666666666666</v>
      </c>
      <c r="U127" s="1">
        <f t="shared" si="174"/>
        <v>78988</v>
      </c>
      <c r="V127" s="34">
        <f t="shared" si="168"/>
        <v>697727.33333333337</v>
      </c>
      <c r="W127" s="35">
        <f t="shared" si="169"/>
        <v>789880</v>
      </c>
      <c r="X127" s="35">
        <f t="shared" si="170"/>
        <v>0</v>
      </c>
    </row>
    <row r="128" spans="1:24" ht="12.75" x14ac:dyDescent="0.2">
      <c r="A128" s="154"/>
      <c r="B128" s="155"/>
      <c r="C128" s="155"/>
      <c r="D128" s="156"/>
      <c r="E128" s="154">
        <v>1</v>
      </c>
      <c r="F128" s="155" t="s">
        <v>223</v>
      </c>
      <c r="G128" s="175">
        <v>1</v>
      </c>
      <c r="H128" s="176">
        <v>50000000</v>
      </c>
      <c r="I128" s="176">
        <f t="shared" si="172"/>
        <v>50000000</v>
      </c>
      <c r="J128" s="205">
        <v>44460</v>
      </c>
      <c r="K128" s="205">
        <v>48112</v>
      </c>
      <c r="L128" s="155">
        <v>36</v>
      </c>
      <c r="M128" s="195">
        <v>9.1</v>
      </c>
      <c r="N128" s="176">
        <f t="shared" si="175"/>
        <v>455000</v>
      </c>
      <c r="O128" s="176"/>
      <c r="P128" s="176"/>
      <c r="Q128" s="176">
        <f t="shared" si="176"/>
        <v>455000</v>
      </c>
      <c r="R128" s="81">
        <f t="shared" si="166"/>
        <v>45500</v>
      </c>
      <c r="S128" s="190">
        <f t="shared" si="177"/>
        <v>409500</v>
      </c>
      <c r="T128" s="42">
        <f t="shared" si="173"/>
        <v>2527.7777777777778</v>
      </c>
      <c r="U128" s="1">
        <f t="shared" si="174"/>
        <v>15166.666666666668</v>
      </c>
      <c r="V128" s="34">
        <f t="shared" si="168"/>
        <v>27805.555555555551</v>
      </c>
      <c r="W128" s="35">
        <f t="shared" si="169"/>
        <v>45500</v>
      </c>
      <c r="X128" s="35">
        <f t="shared" si="170"/>
        <v>0</v>
      </c>
    </row>
    <row r="129" spans="1:24" ht="12.75" x14ac:dyDescent="0.2">
      <c r="A129" s="154"/>
      <c r="B129" s="155"/>
      <c r="C129" s="155"/>
      <c r="D129" s="156"/>
      <c r="E129" s="154">
        <v>1</v>
      </c>
      <c r="F129" s="155" t="s">
        <v>224</v>
      </c>
      <c r="G129" s="175">
        <v>1</v>
      </c>
      <c r="H129" s="176">
        <v>334000000</v>
      </c>
      <c r="I129" s="176">
        <f t="shared" si="172"/>
        <v>334000000</v>
      </c>
      <c r="J129" s="205">
        <v>44453</v>
      </c>
      <c r="K129" s="205">
        <v>44453</v>
      </c>
      <c r="L129" s="155">
        <v>180</v>
      </c>
      <c r="M129" s="195">
        <v>35.409999999999997</v>
      </c>
      <c r="N129" s="176">
        <f t="shared" si="175"/>
        <v>11826939.999999998</v>
      </c>
      <c r="O129" s="176"/>
      <c r="P129" s="176"/>
      <c r="Q129" s="176">
        <f t="shared" si="176"/>
        <v>11826939.999999998</v>
      </c>
      <c r="R129" s="81">
        <f t="shared" si="166"/>
        <v>1182693.9999999998</v>
      </c>
      <c r="S129" s="190">
        <f t="shared" si="177"/>
        <v>10644245.999999998</v>
      </c>
      <c r="T129" s="42">
        <f t="shared" si="173"/>
        <v>13141.044444444442</v>
      </c>
      <c r="U129" s="1">
        <f t="shared" si="174"/>
        <v>78846.266666666648</v>
      </c>
      <c r="V129" s="34">
        <f t="shared" si="168"/>
        <v>1090706.6888888888</v>
      </c>
      <c r="W129" s="35">
        <f t="shared" si="169"/>
        <v>1182694</v>
      </c>
      <c r="X129" s="35">
        <f t="shared" si="170"/>
        <v>0</v>
      </c>
    </row>
    <row r="130" spans="1:24" ht="12.75" x14ac:dyDescent="0.2">
      <c r="A130" s="154"/>
      <c r="B130" s="155"/>
      <c r="C130" s="155"/>
      <c r="D130" s="156"/>
      <c r="E130" s="154">
        <v>1</v>
      </c>
      <c r="F130" s="155" t="s">
        <v>225</v>
      </c>
      <c r="G130" s="175">
        <v>1</v>
      </c>
      <c r="H130" s="176">
        <v>230000000</v>
      </c>
      <c r="I130" s="176">
        <f t="shared" si="172"/>
        <v>230000000</v>
      </c>
      <c r="J130" s="205">
        <v>44436</v>
      </c>
      <c r="K130" s="205">
        <v>44436</v>
      </c>
      <c r="L130" s="155">
        <v>84</v>
      </c>
      <c r="M130" s="195">
        <v>25.48</v>
      </c>
      <c r="N130" s="176">
        <f t="shared" si="175"/>
        <v>5860400</v>
      </c>
      <c r="O130" s="176"/>
      <c r="P130" s="176"/>
      <c r="Q130" s="176">
        <f t="shared" si="176"/>
        <v>5860400</v>
      </c>
      <c r="R130" s="81">
        <f t="shared" si="166"/>
        <v>586040</v>
      </c>
      <c r="S130" s="190">
        <f t="shared" si="177"/>
        <v>5274360</v>
      </c>
      <c r="T130" s="42">
        <f t="shared" si="173"/>
        <v>13953.333333333334</v>
      </c>
      <c r="U130" s="1">
        <f t="shared" si="174"/>
        <v>83720</v>
      </c>
      <c r="V130" s="34">
        <f t="shared" si="168"/>
        <v>488366.66666666663</v>
      </c>
      <c r="W130" s="35">
        <f t="shared" si="169"/>
        <v>586040</v>
      </c>
      <c r="X130" s="35">
        <f t="shared" si="170"/>
        <v>0</v>
      </c>
    </row>
    <row r="131" spans="1:24" ht="12.75" x14ac:dyDescent="0.2">
      <c r="A131" s="198"/>
      <c r="B131" s="199"/>
      <c r="C131" s="199"/>
      <c r="D131" s="199"/>
      <c r="E131" s="201">
        <f t="shared" ref="E131:F131" si="178">SUM(E122:E130)</f>
        <v>9</v>
      </c>
      <c r="F131" s="201">
        <f t="shared" si="178"/>
        <v>0</v>
      </c>
      <c r="G131" s="201"/>
      <c r="H131" s="201">
        <f t="shared" ref="H131:X131" si="179">SUM(H122:H130)</f>
        <v>1831343000</v>
      </c>
      <c r="I131" s="201">
        <f t="shared" si="179"/>
        <v>1831343000</v>
      </c>
      <c r="J131" s="201">
        <f t="shared" si="179"/>
        <v>400064</v>
      </c>
      <c r="K131" s="201">
        <f t="shared" si="179"/>
        <v>420516</v>
      </c>
      <c r="L131" s="201"/>
      <c r="M131" s="201"/>
      <c r="N131" s="201">
        <f t="shared" si="179"/>
        <v>54431284.5</v>
      </c>
      <c r="O131" s="201">
        <f t="shared" si="179"/>
        <v>0</v>
      </c>
      <c r="P131" s="201">
        <f t="shared" si="179"/>
        <v>0</v>
      </c>
      <c r="Q131" s="201">
        <f t="shared" si="179"/>
        <v>54431284.5</v>
      </c>
      <c r="R131" s="201">
        <f t="shared" si="179"/>
        <v>5443128.4500000002</v>
      </c>
      <c r="S131" s="201">
        <f t="shared" si="179"/>
        <v>48988156.049999997</v>
      </c>
      <c r="T131" s="201">
        <f t="shared" si="179"/>
        <v>82118.650641025641</v>
      </c>
      <c r="U131" s="201">
        <f t="shared" si="179"/>
        <v>492711.90384615387</v>
      </c>
      <c r="V131" s="201">
        <f t="shared" si="179"/>
        <v>4868297.8955128212</v>
      </c>
      <c r="W131" s="201">
        <f t="shared" si="179"/>
        <v>5443128.4500000002</v>
      </c>
      <c r="X131" s="201">
        <f t="shared" si="179"/>
        <v>0</v>
      </c>
    </row>
    <row r="132" spans="1:24" ht="12.75" x14ac:dyDescent="0.2">
      <c r="A132" s="154">
        <v>24</v>
      </c>
      <c r="B132" s="155" t="s">
        <v>51</v>
      </c>
      <c r="C132" s="155" t="s">
        <v>226</v>
      </c>
      <c r="D132" s="156">
        <v>44469</v>
      </c>
      <c r="E132" s="154">
        <v>1</v>
      </c>
      <c r="F132" s="155" t="s">
        <v>227</v>
      </c>
      <c r="G132" s="175">
        <v>1</v>
      </c>
      <c r="H132" s="176">
        <v>300000000</v>
      </c>
      <c r="I132" s="176">
        <f t="shared" ref="I132:I133" si="180">H132*G132</f>
        <v>300000000</v>
      </c>
      <c r="J132" s="205">
        <v>44442</v>
      </c>
      <c r="K132" s="205">
        <v>48094</v>
      </c>
      <c r="L132" s="155">
        <v>120</v>
      </c>
      <c r="M132" s="195">
        <v>25.48</v>
      </c>
      <c r="N132" s="176">
        <f t="shared" ref="N132:N133" si="181">M132*H132/1000</f>
        <v>7644000</v>
      </c>
      <c r="O132" s="176"/>
      <c r="P132" s="176"/>
      <c r="Q132" s="176">
        <f t="shared" ref="Q132:Q133" si="182">N132+O132+P132</f>
        <v>7644000</v>
      </c>
      <c r="R132" s="196"/>
      <c r="S132" s="190">
        <f t="shared" ref="S132:S133" si="183">Q132-R132</f>
        <v>7644000</v>
      </c>
      <c r="T132" s="42">
        <f t="shared" ref="T132:T133" si="184">R132/L132</f>
        <v>0</v>
      </c>
      <c r="U132" s="1">
        <f t="shared" si="174"/>
        <v>0</v>
      </c>
      <c r="V132" s="34">
        <f t="shared" si="168"/>
        <v>0</v>
      </c>
      <c r="W132" s="35">
        <f t="shared" si="169"/>
        <v>0</v>
      </c>
      <c r="X132" s="35">
        <f t="shared" si="170"/>
        <v>0</v>
      </c>
    </row>
    <row r="133" spans="1:24" ht="12.75" x14ac:dyDescent="0.2">
      <c r="A133" s="154"/>
      <c r="B133" s="155"/>
      <c r="C133" s="155"/>
      <c r="D133" s="156"/>
      <c r="E133" s="154">
        <v>1</v>
      </c>
      <c r="F133" s="155" t="s">
        <v>228</v>
      </c>
      <c r="G133" s="175">
        <v>1</v>
      </c>
      <c r="H133" s="176">
        <v>260000000</v>
      </c>
      <c r="I133" s="176">
        <f t="shared" si="180"/>
        <v>260000000</v>
      </c>
      <c r="J133" s="205">
        <v>44466</v>
      </c>
      <c r="K133" s="205">
        <v>48118</v>
      </c>
      <c r="L133" s="155">
        <v>120</v>
      </c>
      <c r="M133" s="195">
        <v>36.4</v>
      </c>
      <c r="N133" s="176">
        <f t="shared" si="181"/>
        <v>9464000</v>
      </c>
      <c r="O133" s="176"/>
      <c r="P133" s="176"/>
      <c r="Q133" s="176">
        <f t="shared" si="182"/>
        <v>9464000</v>
      </c>
      <c r="R133" s="196"/>
      <c r="S133" s="190">
        <f t="shared" si="183"/>
        <v>9464000</v>
      </c>
      <c r="T133" s="42">
        <f t="shared" si="184"/>
        <v>0</v>
      </c>
      <c r="U133" s="1">
        <f t="shared" si="174"/>
        <v>0</v>
      </c>
      <c r="V133" s="34">
        <f t="shared" si="168"/>
        <v>0</v>
      </c>
      <c r="W133" s="35">
        <f t="shared" si="169"/>
        <v>0</v>
      </c>
      <c r="X133" s="35">
        <f t="shared" si="170"/>
        <v>0</v>
      </c>
    </row>
    <row r="134" spans="1:24" ht="12.75" x14ac:dyDescent="0.2">
      <c r="A134" s="198"/>
      <c r="B134" s="199"/>
      <c r="C134" s="199"/>
      <c r="D134" s="199"/>
      <c r="E134" s="200">
        <f>SUM(E132:E133)</f>
        <v>2</v>
      </c>
      <c r="F134" s="201"/>
      <c r="G134" s="201"/>
      <c r="H134" s="201">
        <f>SUM(H132:H133)</f>
        <v>560000000</v>
      </c>
      <c r="I134" s="201">
        <f>SUM(I132:I133)</f>
        <v>560000000</v>
      </c>
      <c r="J134" s="201"/>
      <c r="K134" s="201"/>
      <c r="L134" s="201"/>
      <c r="M134" s="201"/>
      <c r="N134" s="201">
        <f t="shared" ref="N134:X134" si="185">SUM(N132:N133)</f>
        <v>17108000</v>
      </c>
      <c r="O134" s="201">
        <f t="shared" si="185"/>
        <v>0</v>
      </c>
      <c r="P134" s="201">
        <f t="shared" si="185"/>
        <v>0</v>
      </c>
      <c r="Q134" s="201">
        <f t="shared" si="185"/>
        <v>17108000</v>
      </c>
      <c r="R134" s="201">
        <f t="shared" si="185"/>
        <v>0</v>
      </c>
      <c r="S134" s="201">
        <f t="shared" si="185"/>
        <v>17108000</v>
      </c>
      <c r="T134" s="201">
        <f t="shared" si="185"/>
        <v>0</v>
      </c>
      <c r="U134" s="201">
        <f t="shared" si="185"/>
        <v>0</v>
      </c>
      <c r="V134" s="201">
        <f t="shared" si="185"/>
        <v>0</v>
      </c>
      <c r="W134" s="201">
        <f t="shared" si="185"/>
        <v>0</v>
      </c>
      <c r="X134" s="201">
        <f t="shared" si="185"/>
        <v>0</v>
      </c>
    </row>
    <row r="135" spans="1:24" x14ac:dyDescent="0.2">
      <c r="A135" s="83"/>
      <c r="B135" s="83"/>
      <c r="C135" s="83" t="s">
        <v>52</v>
      </c>
      <c r="D135" s="84"/>
      <c r="E135" s="85">
        <f>E134+E131+E121+E119</f>
        <v>12</v>
      </c>
      <c r="F135" s="87"/>
      <c r="G135" s="87"/>
      <c r="H135" s="87">
        <f t="shared" ref="H135:X135" si="186">H134+H131+H121+H119</f>
        <v>2405253250</v>
      </c>
      <c r="I135" s="87">
        <f t="shared" si="186"/>
        <v>2405253250</v>
      </c>
      <c r="J135" s="87"/>
      <c r="K135" s="87"/>
      <c r="L135" s="87"/>
      <c r="M135" s="87"/>
      <c r="N135" s="87">
        <f t="shared" si="186"/>
        <v>72524216.23393999</v>
      </c>
      <c r="O135" s="87">
        <f t="shared" si="186"/>
        <v>100000</v>
      </c>
      <c r="P135" s="87">
        <f t="shared" si="186"/>
        <v>0</v>
      </c>
      <c r="Q135" s="87">
        <f t="shared" si="186"/>
        <v>72624216.23393999</v>
      </c>
      <c r="R135" s="87">
        <f t="shared" si="186"/>
        <v>5527841.8725000005</v>
      </c>
      <c r="S135" s="87">
        <f t="shared" si="186"/>
        <v>67096374.361439995</v>
      </c>
      <c r="T135" s="87">
        <f t="shared" si="186"/>
        <v>96237.554391025638</v>
      </c>
      <c r="U135" s="87">
        <f t="shared" si="186"/>
        <v>563306.42259615392</v>
      </c>
      <c r="V135" s="87">
        <f t="shared" si="186"/>
        <v>4868297.8955128212</v>
      </c>
      <c r="W135" s="87">
        <f t="shared" si="186"/>
        <v>5527841.8725000005</v>
      </c>
      <c r="X135" s="87">
        <f t="shared" si="186"/>
        <v>0</v>
      </c>
    </row>
    <row r="136" spans="1:24" x14ac:dyDescent="0.2">
      <c r="A136" s="83"/>
      <c r="B136" s="83"/>
      <c r="C136" s="83" t="s">
        <v>229</v>
      </c>
      <c r="D136" s="84"/>
      <c r="E136" s="95">
        <f>E135+E112</f>
        <v>55</v>
      </c>
      <c r="F136" s="95">
        <f t="shared" ref="F136:X136" si="187">F135+F112</f>
        <v>0</v>
      </c>
      <c r="G136" s="95">
        <f t="shared" si="187"/>
        <v>1</v>
      </c>
      <c r="H136" s="95">
        <f t="shared" si="187"/>
        <v>12852837422</v>
      </c>
      <c r="I136" s="95">
        <f t="shared" si="187"/>
        <v>12852837422</v>
      </c>
      <c r="J136" s="95">
        <f t="shared" si="187"/>
        <v>0</v>
      </c>
      <c r="K136" s="95">
        <f t="shared" si="187"/>
        <v>0</v>
      </c>
      <c r="L136" s="95">
        <f t="shared" si="187"/>
        <v>0</v>
      </c>
      <c r="M136" s="95">
        <f t="shared" si="187"/>
        <v>0</v>
      </c>
      <c r="N136" s="95">
        <f t="shared" si="187"/>
        <v>396553724.95282</v>
      </c>
      <c r="O136" s="95">
        <f t="shared" si="187"/>
        <v>400000</v>
      </c>
      <c r="P136" s="95">
        <f t="shared" si="187"/>
        <v>0</v>
      </c>
      <c r="Q136" s="95">
        <f t="shared" si="187"/>
        <v>396953724.95282</v>
      </c>
      <c r="R136" s="95">
        <f t="shared" si="187"/>
        <v>37510885.157900006</v>
      </c>
      <c r="S136" s="95">
        <f t="shared" si="187"/>
        <v>359123059.071814</v>
      </c>
      <c r="T136" s="95">
        <f t="shared" si="187"/>
        <v>3059001.9352157107</v>
      </c>
      <c r="U136" s="95">
        <f t="shared" si="187"/>
        <v>4172266.4880277235</v>
      </c>
      <c r="V136" s="95">
        <f t="shared" si="187"/>
        <v>30279616.734656565</v>
      </c>
      <c r="W136" s="95">
        <f t="shared" si="187"/>
        <v>37510885.157900006</v>
      </c>
      <c r="X136" s="95">
        <f t="shared" si="187"/>
        <v>0</v>
      </c>
    </row>
    <row r="149" spans="28:29" x14ac:dyDescent="0.2">
      <c r="AB149" s="211">
        <v>541148777863</v>
      </c>
      <c r="AC149" s="211">
        <v>224770861283</v>
      </c>
    </row>
    <row r="150" spans="28:29" x14ac:dyDescent="0.2">
      <c r="AB150" s="211">
        <v>29813522485</v>
      </c>
      <c r="AC150" s="211">
        <v>26036783333</v>
      </c>
    </row>
    <row r="151" spans="28:29" x14ac:dyDescent="0.2">
      <c r="AB151" s="211"/>
      <c r="AC151" s="211"/>
    </row>
    <row r="152" spans="28:29" x14ac:dyDescent="0.2">
      <c r="AB152" s="211"/>
      <c r="AC152" s="211"/>
    </row>
    <row r="153" spans="28:29" x14ac:dyDescent="0.2">
      <c r="AB153" s="212">
        <f>AB149-AB150</f>
        <v>511335255378</v>
      </c>
      <c r="AC153" s="212">
        <f>AC149-AC150</f>
        <v>198734077950</v>
      </c>
    </row>
    <row r="155" spans="28:29" x14ac:dyDescent="0.2">
      <c r="AB155" s="211">
        <v>511335255378</v>
      </c>
      <c r="AC155" s="211">
        <v>198734077950</v>
      </c>
    </row>
  </sheetData>
  <mergeCells count="128">
    <mergeCell ref="N116:P116"/>
    <mergeCell ref="Q116:Q117"/>
    <mergeCell ref="R116:R117"/>
    <mergeCell ref="S116:S117"/>
    <mergeCell ref="G116:G117"/>
    <mergeCell ref="H116:H117"/>
    <mergeCell ref="I116:I117"/>
    <mergeCell ref="J116:K117"/>
    <mergeCell ref="L116:L117"/>
    <mergeCell ref="M116:M117"/>
    <mergeCell ref="A116:A117"/>
    <mergeCell ref="B116:B117"/>
    <mergeCell ref="C116:C117"/>
    <mergeCell ref="D116:D117"/>
    <mergeCell ref="E116:E117"/>
    <mergeCell ref="F116:F117"/>
    <mergeCell ref="G88:G89"/>
    <mergeCell ref="H88:H89"/>
    <mergeCell ref="I88:I89"/>
    <mergeCell ref="Q78:Q79"/>
    <mergeCell ref="R78:R79"/>
    <mergeCell ref="S78:S79"/>
    <mergeCell ref="A88:A89"/>
    <mergeCell ref="B88:B89"/>
    <mergeCell ref="C88:C89"/>
    <mergeCell ref="D88:D89"/>
    <mergeCell ref="E88:E89"/>
    <mergeCell ref="F88:F89"/>
    <mergeCell ref="G78:G79"/>
    <mergeCell ref="H78:H79"/>
    <mergeCell ref="I78:I79"/>
    <mergeCell ref="J78:K79"/>
    <mergeCell ref="L78:L79"/>
    <mergeCell ref="M78:M79"/>
    <mergeCell ref="N88:P88"/>
    <mergeCell ref="Q88:Q89"/>
    <mergeCell ref="R88:R89"/>
    <mergeCell ref="S88:S89"/>
    <mergeCell ref="J88:K89"/>
    <mergeCell ref="L88:L89"/>
    <mergeCell ref="M88:M89"/>
    <mergeCell ref="A78:A79"/>
    <mergeCell ref="B78:B79"/>
    <mergeCell ref="C78:C79"/>
    <mergeCell ref="D78:D79"/>
    <mergeCell ref="E78:E79"/>
    <mergeCell ref="F78:F79"/>
    <mergeCell ref="G47:G48"/>
    <mergeCell ref="H47:H48"/>
    <mergeCell ref="I47:I48"/>
    <mergeCell ref="N27:P27"/>
    <mergeCell ref="C27:C28"/>
    <mergeCell ref="D27:D28"/>
    <mergeCell ref="E27:E28"/>
    <mergeCell ref="F27:F28"/>
    <mergeCell ref="N78:P78"/>
    <mergeCell ref="Q27:Q28"/>
    <mergeCell ref="R27:R28"/>
    <mergeCell ref="S27:S28"/>
    <mergeCell ref="A47:A48"/>
    <mergeCell ref="B47:B48"/>
    <mergeCell ref="C47:C48"/>
    <mergeCell ref="D47:D48"/>
    <mergeCell ref="E47:E48"/>
    <mergeCell ref="F47:F48"/>
    <mergeCell ref="G27:G28"/>
    <mergeCell ref="H27:H28"/>
    <mergeCell ref="I27:I28"/>
    <mergeCell ref="J27:K28"/>
    <mergeCell ref="L27:L28"/>
    <mergeCell ref="M27:M28"/>
    <mergeCell ref="N47:P47"/>
    <mergeCell ref="Q47:Q48"/>
    <mergeCell ref="R47:R48"/>
    <mergeCell ref="S47:S48"/>
    <mergeCell ref="J47:K48"/>
    <mergeCell ref="L47:L48"/>
    <mergeCell ref="M47:M48"/>
    <mergeCell ref="A27:A28"/>
    <mergeCell ref="B27:B28"/>
    <mergeCell ref="G17:G18"/>
    <mergeCell ref="H17:H18"/>
    <mergeCell ref="I17:I18"/>
    <mergeCell ref="R9:R10"/>
    <mergeCell ref="S9:S10"/>
    <mergeCell ref="A17:A18"/>
    <mergeCell ref="B17:B18"/>
    <mergeCell ref="C17:C18"/>
    <mergeCell ref="D17:D18"/>
    <mergeCell ref="E17:E18"/>
    <mergeCell ref="F17:F18"/>
    <mergeCell ref="G9:G10"/>
    <mergeCell ref="H9:H10"/>
    <mergeCell ref="I9:I10"/>
    <mergeCell ref="J9:K10"/>
    <mergeCell ref="L9:L10"/>
    <mergeCell ref="M9:M10"/>
    <mergeCell ref="N17:P17"/>
    <mergeCell ref="Q17:Q18"/>
    <mergeCell ref="R17:R18"/>
    <mergeCell ref="S17:S18"/>
    <mergeCell ref="J17:K18"/>
    <mergeCell ref="L17:L18"/>
    <mergeCell ref="M17:M18"/>
    <mergeCell ref="N3:P3"/>
    <mergeCell ref="Q3:Q4"/>
    <mergeCell ref="R3:R4"/>
    <mergeCell ref="S3:S4"/>
    <mergeCell ref="A9:A10"/>
    <mergeCell ref="B9:B10"/>
    <mergeCell ref="C9:C10"/>
    <mergeCell ref="D9:D10"/>
    <mergeCell ref="E9:E10"/>
    <mergeCell ref="F9:F10"/>
    <mergeCell ref="G3:G4"/>
    <mergeCell ref="H3:H4"/>
    <mergeCell ref="I3:I4"/>
    <mergeCell ref="J3:K4"/>
    <mergeCell ref="L3:L4"/>
    <mergeCell ref="M3:M4"/>
    <mergeCell ref="A3:A4"/>
    <mergeCell ref="B3:B4"/>
    <mergeCell ref="C3:C4"/>
    <mergeCell ref="D3:D4"/>
    <mergeCell ref="E3:E4"/>
    <mergeCell ref="F3:F4"/>
    <mergeCell ref="N9:P9"/>
    <mergeCell ref="Q9:Q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84"/>
  <sheetViews>
    <sheetView tabSelected="1" zoomScale="90" zoomScaleNormal="90" workbookViewId="0">
      <selection activeCell="H40" sqref="H40"/>
    </sheetView>
  </sheetViews>
  <sheetFormatPr defaultRowHeight="12.75" x14ac:dyDescent="0.2"/>
  <cols>
    <col min="1" max="1" width="4.85546875" style="136" customWidth="1"/>
    <col min="2" max="2" width="10.5703125" style="61" bestFit="1" customWidth="1"/>
    <col min="3" max="3" width="15.5703125" style="61" bestFit="1" customWidth="1"/>
    <col min="4" max="4" width="21.140625" style="61" bestFit="1" customWidth="1"/>
    <col min="5" max="5" width="6.5703125" style="61" bestFit="1" customWidth="1"/>
    <col min="6" max="6" width="16" style="61" bestFit="1" customWidth="1"/>
    <col min="7" max="7" width="14.42578125" style="61" bestFit="1" customWidth="1"/>
    <col min="8" max="8" width="9.28515625" style="61" bestFit="1" customWidth="1"/>
    <col min="9" max="9" width="13.42578125" style="61" customWidth="1"/>
    <col min="10" max="10" width="7.140625" style="61" bestFit="1" customWidth="1"/>
    <col min="11" max="11" width="6.5703125" style="136" bestFit="1" customWidth="1"/>
    <col min="12" max="12" width="10.5703125" style="61" bestFit="1" customWidth="1"/>
    <col min="13" max="13" width="11.140625" style="61" bestFit="1" customWidth="1"/>
    <col min="14" max="14" width="6.5703125" style="61" customWidth="1"/>
    <col min="15" max="15" width="12" style="61" bestFit="1" customWidth="1"/>
    <col min="16" max="16" width="12.7109375" style="61" bestFit="1" customWidth="1"/>
    <col min="17" max="17" width="14" style="61" bestFit="1" customWidth="1"/>
    <col min="18" max="18" width="17.5703125" style="61" customWidth="1"/>
    <col min="19" max="19" width="21.42578125" style="61" bestFit="1" customWidth="1"/>
    <col min="20" max="20" width="6.85546875" style="61" bestFit="1" customWidth="1"/>
    <col min="21" max="21" width="14" style="61" bestFit="1" customWidth="1"/>
    <col min="22" max="22" width="23.7109375" style="61" customWidth="1"/>
    <col min="23" max="16384" width="9.140625" style="61"/>
  </cols>
  <sheetData>
    <row r="1" spans="1:22" s="4" customFormat="1" x14ac:dyDescent="0.2">
      <c r="A1" s="5"/>
      <c r="C1" s="5"/>
      <c r="D1" s="5"/>
      <c r="F1" s="5"/>
      <c r="G1" s="6"/>
      <c r="H1" s="7"/>
      <c r="I1" s="6"/>
      <c r="J1" s="4" t="s">
        <v>20</v>
      </c>
      <c r="K1" s="5"/>
      <c r="L1" s="8"/>
      <c r="M1" s="8"/>
      <c r="N1" s="9"/>
      <c r="O1" s="10"/>
      <c r="P1" s="6"/>
      <c r="Q1" s="8">
        <v>44469</v>
      </c>
    </row>
    <row r="2" spans="1:22" s="4" customFormat="1" x14ac:dyDescent="0.2">
      <c r="A2" s="5"/>
      <c r="C2" s="5"/>
      <c r="D2" s="5"/>
      <c r="F2" s="5"/>
      <c r="G2" s="6"/>
      <c r="H2" s="7"/>
      <c r="I2" s="6"/>
      <c r="K2" s="5"/>
      <c r="L2" s="8"/>
      <c r="M2" s="8"/>
      <c r="N2" s="9"/>
      <c r="O2" s="10"/>
      <c r="P2" s="6"/>
      <c r="Q2" s="6"/>
    </row>
    <row r="3" spans="1:22" s="4" customFormat="1" ht="38.25" x14ac:dyDescent="0.2">
      <c r="A3" s="132" t="s">
        <v>21</v>
      </c>
      <c r="B3" s="11" t="s">
        <v>22</v>
      </c>
      <c r="C3" s="12" t="s">
        <v>23</v>
      </c>
      <c r="D3" s="12" t="s">
        <v>24</v>
      </c>
      <c r="E3" s="11" t="s">
        <v>25</v>
      </c>
      <c r="F3" s="12" t="s">
        <v>26</v>
      </c>
      <c r="G3" s="13" t="s">
        <v>27</v>
      </c>
      <c r="H3" s="14" t="s">
        <v>28</v>
      </c>
      <c r="I3" s="15" t="s">
        <v>29</v>
      </c>
      <c r="J3" s="16" t="s">
        <v>30</v>
      </c>
      <c r="K3" s="17" t="s">
        <v>31</v>
      </c>
      <c r="L3" s="18" t="s">
        <v>32</v>
      </c>
      <c r="M3" s="18"/>
      <c r="N3" s="19" t="s">
        <v>33</v>
      </c>
      <c r="O3" s="19" t="s">
        <v>34</v>
      </c>
      <c r="P3" s="20" t="s">
        <v>35</v>
      </c>
      <c r="Q3" s="21" t="s">
        <v>36</v>
      </c>
      <c r="R3" s="11"/>
      <c r="S3" s="11" t="s">
        <v>37</v>
      </c>
      <c r="T3" s="11" t="s">
        <v>38</v>
      </c>
      <c r="U3" s="11" t="s">
        <v>39</v>
      </c>
      <c r="V3" s="11" t="s">
        <v>40</v>
      </c>
    </row>
    <row r="4" spans="1:22" s="4" customFormat="1" x14ac:dyDescent="0.2">
      <c r="A4" s="133"/>
      <c r="B4" s="43"/>
      <c r="C4" s="44"/>
      <c r="D4" s="44"/>
      <c r="E4" s="43"/>
      <c r="F4" s="44"/>
      <c r="G4" s="45"/>
      <c r="H4" s="46"/>
      <c r="I4" s="47"/>
      <c r="J4" s="48"/>
      <c r="K4" s="49"/>
      <c r="L4" s="50" t="s">
        <v>41</v>
      </c>
      <c r="M4" s="50" t="s">
        <v>42</v>
      </c>
      <c r="N4" s="51"/>
      <c r="O4" s="52" t="s">
        <v>43</v>
      </c>
      <c r="P4" s="53"/>
      <c r="Q4" s="54"/>
      <c r="R4" s="55"/>
      <c r="S4" s="55"/>
      <c r="T4" s="43"/>
      <c r="U4" s="43"/>
      <c r="V4" s="56"/>
    </row>
    <row r="5" spans="1:22" s="4" customFormat="1" x14ac:dyDescent="0.2">
      <c r="A5" s="134">
        <v>1</v>
      </c>
      <c r="B5" s="22">
        <v>44225</v>
      </c>
      <c r="C5" s="23" t="s">
        <v>49</v>
      </c>
      <c r="D5" s="60" t="s">
        <v>56</v>
      </c>
      <c r="F5" s="24"/>
      <c r="G5" s="25">
        <v>200000000</v>
      </c>
      <c r="H5" s="26">
        <v>1</v>
      </c>
      <c r="I5" s="27">
        <f>G5*H5</f>
        <v>200000000</v>
      </c>
      <c r="J5" s="28"/>
      <c r="K5" s="29">
        <v>108</v>
      </c>
      <c r="L5" s="30">
        <v>44207</v>
      </c>
      <c r="M5" s="31">
        <v>47494</v>
      </c>
      <c r="N5" s="119">
        <v>23.21</v>
      </c>
      <c r="O5" s="27">
        <v>4642000</v>
      </c>
      <c r="P5" s="27">
        <v>464200</v>
      </c>
      <c r="Q5" s="32">
        <v>4177800</v>
      </c>
      <c r="R5" s="24" t="s">
        <v>45</v>
      </c>
      <c r="S5" s="23" t="s">
        <v>55</v>
      </c>
      <c r="T5" s="24">
        <f>IF((DATEDIF(L5,Q$1,"M"))&gt;K5,K5,DATEDIF(L5,Q$1,"M"))</f>
        <v>8</v>
      </c>
      <c r="U5" s="32">
        <f>I5/K5*T5</f>
        <v>14814814.814814815</v>
      </c>
      <c r="V5" s="32">
        <f>I5-U5</f>
        <v>185185185.18518519</v>
      </c>
    </row>
    <row r="6" spans="1:22" s="33" customFormat="1" x14ac:dyDescent="0.2">
      <c r="A6" s="135">
        <v>2</v>
      </c>
      <c r="B6" s="120">
        <v>44237</v>
      </c>
      <c r="C6" s="121" t="s">
        <v>59</v>
      </c>
      <c r="D6" s="121" t="s">
        <v>61</v>
      </c>
      <c r="G6" s="122">
        <v>300000000</v>
      </c>
      <c r="H6" s="26">
        <v>1</v>
      </c>
      <c r="I6" s="27">
        <f>G6*H6</f>
        <v>300000000</v>
      </c>
      <c r="K6" s="137">
        <v>180</v>
      </c>
      <c r="L6" s="120">
        <v>44222</v>
      </c>
      <c r="M6" s="123">
        <v>49700</v>
      </c>
      <c r="O6" s="118">
        <v>11256000</v>
      </c>
      <c r="P6" s="118">
        <v>1125600</v>
      </c>
      <c r="Q6" s="118">
        <v>10130400</v>
      </c>
      <c r="R6" s="24" t="s">
        <v>45</v>
      </c>
      <c r="S6" s="121" t="s">
        <v>60</v>
      </c>
      <c r="T6" s="24">
        <f>IF((DATEDIF(L6,Q$1,"M"))&gt;K6,K6,DATEDIF(L6,Q$1,"M"))</f>
        <v>8</v>
      </c>
      <c r="U6" s="32">
        <f>I6/K6*T6</f>
        <v>13333333.333333334</v>
      </c>
      <c r="V6" s="32">
        <f>I6-U6</f>
        <v>286666666.66666669</v>
      </c>
    </row>
    <row r="7" spans="1:22" s="33" customFormat="1" x14ac:dyDescent="0.2">
      <c r="A7" s="135">
        <v>3</v>
      </c>
      <c r="B7" s="127">
        <v>44237</v>
      </c>
      <c r="C7" s="128" t="s">
        <v>49</v>
      </c>
      <c r="D7" s="128" t="s">
        <v>79</v>
      </c>
      <c r="G7" s="129">
        <v>40000000</v>
      </c>
      <c r="H7" s="26">
        <v>1</v>
      </c>
      <c r="I7" s="27">
        <f t="shared" ref="I7:I16" si="0">G7*H7</f>
        <v>40000000</v>
      </c>
      <c r="K7" s="138">
        <v>24</v>
      </c>
      <c r="L7" s="127">
        <v>44245</v>
      </c>
      <c r="M7" s="130">
        <v>44944</v>
      </c>
      <c r="N7" s="131">
        <v>21.1</v>
      </c>
      <c r="O7" s="118">
        <v>844000</v>
      </c>
      <c r="P7" s="118">
        <v>84400</v>
      </c>
      <c r="Q7" s="118">
        <v>759600</v>
      </c>
      <c r="R7" s="24" t="s">
        <v>45</v>
      </c>
      <c r="S7" s="128" t="s">
        <v>78</v>
      </c>
      <c r="T7" s="24">
        <f t="shared" ref="T7:T16" si="1">IF((DATEDIF(L7,Q$1,"M"))&gt;K7,K7,DATEDIF(L7,Q$1,"M"))</f>
        <v>7</v>
      </c>
      <c r="U7" s="32">
        <f t="shared" ref="U7:U16" si="2">I7/K7*T7</f>
        <v>11666666.666666668</v>
      </c>
      <c r="V7" s="32">
        <f t="shared" ref="V7:V16" si="3">I7-U7</f>
        <v>28333333.333333332</v>
      </c>
    </row>
    <row r="8" spans="1:22" s="33" customFormat="1" x14ac:dyDescent="0.2">
      <c r="A8" s="135">
        <v>4</v>
      </c>
      <c r="B8" s="127">
        <v>44286</v>
      </c>
      <c r="C8" s="128" t="s">
        <v>84</v>
      </c>
      <c r="D8" s="128" t="s">
        <v>86</v>
      </c>
      <c r="G8" s="129">
        <v>300000000</v>
      </c>
      <c r="H8" s="26">
        <v>1</v>
      </c>
      <c r="I8" s="27">
        <f t="shared" si="0"/>
        <v>300000000</v>
      </c>
      <c r="K8" s="138">
        <v>24</v>
      </c>
      <c r="L8" s="127">
        <v>44263</v>
      </c>
      <c r="M8" s="130">
        <v>44993</v>
      </c>
      <c r="N8" s="131">
        <v>51.12</v>
      </c>
      <c r="O8" s="118">
        <v>15336000</v>
      </c>
      <c r="P8" s="118">
        <v>1533600</v>
      </c>
      <c r="Q8" s="118">
        <v>13802400</v>
      </c>
      <c r="R8" s="24" t="s">
        <v>45</v>
      </c>
      <c r="S8" s="128" t="s">
        <v>85</v>
      </c>
      <c r="T8" s="24">
        <f t="shared" si="1"/>
        <v>6</v>
      </c>
      <c r="U8" s="32">
        <f t="shared" si="2"/>
        <v>75000000</v>
      </c>
      <c r="V8" s="32">
        <f t="shared" si="3"/>
        <v>225000000</v>
      </c>
    </row>
    <row r="9" spans="1:22" s="33" customFormat="1" x14ac:dyDescent="0.2">
      <c r="A9" s="135">
        <v>5</v>
      </c>
      <c r="B9" s="147">
        <v>44313</v>
      </c>
      <c r="C9" s="33" t="s">
        <v>46</v>
      </c>
      <c r="D9" s="33" t="s">
        <v>47</v>
      </c>
      <c r="G9" s="118">
        <v>57599206</v>
      </c>
      <c r="H9" s="26">
        <v>1</v>
      </c>
      <c r="I9" s="27">
        <f t="shared" si="0"/>
        <v>57599206</v>
      </c>
      <c r="K9" s="135">
        <v>12</v>
      </c>
      <c r="L9" s="127">
        <v>46069</v>
      </c>
      <c r="M9" s="130">
        <v>46446</v>
      </c>
      <c r="N9" s="131">
        <v>9.1</v>
      </c>
      <c r="O9" s="118">
        <v>624152.77459999989</v>
      </c>
      <c r="P9" s="118"/>
      <c r="Q9" s="118">
        <v>624152.77459999989</v>
      </c>
      <c r="R9" s="24" t="s">
        <v>45</v>
      </c>
      <c r="S9" s="33" t="s">
        <v>96</v>
      </c>
      <c r="T9" s="24" t="e">
        <f t="shared" si="1"/>
        <v>#NUM!</v>
      </c>
      <c r="U9" s="32" t="e">
        <f t="shared" si="2"/>
        <v>#NUM!</v>
      </c>
      <c r="V9" s="32" t="e">
        <f t="shared" si="3"/>
        <v>#NUM!</v>
      </c>
    </row>
    <row r="10" spans="1:22" s="33" customFormat="1" x14ac:dyDescent="0.2">
      <c r="A10" s="135">
        <v>6</v>
      </c>
      <c r="B10" s="147">
        <v>44313</v>
      </c>
      <c r="C10" s="33" t="s">
        <v>46</v>
      </c>
      <c r="D10" s="33" t="s">
        <v>48</v>
      </c>
      <c r="G10" s="118">
        <v>11844392</v>
      </c>
      <c r="H10" s="26">
        <v>1</v>
      </c>
      <c r="I10" s="27">
        <f t="shared" si="0"/>
        <v>11844392</v>
      </c>
      <c r="K10" s="135">
        <v>8</v>
      </c>
      <c r="L10" s="127">
        <v>46523</v>
      </c>
      <c r="M10" s="130">
        <v>46768</v>
      </c>
      <c r="N10" s="131">
        <v>5.46</v>
      </c>
      <c r="O10" s="118">
        <v>164670.38032</v>
      </c>
      <c r="P10" s="118"/>
      <c r="Q10" s="118">
        <v>164670.38032</v>
      </c>
      <c r="R10" s="24" t="s">
        <v>45</v>
      </c>
      <c r="S10" s="33" t="s">
        <v>96</v>
      </c>
      <c r="T10" s="24" t="e">
        <f t="shared" si="1"/>
        <v>#NUM!</v>
      </c>
      <c r="U10" s="32" t="e">
        <f t="shared" si="2"/>
        <v>#NUM!</v>
      </c>
      <c r="V10" s="32" t="e">
        <f t="shared" si="3"/>
        <v>#NUM!</v>
      </c>
    </row>
    <row r="11" spans="1:22" x14ac:dyDescent="0.2">
      <c r="A11" s="135">
        <v>7</v>
      </c>
      <c r="B11" s="148">
        <v>44301</v>
      </c>
      <c r="C11" s="61" t="s">
        <v>49</v>
      </c>
      <c r="D11" s="61" t="s">
        <v>102</v>
      </c>
      <c r="G11" s="149">
        <v>35000000</v>
      </c>
      <c r="H11" s="26">
        <v>1</v>
      </c>
      <c r="I11" s="27">
        <f t="shared" si="0"/>
        <v>35000000</v>
      </c>
      <c r="K11" s="136">
        <v>36</v>
      </c>
      <c r="L11" s="127">
        <v>44278</v>
      </c>
      <c r="M11" s="130">
        <v>45374</v>
      </c>
      <c r="N11" s="131">
        <v>31.16</v>
      </c>
      <c r="O11" s="149">
        <v>1090600</v>
      </c>
      <c r="P11" s="149">
        <v>109060</v>
      </c>
      <c r="Q11" s="149">
        <v>981540</v>
      </c>
      <c r="R11" s="24" t="s">
        <v>45</v>
      </c>
      <c r="S11" s="61" t="s">
        <v>101</v>
      </c>
      <c r="T11" s="24">
        <f t="shared" si="1"/>
        <v>6</v>
      </c>
      <c r="U11" s="32">
        <f t="shared" si="2"/>
        <v>5833333.333333334</v>
      </c>
      <c r="V11" s="32">
        <f t="shared" si="3"/>
        <v>29166666.666666664</v>
      </c>
    </row>
    <row r="12" spans="1:22" x14ac:dyDescent="0.2">
      <c r="A12" s="135">
        <v>8</v>
      </c>
      <c r="B12" s="148">
        <v>44316</v>
      </c>
      <c r="C12" s="61" t="s">
        <v>49</v>
      </c>
      <c r="D12" s="61" t="s">
        <v>104</v>
      </c>
      <c r="G12" s="149">
        <v>83000000</v>
      </c>
      <c r="H12" s="26">
        <v>1</v>
      </c>
      <c r="I12" s="27">
        <f t="shared" si="0"/>
        <v>83000000</v>
      </c>
      <c r="K12" s="136">
        <v>72</v>
      </c>
      <c r="L12" s="127">
        <v>44315</v>
      </c>
      <c r="M12" s="130">
        <v>46506</v>
      </c>
      <c r="N12" s="131">
        <v>50.64</v>
      </c>
      <c r="O12" s="149">
        <v>4203120</v>
      </c>
      <c r="P12" s="149">
        <v>420312</v>
      </c>
      <c r="Q12" s="149">
        <v>3782808</v>
      </c>
      <c r="R12" s="24" t="s">
        <v>45</v>
      </c>
      <c r="S12" s="61" t="s">
        <v>103</v>
      </c>
      <c r="T12" s="24">
        <f t="shared" si="1"/>
        <v>5</v>
      </c>
      <c r="U12" s="32">
        <f t="shared" si="2"/>
        <v>5763888.888888889</v>
      </c>
      <c r="V12" s="32">
        <f t="shared" si="3"/>
        <v>77236111.111111104</v>
      </c>
    </row>
    <row r="13" spans="1:22" x14ac:dyDescent="0.2">
      <c r="A13" s="135">
        <v>9</v>
      </c>
      <c r="B13" s="148">
        <v>44316</v>
      </c>
      <c r="C13" s="61" t="s">
        <v>49</v>
      </c>
      <c r="D13" s="61" t="s">
        <v>106</v>
      </c>
      <c r="G13" s="149">
        <v>35000000</v>
      </c>
      <c r="H13" s="26">
        <v>1</v>
      </c>
      <c r="I13" s="27">
        <f t="shared" si="0"/>
        <v>35000000</v>
      </c>
      <c r="K13" s="136">
        <v>36</v>
      </c>
      <c r="L13" s="127">
        <v>44313</v>
      </c>
      <c r="M13" s="130">
        <v>45409</v>
      </c>
      <c r="N13" s="131">
        <v>30.71</v>
      </c>
      <c r="O13" s="149">
        <v>1074850</v>
      </c>
      <c r="P13" s="149">
        <v>107485</v>
      </c>
      <c r="Q13" s="149">
        <v>967365</v>
      </c>
      <c r="R13" s="24" t="s">
        <v>45</v>
      </c>
      <c r="S13" s="61" t="s">
        <v>105</v>
      </c>
      <c r="T13" s="24">
        <f t="shared" si="1"/>
        <v>5</v>
      </c>
      <c r="U13" s="32">
        <f t="shared" si="2"/>
        <v>4861111.111111111</v>
      </c>
      <c r="V13" s="32">
        <f t="shared" si="3"/>
        <v>30138888.888888888</v>
      </c>
    </row>
    <row r="14" spans="1:22" x14ac:dyDescent="0.2">
      <c r="A14" s="135">
        <v>10</v>
      </c>
      <c r="B14" s="148">
        <v>44316</v>
      </c>
      <c r="C14" s="61" t="s">
        <v>49</v>
      </c>
      <c r="D14" s="61" t="s">
        <v>109</v>
      </c>
      <c r="G14" s="149">
        <v>220000000</v>
      </c>
      <c r="H14" s="26">
        <v>1</v>
      </c>
      <c r="I14" s="27">
        <f t="shared" si="0"/>
        <v>220000000</v>
      </c>
      <c r="K14" s="136">
        <v>120</v>
      </c>
      <c r="L14" s="127">
        <v>44300</v>
      </c>
      <c r="M14" s="130">
        <v>47952</v>
      </c>
      <c r="N14" s="131">
        <v>25.48</v>
      </c>
      <c r="O14" s="149">
        <v>5605600</v>
      </c>
      <c r="P14" s="149">
        <v>560560</v>
      </c>
      <c r="Q14" s="149">
        <v>5045040</v>
      </c>
      <c r="R14" s="24" t="s">
        <v>45</v>
      </c>
      <c r="S14" s="61" t="s">
        <v>108</v>
      </c>
      <c r="T14" s="24">
        <f t="shared" si="1"/>
        <v>5</v>
      </c>
      <c r="U14" s="32">
        <f t="shared" si="2"/>
        <v>9166666.666666666</v>
      </c>
      <c r="V14" s="32">
        <f t="shared" si="3"/>
        <v>210833333.33333334</v>
      </c>
    </row>
    <row r="15" spans="1:22" x14ac:dyDescent="0.2">
      <c r="A15" s="135">
        <v>11</v>
      </c>
      <c r="B15" s="148">
        <v>44316</v>
      </c>
      <c r="C15" s="61" t="s">
        <v>49</v>
      </c>
      <c r="D15" s="61" t="s">
        <v>110</v>
      </c>
      <c r="G15" s="149">
        <v>160000000</v>
      </c>
      <c r="H15" s="26">
        <v>1</v>
      </c>
      <c r="I15" s="27">
        <f t="shared" si="0"/>
        <v>160000000</v>
      </c>
      <c r="K15" s="136">
        <v>41</v>
      </c>
      <c r="L15" s="127">
        <v>44305</v>
      </c>
      <c r="M15" s="130">
        <v>45554</v>
      </c>
      <c r="N15" s="131">
        <v>11.38</v>
      </c>
      <c r="O15" s="149">
        <v>1820800.0000000002</v>
      </c>
      <c r="P15" s="149">
        <v>182080.00000000003</v>
      </c>
      <c r="Q15" s="149">
        <v>1638720.0000000002</v>
      </c>
      <c r="R15" s="24" t="s">
        <v>45</v>
      </c>
      <c r="S15" s="61" t="s">
        <v>108</v>
      </c>
      <c r="T15" s="24">
        <f t="shared" si="1"/>
        <v>5</v>
      </c>
      <c r="U15" s="32">
        <f t="shared" si="2"/>
        <v>19512195.121951219</v>
      </c>
      <c r="V15" s="32">
        <f t="shared" si="3"/>
        <v>140487804.87804878</v>
      </c>
    </row>
    <row r="16" spans="1:22" x14ac:dyDescent="0.2">
      <c r="A16" s="135">
        <v>12</v>
      </c>
      <c r="B16" s="148">
        <v>44316</v>
      </c>
      <c r="C16" s="61" t="s">
        <v>111</v>
      </c>
      <c r="D16" s="61" t="s">
        <v>113</v>
      </c>
      <c r="G16" s="149">
        <v>45323679</v>
      </c>
      <c r="H16" s="26">
        <v>1</v>
      </c>
      <c r="I16" s="27">
        <f t="shared" si="0"/>
        <v>45323679</v>
      </c>
      <c r="K16" s="136">
        <v>17</v>
      </c>
      <c r="L16" s="127">
        <v>45784</v>
      </c>
      <c r="M16" s="130">
        <v>46302</v>
      </c>
      <c r="N16" s="131">
        <v>9.1</v>
      </c>
      <c r="O16" s="149">
        <v>512445.47889999999</v>
      </c>
      <c r="P16" s="149"/>
      <c r="Q16" s="149">
        <v>471200.93101</v>
      </c>
      <c r="R16" s="24" t="s">
        <v>45</v>
      </c>
      <c r="S16" s="61" t="s">
        <v>112</v>
      </c>
      <c r="T16" s="24" t="e">
        <f t="shared" si="1"/>
        <v>#NUM!</v>
      </c>
      <c r="U16" s="32" t="e">
        <f t="shared" si="2"/>
        <v>#NUM!</v>
      </c>
      <c r="V16" s="32" t="e">
        <f t="shared" si="3"/>
        <v>#NUM!</v>
      </c>
    </row>
    <row r="19" spans="1:22" s="33" customFormat="1" x14ac:dyDescent="0.2">
      <c r="A19" s="135">
        <v>13</v>
      </c>
      <c r="B19" s="170">
        <v>44334</v>
      </c>
      <c r="C19" s="171" t="s">
        <v>122</v>
      </c>
      <c r="D19" s="171" t="s">
        <v>124</v>
      </c>
      <c r="G19" s="129">
        <v>30000000</v>
      </c>
      <c r="H19" s="26">
        <v>1</v>
      </c>
      <c r="I19" s="27">
        <f t="shared" ref="I19" si="4">G19*H19</f>
        <v>30000000</v>
      </c>
      <c r="K19" s="128">
        <v>24</v>
      </c>
      <c r="L19" s="127">
        <v>44257</v>
      </c>
      <c r="M19" s="130">
        <v>44987</v>
      </c>
      <c r="N19" s="131">
        <v>10.57</v>
      </c>
      <c r="O19" s="118">
        <v>317100</v>
      </c>
      <c r="P19" s="118">
        <v>31710</v>
      </c>
      <c r="Q19" s="118">
        <v>285390</v>
      </c>
      <c r="R19" s="24" t="s">
        <v>45</v>
      </c>
      <c r="S19" s="171" t="s">
        <v>123</v>
      </c>
      <c r="T19" s="24">
        <f t="shared" ref="T19" si="5">IF((DATEDIF(L19,Q$1,"M"))&gt;K19,K19,DATEDIF(L19,Q$1,"M"))</f>
        <v>6</v>
      </c>
      <c r="U19" s="32">
        <f t="shared" ref="U19" si="6">I19/K19*T19</f>
        <v>7500000</v>
      </c>
      <c r="V19" s="32">
        <f t="shared" ref="V19" si="7">I19-U19</f>
        <v>22500000</v>
      </c>
    </row>
    <row r="20" spans="1:22" s="33" customFormat="1" x14ac:dyDescent="0.2">
      <c r="A20" s="135">
        <v>14</v>
      </c>
      <c r="B20" s="127">
        <v>44336</v>
      </c>
      <c r="C20" s="128" t="s">
        <v>111</v>
      </c>
      <c r="D20" s="128" t="s">
        <v>126</v>
      </c>
      <c r="G20" s="129">
        <v>69230850</v>
      </c>
      <c r="H20" s="26">
        <v>1</v>
      </c>
      <c r="I20" s="27">
        <f t="shared" ref="I20:I38" si="8">G20*H20</f>
        <v>69230850</v>
      </c>
      <c r="K20" s="128">
        <v>45</v>
      </c>
      <c r="L20" s="127">
        <v>44315</v>
      </c>
      <c r="M20" s="130">
        <v>45686</v>
      </c>
      <c r="N20" s="131">
        <v>15.93</v>
      </c>
      <c r="O20" s="118">
        <v>1102847.4405</v>
      </c>
      <c r="P20" s="118">
        <v>110284.74405000001</v>
      </c>
      <c r="Q20" s="118">
        <v>992562.69645000005</v>
      </c>
      <c r="R20" s="24" t="s">
        <v>45</v>
      </c>
      <c r="S20" s="128" t="s">
        <v>125</v>
      </c>
      <c r="T20" s="24">
        <f t="shared" ref="T20:T36" si="9">IF((DATEDIF(L20,Q$1,"M"))&gt;K20,K20,DATEDIF(L20,Q$1,"M"))</f>
        <v>5</v>
      </c>
      <c r="U20" s="32">
        <f t="shared" ref="U20:U36" si="10">I20/K20*T20</f>
        <v>7692316.666666666</v>
      </c>
      <c r="V20" s="32">
        <f t="shared" ref="V20:V36" si="11">I20-U20</f>
        <v>61538533.333333336</v>
      </c>
    </row>
    <row r="21" spans="1:22" s="33" customFormat="1" x14ac:dyDescent="0.2">
      <c r="A21" s="135">
        <v>15</v>
      </c>
      <c r="B21" s="127">
        <v>44336</v>
      </c>
      <c r="C21" s="128" t="s">
        <v>111</v>
      </c>
      <c r="D21" s="128" t="s">
        <v>127</v>
      </c>
      <c r="G21" s="129">
        <v>82219772</v>
      </c>
      <c r="H21" s="26">
        <v>1</v>
      </c>
      <c r="I21" s="27">
        <f t="shared" si="8"/>
        <v>82219772</v>
      </c>
      <c r="K21" s="128">
        <v>80</v>
      </c>
      <c r="L21" s="127">
        <v>44307</v>
      </c>
      <c r="M21" s="130">
        <v>46742</v>
      </c>
      <c r="N21" s="131">
        <v>25.48</v>
      </c>
      <c r="O21" s="118">
        <v>2094959.7905599999</v>
      </c>
      <c r="P21" s="118">
        <v>209495.97905600001</v>
      </c>
      <c r="Q21" s="118">
        <v>1885463.8115039999</v>
      </c>
      <c r="R21" s="24" t="s">
        <v>45</v>
      </c>
      <c r="S21" s="128" t="s">
        <v>125</v>
      </c>
      <c r="T21" s="24">
        <f t="shared" si="9"/>
        <v>5</v>
      </c>
      <c r="U21" s="32">
        <f t="shared" si="10"/>
        <v>5138735.75</v>
      </c>
      <c r="V21" s="32">
        <f t="shared" si="11"/>
        <v>77081036.25</v>
      </c>
    </row>
    <row r="22" spans="1:22" s="33" customFormat="1" x14ac:dyDescent="0.2">
      <c r="A22" s="135">
        <v>16</v>
      </c>
      <c r="B22" s="170">
        <v>44347</v>
      </c>
      <c r="C22" s="171" t="s">
        <v>128</v>
      </c>
      <c r="D22" s="171" t="s">
        <v>130</v>
      </c>
      <c r="G22" s="129">
        <v>1000000000</v>
      </c>
      <c r="H22" s="26">
        <v>1</v>
      </c>
      <c r="I22" s="27">
        <f t="shared" si="8"/>
        <v>1000000000</v>
      </c>
      <c r="K22" s="128">
        <v>30</v>
      </c>
      <c r="L22" s="127">
        <v>44327</v>
      </c>
      <c r="M22" s="130">
        <v>45241</v>
      </c>
      <c r="N22" s="131">
        <v>30.71</v>
      </c>
      <c r="O22" s="118">
        <v>30710000</v>
      </c>
      <c r="P22" s="118">
        <v>3071000</v>
      </c>
      <c r="Q22" s="118">
        <v>27639000</v>
      </c>
      <c r="R22" s="24" t="s">
        <v>45</v>
      </c>
      <c r="S22" s="171" t="s">
        <v>129</v>
      </c>
      <c r="T22" s="24">
        <f t="shared" si="9"/>
        <v>4</v>
      </c>
      <c r="U22" s="32">
        <f t="shared" si="10"/>
        <v>133333333.33333333</v>
      </c>
      <c r="V22" s="32">
        <f t="shared" si="11"/>
        <v>866666666.66666663</v>
      </c>
    </row>
    <row r="23" spans="1:22" s="33" customFormat="1" x14ac:dyDescent="0.2">
      <c r="A23" s="135">
        <v>17</v>
      </c>
      <c r="B23" s="170">
        <v>44347</v>
      </c>
      <c r="C23" s="171" t="s">
        <v>128</v>
      </c>
      <c r="D23" s="171" t="s">
        <v>132</v>
      </c>
      <c r="G23" s="129">
        <v>170000000</v>
      </c>
      <c r="H23" s="26">
        <v>1</v>
      </c>
      <c r="I23" s="27">
        <f t="shared" si="8"/>
        <v>170000000</v>
      </c>
      <c r="K23" s="128">
        <v>60</v>
      </c>
      <c r="L23" s="127">
        <v>44319</v>
      </c>
      <c r="M23" s="130">
        <v>46145</v>
      </c>
      <c r="N23" s="172">
        <v>13.65</v>
      </c>
      <c r="O23" s="118">
        <v>2320500</v>
      </c>
      <c r="P23" s="118">
        <v>232050</v>
      </c>
      <c r="Q23" s="118">
        <v>2088450</v>
      </c>
      <c r="R23" s="24" t="s">
        <v>45</v>
      </c>
      <c r="S23" s="171" t="s">
        <v>131</v>
      </c>
      <c r="T23" s="24">
        <f t="shared" si="9"/>
        <v>4</v>
      </c>
      <c r="U23" s="32">
        <f t="shared" si="10"/>
        <v>11333333.333333334</v>
      </c>
      <c r="V23" s="32">
        <f t="shared" si="11"/>
        <v>158666666.66666666</v>
      </c>
    </row>
    <row r="24" spans="1:22" s="33" customFormat="1" x14ac:dyDescent="0.2">
      <c r="A24" s="135">
        <v>18</v>
      </c>
      <c r="B24" s="170">
        <v>44347</v>
      </c>
      <c r="C24" s="171" t="s">
        <v>128</v>
      </c>
      <c r="D24" s="171" t="s">
        <v>133</v>
      </c>
      <c r="G24" s="129">
        <v>250000000</v>
      </c>
      <c r="H24" s="26">
        <v>1</v>
      </c>
      <c r="I24" s="27">
        <f t="shared" si="8"/>
        <v>250000000</v>
      </c>
      <c r="K24" s="128">
        <v>48</v>
      </c>
      <c r="L24" s="127">
        <v>44320</v>
      </c>
      <c r="M24" s="130">
        <v>45781</v>
      </c>
      <c r="N24" s="172">
        <v>11.38</v>
      </c>
      <c r="O24" s="118">
        <v>2845000</v>
      </c>
      <c r="P24" s="118">
        <v>284500</v>
      </c>
      <c r="Q24" s="118">
        <v>2560500</v>
      </c>
      <c r="R24" s="24" t="s">
        <v>45</v>
      </c>
      <c r="S24" s="171" t="s">
        <v>131</v>
      </c>
      <c r="T24" s="24">
        <f t="shared" si="9"/>
        <v>4</v>
      </c>
      <c r="U24" s="32">
        <f t="shared" si="10"/>
        <v>20833333.333333332</v>
      </c>
      <c r="V24" s="32">
        <f t="shared" si="11"/>
        <v>229166666.66666666</v>
      </c>
    </row>
    <row r="25" spans="1:22" s="33" customFormat="1" x14ac:dyDescent="0.2">
      <c r="A25" s="135">
        <v>19</v>
      </c>
      <c r="B25" s="170">
        <v>44347</v>
      </c>
      <c r="C25" s="171" t="s">
        <v>128</v>
      </c>
      <c r="D25" s="171" t="s">
        <v>134</v>
      </c>
      <c r="G25" s="129">
        <v>315000000</v>
      </c>
      <c r="H25" s="26">
        <v>1</v>
      </c>
      <c r="I25" s="27">
        <f t="shared" si="8"/>
        <v>315000000</v>
      </c>
      <c r="K25" s="128">
        <v>180</v>
      </c>
      <c r="L25" s="127">
        <v>44319</v>
      </c>
      <c r="M25" s="130">
        <v>49798</v>
      </c>
      <c r="N25" s="172">
        <v>37.520000000000003</v>
      </c>
      <c r="O25" s="118">
        <v>11818800.000000002</v>
      </c>
      <c r="P25" s="118">
        <v>1181880.0000000002</v>
      </c>
      <c r="Q25" s="118">
        <v>10636920.000000002</v>
      </c>
      <c r="R25" s="24" t="s">
        <v>45</v>
      </c>
      <c r="S25" s="171" t="s">
        <v>131</v>
      </c>
      <c r="T25" s="24">
        <f t="shared" si="9"/>
        <v>4</v>
      </c>
      <c r="U25" s="32">
        <f t="shared" si="10"/>
        <v>7000000</v>
      </c>
      <c r="V25" s="32">
        <f t="shared" si="11"/>
        <v>308000000</v>
      </c>
    </row>
    <row r="26" spans="1:22" s="33" customFormat="1" x14ac:dyDescent="0.2">
      <c r="A26" s="135">
        <v>20</v>
      </c>
      <c r="B26" s="170">
        <v>44347</v>
      </c>
      <c r="C26" s="171" t="s">
        <v>128</v>
      </c>
      <c r="D26" s="171" t="s">
        <v>135</v>
      </c>
      <c r="G26" s="129">
        <v>315000000</v>
      </c>
      <c r="H26" s="26">
        <v>1</v>
      </c>
      <c r="I26" s="27">
        <f t="shared" si="8"/>
        <v>315000000</v>
      </c>
      <c r="K26" s="128">
        <v>180</v>
      </c>
      <c r="L26" s="127">
        <v>44320</v>
      </c>
      <c r="M26" s="130">
        <v>49799</v>
      </c>
      <c r="N26" s="172">
        <v>37.520000000000003</v>
      </c>
      <c r="O26" s="118">
        <v>11818800.000000002</v>
      </c>
      <c r="P26" s="118">
        <v>1181880.0000000002</v>
      </c>
      <c r="Q26" s="118">
        <v>10636920.000000002</v>
      </c>
      <c r="R26" s="24" t="s">
        <v>45</v>
      </c>
      <c r="S26" s="171" t="s">
        <v>131</v>
      </c>
      <c r="T26" s="24">
        <f t="shared" si="9"/>
        <v>4</v>
      </c>
      <c r="U26" s="32">
        <f t="shared" si="10"/>
        <v>7000000</v>
      </c>
      <c r="V26" s="32">
        <f t="shared" si="11"/>
        <v>308000000</v>
      </c>
    </row>
    <row r="27" spans="1:22" s="33" customFormat="1" x14ac:dyDescent="0.2">
      <c r="A27" s="135">
        <v>21</v>
      </c>
      <c r="B27" s="170">
        <v>44347</v>
      </c>
      <c r="C27" s="171" t="s">
        <v>128</v>
      </c>
      <c r="D27" s="171" t="s">
        <v>136</v>
      </c>
      <c r="G27" s="129">
        <v>250000000</v>
      </c>
      <c r="H27" s="26">
        <v>1</v>
      </c>
      <c r="I27" s="27">
        <f t="shared" si="8"/>
        <v>250000000</v>
      </c>
      <c r="K27" s="128">
        <v>120</v>
      </c>
      <c r="L27" s="127">
        <v>44320</v>
      </c>
      <c r="M27" s="130">
        <v>47972</v>
      </c>
      <c r="N27" s="172">
        <v>25.48</v>
      </c>
      <c r="O27" s="118">
        <v>6370000</v>
      </c>
      <c r="P27" s="118">
        <v>637000</v>
      </c>
      <c r="Q27" s="118">
        <v>5733000</v>
      </c>
      <c r="R27" s="24" t="s">
        <v>45</v>
      </c>
      <c r="S27" s="171" t="s">
        <v>131</v>
      </c>
      <c r="T27" s="24">
        <f t="shared" si="9"/>
        <v>4</v>
      </c>
      <c r="U27" s="32">
        <f t="shared" si="10"/>
        <v>8333333.333333333</v>
      </c>
      <c r="V27" s="32">
        <f t="shared" si="11"/>
        <v>241666666.66666666</v>
      </c>
    </row>
    <row r="28" spans="1:22" s="33" customFormat="1" x14ac:dyDescent="0.2">
      <c r="A28" s="135">
        <v>22</v>
      </c>
      <c r="B28" s="170">
        <v>44347</v>
      </c>
      <c r="C28" s="171" t="s">
        <v>128</v>
      </c>
      <c r="D28" s="171" t="s">
        <v>137</v>
      </c>
      <c r="G28" s="129">
        <v>450000000</v>
      </c>
      <c r="H28" s="26">
        <v>1</v>
      </c>
      <c r="I28" s="27">
        <f t="shared" si="8"/>
        <v>450000000</v>
      </c>
      <c r="K28" s="128">
        <v>180</v>
      </c>
      <c r="L28" s="127">
        <v>44320</v>
      </c>
      <c r="M28" s="130">
        <v>49799</v>
      </c>
      <c r="N28" s="172">
        <v>37.520000000000003</v>
      </c>
      <c r="O28" s="118">
        <v>16884000.000000004</v>
      </c>
      <c r="P28" s="118">
        <v>1688400.0000000005</v>
      </c>
      <c r="Q28" s="118">
        <v>15195600.000000004</v>
      </c>
      <c r="R28" s="24" t="s">
        <v>45</v>
      </c>
      <c r="S28" s="171" t="s">
        <v>131</v>
      </c>
      <c r="T28" s="24">
        <f t="shared" si="9"/>
        <v>4</v>
      </c>
      <c r="U28" s="32">
        <f t="shared" si="10"/>
        <v>10000000</v>
      </c>
      <c r="V28" s="32">
        <f t="shared" si="11"/>
        <v>440000000</v>
      </c>
    </row>
    <row r="29" spans="1:22" s="33" customFormat="1" x14ac:dyDescent="0.2">
      <c r="A29" s="135">
        <v>23</v>
      </c>
      <c r="B29" s="170">
        <v>44347</v>
      </c>
      <c r="C29" s="171" t="s">
        <v>128</v>
      </c>
      <c r="D29" s="171" t="s">
        <v>138</v>
      </c>
      <c r="G29" s="129">
        <v>340000000</v>
      </c>
      <c r="H29" s="26">
        <v>1</v>
      </c>
      <c r="I29" s="27">
        <f t="shared" si="8"/>
        <v>340000000</v>
      </c>
      <c r="K29" s="128">
        <v>180</v>
      </c>
      <c r="L29" s="127">
        <v>44320</v>
      </c>
      <c r="M29" s="130">
        <v>49799</v>
      </c>
      <c r="N29" s="172">
        <v>37.520000000000003</v>
      </c>
      <c r="O29" s="118">
        <v>12756800.000000002</v>
      </c>
      <c r="P29" s="118">
        <v>1275680.0000000002</v>
      </c>
      <c r="Q29" s="118">
        <v>11481120.000000002</v>
      </c>
      <c r="R29" s="24" t="s">
        <v>45</v>
      </c>
      <c r="S29" s="171" t="s">
        <v>131</v>
      </c>
      <c r="T29" s="24">
        <f t="shared" si="9"/>
        <v>4</v>
      </c>
      <c r="U29" s="32">
        <f t="shared" si="10"/>
        <v>7555555.555555556</v>
      </c>
      <c r="V29" s="32">
        <f t="shared" si="11"/>
        <v>332444444.44444442</v>
      </c>
    </row>
    <row r="30" spans="1:22" s="33" customFormat="1" x14ac:dyDescent="0.2">
      <c r="A30" s="135">
        <v>24</v>
      </c>
      <c r="B30" s="170">
        <v>44347</v>
      </c>
      <c r="C30" s="171" t="s">
        <v>128</v>
      </c>
      <c r="D30" s="171" t="s">
        <v>139</v>
      </c>
      <c r="G30" s="129">
        <v>30000000</v>
      </c>
      <c r="H30" s="26">
        <v>1</v>
      </c>
      <c r="I30" s="27">
        <f t="shared" si="8"/>
        <v>30000000</v>
      </c>
      <c r="K30" s="128">
        <v>36</v>
      </c>
      <c r="L30" s="127">
        <v>44321</v>
      </c>
      <c r="M30" s="130">
        <v>45417</v>
      </c>
      <c r="N30" s="172">
        <v>17.88</v>
      </c>
      <c r="O30" s="118">
        <v>536399.99999999988</v>
      </c>
      <c r="P30" s="118">
        <v>53639.999999999993</v>
      </c>
      <c r="Q30" s="118">
        <v>482759.99999999988</v>
      </c>
      <c r="R30" s="24" t="s">
        <v>45</v>
      </c>
      <c r="S30" s="171" t="s">
        <v>131</v>
      </c>
      <c r="T30" s="24">
        <f t="shared" si="9"/>
        <v>4</v>
      </c>
      <c r="U30" s="32">
        <f t="shared" si="10"/>
        <v>3333333.3333333335</v>
      </c>
      <c r="V30" s="32">
        <f t="shared" si="11"/>
        <v>26666666.666666668</v>
      </c>
    </row>
    <row r="31" spans="1:22" s="33" customFormat="1" x14ac:dyDescent="0.2">
      <c r="A31" s="135">
        <v>25</v>
      </c>
      <c r="B31" s="170">
        <v>44347</v>
      </c>
      <c r="C31" s="171" t="s">
        <v>128</v>
      </c>
      <c r="D31" s="171" t="s">
        <v>140</v>
      </c>
      <c r="G31" s="129">
        <v>170000000</v>
      </c>
      <c r="H31" s="26">
        <v>1</v>
      </c>
      <c r="I31" s="27">
        <f t="shared" si="8"/>
        <v>170000000</v>
      </c>
      <c r="K31" s="128">
        <v>180</v>
      </c>
      <c r="L31" s="127">
        <v>44321</v>
      </c>
      <c r="M31" s="130">
        <v>49800</v>
      </c>
      <c r="N31" s="172">
        <v>37.520000000000003</v>
      </c>
      <c r="O31" s="118">
        <v>6378400.0000000009</v>
      </c>
      <c r="P31" s="118">
        <v>637840.00000000012</v>
      </c>
      <c r="Q31" s="118">
        <v>5740560.0000000009</v>
      </c>
      <c r="R31" s="24" t="s">
        <v>45</v>
      </c>
      <c r="S31" s="171" t="s">
        <v>131</v>
      </c>
      <c r="T31" s="24">
        <f t="shared" si="9"/>
        <v>4</v>
      </c>
      <c r="U31" s="32">
        <f t="shared" si="10"/>
        <v>3777777.777777778</v>
      </c>
      <c r="V31" s="32">
        <f t="shared" si="11"/>
        <v>166222222.22222221</v>
      </c>
    </row>
    <row r="32" spans="1:22" s="33" customFormat="1" x14ac:dyDescent="0.2">
      <c r="A32" s="135">
        <v>26</v>
      </c>
      <c r="B32" s="170">
        <v>44347</v>
      </c>
      <c r="C32" s="171" t="s">
        <v>128</v>
      </c>
      <c r="D32" s="171" t="s">
        <v>141</v>
      </c>
      <c r="G32" s="129">
        <v>40000000</v>
      </c>
      <c r="H32" s="26">
        <v>1</v>
      </c>
      <c r="I32" s="27">
        <f t="shared" si="8"/>
        <v>40000000</v>
      </c>
      <c r="K32" s="128">
        <v>36</v>
      </c>
      <c r="L32" s="127">
        <v>44322</v>
      </c>
      <c r="M32" s="130">
        <v>45418</v>
      </c>
      <c r="N32" s="172">
        <v>9.1</v>
      </c>
      <c r="O32" s="118">
        <v>364000</v>
      </c>
      <c r="P32" s="118">
        <v>36400</v>
      </c>
      <c r="Q32" s="118">
        <v>327600</v>
      </c>
      <c r="R32" s="24" t="s">
        <v>45</v>
      </c>
      <c r="S32" s="171" t="s">
        <v>131</v>
      </c>
      <c r="T32" s="24">
        <f t="shared" si="9"/>
        <v>4</v>
      </c>
      <c r="U32" s="32">
        <f t="shared" si="10"/>
        <v>4444444.444444444</v>
      </c>
      <c r="V32" s="32">
        <f t="shared" si="11"/>
        <v>35555555.555555552</v>
      </c>
    </row>
    <row r="33" spans="1:22" s="33" customFormat="1" x14ac:dyDescent="0.2">
      <c r="A33" s="135">
        <v>27</v>
      </c>
      <c r="B33" s="170">
        <v>44347</v>
      </c>
      <c r="C33" s="171" t="s">
        <v>128</v>
      </c>
      <c r="D33" s="171" t="s">
        <v>142</v>
      </c>
      <c r="G33" s="129">
        <v>440000000</v>
      </c>
      <c r="H33" s="26">
        <v>1</v>
      </c>
      <c r="I33" s="27">
        <f t="shared" si="8"/>
        <v>440000000</v>
      </c>
      <c r="K33" s="128">
        <v>180</v>
      </c>
      <c r="L33" s="127">
        <v>44323</v>
      </c>
      <c r="M33" s="130">
        <v>49802</v>
      </c>
      <c r="N33" s="172">
        <v>37.520000000000003</v>
      </c>
      <c r="O33" s="118">
        <v>16508800.000000002</v>
      </c>
      <c r="P33" s="118">
        <v>1650880.0000000002</v>
      </c>
      <c r="Q33" s="118">
        <v>14857920.000000002</v>
      </c>
      <c r="R33" s="24" t="s">
        <v>45</v>
      </c>
      <c r="S33" s="171" t="s">
        <v>131</v>
      </c>
      <c r="T33" s="24">
        <f t="shared" si="9"/>
        <v>4</v>
      </c>
      <c r="U33" s="32">
        <f t="shared" si="10"/>
        <v>9777777.777777778</v>
      </c>
      <c r="V33" s="32">
        <f t="shared" si="11"/>
        <v>430222222.22222221</v>
      </c>
    </row>
    <row r="34" spans="1:22" s="33" customFormat="1" x14ac:dyDescent="0.2">
      <c r="A34" s="135">
        <v>28</v>
      </c>
      <c r="B34" s="170">
        <v>44347</v>
      </c>
      <c r="C34" s="171" t="s">
        <v>128</v>
      </c>
      <c r="D34" s="171" t="s">
        <v>144</v>
      </c>
      <c r="G34" s="129">
        <v>30000000</v>
      </c>
      <c r="H34" s="26">
        <v>1</v>
      </c>
      <c r="I34" s="27">
        <f t="shared" si="8"/>
        <v>30000000</v>
      </c>
      <c r="K34" s="128">
        <v>24</v>
      </c>
      <c r="L34" s="127">
        <v>44323</v>
      </c>
      <c r="M34" s="130">
        <v>45053</v>
      </c>
      <c r="N34" s="172">
        <v>9.1</v>
      </c>
      <c r="O34" s="118">
        <v>273000</v>
      </c>
      <c r="P34" s="118">
        <v>27300</v>
      </c>
      <c r="Q34" s="118">
        <v>245700</v>
      </c>
      <c r="R34" s="24" t="s">
        <v>45</v>
      </c>
      <c r="S34" s="171" t="s">
        <v>131</v>
      </c>
      <c r="T34" s="24">
        <f t="shared" si="9"/>
        <v>4</v>
      </c>
      <c r="U34" s="32">
        <f t="shared" si="10"/>
        <v>5000000</v>
      </c>
      <c r="V34" s="32">
        <f t="shared" si="11"/>
        <v>25000000</v>
      </c>
    </row>
    <row r="35" spans="1:22" s="33" customFormat="1" x14ac:dyDescent="0.2">
      <c r="A35" s="135">
        <v>29</v>
      </c>
      <c r="B35" s="170">
        <v>44347</v>
      </c>
      <c r="C35" s="171" t="s">
        <v>128</v>
      </c>
      <c r="D35" s="171" t="s">
        <v>143</v>
      </c>
      <c r="G35" s="129">
        <v>200000000</v>
      </c>
      <c r="H35" s="26">
        <v>1</v>
      </c>
      <c r="I35" s="27">
        <f t="shared" si="8"/>
        <v>200000000</v>
      </c>
      <c r="K35" s="128">
        <v>120</v>
      </c>
      <c r="L35" s="127">
        <v>44326</v>
      </c>
      <c r="M35" s="130">
        <v>47978</v>
      </c>
      <c r="N35" s="172">
        <v>25.48</v>
      </c>
      <c r="O35" s="118">
        <v>5096000</v>
      </c>
      <c r="P35" s="118">
        <v>509600</v>
      </c>
      <c r="Q35" s="118">
        <v>4586400</v>
      </c>
      <c r="R35" s="24" t="s">
        <v>45</v>
      </c>
      <c r="S35" s="171" t="s">
        <v>131</v>
      </c>
      <c r="T35" s="24">
        <f t="shared" si="9"/>
        <v>4</v>
      </c>
      <c r="U35" s="32">
        <f t="shared" si="10"/>
        <v>6666666.666666667</v>
      </c>
      <c r="V35" s="32">
        <f t="shared" si="11"/>
        <v>193333333.33333334</v>
      </c>
    </row>
    <row r="36" spans="1:22" s="33" customFormat="1" x14ac:dyDescent="0.2">
      <c r="A36" s="135">
        <v>30</v>
      </c>
      <c r="B36" s="170">
        <v>44347</v>
      </c>
      <c r="C36" s="171" t="s">
        <v>128</v>
      </c>
      <c r="D36" s="171" t="s">
        <v>145</v>
      </c>
      <c r="G36" s="129">
        <v>265000000</v>
      </c>
      <c r="H36" s="26">
        <v>1</v>
      </c>
      <c r="I36" s="27">
        <f t="shared" si="8"/>
        <v>265000000</v>
      </c>
      <c r="K36" s="128">
        <v>137</v>
      </c>
      <c r="L36" s="127">
        <v>44326</v>
      </c>
      <c r="M36" s="130">
        <v>48497</v>
      </c>
      <c r="N36" s="172">
        <v>30.46</v>
      </c>
      <c r="O36" s="118">
        <v>8071900</v>
      </c>
      <c r="P36" s="118">
        <v>807190</v>
      </c>
      <c r="Q36" s="118">
        <v>7264710</v>
      </c>
      <c r="R36" s="24" t="s">
        <v>45</v>
      </c>
      <c r="S36" s="171" t="s">
        <v>131</v>
      </c>
      <c r="T36" s="24">
        <f t="shared" si="9"/>
        <v>4</v>
      </c>
      <c r="U36" s="32">
        <f t="shared" si="10"/>
        <v>7737226.2773722624</v>
      </c>
      <c r="V36" s="32">
        <f t="shared" si="11"/>
        <v>257262773.72262773</v>
      </c>
    </row>
    <row r="37" spans="1:22" s="33" customFormat="1" x14ac:dyDescent="0.2">
      <c r="A37" s="135">
        <v>31</v>
      </c>
      <c r="B37" s="170">
        <v>44347</v>
      </c>
      <c r="C37" s="33" t="s">
        <v>49</v>
      </c>
      <c r="D37" s="33" t="s">
        <v>157</v>
      </c>
      <c r="G37" s="118">
        <v>250000000</v>
      </c>
      <c r="H37" s="26">
        <v>1</v>
      </c>
      <c r="I37" s="27">
        <f t="shared" si="8"/>
        <v>250000000</v>
      </c>
      <c r="K37" s="135">
        <v>132</v>
      </c>
      <c r="L37" s="127">
        <v>44320</v>
      </c>
      <c r="M37" s="130">
        <v>48338</v>
      </c>
      <c r="N37" s="33">
        <v>27.98</v>
      </c>
      <c r="O37" s="118">
        <v>6995000</v>
      </c>
      <c r="P37" s="118">
        <v>699500</v>
      </c>
      <c r="Q37" s="118">
        <v>6295500</v>
      </c>
      <c r="R37" s="24" t="s">
        <v>45</v>
      </c>
      <c r="S37" s="33" t="s">
        <v>156</v>
      </c>
      <c r="T37" s="24">
        <f t="shared" ref="T37:T38" si="12">IF((DATEDIF(L37,Q$1,"M"))&gt;K37,K37,DATEDIF(L37,Q$1,"M"))</f>
        <v>4</v>
      </c>
      <c r="U37" s="32">
        <f t="shared" ref="U37:U38" si="13">I37/K37*T37</f>
        <v>7575757.5757575762</v>
      </c>
      <c r="V37" s="32">
        <f t="shared" ref="V37:V38" si="14">I37-U37</f>
        <v>242424242.42424244</v>
      </c>
    </row>
    <row r="38" spans="1:22" s="33" customFormat="1" x14ac:dyDescent="0.2">
      <c r="A38" s="135">
        <v>32</v>
      </c>
      <c r="B38" s="170">
        <v>44347</v>
      </c>
      <c r="C38" s="33" t="s">
        <v>49</v>
      </c>
      <c r="D38" s="33" t="s">
        <v>158</v>
      </c>
      <c r="G38" s="118">
        <v>60000000</v>
      </c>
      <c r="H38" s="26">
        <v>1</v>
      </c>
      <c r="I38" s="27">
        <f t="shared" si="8"/>
        <v>60000000</v>
      </c>
      <c r="K38" s="135">
        <v>60</v>
      </c>
      <c r="L38" s="127">
        <v>44320</v>
      </c>
      <c r="M38" s="130">
        <v>46146</v>
      </c>
      <c r="N38" s="33">
        <v>13.65</v>
      </c>
      <c r="O38" s="118">
        <v>819000</v>
      </c>
      <c r="P38" s="118">
        <v>81900</v>
      </c>
      <c r="Q38" s="118">
        <v>737100</v>
      </c>
      <c r="R38" s="24" t="s">
        <v>45</v>
      </c>
      <c r="S38" s="33" t="s">
        <v>156</v>
      </c>
      <c r="T38" s="24">
        <f t="shared" si="12"/>
        <v>4</v>
      </c>
      <c r="U38" s="32">
        <f t="shared" si="13"/>
        <v>4000000</v>
      </c>
      <c r="V38" s="32">
        <f t="shared" si="14"/>
        <v>56000000</v>
      </c>
    </row>
    <row r="41" spans="1:22" ht="33.75" customHeight="1" x14ac:dyDescent="0.2">
      <c r="T41" s="24"/>
      <c r="U41" s="32"/>
      <c r="V41" s="32"/>
    </row>
    <row r="42" spans="1:22" s="33" customFormat="1" x14ac:dyDescent="0.2">
      <c r="A42" s="135">
        <v>1</v>
      </c>
      <c r="B42" s="147">
        <v>44361</v>
      </c>
      <c r="C42" s="33" t="s">
        <v>111</v>
      </c>
      <c r="D42" s="33" t="s">
        <v>161</v>
      </c>
      <c r="G42" s="118">
        <v>64397514</v>
      </c>
      <c r="H42" s="26">
        <v>1</v>
      </c>
      <c r="I42" s="27">
        <f t="shared" ref="I42:I43" si="15">G42*H42</f>
        <v>64397514</v>
      </c>
      <c r="K42" s="135">
        <v>6</v>
      </c>
      <c r="L42" s="170">
        <v>44822</v>
      </c>
      <c r="M42" s="183">
        <v>44990</v>
      </c>
      <c r="N42" s="33">
        <v>5.46</v>
      </c>
      <c r="O42" s="118">
        <v>451610.42644000001</v>
      </c>
      <c r="P42" s="118"/>
      <c r="Q42" s="118">
        <v>451610.42644000001</v>
      </c>
      <c r="S42" s="61" t="s">
        <v>160</v>
      </c>
      <c r="T42" s="24" t="e">
        <f t="shared" ref="T42:T43" si="16">IF((DATEDIF(L42,Q$1,"M"))&gt;K42,K42,DATEDIF(L42,Q$1,"M"))</f>
        <v>#NUM!</v>
      </c>
      <c r="U42" s="32" t="e">
        <f t="shared" ref="U42:U43" si="17">I42/K42*T42</f>
        <v>#NUM!</v>
      </c>
      <c r="V42" s="32" t="e">
        <f t="shared" ref="V42:V43" si="18">I42-U42</f>
        <v>#NUM!</v>
      </c>
    </row>
    <row r="43" spans="1:22" s="33" customFormat="1" x14ac:dyDescent="0.2">
      <c r="A43" s="135">
        <v>2</v>
      </c>
      <c r="B43" s="147">
        <v>44377</v>
      </c>
      <c r="C43" s="33" t="s">
        <v>49</v>
      </c>
      <c r="D43" s="33" t="s">
        <v>164</v>
      </c>
      <c r="G43" s="118">
        <v>179133550</v>
      </c>
      <c r="H43" s="26">
        <v>1</v>
      </c>
      <c r="I43" s="27">
        <f t="shared" si="15"/>
        <v>179133550</v>
      </c>
      <c r="K43" s="135">
        <v>63</v>
      </c>
      <c r="L43" s="170">
        <v>44373</v>
      </c>
      <c r="M43" s="183">
        <v>46280</v>
      </c>
      <c r="N43" s="33">
        <v>25.48</v>
      </c>
      <c r="O43" s="118">
        <v>4564322.8540000003</v>
      </c>
      <c r="P43" s="118">
        <v>456432.28540000005</v>
      </c>
      <c r="Q43" s="118">
        <v>4107890.5686000003</v>
      </c>
      <c r="S43" s="33" t="s">
        <v>163</v>
      </c>
      <c r="T43" s="24">
        <f t="shared" si="16"/>
        <v>3</v>
      </c>
      <c r="U43" s="32">
        <f t="shared" si="17"/>
        <v>8530169.0476190466</v>
      </c>
      <c r="V43" s="32">
        <f t="shared" si="18"/>
        <v>170603380.95238096</v>
      </c>
    </row>
    <row r="44" spans="1:22" x14ac:dyDescent="0.2">
      <c r="O44" s="149"/>
      <c r="P44" s="149"/>
      <c r="Q44" s="149"/>
    </row>
    <row r="47" spans="1:22" x14ac:dyDescent="0.2">
      <c r="K47" s="61"/>
    </row>
    <row r="48" spans="1:22" x14ac:dyDescent="0.2">
      <c r="K48" s="61"/>
    </row>
    <row r="49" spans="1:22" x14ac:dyDescent="0.2">
      <c r="K49" s="61"/>
    </row>
    <row r="50" spans="1:22" s="33" customFormat="1" x14ac:dyDescent="0.2">
      <c r="A50" s="135">
        <v>1</v>
      </c>
      <c r="B50" s="147">
        <v>44391</v>
      </c>
      <c r="C50" s="33" t="s">
        <v>128</v>
      </c>
      <c r="D50" s="33" t="s">
        <v>179</v>
      </c>
      <c r="G50" s="118">
        <v>380000000</v>
      </c>
      <c r="H50" s="26">
        <v>1</v>
      </c>
      <c r="I50" s="27">
        <f t="shared" ref="I50:I67" si="19">G50*H50</f>
        <v>380000000</v>
      </c>
      <c r="K50" s="171">
        <v>120</v>
      </c>
      <c r="L50" s="170">
        <v>44350</v>
      </c>
      <c r="M50" s="130">
        <v>48002</v>
      </c>
      <c r="N50" s="131">
        <v>25.48</v>
      </c>
      <c r="O50" s="118">
        <v>9682400</v>
      </c>
      <c r="P50" s="118">
        <v>968240</v>
      </c>
      <c r="Q50" s="118">
        <v>8714160</v>
      </c>
      <c r="S50" s="171" t="s">
        <v>178</v>
      </c>
      <c r="T50" s="24">
        <f t="shared" ref="T50" si="20">IF((DATEDIF(L50,Q$1,"M"))&gt;K50,K50,DATEDIF(L50,Q$1,"M"))</f>
        <v>3</v>
      </c>
      <c r="U50" s="32">
        <f t="shared" ref="U50" si="21">I50/K50*T50</f>
        <v>9500000</v>
      </c>
      <c r="V50" s="32">
        <f t="shared" ref="V50" si="22">I50-U50</f>
        <v>370500000</v>
      </c>
    </row>
    <row r="51" spans="1:22" s="33" customFormat="1" x14ac:dyDescent="0.2">
      <c r="A51" s="135">
        <v>2</v>
      </c>
      <c r="B51" s="147">
        <v>44391</v>
      </c>
      <c r="C51" s="33" t="s">
        <v>128</v>
      </c>
      <c r="D51" s="33" t="s">
        <v>180</v>
      </c>
      <c r="G51" s="118">
        <v>445000000</v>
      </c>
      <c r="H51" s="26">
        <v>1</v>
      </c>
      <c r="I51" s="27">
        <f t="shared" si="19"/>
        <v>445000000</v>
      </c>
      <c r="K51" s="171">
        <v>164</v>
      </c>
      <c r="L51" s="170">
        <v>44350</v>
      </c>
      <c r="M51" s="130">
        <v>49312</v>
      </c>
      <c r="N51" s="131">
        <v>35.409999999999997</v>
      </c>
      <c r="O51" s="118">
        <v>15757449.999999998</v>
      </c>
      <c r="P51" s="118">
        <v>1575745</v>
      </c>
      <c r="Q51" s="118">
        <v>14181704.999999998</v>
      </c>
      <c r="S51" s="171" t="s">
        <v>178</v>
      </c>
      <c r="T51" s="24">
        <f t="shared" ref="T51:T67" si="23">IF((DATEDIF(L51,Q$1,"M"))&gt;K51,K51,DATEDIF(L51,Q$1,"M"))</f>
        <v>3</v>
      </c>
      <c r="U51" s="32">
        <f t="shared" ref="U51:U67" si="24">I51/K51*T51</f>
        <v>8140243.9024390243</v>
      </c>
      <c r="V51" s="32">
        <f t="shared" ref="V51:V67" si="25">I51-U51</f>
        <v>436859756.097561</v>
      </c>
    </row>
    <row r="52" spans="1:22" s="33" customFormat="1" x14ac:dyDescent="0.2">
      <c r="A52" s="135">
        <v>3</v>
      </c>
      <c r="B52" s="147">
        <v>44391</v>
      </c>
      <c r="C52" s="33" t="s">
        <v>128</v>
      </c>
      <c r="D52" s="33" t="s">
        <v>181</v>
      </c>
      <c r="G52" s="118">
        <v>500000000</v>
      </c>
      <c r="H52" s="26">
        <v>1</v>
      </c>
      <c r="I52" s="27">
        <f t="shared" si="19"/>
        <v>500000000</v>
      </c>
      <c r="K52" s="171">
        <v>168</v>
      </c>
      <c r="L52" s="170">
        <v>44350</v>
      </c>
      <c r="M52" s="130">
        <v>49463</v>
      </c>
      <c r="N52" s="131">
        <v>35.409999999999997</v>
      </c>
      <c r="O52" s="118">
        <v>17705000</v>
      </c>
      <c r="P52" s="118">
        <v>1770500</v>
      </c>
      <c r="Q52" s="118">
        <v>15934500</v>
      </c>
      <c r="S52" s="171" t="s">
        <v>178</v>
      </c>
      <c r="T52" s="24">
        <f t="shared" si="23"/>
        <v>3</v>
      </c>
      <c r="U52" s="32">
        <f t="shared" si="24"/>
        <v>8928571.4285714291</v>
      </c>
      <c r="V52" s="32">
        <f t="shared" si="25"/>
        <v>491071428.5714286</v>
      </c>
    </row>
    <row r="53" spans="1:22" s="33" customFormat="1" x14ac:dyDescent="0.2">
      <c r="A53" s="135">
        <v>4</v>
      </c>
      <c r="B53" s="147">
        <v>44391</v>
      </c>
      <c r="C53" s="33" t="s">
        <v>128</v>
      </c>
      <c r="D53" s="33" t="s">
        <v>182</v>
      </c>
      <c r="G53" s="118">
        <v>330000000</v>
      </c>
      <c r="H53" s="26">
        <v>1</v>
      </c>
      <c r="I53" s="27">
        <f t="shared" si="19"/>
        <v>330000000</v>
      </c>
      <c r="K53" s="171">
        <v>180</v>
      </c>
      <c r="L53" s="170">
        <v>44350</v>
      </c>
      <c r="M53" s="130">
        <v>49829</v>
      </c>
      <c r="N53" s="131">
        <v>37.520000000000003</v>
      </c>
      <c r="O53" s="118">
        <v>12381600.000000002</v>
      </c>
      <c r="P53" s="118">
        <v>1238160.0000000002</v>
      </c>
      <c r="Q53" s="118">
        <v>11143440.000000002</v>
      </c>
      <c r="S53" s="171" t="s">
        <v>178</v>
      </c>
      <c r="T53" s="24">
        <f t="shared" si="23"/>
        <v>3</v>
      </c>
      <c r="U53" s="32">
        <f t="shared" si="24"/>
        <v>5500000</v>
      </c>
      <c r="V53" s="32">
        <f t="shared" si="25"/>
        <v>324500000</v>
      </c>
    </row>
    <row r="54" spans="1:22" s="33" customFormat="1" x14ac:dyDescent="0.2">
      <c r="A54" s="135">
        <v>5</v>
      </c>
      <c r="B54" s="147">
        <v>44391</v>
      </c>
      <c r="C54" s="33" t="s">
        <v>128</v>
      </c>
      <c r="D54" s="33" t="s">
        <v>193</v>
      </c>
      <c r="G54" s="118">
        <v>331000000</v>
      </c>
      <c r="H54" s="26">
        <v>1</v>
      </c>
      <c r="I54" s="27">
        <f t="shared" si="19"/>
        <v>331000000</v>
      </c>
      <c r="K54" s="171">
        <v>162</v>
      </c>
      <c r="L54" s="170">
        <v>44350</v>
      </c>
      <c r="M54" s="130">
        <v>49281</v>
      </c>
      <c r="N54" s="131">
        <v>35.409999999999997</v>
      </c>
      <c r="O54" s="118">
        <v>11720709.999999998</v>
      </c>
      <c r="P54" s="118">
        <v>1172070.9999999998</v>
      </c>
      <c r="Q54" s="118">
        <v>10548638.999999998</v>
      </c>
      <c r="S54" s="171" t="s">
        <v>178</v>
      </c>
      <c r="T54" s="24">
        <f t="shared" si="23"/>
        <v>3</v>
      </c>
      <c r="U54" s="32">
        <f t="shared" si="24"/>
        <v>6129629.6296296297</v>
      </c>
      <c r="V54" s="32">
        <f t="shared" si="25"/>
        <v>324870370.37037039</v>
      </c>
    </row>
    <row r="55" spans="1:22" s="33" customFormat="1" x14ac:dyDescent="0.2">
      <c r="A55" s="135">
        <v>6</v>
      </c>
      <c r="B55" s="147">
        <v>44391</v>
      </c>
      <c r="C55" s="33" t="s">
        <v>128</v>
      </c>
      <c r="D55" s="33" t="s">
        <v>183</v>
      </c>
      <c r="G55" s="118">
        <v>230000000</v>
      </c>
      <c r="H55" s="26">
        <v>1</v>
      </c>
      <c r="I55" s="27">
        <f t="shared" si="19"/>
        <v>230000000</v>
      </c>
      <c r="K55" s="171">
        <v>120</v>
      </c>
      <c r="L55" s="170">
        <v>44350</v>
      </c>
      <c r="M55" s="130">
        <v>48002</v>
      </c>
      <c r="N55" s="131">
        <v>25.48</v>
      </c>
      <c r="O55" s="118">
        <v>5860400</v>
      </c>
      <c r="P55" s="118">
        <v>586040</v>
      </c>
      <c r="Q55" s="118">
        <v>5274360</v>
      </c>
      <c r="S55" s="171" t="s">
        <v>178</v>
      </c>
      <c r="T55" s="24">
        <f t="shared" si="23"/>
        <v>3</v>
      </c>
      <c r="U55" s="32">
        <f t="shared" si="24"/>
        <v>5750000</v>
      </c>
      <c r="V55" s="32">
        <f t="shared" si="25"/>
        <v>224250000</v>
      </c>
    </row>
    <row r="56" spans="1:22" s="33" customFormat="1" x14ac:dyDescent="0.2">
      <c r="A56" s="135">
        <v>7</v>
      </c>
      <c r="B56" s="147">
        <v>44391</v>
      </c>
      <c r="C56" s="33" t="s">
        <v>128</v>
      </c>
      <c r="D56" s="33" t="s">
        <v>184</v>
      </c>
      <c r="G56" s="118">
        <v>360000000</v>
      </c>
      <c r="H56" s="26">
        <v>1</v>
      </c>
      <c r="I56" s="27">
        <f t="shared" si="19"/>
        <v>360000000</v>
      </c>
      <c r="K56" s="171">
        <v>174</v>
      </c>
      <c r="L56" s="170">
        <v>44351</v>
      </c>
      <c r="M56" s="130">
        <v>49647</v>
      </c>
      <c r="N56" s="131">
        <v>37.520000000000003</v>
      </c>
      <c r="O56" s="118">
        <v>13507200.000000002</v>
      </c>
      <c r="P56" s="118">
        <v>1350720.0000000002</v>
      </c>
      <c r="Q56" s="118">
        <v>12156480.000000002</v>
      </c>
      <c r="S56" s="171" t="s">
        <v>178</v>
      </c>
      <c r="T56" s="24">
        <f t="shared" si="23"/>
        <v>3</v>
      </c>
      <c r="U56" s="32">
        <f t="shared" si="24"/>
        <v>6206896.5517241377</v>
      </c>
      <c r="V56" s="32">
        <f t="shared" si="25"/>
        <v>353793103.44827586</v>
      </c>
    </row>
    <row r="57" spans="1:22" s="33" customFormat="1" x14ac:dyDescent="0.2">
      <c r="A57" s="135">
        <v>8</v>
      </c>
      <c r="B57" s="147">
        <v>44391</v>
      </c>
      <c r="C57" s="33" t="s">
        <v>128</v>
      </c>
      <c r="D57" s="33" t="s">
        <v>185</v>
      </c>
      <c r="G57" s="118">
        <v>310000000</v>
      </c>
      <c r="H57" s="26">
        <v>1</v>
      </c>
      <c r="I57" s="27">
        <f t="shared" si="19"/>
        <v>310000000</v>
      </c>
      <c r="K57" s="171">
        <v>132</v>
      </c>
      <c r="L57" s="170">
        <v>44354</v>
      </c>
      <c r="M57" s="130">
        <v>48372</v>
      </c>
      <c r="N57" s="172">
        <v>27.98</v>
      </c>
      <c r="O57" s="118">
        <v>8673800</v>
      </c>
      <c r="P57" s="118">
        <v>867380</v>
      </c>
      <c r="Q57" s="118">
        <v>7806420</v>
      </c>
      <c r="S57" s="171" t="s">
        <v>178</v>
      </c>
      <c r="T57" s="24">
        <f t="shared" si="23"/>
        <v>3</v>
      </c>
      <c r="U57" s="32">
        <f t="shared" si="24"/>
        <v>7045454.5454545459</v>
      </c>
      <c r="V57" s="32">
        <f t="shared" si="25"/>
        <v>302954545.45454544</v>
      </c>
    </row>
    <row r="58" spans="1:22" s="33" customFormat="1" x14ac:dyDescent="0.2">
      <c r="A58" s="135">
        <v>9</v>
      </c>
      <c r="B58" s="147">
        <v>44391</v>
      </c>
      <c r="C58" s="33" t="s">
        <v>128</v>
      </c>
      <c r="D58" s="33" t="s">
        <v>186</v>
      </c>
      <c r="G58" s="118">
        <v>350000000</v>
      </c>
      <c r="H58" s="26">
        <v>1</v>
      </c>
      <c r="I58" s="27">
        <f t="shared" si="19"/>
        <v>350000000</v>
      </c>
      <c r="K58" s="171">
        <v>144</v>
      </c>
      <c r="L58" s="170">
        <v>44354</v>
      </c>
      <c r="M58" s="130">
        <v>48737</v>
      </c>
      <c r="N58" s="131">
        <v>30.46</v>
      </c>
      <c r="O58" s="118">
        <v>10661000</v>
      </c>
      <c r="P58" s="118">
        <v>1066100</v>
      </c>
      <c r="Q58" s="118">
        <v>9594900</v>
      </c>
      <c r="S58" s="171" t="s">
        <v>178</v>
      </c>
      <c r="T58" s="24">
        <f t="shared" si="23"/>
        <v>3</v>
      </c>
      <c r="U58" s="32">
        <f t="shared" si="24"/>
        <v>7291666.666666666</v>
      </c>
      <c r="V58" s="32">
        <f t="shared" si="25"/>
        <v>342708333.33333331</v>
      </c>
    </row>
    <row r="59" spans="1:22" s="33" customFormat="1" x14ac:dyDescent="0.2">
      <c r="A59" s="135">
        <v>10</v>
      </c>
      <c r="B59" s="147">
        <v>44391</v>
      </c>
      <c r="C59" s="33" t="s">
        <v>128</v>
      </c>
      <c r="D59" s="33" t="s">
        <v>187</v>
      </c>
      <c r="G59" s="118">
        <v>400000000</v>
      </c>
      <c r="H59" s="26">
        <v>1</v>
      </c>
      <c r="I59" s="27">
        <f t="shared" si="19"/>
        <v>400000000</v>
      </c>
      <c r="K59" s="171">
        <v>180</v>
      </c>
      <c r="L59" s="170">
        <v>44354</v>
      </c>
      <c r="M59" s="130">
        <v>49833</v>
      </c>
      <c r="N59" s="131">
        <v>37.520000000000003</v>
      </c>
      <c r="O59" s="118">
        <v>15008000.000000002</v>
      </c>
      <c r="P59" s="118">
        <v>1500800.0000000002</v>
      </c>
      <c r="Q59" s="118">
        <v>13507200.000000002</v>
      </c>
      <c r="S59" s="171" t="s">
        <v>178</v>
      </c>
      <c r="T59" s="24">
        <f t="shared" si="23"/>
        <v>3</v>
      </c>
      <c r="U59" s="32">
        <f t="shared" si="24"/>
        <v>6666666.666666666</v>
      </c>
      <c r="V59" s="32">
        <f t="shared" si="25"/>
        <v>393333333.33333331</v>
      </c>
    </row>
    <row r="60" spans="1:22" s="33" customFormat="1" x14ac:dyDescent="0.2">
      <c r="A60" s="135">
        <v>11</v>
      </c>
      <c r="B60" s="147">
        <v>44391</v>
      </c>
      <c r="C60" s="33" t="s">
        <v>128</v>
      </c>
      <c r="D60" s="33" t="s">
        <v>188</v>
      </c>
      <c r="G60" s="118">
        <v>310000000</v>
      </c>
      <c r="H60" s="26">
        <v>1</v>
      </c>
      <c r="I60" s="27">
        <f t="shared" si="19"/>
        <v>310000000</v>
      </c>
      <c r="K60" s="171">
        <v>114</v>
      </c>
      <c r="L60" s="170">
        <v>44355</v>
      </c>
      <c r="M60" s="130">
        <v>47825</v>
      </c>
      <c r="N60" s="131">
        <v>25.48</v>
      </c>
      <c r="O60" s="118">
        <v>7898800</v>
      </c>
      <c r="P60" s="118">
        <v>789880</v>
      </c>
      <c r="Q60" s="118">
        <v>7108920</v>
      </c>
      <c r="S60" s="171" t="s">
        <v>178</v>
      </c>
      <c r="T60" s="24">
        <f t="shared" si="23"/>
        <v>3</v>
      </c>
      <c r="U60" s="32">
        <f t="shared" si="24"/>
        <v>8157894.7368421052</v>
      </c>
      <c r="V60" s="32">
        <f t="shared" si="25"/>
        <v>301842105.2631579</v>
      </c>
    </row>
    <row r="61" spans="1:22" s="33" customFormat="1" x14ac:dyDescent="0.2">
      <c r="A61" s="135">
        <v>12</v>
      </c>
      <c r="B61" s="147">
        <v>44391</v>
      </c>
      <c r="C61" s="33" t="s">
        <v>128</v>
      </c>
      <c r="D61" s="33" t="s">
        <v>189</v>
      </c>
      <c r="G61" s="118">
        <v>165000000</v>
      </c>
      <c r="H61" s="26">
        <v>1</v>
      </c>
      <c r="I61" s="27">
        <f t="shared" si="19"/>
        <v>165000000</v>
      </c>
      <c r="K61" s="171">
        <v>96</v>
      </c>
      <c r="L61" s="170">
        <v>44355</v>
      </c>
      <c r="M61" s="130">
        <v>47277</v>
      </c>
      <c r="N61" s="131">
        <v>20.93</v>
      </c>
      <c r="O61" s="118">
        <v>3453450</v>
      </c>
      <c r="P61" s="118">
        <v>345345</v>
      </c>
      <c r="Q61" s="118">
        <v>3108105</v>
      </c>
      <c r="S61" s="171" t="s">
        <v>178</v>
      </c>
      <c r="T61" s="24">
        <f t="shared" si="23"/>
        <v>3</v>
      </c>
      <c r="U61" s="32">
        <f t="shared" si="24"/>
        <v>5156250</v>
      </c>
      <c r="V61" s="32">
        <f t="shared" si="25"/>
        <v>159843750</v>
      </c>
    </row>
    <row r="62" spans="1:22" s="33" customFormat="1" x14ac:dyDescent="0.2">
      <c r="A62" s="135">
        <v>13</v>
      </c>
      <c r="B62" s="147">
        <v>44391</v>
      </c>
      <c r="C62" s="33" t="s">
        <v>128</v>
      </c>
      <c r="D62" s="33" t="s">
        <v>190</v>
      </c>
      <c r="G62" s="118">
        <v>300000000</v>
      </c>
      <c r="H62" s="26">
        <v>1</v>
      </c>
      <c r="I62" s="27">
        <f t="shared" si="19"/>
        <v>300000000</v>
      </c>
      <c r="K62" s="171">
        <v>180</v>
      </c>
      <c r="L62" s="170">
        <v>44355</v>
      </c>
      <c r="M62" s="130">
        <v>49834</v>
      </c>
      <c r="N62" s="131">
        <v>37.520000000000003</v>
      </c>
      <c r="O62" s="118">
        <v>11256000</v>
      </c>
      <c r="P62" s="118">
        <v>1125600</v>
      </c>
      <c r="Q62" s="118">
        <v>10130400</v>
      </c>
      <c r="S62" s="171" t="s">
        <v>178</v>
      </c>
      <c r="T62" s="24">
        <f t="shared" si="23"/>
        <v>3</v>
      </c>
      <c r="U62" s="32">
        <f t="shared" si="24"/>
        <v>5000000</v>
      </c>
      <c r="V62" s="32">
        <f t="shared" si="25"/>
        <v>295000000</v>
      </c>
    </row>
    <row r="63" spans="1:22" s="33" customFormat="1" x14ac:dyDescent="0.2">
      <c r="A63" s="135">
        <v>14</v>
      </c>
      <c r="B63" s="147">
        <v>44391</v>
      </c>
      <c r="C63" s="33" t="s">
        <v>128</v>
      </c>
      <c r="D63" s="33" t="s">
        <v>191</v>
      </c>
      <c r="G63" s="118">
        <v>25000000</v>
      </c>
      <c r="H63" s="26">
        <v>1</v>
      </c>
      <c r="I63" s="27">
        <f t="shared" si="19"/>
        <v>25000000</v>
      </c>
      <c r="K63" s="171">
        <v>30</v>
      </c>
      <c r="L63" s="170">
        <v>44361</v>
      </c>
      <c r="M63" s="130">
        <v>45274</v>
      </c>
      <c r="N63" s="131">
        <v>9.1</v>
      </c>
      <c r="O63" s="118">
        <v>227500</v>
      </c>
      <c r="P63" s="118">
        <v>22750</v>
      </c>
      <c r="Q63" s="118">
        <v>204750</v>
      </c>
      <c r="S63" s="171" t="s">
        <v>178</v>
      </c>
      <c r="T63" s="24">
        <f t="shared" si="23"/>
        <v>3</v>
      </c>
      <c r="U63" s="32">
        <f t="shared" si="24"/>
        <v>2500000</v>
      </c>
      <c r="V63" s="32">
        <f t="shared" si="25"/>
        <v>22500000</v>
      </c>
    </row>
    <row r="64" spans="1:22" s="33" customFormat="1" x14ac:dyDescent="0.2">
      <c r="A64" s="135">
        <v>15</v>
      </c>
      <c r="B64" s="147">
        <v>44391</v>
      </c>
      <c r="C64" s="33" t="s">
        <v>128</v>
      </c>
      <c r="D64" s="33" t="s">
        <v>192</v>
      </c>
      <c r="G64" s="118">
        <v>170000000</v>
      </c>
      <c r="H64" s="26">
        <v>1</v>
      </c>
      <c r="I64" s="27">
        <f t="shared" si="19"/>
        <v>170000000</v>
      </c>
      <c r="K64" s="171">
        <v>120</v>
      </c>
      <c r="L64" s="170">
        <v>44362</v>
      </c>
      <c r="M64" s="130">
        <v>48014</v>
      </c>
      <c r="N64" s="131">
        <v>25.48</v>
      </c>
      <c r="O64" s="118">
        <v>4331600</v>
      </c>
      <c r="P64" s="118">
        <v>433160</v>
      </c>
      <c r="Q64" s="118">
        <v>3898440</v>
      </c>
      <c r="S64" s="171" t="s">
        <v>178</v>
      </c>
      <c r="T64" s="24">
        <f t="shared" si="23"/>
        <v>3</v>
      </c>
      <c r="U64" s="32">
        <f t="shared" si="24"/>
        <v>4250000</v>
      </c>
      <c r="V64" s="32">
        <f t="shared" si="25"/>
        <v>165750000</v>
      </c>
    </row>
    <row r="65" spans="1:22" s="33" customFormat="1" x14ac:dyDescent="0.2">
      <c r="A65" s="135">
        <v>16</v>
      </c>
      <c r="B65" s="147">
        <v>44391</v>
      </c>
      <c r="C65" s="33" t="s">
        <v>128</v>
      </c>
      <c r="D65" s="33" t="s">
        <v>194</v>
      </c>
      <c r="G65" s="118">
        <v>343000000</v>
      </c>
      <c r="H65" s="26">
        <v>1</v>
      </c>
      <c r="I65" s="27">
        <f t="shared" si="19"/>
        <v>343000000</v>
      </c>
      <c r="K65" s="171">
        <v>168</v>
      </c>
      <c r="L65" s="170">
        <v>44363</v>
      </c>
      <c r="M65" s="130">
        <v>49476</v>
      </c>
      <c r="N65" s="131">
        <v>35.409999999999997</v>
      </c>
      <c r="O65" s="118">
        <v>12145629.999999998</v>
      </c>
      <c r="P65" s="118">
        <v>1214562.9999999998</v>
      </c>
      <c r="Q65" s="118">
        <v>10931066.999999998</v>
      </c>
      <c r="S65" s="171" t="s">
        <v>178</v>
      </c>
      <c r="T65" s="24">
        <f t="shared" si="23"/>
        <v>3</v>
      </c>
      <c r="U65" s="32">
        <f t="shared" si="24"/>
        <v>6125000</v>
      </c>
      <c r="V65" s="32">
        <f t="shared" si="25"/>
        <v>336875000</v>
      </c>
    </row>
    <row r="66" spans="1:22" s="33" customFormat="1" x14ac:dyDescent="0.2">
      <c r="A66" s="135">
        <v>17</v>
      </c>
      <c r="B66" s="147">
        <v>44407</v>
      </c>
      <c r="C66" s="33" t="s">
        <v>46</v>
      </c>
      <c r="D66" s="33" t="s">
        <v>53</v>
      </c>
      <c r="G66" s="118">
        <v>70717947</v>
      </c>
      <c r="H66" s="26">
        <v>1</v>
      </c>
      <c r="I66" s="27">
        <f t="shared" si="19"/>
        <v>70717947</v>
      </c>
      <c r="K66" s="171">
        <v>12</v>
      </c>
      <c r="L66" s="170">
        <v>46914</v>
      </c>
      <c r="M66" s="170">
        <v>47279</v>
      </c>
      <c r="N66" s="202">
        <v>5.46</v>
      </c>
      <c r="O66" s="118">
        <v>486119.99062</v>
      </c>
      <c r="P66" s="118"/>
      <c r="Q66" s="118">
        <v>486119.99062</v>
      </c>
      <c r="S66" s="171" t="s">
        <v>206</v>
      </c>
      <c r="T66" s="24" t="e">
        <f t="shared" si="23"/>
        <v>#NUM!</v>
      </c>
      <c r="U66" s="32" t="e">
        <f t="shared" si="24"/>
        <v>#NUM!</v>
      </c>
      <c r="V66" s="32" t="e">
        <f t="shared" si="25"/>
        <v>#NUM!</v>
      </c>
    </row>
    <row r="67" spans="1:22" s="33" customFormat="1" x14ac:dyDescent="0.2">
      <c r="A67" s="135">
        <v>18</v>
      </c>
      <c r="B67" s="147">
        <v>44407</v>
      </c>
      <c r="C67" s="33" t="s">
        <v>122</v>
      </c>
      <c r="D67" s="33" t="s">
        <v>208</v>
      </c>
      <c r="G67" s="118">
        <v>30000000</v>
      </c>
      <c r="H67" s="26">
        <v>1</v>
      </c>
      <c r="I67" s="27">
        <f t="shared" si="19"/>
        <v>30000000</v>
      </c>
      <c r="K67" s="171">
        <v>24</v>
      </c>
      <c r="L67" s="170">
        <v>44406</v>
      </c>
      <c r="M67" s="170">
        <v>45136</v>
      </c>
      <c r="N67" s="202">
        <v>10.57</v>
      </c>
      <c r="O67" s="118">
        <v>317100</v>
      </c>
      <c r="P67" s="118">
        <v>31710</v>
      </c>
      <c r="Q67" s="118">
        <v>285390</v>
      </c>
      <c r="S67" s="171" t="s">
        <v>207</v>
      </c>
      <c r="T67" s="24">
        <f t="shared" si="23"/>
        <v>2</v>
      </c>
      <c r="U67" s="32">
        <f t="shared" si="24"/>
        <v>2500000</v>
      </c>
      <c r="V67" s="32">
        <f t="shared" si="25"/>
        <v>27500000</v>
      </c>
    </row>
    <row r="68" spans="1:22" s="33" customFormat="1" x14ac:dyDescent="0.2">
      <c r="A68" s="135"/>
      <c r="K68" s="135"/>
    </row>
    <row r="71" spans="1:22" s="33" customFormat="1" x14ac:dyDescent="0.2">
      <c r="A71" s="135">
        <v>1</v>
      </c>
      <c r="B71" s="170">
        <v>44463</v>
      </c>
      <c r="C71" s="171" t="s">
        <v>19</v>
      </c>
      <c r="D71" s="171" t="s">
        <v>212</v>
      </c>
      <c r="G71" s="208">
        <v>25237639</v>
      </c>
      <c r="H71" s="26">
        <v>1</v>
      </c>
      <c r="I71" s="27">
        <f t="shared" ref="I71:I83" si="26">G71*H71</f>
        <v>25237639</v>
      </c>
      <c r="K71" s="171">
        <v>9</v>
      </c>
      <c r="L71" s="209">
        <v>44611</v>
      </c>
      <c r="M71" s="209">
        <v>44895</v>
      </c>
      <c r="N71" s="202">
        <v>5.46</v>
      </c>
      <c r="O71" s="118">
        <v>237797.50894</v>
      </c>
      <c r="P71" s="118"/>
      <c r="Q71" s="118">
        <v>237797.50894</v>
      </c>
      <c r="S71" s="171" t="s">
        <v>211</v>
      </c>
      <c r="T71" s="24" t="e">
        <f t="shared" ref="T71" si="27">IF((DATEDIF(L71,Q$1,"M"))&gt;K71,K71,DATEDIF(L71,Q$1,"M"))</f>
        <v>#NUM!</v>
      </c>
      <c r="U71" s="32" t="e">
        <f t="shared" ref="U71" si="28">I71/K71*T71</f>
        <v>#NUM!</v>
      </c>
      <c r="V71" s="32" t="e">
        <f t="shared" ref="V71" si="29">I71-U71</f>
        <v>#NUM!</v>
      </c>
    </row>
    <row r="72" spans="1:22" s="33" customFormat="1" x14ac:dyDescent="0.2">
      <c r="A72" s="135">
        <v>2</v>
      </c>
      <c r="B72" s="170">
        <v>44468</v>
      </c>
      <c r="C72" s="171" t="s">
        <v>213</v>
      </c>
      <c r="D72" s="171" t="s">
        <v>215</v>
      </c>
      <c r="G72" s="208">
        <v>13910250</v>
      </c>
      <c r="H72" s="26">
        <v>1</v>
      </c>
      <c r="I72" s="27">
        <f t="shared" si="26"/>
        <v>13910250</v>
      </c>
      <c r="K72" s="171">
        <v>12</v>
      </c>
      <c r="L72" s="209">
        <v>44447</v>
      </c>
      <c r="M72" s="209">
        <v>44812</v>
      </c>
      <c r="N72" s="202">
        <v>60.9</v>
      </c>
      <c r="O72" s="118">
        <v>847134.22499999998</v>
      </c>
      <c r="P72" s="118">
        <v>84713.422500000001</v>
      </c>
      <c r="Q72" s="118">
        <v>762420.80249999999</v>
      </c>
      <c r="S72" s="171" t="s">
        <v>214</v>
      </c>
      <c r="T72" s="24">
        <f t="shared" ref="T72:T83" si="30">IF((DATEDIF(L72,Q$1,"M"))&gt;K72,K72,DATEDIF(L72,Q$1,"M"))</f>
        <v>0</v>
      </c>
      <c r="U72" s="32">
        <f t="shared" ref="U72:U83" si="31">I72/K72*T72</f>
        <v>0</v>
      </c>
      <c r="V72" s="32">
        <f t="shared" ref="V72:V83" si="32">I72-U72</f>
        <v>13910250</v>
      </c>
    </row>
    <row r="73" spans="1:22" s="33" customFormat="1" x14ac:dyDescent="0.2">
      <c r="A73" s="135">
        <v>3</v>
      </c>
      <c r="B73" s="170">
        <v>44467</v>
      </c>
      <c r="C73" s="171" t="s">
        <v>49</v>
      </c>
      <c r="D73" s="171" t="s">
        <v>217</v>
      </c>
      <c r="G73" s="208">
        <v>22343000</v>
      </c>
      <c r="H73" s="26">
        <v>1</v>
      </c>
      <c r="I73" s="27">
        <f t="shared" si="26"/>
        <v>22343000</v>
      </c>
      <c r="K73" s="171">
        <v>36</v>
      </c>
      <c r="L73" s="209">
        <v>44456</v>
      </c>
      <c r="M73" s="209">
        <v>45552</v>
      </c>
      <c r="N73" s="202">
        <v>11.52</v>
      </c>
      <c r="O73" s="118">
        <v>257391.35999999999</v>
      </c>
      <c r="P73" s="118">
        <v>25739.135999999999</v>
      </c>
      <c r="Q73" s="118">
        <v>231652.22399999999</v>
      </c>
      <c r="S73" s="171" t="s">
        <v>216</v>
      </c>
      <c r="T73" s="24">
        <f t="shared" si="30"/>
        <v>0</v>
      </c>
      <c r="U73" s="32">
        <f t="shared" si="31"/>
        <v>0</v>
      </c>
      <c r="V73" s="32">
        <f t="shared" si="32"/>
        <v>22343000</v>
      </c>
    </row>
    <row r="74" spans="1:22" s="33" customFormat="1" x14ac:dyDescent="0.2">
      <c r="A74" s="135">
        <v>4</v>
      </c>
      <c r="B74" s="170">
        <v>44467</v>
      </c>
      <c r="C74" s="171" t="s">
        <v>49</v>
      </c>
      <c r="D74" s="171" t="s">
        <v>218</v>
      </c>
      <c r="G74" s="208">
        <v>330000000</v>
      </c>
      <c r="H74" s="26">
        <v>1</v>
      </c>
      <c r="I74" s="27">
        <f t="shared" si="26"/>
        <v>330000000</v>
      </c>
      <c r="K74" s="171">
        <v>180</v>
      </c>
      <c r="L74" s="209">
        <v>44467</v>
      </c>
      <c r="M74" s="209">
        <v>46293</v>
      </c>
      <c r="N74" s="202">
        <v>37.520000000000003</v>
      </c>
      <c r="O74" s="118">
        <v>12381600.000000002</v>
      </c>
      <c r="P74" s="118">
        <v>1238160.0000000002</v>
      </c>
      <c r="Q74" s="118">
        <v>11143440.000000002</v>
      </c>
      <c r="S74" s="171" t="s">
        <v>216</v>
      </c>
      <c r="T74" s="24">
        <f t="shared" si="30"/>
        <v>0</v>
      </c>
      <c r="U74" s="32">
        <f t="shared" si="31"/>
        <v>0</v>
      </c>
      <c r="V74" s="32">
        <f t="shared" si="32"/>
        <v>330000000</v>
      </c>
    </row>
    <row r="75" spans="1:22" s="33" customFormat="1" x14ac:dyDescent="0.2">
      <c r="A75" s="135">
        <v>5</v>
      </c>
      <c r="B75" s="170">
        <v>44467</v>
      </c>
      <c r="C75" s="171" t="s">
        <v>49</v>
      </c>
      <c r="D75" s="171" t="s">
        <v>219</v>
      </c>
      <c r="G75" s="208">
        <v>35000000</v>
      </c>
      <c r="H75" s="26">
        <v>1</v>
      </c>
      <c r="I75" s="27">
        <f t="shared" si="26"/>
        <v>35000000</v>
      </c>
      <c r="K75" s="171">
        <v>60</v>
      </c>
      <c r="L75" s="209">
        <v>44447</v>
      </c>
      <c r="M75" s="209">
        <v>46273</v>
      </c>
      <c r="N75" s="202">
        <v>18.2</v>
      </c>
      <c r="O75" s="118">
        <v>637000</v>
      </c>
      <c r="P75" s="118">
        <v>63700</v>
      </c>
      <c r="Q75" s="118">
        <v>573300</v>
      </c>
      <c r="S75" s="171" t="s">
        <v>216</v>
      </c>
      <c r="T75" s="24">
        <f t="shared" si="30"/>
        <v>0</v>
      </c>
      <c r="U75" s="32">
        <f t="shared" si="31"/>
        <v>0</v>
      </c>
      <c r="V75" s="32">
        <f t="shared" si="32"/>
        <v>35000000</v>
      </c>
    </row>
    <row r="76" spans="1:22" s="33" customFormat="1" x14ac:dyDescent="0.2">
      <c r="A76" s="135">
        <v>6</v>
      </c>
      <c r="B76" s="170">
        <v>44467</v>
      </c>
      <c r="C76" s="171" t="s">
        <v>49</v>
      </c>
      <c r="D76" s="171" t="s">
        <v>220</v>
      </c>
      <c r="G76" s="208">
        <v>250000000</v>
      </c>
      <c r="H76" s="26">
        <v>1</v>
      </c>
      <c r="I76" s="27">
        <f t="shared" si="26"/>
        <v>250000000</v>
      </c>
      <c r="K76" s="171">
        <v>156</v>
      </c>
      <c r="L76" s="209">
        <v>44446</v>
      </c>
      <c r="M76" s="209">
        <v>49194</v>
      </c>
      <c r="N76" s="202">
        <v>32.94</v>
      </c>
      <c r="O76" s="118">
        <v>8234999.9999999991</v>
      </c>
      <c r="P76" s="118">
        <v>823500</v>
      </c>
      <c r="Q76" s="118">
        <v>7411499.9999999991</v>
      </c>
      <c r="S76" s="171" t="s">
        <v>216</v>
      </c>
      <c r="T76" s="24">
        <f t="shared" si="30"/>
        <v>0</v>
      </c>
      <c r="U76" s="32">
        <f t="shared" si="31"/>
        <v>0</v>
      </c>
      <c r="V76" s="32">
        <f t="shared" si="32"/>
        <v>250000000</v>
      </c>
    </row>
    <row r="77" spans="1:22" s="33" customFormat="1" x14ac:dyDescent="0.2">
      <c r="A77" s="135">
        <v>7</v>
      </c>
      <c r="B77" s="170">
        <v>44467</v>
      </c>
      <c r="C77" s="171" t="s">
        <v>49</v>
      </c>
      <c r="D77" s="171" t="s">
        <v>221</v>
      </c>
      <c r="G77" s="208">
        <v>270000000</v>
      </c>
      <c r="H77" s="26">
        <v>1</v>
      </c>
      <c r="I77" s="27">
        <f t="shared" si="26"/>
        <v>270000000</v>
      </c>
      <c r="K77" s="171">
        <v>120</v>
      </c>
      <c r="L77" s="209">
        <v>44446</v>
      </c>
      <c r="M77" s="209">
        <v>48098</v>
      </c>
      <c r="N77" s="202">
        <v>25.48</v>
      </c>
      <c r="O77" s="118">
        <v>6879600</v>
      </c>
      <c r="P77" s="118">
        <v>687960</v>
      </c>
      <c r="Q77" s="118">
        <v>6191640</v>
      </c>
      <c r="S77" s="171" t="s">
        <v>216</v>
      </c>
      <c r="T77" s="24">
        <f t="shared" si="30"/>
        <v>0</v>
      </c>
      <c r="U77" s="32">
        <f t="shared" si="31"/>
        <v>0</v>
      </c>
      <c r="V77" s="32">
        <f t="shared" si="32"/>
        <v>270000000</v>
      </c>
    </row>
    <row r="78" spans="1:22" s="33" customFormat="1" x14ac:dyDescent="0.2">
      <c r="A78" s="135">
        <v>8</v>
      </c>
      <c r="B78" s="170">
        <v>44467</v>
      </c>
      <c r="C78" s="171" t="s">
        <v>49</v>
      </c>
      <c r="D78" s="171" t="s">
        <v>222</v>
      </c>
      <c r="G78" s="208">
        <v>310000000</v>
      </c>
      <c r="H78" s="26">
        <v>1</v>
      </c>
      <c r="I78" s="27">
        <f t="shared" si="26"/>
        <v>310000000</v>
      </c>
      <c r="K78" s="171">
        <v>120</v>
      </c>
      <c r="L78" s="209">
        <v>44453</v>
      </c>
      <c r="M78" s="209">
        <v>48105</v>
      </c>
      <c r="N78" s="202">
        <v>25.48</v>
      </c>
      <c r="O78" s="118">
        <v>7898800</v>
      </c>
      <c r="P78" s="118">
        <v>789880</v>
      </c>
      <c r="Q78" s="118">
        <v>7108920</v>
      </c>
      <c r="S78" s="171" t="s">
        <v>216</v>
      </c>
      <c r="T78" s="24">
        <f t="shared" si="30"/>
        <v>0</v>
      </c>
      <c r="U78" s="32">
        <f t="shared" si="31"/>
        <v>0</v>
      </c>
      <c r="V78" s="32">
        <f t="shared" si="32"/>
        <v>310000000</v>
      </c>
    </row>
    <row r="79" spans="1:22" s="33" customFormat="1" x14ac:dyDescent="0.2">
      <c r="A79" s="135">
        <v>9</v>
      </c>
      <c r="B79" s="170">
        <v>44467</v>
      </c>
      <c r="C79" s="171" t="s">
        <v>49</v>
      </c>
      <c r="D79" s="171" t="s">
        <v>223</v>
      </c>
      <c r="G79" s="208">
        <v>50000000</v>
      </c>
      <c r="H79" s="26">
        <v>1</v>
      </c>
      <c r="I79" s="27">
        <f t="shared" si="26"/>
        <v>50000000</v>
      </c>
      <c r="K79" s="171">
        <v>36</v>
      </c>
      <c r="L79" s="209">
        <v>44460</v>
      </c>
      <c r="M79" s="209">
        <v>48112</v>
      </c>
      <c r="N79" s="202">
        <v>9.1</v>
      </c>
      <c r="O79" s="118">
        <v>455000</v>
      </c>
      <c r="P79" s="118">
        <v>45500</v>
      </c>
      <c r="Q79" s="118">
        <v>409500</v>
      </c>
      <c r="S79" s="171" t="s">
        <v>216</v>
      </c>
      <c r="T79" s="24">
        <f t="shared" si="30"/>
        <v>0</v>
      </c>
      <c r="U79" s="32">
        <f t="shared" si="31"/>
        <v>0</v>
      </c>
      <c r="V79" s="32">
        <f t="shared" si="32"/>
        <v>50000000</v>
      </c>
    </row>
    <row r="80" spans="1:22" s="33" customFormat="1" x14ac:dyDescent="0.2">
      <c r="A80" s="135">
        <v>10</v>
      </c>
      <c r="B80" s="170">
        <v>44467</v>
      </c>
      <c r="C80" s="171" t="s">
        <v>49</v>
      </c>
      <c r="D80" s="171" t="s">
        <v>224</v>
      </c>
      <c r="G80" s="208">
        <v>334000000</v>
      </c>
      <c r="H80" s="26">
        <v>1</v>
      </c>
      <c r="I80" s="27">
        <f t="shared" si="26"/>
        <v>334000000</v>
      </c>
      <c r="K80" s="171">
        <v>180</v>
      </c>
      <c r="L80" s="209">
        <v>44453</v>
      </c>
      <c r="M80" s="209">
        <v>44453</v>
      </c>
      <c r="N80" s="202">
        <v>35.409999999999997</v>
      </c>
      <c r="O80" s="118">
        <v>11826939.999999998</v>
      </c>
      <c r="P80" s="118">
        <v>1182693.9999999998</v>
      </c>
      <c r="Q80" s="118">
        <v>10644245.999999998</v>
      </c>
      <c r="S80" s="171" t="s">
        <v>216</v>
      </c>
      <c r="T80" s="24">
        <f t="shared" si="30"/>
        <v>0</v>
      </c>
      <c r="U80" s="32">
        <f t="shared" si="31"/>
        <v>0</v>
      </c>
      <c r="V80" s="32">
        <f t="shared" si="32"/>
        <v>334000000</v>
      </c>
    </row>
    <row r="81" spans="1:22" s="33" customFormat="1" x14ac:dyDescent="0.2">
      <c r="A81" s="135">
        <v>11</v>
      </c>
      <c r="B81" s="170">
        <v>44467</v>
      </c>
      <c r="C81" s="171" t="s">
        <v>49</v>
      </c>
      <c r="D81" s="171" t="s">
        <v>225</v>
      </c>
      <c r="G81" s="208">
        <v>230000000</v>
      </c>
      <c r="H81" s="26">
        <v>1</v>
      </c>
      <c r="I81" s="27">
        <f t="shared" si="26"/>
        <v>230000000</v>
      </c>
      <c r="K81" s="171">
        <v>84</v>
      </c>
      <c r="L81" s="209">
        <v>44436</v>
      </c>
      <c r="M81" s="209">
        <v>44436</v>
      </c>
      <c r="N81" s="202">
        <v>25.48</v>
      </c>
      <c r="O81" s="118">
        <v>5860400</v>
      </c>
      <c r="P81" s="118">
        <v>586040</v>
      </c>
      <c r="Q81" s="118">
        <v>5274360</v>
      </c>
      <c r="S81" s="171" t="s">
        <v>216</v>
      </c>
      <c r="T81" s="24">
        <f t="shared" si="30"/>
        <v>1</v>
      </c>
      <c r="U81" s="32">
        <f t="shared" si="31"/>
        <v>2738095.2380952379</v>
      </c>
      <c r="V81" s="32">
        <f t="shared" si="32"/>
        <v>227261904.76190478</v>
      </c>
    </row>
    <row r="82" spans="1:22" s="33" customFormat="1" x14ac:dyDescent="0.2">
      <c r="A82" s="135">
        <v>12</v>
      </c>
      <c r="B82" s="170">
        <v>44469</v>
      </c>
      <c r="C82" s="171" t="s">
        <v>51</v>
      </c>
      <c r="D82" s="171" t="s">
        <v>227</v>
      </c>
      <c r="G82" s="208">
        <v>300000000</v>
      </c>
      <c r="H82" s="26">
        <v>1</v>
      </c>
      <c r="I82" s="27">
        <f t="shared" si="26"/>
        <v>300000000</v>
      </c>
      <c r="K82" s="171">
        <v>120</v>
      </c>
      <c r="L82" s="209">
        <v>44442</v>
      </c>
      <c r="M82" s="209">
        <v>48094</v>
      </c>
      <c r="N82" s="202">
        <v>25.48</v>
      </c>
      <c r="O82" s="118">
        <v>7644000</v>
      </c>
      <c r="P82" s="118"/>
      <c r="Q82" s="118">
        <v>7644000</v>
      </c>
      <c r="S82" s="171" t="s">
        <v>226</v>
      </c>
      <c r="T82" s="24">
        <f t="shared" si="30"/>
        <v>0</v>
      </c>
      <c r="U82" s="32">
        <f t="shared" si="31"/>
        <v>0</v>
      </c>
      <c r="V82" s="32">
        <f t="shared" si="32"/>
        <v>300000000</v>
      </c>
    </row>
    <row r="83" spans="1:22" s="33" customFormat="1" x14ac:dyDescent="0.2">
      <c r="A83" s="135">
        <v>13</v>
      </c>
      <c r="B83" s="170">
        <v>44469</v>
      </c>
      <c r="C83" s="171" t="s">
        <v>51</v>
      </c>
      <c r="D83" s="171" t="s">
        <v>228</v>
      </c>
      <c r="G83" s="208">
        <v>260000000</v>
      </c>
      <c r="H83" s="26">
        <v>1</v>
      </c>
      <c r="I83" s="27">
        <f t="shared" si="26"/>
        <v>260000000</v>
      </c>
      <c r="K83" s="171">
        <v>120</v>
      </c>
      <c r="L83" s="209">
        <v>44466</v>
      </c>
      <c r="M83" s="209">
        <v>48118</v>
      </c>
      <c r="N83" s="202">
        <v>36.4</v>
      </c>
      <c r="O83" s="118">
        <v>9464000</v>
      </c>
      <c r="P83" s="118"/>
      <c r="Q83" s="118">
        <v>9464000</v>
      </c>
      <c r="S83" s="171" t="s">
        <v>226</v>
      </c>
      <c r="T83" s="24">
        <f t="shared" si="30"/>
        <v>0</v>
      </c>
      <c r="U83" s="32">
        <f t="shared" si="31"/>
        <v>0</v>
      </c>
      <c r="V83" s="32">
        <f t="shared" si="32"/>
        <v>260000000</v>
      </c>
    </row>
    <row r="84" spans="1:22" s="33" customFormat="1" x14ac:dyDescent="0.2">
      <c r="A84" s="135"/>
      <c r="K84" s="135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35"/>
  <sheetViews>
    <sheetView topLeftCell="A4" workbookViewId="0">
      <selection activeCell="A3" sqref="A1:XFD1048576"/>
    </sheetView>
  </sheetViews>
  <sheetFormatPr defaultRowHeight="12" x14ac:dyDescent="0.2"/>
  <cols>
    <col min="1" max="1" width="4.140625" style="3" customWidth="1"/>
    <col min="2" max="2" width="15" style="3" bestFit="1" customWidth="1"/>
    <col min="3" max="3" width="19" style="3" customWidth="1"/>
    <col min="4" max="4" width="10.7109375" style="82" hidden="1" customWidth="1"/>
    <col min="5" max="5" width="9" style="203" customWidth="1"/>
    <col min="6" max="6" width="19.42578125" style="3" customWidth="1"/>
    <col min="7" max="7" width="9" style="143" customWidth="1"/>
    <col min="8" max="8" width="14.140625" style="3" customWidth="1"/>
    <col min="9" max="9" width="16.42578125" style="3" customWidth="1"/>
    <col min="10" max="10" width="11.140625" style="3" customWidth="1"/>
    <col min="11" max="11" width="10.5703125" style="3" customWidth="1"/>
    <col min="12" max="12" width="7.140625" style="3" customWidth="1"/>
    <col min="13" max="13" width="6.42578125" style="3" customWidth="1"/>
    <col min="14" max="14" width="12.5703125" style="3" hidden="1" customWidth="1"/>
    <col min="15" max="16" width="9.140625" style="3" hidden="1" customWidth="1"/>
    <col min="17" max="17" width="12" style="3" customWidth="1"/>
    <col min="18" max="18" width="11.7109375" style="3" hidden="1" customWidth="1"/>
    <col min="19" max="19" width="14.28515625" style="3" hidden="1" customWidth="1"/>
    <col min="20" max="20" width="15.7109375" style="3" customWidth="1"/>
    <col min="21" max="21" width="15.85546875" style="3" customWidth="1"/>
    <col min="22" max="22" width="13.85546875" style="3" customWidth="1"/>
    <col min="23" max="23" width="12.85546875" style="3" customWidth="1"/>
    <col min="24" max="26" width="9.28515625" style="3" bestFit="1" customWidth="1"/>
    <col min="27" max="16384" width="9.140625" style="3"/>
  </cols>
  <sheetData>
    <row r="2" spans="1:26" ht="14.25" customHeight="1" x14ac:dyDescent="0.2">
      <c r="A2" s="86" t="s">
        <v>69</v>
      </c>
      <c r="B2" s="62"/>
      <c r="C2" s="62"/>
      <c r="D2" s="57"/>
      <c r="E2" s="63"/>
      <c r="F2" s="64"/>
      <c r="G2" s="139"/>
      <c r="H2" s="66"/>
      <c r="I2" s="66"/>
      <c r="J2" s="67"/>
      <c r="K2" s="67"/>
      <c r="L2" s="68"/>
      <c r="M2" s="68"/>
      <c r="N2" s="69"/>
      <c r="O2" s="69"/>
      <c r="P2" s="69"/>
      <c r="Q2" s="69"/>
      <c r="R2" s="69"/>
      <c r="S2" s="69"/>
      <c r="T2" s="70"/>
      <c r="U2" s="71"/>
      <c r="V2" s="71"/>
    </row>
    <row r="3" spans="1:26" ht="14.25" customHeight="1" x14ac:dyDescent="0.2">
      <c r="A3" s="231" t="s">
        <v>0</v>
      </c>
      <c r="B3" s="232" t="s">
        <v>1</v>
      </c>
      <c r="C3" s="229" t="s">
        <v>2</v>
      </c>
      <c r="D3" s="233" t="s">
        <v>3</v>
      </c>
      <c r="E3" s="234" t="s">
        <v>4</v>
      </c>
      <c r="F3" s="232" t="s">
        <v>5</v>
      </c>
      <c r="G3" s="237" t="s">
        <v>6</v>
      </c>
      <c r="H3" s="236" t="s">
        <v>7</v>
      </c>
      <c r="I3" s="236" t="s">
        <v>8</v>
      </c>
      <c r="J3" s="227" t="s">
        <v>9</v>
      </c>
      <c r="K3" s="227"/>
      <c r="L3" s="228" t="s">
        <v>10</v>
      </c>
      <c r="M3" s="229" t="s">
        <v>11</v>
      </c>
      <c r="N3" s="230" t="s">
        <v>12</v>
      </c>
      <c r="O3" s="230"/>
      <c r="P3" s="230"/>
      <c r="Q3" s="229" t="s">
        <v>13</v>
      </c>
      <c r="R3" s="229" t="s">
        <v>14</v>
      </c>
      <c r="S3" s="229" t="s">
        <v>15</v>
      </c>
      <c r="T3" s="36">
        <v>2021</v>
      </c>
      <c r="U3" s="37"/>
      <c r="V3" s="38" t="s">
        <v>44</v>
      </c>
    </row>
    <row r="4" spans="1:26" ht="14.25" customHeight="1" x14ac:dyDescent="0.2">
      <c r="A4" s="231"/>
      <c r="B4" s="232"/>
      <c r="C4" s="229"/>
      <c r="D4" s="233"/>
      <c r="E4" s="234"/>
      <c r="F4" s="232"/>
      <c r="G4" s="237"/>
      <c r="H4" s="236"/>
      <c r="I4" s="236"/>
      <c r="J4" s="227"/>
      <c r="K4" s="227"/>
      <c r="L4" s="228"/>
      <c r="M4" s="229"/>
      <c r="N4" s="206" t="s">
        <v>16</v>
      </c>
      <c r="O4" s="206" t="s">
        <v>17</v>
      </c>
      <c r="P4" s="206" t="s">
        <v>18</v>
      </c>
      <c r="Q4" s="229"/>
      <c r="R4" s="229"/>
      <c r="S4" s="229"/>
      <c r="T4" s="96" t="s">
        <v>195</v>
      </c>
      <c r="U4" s="39" t="s">
        <v>196</v>
      </c>
      <c r="V4" s="40"/>
    </row>
    <row r="5" spans="1:26" x14ac:dyDescent="0.2">
      <c r="A5" s="72">
        <v>1</v>
      </c>
      <c r="B5" s="73" t="s">
        <v>49</v>
      </c>
      <c r="C5" s="73" t="s">
        <v>55</v>
      </c>
      <c r="D5" s="58">
        <v>44225</v>
      </c>
      <c r="E5" s="74">
        <v>1</v>
      </c>
      <c r="F5" s="73" t="s">
        <v>56</v>
      </c>
      <c r="G5" s="140">
        <v>1</v>
      </c>
      <c r="H5" s="42">
        <v>200000000</v>
      </c>
      <c r="I5" s="42">
        <f>H5*G5</f>
        <v>200000000</v>
      </c>
      <c r="J5" s="76">
        <v>44207</v>
      </c>
      <c r="K5" s="77">
        <f>IFERROR(VALUE(DAY(J5)&amp;" "&amp;TEXT(EOMONTH(J5,L5)-29,"mmm")&amp;" "&amp;YEAR(EOMONTH(J5,L5)-29)),"-")</f>
        <v>47494</v>
      </c>
      <c r="L5" s="78">
        <v>108</v>
      </c>
      <c r="M5" s="99">
        <v>23.21</v>
      </c>
      <c r="N5" s="81">
        <f t="shared" ref="N5" si="0">M5*H5/1000</f>
        <v>4642000</v>
      </c>
      <c r="O5" s="81"/>
      <c r="P5" s="81"/>
      <c r="Q5" s="81">
        <f t="shared" ref="Q5" si="1">N5+O5+P5</f>
        <v>4642000</v>
      </c>
      <c r="R5" s="81">
        <f t="shared" ref="R5" si="2">10%*N5</f>
        <v>464200</v>
      </c>
      <c r="S5" s="81">
        <f t="shared" ref="S5" si="3">Q5-R5</f>
        <v>4177800</v>
      </c>
      <c r="T5" s="42">
        <f>Q5*10%+(Y5*6)</f>
        <v>698469.15887850465</v>
      </c>
      <c r="U5" s="42">
        <f>Y5*12</f>
        <v>468538.31775700935</v>
      </c>
      <c r="V5" s="108">
        <f t="shared" ref="V5" si="4">Q5-T5-U5</f>
        <v>3474992.5233644857</v>
      </c>
      <c r="W5" s="2">
        <f t="shared" ref="W5" si="5">T5+U5+V5</f>
        <v>4642000</v>
      </c>
      <c r="X5" s="2">
        <f t="shared" ref="X5" si="6">Q5-W5</f>
        <v>0</v>
      </c>
      <c r="Y5" s="2">
        <v>39044.859813084113</v>
      </c>
      <c r="Z5" s="109">
        <f t="shared" ref="Z5" si="7">(Q5-T5)/(L5-1)</f>
        <v>36855.428421696219</v>
      </c>
    </row>
    <row r="6" spans="1:26" x14ac:dyDescent="0.2">
      <c r="A6" s="79"/>
      <c r="B6" s="59"/>
      <c r="C6" s="59"/>
      <c r="D6" s="59"/>
      <c r="E6" s="80">
        <f>SUM(E5:E5)</f>
        <v>1</v>
      </c>
      <c r="F6" s="80"/>
      <c r="G6" s="80"/>
      <c r="H6" s="79">
        <f>SUM(H5:H5)</f>
        <v>200000000</v>
      </c>
      <c r="I6" s="79">
        <f>SUM(I5:I5)</f>
        <v>200000000</v>
      </c>
      <c r="J6" s="79"/>
      <c r="K6" s="79"/>
      <c r="L6" s="79"/>
      <c r="M6" s="79"/>
      <c r="N6" s="79">
        <f t="shared" ref="N6:Z6" si="8">SUM(N5:N5)</f>
        <v>4642000</v>
      </c>
      <c r="O6" s="79">
        <f t="shared" si="8"/>
        <v>0</v>
      </c>
      <c r="P6" s="79">
        <f t="shared" si="8"/>
        <v>0</v>
      </c>
      <c r="Q6" s="79">
        <f t="shared" si="8"/>
        <v>4642000</v>
      </c>
      <c r="R6" s="79">
        <f t="shared" si="8"/>
        <v>464200</v>
      </c>
      <c r="S6" s="79">
        <f t="shared" si="8"/>
        <v>4177800</v>
      </c>
      <c r="T6" s="79">
        <f t="shared" si="8"/>
        <v>698469.15887850465</v>
      </c>
      <c r="U6" s="79">
        <f t="shared" si="8"/>
        <v>468538.31775700935</v>
      </c>
      <c r="V6" s="79">
        <f t="shared" si="8"/>
        <v>3474992.5233644857</v>
      </c>
      <c r="W6" s="79">
        <f t="shared" si="8"/>
        <v>4642000</v>
      </c>
      <c r="X6" s="79">
        <f t="shared" si="8"/>
        <v>0</v>
      </c>
      <c r="Y6" s="79">
        <f t="shared" si="8"/>
        <v>39044.859813084113</v>
      </c>
      <c r="Z6" s="79">
        <f t="shared" si="8"/>
        <v>36855.428421696219</v>
      </c>
    </row>
    <row r="8" spans="1:26" ht="14.25" customHeight="1" x14ac:dyDescent="0.2">
      <c r="A8" s="86" t="s">
        <v>70</v>
      </c>
      <c r="B8" s="62"/>
      <c r="C8" s="62"/>
      <c r="D8" s="57"/>
      <c r="E8" s="63"/>
      <c r="F8" s="64"/>
      <c r="G8" s="139"/>
      <c r="H8" s="66"/>
      <c r="I8" s="66"/>
      <c r="J8" s="67"/>
      <c r="K8" s="67"/>
      <c r="L8" s="68"/>
      <c r="M8" s="68"/>
      <c r="N8" s="69"/>
      <c r="O8" s="69"/>
      <c r="P8" s="69"/>
      <c r="Q8" s="69"/>
      <c r="R8" s="69"/>
      <c r="S8" s="69"/>
      <c r="T8" s="70"/>
      <c r="U8" s="71"/>
      <c r="V8" s="71"/>
    </row>
    <row r="9" spans="1:26" ht="14.25" customHeight="1" x14ac:dyDescent="0.2">
      <c r="A9" s="231" t="s">
        <v>0</v>
      </c>
      <c r="B9" s="232" t="s">
        <v>1</v>
      </c>
      <c r="C9" s="229" t="s">
        <v>2</v>
      </c>
      <c r="D9" s="233" t="s">
        <v>3</v>
      </c>
      <c r="E9" s="234" t="s">
        <v>4</v>
      </c>
      <c r="F9" s="232" t="s">
        <v>5</v>
      </c>
      <c r="G9" s="237" t="s">
        <v>6</v>
      </c>
      <c r="H9" s="236" t="s">
        <v>7</v>
      </c>
      <c r="I9" s="236" t="s">
        <v>8</v>
      </c>
      <c r="J9" s="227" t="s">
        <v>9</v>
      </c>
      <c r="K9" s="227"/>
      <c r="L9" s="228" t="s">
        <v>10</v>
      </c>
      <c r="M9" s="229" t="s">
        <v>11</v>
      </c>
      <c r="N9" s="230" t="s">
        <v>12</v>
      </c>
      <c r="O9" s="230"/>
      <c r="P9" s="230"/>
      <c r="Q9" s="229" t="s">
        <v>13</v>
      </c>
      <c r="R9" s="229" t="s">
        <v>14</v>
      </c>
      <c r="S9" s="229" t="s">
        <v>15</v>
      </c>
      <c r="T9" s="36">
        <v>2021</v>
      </c>
      <c r="U9" s="37"/>
      <c r="V9" s="38" t="s">
        <v>44</v>
      </c>
    </row>
    <row r="10" spans="1:26" ht="14.25" customHeight="1" x14ac:dyDescent="0.2">
      <c r="A10" s="231"/>
      <c r="B10" s="232"/>
      <c r="C10" s="229"/>
      <c r="D10" s="233"/>
      <c r="E10" s="234"/>
      <c r="F10" s="232"/>
      <c r="G10" s="237"/>
      <c r="H10" s="236"/>
      <c r="I10" s="236"/>
      <c r="J10" s="227"/>
      <c r="K10" s="227"/>
      <c r="L10" s="228"/>
      <c r="M10" s="229"/>
      <c r="N10" s="206" t="s">
        <v>16</v>
      </c>
      <c r="O10" s="206" t="s">
        <v>17</v>
      </c>
      <c r="P10" s="206" t="s">
        <v>18</v>
      </c>
      <c r="Q10" s="229"/>
      <c r="R10" s="229"/>
      <c r="S10" s="229"/>
      <c r="T10" s="104" t="s">
        <v>198</v>
      </c>
      <c r="U10" s="39" t="s">
        <v>196</v>
      </c>
      <c r="V10" s="106"/>
    </row>
    <row r="11" spans="1:26" x14ac:dyDescent="0.2">
      <c r="A11" s="72">
        <v>2</v>
      </c>
      <c r="B11" s="107" t="s">
        <v>59</v>
      </c>
      <c r="C11" s="107" t="s">
        <v>60</v>
      </c>
      <c r="D11" s="110">
        <v>44237</v>
      </c>
      <c r="E11" s="74">
        <v>1</v>
      </c>
      <c r="F11" s="107" t="s">
        <v>61</v>
      </c>
      <c r="G11" s="141">
        <v>1</v>
      </c>
      <c r="H11" s="112">
        <v>300000000</v>
      </c>
      <c r="I11" s="112">
        <f>H11*G11</f>
        <v>300000000</v>
      </c>
      <c r="J11" s="110">
        <v>44222</v>
      </c>
      <c r="K11" s="77">
        <f>IFERROR(VALUE(DAY(J11)&amp;" "&amp;TEXT(EOMONTH(J11,L11)-29,"mmm")&amp;" "&amp;YEAR(EOMONTH(J11,L11)-29)),"-")</f>
        <v>49700</v>
      </c>
      <c r="L11" s="107">
        <v>180</v>
      </c>
      <c r="M11" s="99">
        <v>37.520000000000003</v>
      </c>
      <c r="N11" s="81">
        <f t="shared" ref="N11" si="9">M11*H11/1000</f>
        <v>11256000</v>
      </c>
      <c r="O11" s="81"/>
      <c r="P11" s="81"/>
      <c r="Q11" s="81">
        <f t="shared" ref="Q11" si="10">N11+O11+P11</f>
        <v>11256000</v>
      </c>
      <c r="R11" s="81">
        <f t="shared" ref="R11" si="11">10%*N11</f>
        <v>1125600</v>
      </c>
      <c r="S11" s="81">
        <f t="shared" ref="S11" si="12">Q11-R11</f>
        <v>10130400</v>
      </c>
      <c r="T11" s="42">
        <f>Q11*10%+(Y11*5)</f>
        <v>1408572.067039106</v>
      </c>
      <c r="U11" s="42">
        <f t="shared" ref="U11" si="13">Y11*12</f>
        <v>679132.96089385473</v>
      </c>
      <c r="V11" s="108">
        <f t="shared" ref="V11" si="14">Q11-T11-U11</f>
        <v>9168294.9720670395</v>
      </c>
      <c r="W11" s="2">
        <f t="shared" ref="W11" si="15">T11+U11+V11</f>
        <v>11256000</v>
      </c>
      <c r="X11" s="2">
        <f t="shared" ref="X11" si="16">Q11-W11</f>
        <v>0</v>
      </c>
      <c r="Y11" s="2">
        <v>56594.41340782123</v>
      </c>
      <c r="Z11" s="109">
        <f t="shared" ref="Z11" si="17">(Q11-T11)/(L11-1)</f>
        <v>55013.563871289909</v>
      </c>
    </row>
    <row r="12" spans="1:26" x14ac:dyDescent="0.2">
      <c r="A12" s="79"/>
      <c r="B12" s="59"/>
      <c r="C12" s="59" t="s">
        <v>72</v>
      </c>
      <c r="D12" s="59"/>
      <c r="E12" s="80">
        <f>SUM(E11:E11)</f>
        <v>1</v>
      </c>
      <c r="F12" s="80"/>
      <c r="G12" s="80"/>
      <c r="H12" s="79">
        <f>SUM(H11:H11)</f>
        <v>300000000</v>
      </c>
      <c r="I12" s="79">
        <f>SUM(I11:I11)</f>
        <v>300000000</v>
      </c>
      <c r="J12" s="79"/>
      <c r="K12" s="79"/>
      <c r="L12" s="79"/>
      <c r="M12" s="79"/>
      <c r="N12" s="79">
        <f t="shared" ref="N12:Z12" si="18">SUM(N11:N11)</f>
        <v>11256000</v>
      </c>
      <c r="O12" s="79">
        <f t="shared" si="18"/>
        <v>0</v>
      </c>
      <c r="P12" s="79">
        <f t="shared" si="18"/>
        <v>0</v>
      </c>
      <c r="Q12" s="79">
        <f t="shared" si="18"/>
        <v>11256000</v>
      </c>
      <c r="R12" s="79">
        <f t="shared" si="18"/>
        <v>1125600</v>
      </c>
      <c r="S12" s="79">
        <f t="shared" si="18"/>
        <v>10130400</v>
      </c>
      <c r="T12" s="79">
        <f t="shared" si="18"/>
        <v>1408572.067039106</v>
      </c>
      <c r="U12" s="79">
        <f t="shared" si="18"/>
        <v>679132.96089385473</v>
      </c>
      <c r="V12" s="79">
        <f t="shared" si="18"/>
        <v>9168294.9720670395</v>
      </c>
      <c r="W12" s="79">
        <f t="shared" si="18"/>
        <v>11256000</v>
      </c>
      <c r="X12" s="79">
        <f t="shared" si="18"/>
        <v>0</v>
      </c>
      <c r="Y12" s="79">
        <f t="shared" si="18"/>
        <v>56594.41340782123</v>
      </c>
      <c r="Z12" s="79">
        <f t="shared" si="18"/>
        <v>55013.563871289909</v>
      </c>
    </row>
    <row r="13" spans="1:26" s="94" customFormat="1" x14ac:dyDescent="0.2">
      <c r="A13" s="83"/>
      <c r="B13" s="83"/>
      <c r="C13" s="83" t="s">
        <v>73</v>
      </c>
      <c r="D13" s="84"/>
      <c r="E13" s="93">
        <f>E12+E6</f>
        <v>2</v>
      </c>
      <c r="F13" s="83"/>
      <c r="G13" s="142"/>
      <c r="H13" s="87">
        <f>H12+H6</f>
        <v>500000000</v>
      </c>
      <c r="I13" s="87">
        <f>I12+I6</f>
        <v>500000000</v>
      </c>
      <c r="J13" s="83"/>
      <c r="K13" s="83"/>
      <c r="L13" s="83"/>
      <c r="M13" s="83"/>
      <c r="N13" s="83"/>
      <c r="O13" s="83"/>
      <c r="P13" s="83"/>
      <c r="Q13" s="87">
        <f t="shared" ref="Q13:Z13" si="19">Q12+Q6</f>
        <v>15898000</v>
      </c>
      <c r="R13" s="87">
        <f t="shared" si="19"/>
        <v>1589800</v>
      </c>
      <c r="S13" s="87">
        <f t="shared" si="19"/>
        <v>14308200</v>
      </c>
      <c r="T13" s="87">
        <f t="shared" si="19"/>
        <v>2107041.2259176108</v>
      </c>
      <c r="U13" s="87">
        <f t="shared" si="19"/>
        <v>1147671.278650864</v>
      </c>
      <c r="V13" s="87">
        <f t="shared" si="19"/>
        <v>12643287.495431526</v>
      </c>
      <c r="W13" s="87">
        <f t="shared" si="19"/>
        <v>15898000</v>
      </c>
      <c r="X13" s="87">
        <f t="shared" si="19"/>
        <v>0</v>
      </c>
      <c r="Y13" s="87">
        <f t="shared" si="19"/>
        <v>95639.273220905336</v>
      </c>
      <c r="Z13" s="87">
        <f t="shared" si="19"/>
        <v>91868.992292986135</v>
      </c>
    </row>
    <row r="16" spans="1:26" ht="23.25" x14ac:dyDescent="0.2">
      <c r="A16" s="86" t="s">
        <v>87</v>
      </c>
      <c r="B16" s="62"/>
      <c r="C16" s="62"/>
      <c r="D16" s="57"/>
      <c r="E16" s="63"/>
      <c r="F16" s="64"/>
      <c r="G16" s="139"/>
      <c r="H16" s="66"/>
      <c r="I16" s="66"/>
      <c r="J16" s="67"/>
      <c r="K16" s="67"/>
      <c r="L16" s="68"/>
      <c r="M16" s="68"/>
      <c r="N16" s="69"/>
      <c r="O16" s="69"/>
      <c r="P16" s="69"/>
      <c r="Q16" s="69"/>
      <c r="R16" s="69"/>
      <c r="S16" s="69"/>
      <c r="T16" s="70"/>
      <c r="U16" s="71"/>
      <c r="V16" s="71"/>
    </row>
    <row r="17" spans="1:26" x14ac:dyDescent="0.2">
      <c r="A17" s="231" t="s">
        <v>0</v>
      </c>
      <c r="B17" s="232" t="s">
        <v>1</v>
      </c>
      <c r="C17" s="229" t="s">
        <v>2</v>
      </c>
      <c r="D17" s="233" t="s">
        <v>3</v>
      </c>
      <c r="E17" s="234" t="s">
        <v>4</v>
      </c>
      <c r="F17" s="232" t="s">
        <v>5</v>
      </c>
      <c r="G17" s="237" t="s">
        <v>6</v>
      </c>
      <c r="H17" s="236" t="s">
        <v>7</v>
      </c>
      <c r="I17" s="236" t="s">
        <v>8</v>
      </c>
      <c r="J17" s="227" t="s">
        <v>9</v>
      </c>
      <c r="K17" s="227"/>
      <c r="L17" s="228" t="s">
        <v>10</v>
      </c>
      <c r="M17" s="229" t="s">
        <v>11</v>
      </c>
      <c r="N17" s="230" t="s">
        <v>12</v>
      </c>
      <c r="O17" s="230"/>
      <c r="P17" s="230"/>
      <c r="Q17" s="229" t="s">
        <v>13</v>
      </c>
      <c r="R17" s="229" t="s">
        <v>14</v>
      </c>
      <c r="S17" s="229" t="s">
        <v>15</v>
      </c>
      <c r="T17" s="36">
        <v>2021</v>
      </c>
      <c r="U17" s="37"/>
      <c r="V17" s="38" t="s">
        <v>44</v>
      </c>
    </row>
    <row r="18" spans="1:26" x14ac:dyDescent="0.2">
      <c r="A18" s="231"/>
      <c r="B18" s="232"/>
      <c r="C18" s="229"/>
      <c r="D18" s="233"/>
      <c r="E18" s="234"/>
      <c r="F18" s="232"/>
      <c r="G18" s="237"/>
      <c r="H18" s="236"/>
      <c r="I18" s="236"/>
      <c r="J18" s="227"/>
      <c r="K18" s="227"/>
      <c r="L18" s="228"/>
      <c r="M18" s="229"/>
      <c r="N18" s="206" t="s">
        <v>16</v>
      </c>
      <c r="O18" s="206" t="s">
        <v>17</v>
      </c>
      <c r="P18" s="206" t="s">
        <v>18</v>
      </c>
      <c r="Q18" s="229"/>
      <c r="R18" s="229"/>
      <c r="S18" s="229"/>
      <c r="T18" s="96" t="s">
        <v>197</v>
      </c>
      <c r="U18" s="39" t="s">
        <v>196</v>
      </c>
      <c r="V18" s="40"/>
    </row>
    <row r="19" spans="1:26" x14ac:dyDescent="0.2">
      <c r="A19" s="74">
        <v>3</v>
      </c>
      <c r="B19" s="107" t="s">
        <v>49</v>
      </c>
      <c r="C19" s="107" t="s">
        <v>78</v>
      </c>
      <c r="D19" s="110">
        <v>44237</v>
      </c>
      <c r="E19" s="74">
        <v>1</v>
      </c>
      <c r="F19" s="107" t="s">
        <v>79</v>
      </c>
      <c r="G19" s="141">
        <v>1</v>
      </c>
      <c r="H19" s="112">
        <v>40000000</v>
      </c>
      <c r="I19" s="112">
        <f>H19*G19</f>
        <v>40000000</v>
      </c>
      <c r="J19" s="110">
        <v>44245</v>
      </c>
      <c r="K19" s="77">
        <f>IFERROR(VALUE(DAY(J19)&amp;" "&amp;TEXT(EOMONTH(J19,L19)-29,"mmm")&amp;" "&amp;YEAR(EOMONTH(J19,L19)-29)),"-")</f>
        <v>44944</v>
      </c>
      <c r="L19" s="107">
        <v>24</v>
      </c>
      <c r="M19" s="99">
        <v>21.1</v>
      </c>
      <c r="N19" s="81">
        <f t="shared" ref="N19" si="20">M19*H19/1000</f>
        <v>844000</v>
      </c>
      <c r="O19" s="81"/>
      <c r="P19" s="81"/>
      <c r="Q19" s="81">
        <f t="shared" ref="Q19" si="21">N19+O19+P19</f>
        <v>844000</v>
      </c>
      <c r="R19" s="81">
        <f t="shared" ref="R19" si="22">10%*N19</f>
        <v>84400</v>
      </c>
      <c r="S19" s="81">
        <f t="shared" ref="S19" si="23">Q19-R19</f>
        <v>759600</v>
      </c>
      <c r="T19" s="42">
        <f>Q19*10%+(Y19*4)</f>
        <v>216504.3478260868</v>
      </c>
      <c r="U19" s="42">
        <f>Y19*12</f>
        <v>396313.0434782604</v>
      </c>
      <c r="V19" s="108">
        <f t="shared" ref="V19" si="24">Q19-T19-U19</f>
        <v>231182.6086956528</v>
      </c>
      <c r="W19" s="2">
        <f t="shared" ref="W19" si="25">T19+U19+V19</f>
        <v>844000</v>
      </c>
      <c r="X19" s="2">
        <f t="shared" ref="X19" si="26">Q19-W19</f>
        <v>0</v>
      </c>
      <c r="Y19" s="2">
        <v>33026.0869565217</v>
      </c>
      <c r="Z19" s="109">
        <f>(Q19-T19)/(L19-1)</f>
        <v>27282.419659735355</v>
      </c>
    </row>
    <row r="20" spans="1:26" x14ac:dyDescent="0.2">
      <c r="A20" s="88"/>
      <c r="B20" s="84"/>
      <c r="C20" s="84"/>
      <c r="D20" s="84"/>
      <c r="E20" s="88">
        <f>SUM(E19:E19)</f>
        <v>1</v>
      </c>
      <c r="F20" s="84"/>
      <c r="G20" s="40"/>
      <c r="H20" s="59">
        <f>SUM(H19:H19)</f>
        <v>40000000</v>
      </c>
      <c r="I20" s="59">
        <f>SUM(I19:I19)</f>
        <v>40000000</v>
      </c>
      <c r="J20" s="59"/>
      <c r="K20" s="59"/>
      <c r="L20" s="59"/>
      <c r="M20" s="59"/>
      <c r="N20" s="59">
        <f t="shared" ref="N20:Z20" si="27">SUM(N19:N19)</f>
        <v>844000</v>
      </c>
      <c r="O20" s="59">
        <f t="shared" si="27"/>
        <v>0</v>
      </c>
      <c r="P20" s="59">
        <f t="shared" si="27"/>
        <v>0</v>
      </c>
      <c r="Q20" s="59">
        <f t="shared" si="27"/>
        <v>844000</v>
      </c>
      <c r="R20" s="59">
        <f t="shared" si="27"/>
        <v>84400</v>
      </c>
      <c r="S20" s="59">
        <f t="shared" si="27"/>
        <v>759600</v>
      </c>
      <c r="T20" s="59">
        <f t="shared" si="27"/>
        <v>216504.3478260868</v>
      </c>
      <c r="U20" s="59">
        <f t="shared" si="27"/>
        <v>396313.0434782604</v>
      </c>
      <c r="V20" s="59">
        <f t="shared" si="27"/>
        <v>231182.6086956528</v>
      </c>
      <c r="W20" s="59">
        <f t="shared" si="27"/>
        <v>844000</v>
      </c>
      <c r="X20" s="59">
        <f t="shared" si="27"/>
        <v>0</v>
      </c>
      <c r="Y20" s="59">
        <f t="shared" si="27"/>
        <v>33026.0869565217</v>
      </c>
      <c r="Z20" s="59">
        <f t="shared" si="27"/>
        <v>27282.419659735355</v>
      </c>
    </row>
    <row r="21" spans="1:26" x14ac:dyDescent="0.2">
      <c r="A21" s="74">
        <v>4</v>
      </c>
      <c r="B21" s="107" t="s">
        <v>84</v>
      </c>
      <c r="C21" s="107" t="s">
        <v>85</v>
      </c>
      <c r="D21" s="110">
        <v>44286</v>
      </c>
      <c r="E21" s="74">
        <v>1</v>
      </c>
      <c r="F21" s="107" t="s">
        <v>86</v>
      </c>
      <c r="G21" s="141">
        <v>1</v>
      </c>
      <c r="H21" s="112">
        <v>300000000</v>
      </c>
      <c r="I21" s="112">
        <f>H21*G21</f>
        <v>300000000</v>
      </c>
      <c r="J21" s="110">
        <v>44263</v>
      </c>
      <c r="K21" s="77">
        <f t="shared" ref="K21" si="28">IFERROR(VALUE(DAY(J21)&amp;" "&amp;TEXT(EOMONTH(J21,L21)-29,"mmm")&amp;" "&amp;YEAR(EOMONTH(J21,L21)-29)),"-")</f>
        <v>44993</v>
      </c>
      <c r="L21" s="107">
        <v>24</v>
      </c>
      <c r="M21" s="99">
        <v>51.12</v>
      </c>
      <c r="N21" s="81">
        <f t="shared" ref="N21" si="29">M21*H21/1000</f>
        <v>15336000</v>
      </c>
      <c r="O21" s="81"/>
      <c r="P21" s="81"/>
      <c r="Q21" s="81">
        <f t="shared" ref="Q21" si="30">N21+O21+P21</f>
        <v>15336000</v>
      </c>
      <c r="R21" s="81">
        <f t="shared" ref="R21" si="31">10%*N21</f>
        <v>1533600</v>
      </c>
      <c r="S21" s="81">
        <f t="shared" ref="S21" si="32">Q21-R21</f>
        <v>13802400</v>
      </c>
      <c r="T21" s="42">
        <f>Q21*10%+(Y21*4)</f>
        <v>1759977.6536312848</v>
      </c>
      <c r="U21" s="42">
        <f>Y21*12</f>
        <v>679132.96089385473</v>
      </c>
      <c r="V21" s="108">
        <f t="shared" ref="V21" si="33">Q21-T21-U21</f>
        <v>12896889.385474861</v>
      </c>
      <c r="W21" s="2">
        <f t="shared" ref="W21" si="34">T21+U21+V21</f>
        <v>15336000</v>
      </c>
      <c r="X21" s="2">
        <f t="shared" ref="X21" si="35">Q21-W21</f>
        <v>0</v>
      </c>
      <c r="Y21" s="2">
        <v>56594.41340782123</v>
      </c>
      <c r="Z21" s="109">
        <f>(Q21-T21)/(L21-1)</f>
        <v>590261.84114646586</v>
      </c>
    </row>
    <row r="22" spans="1:26" x14ac:dyDescent="0.2">
      <c r="A22" s="88"/>
      <c r="B22" s="84"/>
      <c r="C22" s="84"/>
      <c r="D22" s="84"/>
      <c r="E22" s="88">
        <f>SUM(E21:E21)</f>
        <v>1</v>
      </c>
      <c r="F22" s="84"/>
      <c r="G22" s="40"/>
      <c r="H22" s="59">
        <f>SUM(H21:H21)</f>
        <v>300000000</v>
      </c>
      <c r="I22" s="59">
        <f>SUM(I21:I21)</f>
        <v>300000000</v>
      </c>
      <c r="J22" s="59"/>
      <c r="K22" s="59"/>
      <c r="L22" s="59"/>
      <c r="M22" s="59"/>
      <c r="N22" s="59">
        <f t="shared" ref="N22:Z22" si="36">SUM(N21:N21)</f>
        <v>15336000</v>
      </c>
      <c r="O22" s="59">
        <f t="shared" si="36"/>
        <v>0</v>
      </c>
      <c r="P22" s="59">
        <f t="shared" si="36"/>
        <v>0</v>
      </c>
      <c r="Q22" s="59">
        <f t="shared" si="36"/>
        <v>15336000</v>
      </c>
      <c r="R22" s="59">
        <f t="shared" si="36"/>
        <v>1533600</v>
      </c>
      <c r="S22" s="59">
        <f t="shared" si="36"/>
        <v>13802400</v>
      </c>
      <c r="T22" s="59">
        <f t="shared" si="36"/>
        <v>1759977.6536312848</v>
      </c>
      <c r="U22" s="59">
        <f t="shared" si="36"/>
        <v>679132.96089385473</v>
      </c>
      <c r="V22" s="59">
        <f t="shared" si="36"/>
        <v>12896889.385474861</v>
      </c>
      <c r="W22" s="59">
        <f t="shared" si="36"/>
        <v>15336000</v>
      </c>
      <c r="X22" s="59">
        <f t="shared" si="36"/>
        <v>0</v>
      </c>
      <c r="Y22" s="59">
        <f t="shared" si="36"/>
        <v>56594.41340782123</v>
      </c>
      <c r="Z22" s="59">
        <f t="shared" si="36"/>
        <v>590261.84114646586</v>
      </c>
    </row>
    <row r="23" spans="1:26" x14ac:dyDescent="0.2">
      <c r="A23" s="83"/>
      <c r="B23" s="83"/>
      <c r="C23" s="83" t="s">
        <v>92</v>
      </c>
      <c r="D23" s="84"/>
      <c r="E23" s="93">
        <f>E22+E20</f>
        <v>2</v>
      </c>
      <c r="F23" s="87">
        <f t="shared" ref="F23:Z23" si="37">F22+F20</f>
        <v>0</v>
      </c>
      <c r="G23" s="87">
        <f t="shared" si="37"/>
        <v>0</v>
      </c>
      <c r="H23" s="87">
        <f t="shared" si="37"/>
        <v>340000000</v>
      </c>
      <c r="I23" s="87">
        <f t="shared" si="37"/>
        <v>340000000</v>
      </c>
      <c r="J23" s="87">
        <f t="shared" si="37"/>
        <v>0</v>
      </c>
      <c r="K23" s="87">
        <f t="shared" si="37"/>
        <v>0</v>
      </c>
      <c r="L23" s="87"/>
      <c r="M23" s="87"/>
      <c r="N23" s="87">
        <f t="shared" si="37"/>
        <v>16180000</v>
      </c>
      <c r="O23" s="87">
        <f t="shared" si="37"/>
        <v>0</v>
      </c>
      <c r="P23" s="87">
        <f t="shared" si="37"/>
        <v>0</v>
      </c>
      <c r="Q23" s="87">
        <f t="shared" si="37"/>
        <v>16180000</v>
      </c>
      <c r="R23" s="87">
        <f t="shared" si="37"/>
        <v>1618000</v>
      </c>
      <c r="S23" s="87">
        <f t="shared" si="37"/>
        <v>14562000</v>
      </c>
      <c r="T23" s="87">
        <f t="shared" si="37"/>
        <v>1976482.0014573717</v>
      </c>
      <c r="U23" s="87">
        <f t="shared" si="37"/>
        <v>1075446.0043721152</v>
      </c>
      <c r="V23" s="87">
        <f t="shared" si="37"/>
        <v>13128071.994170513</v>
      </c>
      <c r="W23" s="87">
        <f t="shared" si="37"/>
        <v>16180000</v>
      </c>
      <c r="X23" s="87">
        <f t="shared" si="37"/>
        <v>0</v>
      </c>
      <c r="Y23" s="87">
        <f t="shared" si="37"/>
        <v>89620.500364342937</v>
      </c>
      <c r="Z23" s="87">
        <f t="shared" si="37"/>
        <v>617544.26080620126</v>
      </c>
    </row>
    <row r="24" spans="1:26" x14ac:dyDescent="0.2">
      <c r="A24" s="89"/>
      <c r="B24" s="89"/>
      <c r="C24" s="83" t="s">
        <v>93</v>
      </c>
      <c r="D24" s="89"/>
      <c r="E24" s="85">
        <f>E23+E13</f>
        <v>4</v>
      </c>
      <c r="F24" s="91">
        <f t="shared" ref="F24:Z24" si="38">F23+F13</f>
        <v>0</v>
      </c>
      <c r="G24" s="91">
        <f t="shared" si="38"/>
        <v>0</v>
      </c>
      <c r="H24" s="91">
        <f t="shared" si="38"/>
        <v>840000000</v>
      </c>
      <c r="I24" s="91">
        <f t="shared" si="38"/>
        <v>840000000</v>
      </c>
      <c r="J24" s="91">
        <f t="shared" si="38"/>
        <v>0</v>
      </c>
      <c r="K24" s="91">
        <f t="shared" si="38"/>
        <v>0</v>
      </c>
      <c r="L24" s="91">
        <f t="shared" si="38"/>
        <v>0</v>
      </c>
      <c r="M24" s="91">
        <f t="shared" si="38"/>
        <v>0</v>
      </c>
      <c r="N24" s="91">
        <f t="shared" si="38"/>
        <v>16180000</v>
      </c>
      <c r="O24" s="91">
        <f t="shared" si="38"/>
        <v>0</v>
      </c>
      <c r="P24" s="91">
        <f t="shared" si="38"/>
        <v>0</v>
      </c>
      <c r="Q24" s="91">
        <f t="shared" si="38"/>
        <v>32078000</v>
      </c>
      <c r="R24" s="91">
        <f t="shared" si="38"/>
        <v>3207800</v>
      </c>
      <c r="S24" s="91">
        <f t="shared" si="38"/>
        <v>28870200</v>
      </c>
      <c r="T24" s="91">
        <f t="shared" si="38"/>
        <v>4083523.2273749826</v>
      </c>
      <c r="U24" s="91">
        <f t="shared" si="38"/>
        <v>2223117.2830229793</v>
      </c>
      <c r="V24" s="91">
        <f t="shared" si="38"/>
        <v>25771359.489602037</v>
      </c>
      <c r="W24" s="91">
        <f t="shared" si="38"/>
        <v>32078000</v>
      </c>
      <c r="X24" s="91">
        <f t="shared" si="38"/>
        <v>0</v>
      </c>
      <c r="Y24" s="91">
        <f t="shared" si="38"/>
        <v>185259.77358524827</v>
      </c>
      <c r="Z24" s="91">
        <f t="shared" si="38"/>
        <v>709413.25309918739</v>
      </c>
    </row>
    <row r="25" spans="1:26" x14ac:dyDescent="0.2">
      <c r="D25" s="3"/>
    </row>
    <row r="26" spans="1:26" ht="23.25" x14ac:dyDescent="0.2">
      <c r="A26" s="86" t="s">
        <v>117</v>
      </c>
      <c r="B26" s="62"/>
      <c r="C26" s="62"/>
      <c r="D26" s="57"/>
      <c r="E26" s="63"/>
      <c r="F26" s="64"/>
      <c r="G26" s="139"/>
      <c r="H26" s="66"/>
      <c r="I26" s="66"/>
      <c r="J26" s="67"/>
      <c r="K26" s="67"/>
      <c r="L26" s="68"/>
      <c r="M26" s="68"/>
      <c r="N26" s="69"/>
      <c r="O26" s="69"/>
      <c r="P26" s="69"/>
      <c r="Q26" s="69"/>
      <c r="R26" s="69"/>
      <c r="S26" s="69"/>
      <c r="T26" s="70"/>
      <c r="U26" s="71"/>
      <c r="V26" s="71"/>
    </row>
    <row r="27" spans="1:26" x14ac:dyDescent="0.2">
      <c r="A27" s="231" t="s">
        <v>0</v>
      </c>
      <c r="B27" s="232" t="s">
        <v>1</v>
      </c>
      <c r="C27" s="229" t="s">
        <v>2</v>
      </c>
      <c r="D27" s="233" t="s">
        <v>3</v>
      </c>
      <c r="E27" s="234" t="s">
        <v>4</v>
      </c>
      <c r="F27" s="232" t="s">
        <v>5</v>
      </c>
      <c r="G27" s="237" t="s">
        <v>6</v>
      </c>
      <c r="H27" s="236" t="s">
        <v>7</v>
      </c>
      <c r="I27" s="236" t="s">
        <v>8</v>
      </c>
      <c r="J27" s="227" t="s">
        <v>9</v>
      </c>
      <c r="K27" s="227"/>
      <c r="L27" s="228" t="s">
        <v>10</v>
      </c>
      <c r="M27" s="229" t="s">
        <v>11</v>
      </c>
      <c r="N27" s="230" t="s">
        <v>12</v>
      </c>
      <c r="O27" s="230"/>
      <c r="P27" s="230"/>
      <c r="Q27" s="229" t="s">
        <v>13</v>
      </c>
      <c r="R27" s="229" t="s">
        <v>14</v>
      </c>
      <c r="S27" s="229" t="s">
        <v>15</v>
      </c>
      <c r="T27" s="36">
        <v>2021</v>
      </c>
      <c r="U27" s="37"/>
      <c r="V27" s="38" t="s">
        <v>44</v>
      </c>
    </row>
    <row r="28" spans="1:26" x14ac:dyDescent="0.2">
      <c r="A28" s="231"/>
      <c r="B28" s="232"/>
      <c r="C28" s="229"/>
      <c r="D28" s="233"/>
      <c r="E28" s="234"/>
      <c r="F28" s="232"/>
      <c r="G28" s="237"/>
      <c r="H28" s="236"/>
      <c r="I28" s="236"/>
      <c r="J28" s="227"/>
      <c r="K28" s="227"/>
      <c r="L28" s="228"/>
      <c r="M28" s="229"/>
      <c r="N28" s="206" t="s">
        <v>16</v>
      </c>
      <c r="O28" s="206" t="s">
        <v>17</v>
      </c>
      <c r="P28" s="206" t="s">
        <v>18</v>
      </c>
      <c r="Q28" s="229"/>
      <c r="R28" s="229"/>
      <c r="S28" s="229"/>
      <c r="T28" s="96" t="s">
        <v>199</v>
      </c>
      <c r="U28" s="39" t="s">
        <v>196</v>
      </c>
      <c r="V28" s="40"/>
    </row>
    <row r="29" spans="1:26" x14ac:dyDescent="0.2">
      <c r="A29" s="74">
        <v>5</v>
      </c>
      <c r="B29" s="107" t="s">
        <v>46</v>
      </c>
      <c r="C29" s="107" t="s">
        <v>96</v>
      </c>
      <c r="D29" s="110">
        <v>44313</v>
      </c>
      <c r="E29" s="74">
        <v>1</v>
      </c>
      <c r="F29" s="107" t="s">
        <v>47</v>
      </c>
      <c r="G29" s="111">
        <v>1</v>
      </c>
      <c r="H29" s="112">
        <v>57599206</v>
      </c>
      <c r="I29" s="112">
        <f>H29*G29</f>
        <v>57599206</v>
      </c>
      <c r="J29" s="110">
        <v>46069</v>
      </c>
      <c r="K29" s="77">
        <v>46446</v>
      </c>
      <c r="L29" s="107">
        <v>12</v>
      </c>
      <c r="M29" s="99">
        <v>9.1</v>
      </c>
      <c r="N29" s="81">
        <f t="shared" ref="N29:N30" si="39">M29*H29/1000</f>
        <v>524152.77459999995</v>
      </c>
      <c r="O29" s="81">
        <v>100000</v>
      </c>
      <c r="P29" s="81"/>
      <c r="Q29" s="81">
        <f t="shared" ref="Q29:Q30" si="40">N29+O29+P29</f>
        <v>624152.77459999989</v>
      </c>
      <c r="R29" s="81"/>
      <c r="S29" s="81">
        <f t="shared" ref="S29:S30" si="41">Q29-R29</f>
        <v>624152.77459999989</v>
      </c>
      <c r="T29" s="42">
        <f>Q29*10%+(Y29*3)</f>
        <v>215616.4130436363</v>
      </c>
      <c r="U29" s="42">
        <f>Y29*8</f>
        <v>408536.36155636352</v>
      </c>
      <c r="V29" s="108">
        <f t="shared" ref="V29:V41" si="42">Q29-T29-U29</f>
        <v>0</v>
      </c>
      <c r="W29" s="2">
        <f t="shared" ref="W29:W41" si="43">T29+U29+V29</f>
        <v>624152.77459999989</v>
      </c>
      <c r="X29" s="2">
        <f t="shared" ref="X29:X41" si="44">Q29-W29</f>
        <v>0</v>
      </c>
      <c r="Y29" s="2">
        <v>51067.045194545441</v>
      </c>
      <c r="Z29" s="109">
        <f>(Q29-T29)/(L29-1)</f>
        <v>37139.669232396693</v>
      </c>
    </row>
    <row r="30" spans="1:26" x14ac:dyDescent="0.2">
      <c r="A30" s="74"/>
      <c r="B30" s="107"/>
      <c r="C30" s="107"/>
      <c r="D30" s="110"/>
      <c r="E30" s="74">
        <v>1</v>
      </c>
      <c r="F30" s="107" t="s">
        <v>48</v>
      </c>
      <c r="G30" s="111">
        <v>1</v>
      </c>
      <c r="H30" s="112">
        <v>11844392</v>
      </c>
      <c r="I30" s="112">
        <f>H30*G30</f>
        <v>11844392</v>
      </c>
      <c r="J30" s="110">
        <v>46523</v>
      </c>
      <c r="K30" s="77">
        <v>46768</v>
      </c>
      <c r="L30" s="107">
        <v>8</v>
      </c>
      <c r="M30" s="99">
        <v>5.46</v>
      </c>
      <c r="N30" s="81">
        <f t="shared" si="39"/>
        <v>64670.380320000004</v>
      </c>
      <c r="O30" s="81">
        <v>100000</v>
      </c>
      <c r="P30" s="81"/>
      <c r="Q30" s="81">
        <f t="shared" si="40"/>
        <v>164670.38032</v>
      </c>
      <c r="R30" s="81"/>
      <c r="S30" s="81">
        <f t="shared" si="41"/>
        <v>164670.38032</v>
      </c>
      <c r="T30" s="42">
        <f>Q30*10%+(Y30*3)</f>
        <v>79982.756155428564</v>
      </c>
      <c r="U30" s="42">
        <f>Y30*4</f>
        <v>84687.624164571418</v>
      </c>
      <c r="V30" s="108">
        <f t="shared" si="42"/>
        <v>0</v>
      </c>
      <c r="W30" s="2">
        <f t="shared" si="43"/>
        <v>164670.38032</v>
      </c>
      <c r="X30" s="2">
        <f t="shared" si="44"/>
        <v>0</v>
      </c>
      <c r="Y30" s="2">
        <v>21171.906041142855</v>
      </c>
      <c r="Z30" s="109">
        <f t="shared" ref="Z30:Z41" si="45">(Q30-T30)/(L30-1)</f>
        <v>12098.232023510205</v>
      </c>
    </row>
    <row r="31" spans="1:26" x14ac:dyDescent="0.2">
      <c r="A31" s="88"/>
      <c r="B31" s="84"/>
      <c r="C31" s="84"/>
      <c r="D31" s="84"/>
      <c r="E31" s="88"/>
      <c r="F31" s="84"/>
      <c r="G31" s="115"/>
      <c r="H31" s="59"/>
      <c r="I31" s="59"/>
      <c r="J31" s="59"/>
      <c r="K31" s="59"/>
      <c r="L31" s="59"/>
      <c r="M31" s="59"/>
      <c r="N31" s="59">
        <f t="shared" ref="N31:Z31" si="46">SUM(N29:N30)</f>
        <v>588823.15492</v>
      </c>
      <c r="O31" s="59">
        <f t="shared" si="46"/>
        <v>200000</v>
      </c>
      <c r="P31" s="59">
        <f t="shared" si="46"/>
        <v>0</v>
      </c>
      <c r="Q31" s="59">
        <f t="shared" si="46"/>
        <v>788823.15491999988</v>
      </c>
      <c r="R31" s="59">
        <f t="shared" si="46"/>
        <v>0</v>
      </c>
      <c r="S31" s="59">
        <f t="shared" si="46"/>
        <v>788823.15491999988</v>
      </c>
      <c r="T31" s="59">
        <f t="shared" si="46"/>
        <v>295599.16919906484</v>
      </c>
      <c r="U31" s="59">
        <f t="shared" si="46"/>
        <v>493223.98572093493</v>
      </c>
      <c r="V31" s="59">
        <f t="shared" si="46"/>
        <v>0</v>
      </c>
      <c r="W31" s="59">
        <f t="shared" si="46"/>
        <v>788823.15491999988</v>
      </c>
      <c r="X31" s="59">
        <f t="shared" si="46"/>
        <v>0</v>
      </c>
      <c r="Y31" s="59">
        <f t="shared" si="46"/>
        <v>72238.951235688291</v>
      </c>
      <c r="Z31" s="59">
        <f t="shared" si="46"/>
        <v>49237.901255906894</v>
      </c>
    </row>
    <row r="32" spans="1:26" x14ac:dyDescent="0.2">
      <c r="A32" s="74">
        <v>6</v>
      </c>
      <c r="B32" s="107" t="s">
        <v>49</v>
      </c>
      <c r="C32" s="107" t="s">
        <v>101</v>
      </c>
      <c r="D32" s="110">
        <v>44301</v>
      </c>
      <c r="E32" s="74">
        <v>1</v>
      </c>
      <c r="F32" s="107" t="s">
        <v>102</v>
      </c>
      <c r="G32" s="111">
        <v>1</v>
      </c>
      <c r="H32" s="112">
        <v>35000000</v>
      </c>
      <c r="I32" s="112">
        <f>H32*G32</f>
        <v>35000000</v>
      </c>
      <c r="J32" s="110">
        <v>44278</v>
      </c>
      <c r="K32" s="77">
        <f t="shared" ref="K32" si="47">IFERROR(VALUE(DAY(J32)&amp;" "&amp;TEXT(EOMONTH(J32,L32)-29,"mmm")&amp;" "&amp;YEAR(EOMONTH(J32,L32)-29)),"-")</f>
        <v>45374</v>
      </c>
      <c r="L32" s="107">
        <v>36</v>
      </c>
      <c r="M32" s="99">
        <v>31.16</v>
      </c>
      <c r="N32" s="81">
        <f t="shared" ref="N32" si="48">M32*H32/1000</f>
        <v>1090600</v>
      </c>
      <c r="O32" s="81"/>
      <c r="P32" s="81"/>
      <c r="Q32" s="81">
        <f t="shared" ref="Q32" si="49">N32+O32+P32</f>
        <v>1090600</v>
      </c>
      <c r="R32" s="81">
        <f t="shared" ref="R32" si="50">10%*N32</f>
        <v>109060</v>
      </c>
      <c r="S32" s="81">
        <f t="shared" ref="S32" si="51">Q32-R32</f>
        <v>981540</v>
      </c>
      <c r="T32" s="42">
        <f>Q32*10%+(Y32*3)</f>
        <v>193192</v>
      </c>
      <c r="U32" s="42">
        <f t="shared" ref="U32:U41" si="52">Y32*12</f>
        <v>336528</v>
      </c>
      <c r="V32" s="108">
        <f t="shared" si="42"/>
        <v>560880</v>
      </c>
      <c r="W32" s="2">
        <f t="shared" si="43"/>
        <v>1090600</v>
      </c>
      <c r="X32" s="2">
        <f t="shared" si="44"/>
        <v>0</v>
      </c>
      <c r="Y32" s="2">
        <v>28044</v>
      </c>
      <c r="Z32" s="109">
        <f t="shared" si="45"/>
        <v>25640.228571428572</v>
      </c>
    </row>
    <row r="33" spans="1:26" x14ac:dyDescent="0.2">
      <c r="A33" s="88"/>
      <c r="B33" s="84"/>
      <c r="C33" s="84"/>
      <c r="D33" s="84"/>
      <c r="E33" s="88">
        <f>SUM(E32:E32)</f>
        <v>1</v>
      </c>
      <c r="F33" s="84"/>
      <c r="G33" s="115"/>
      <c r="H33" s="59">
        <f>SUM(H32:H32)</f>
        <v>35000000</v>
      </c>
      <c r="I33" s="59">
        <f>SUM(I32:I32)</f>
        <v>35000000</v>
      </c>
      <c r="J33" s="59"/>
      <c r="K33" s="59"/>
      <c r="L33" s="59"/>
      <c r="M33" s="59"/>
      <c r="N33" s="59">
        <f t="shared" ref="N33:Z33" si="53">SUM(N32:N32)</f>
        <v>1090600</v>
      </c>
      <c r="O33" s="59">
        <f t="shared" si="53"/>
        <v>0</v>
      </c>
      <c r="P33" s="59">
        <f t="shared" si="53"/>
        <v>0</v>
      </c>
      <c r="Q33" s="59">
        <f t="shared" si="53"/>
        <v>1090600</v>
      </c>
      <c r="R33" s="59">
        <f t="shared" si="53"/>
        <v>109060</v>
      </c>
      <c r="S33" s="59">
        <f t="shared" si="53"/>
        <v>981540</v>
      </c>
      <c r="T33" s="59">
        <f t="shared" si="53"/>
        <v>193192</v>
      </c>
      <c r="U33" s="59">
        <f t="shared" si="53"/>
        <v>336528</v>
      </c>
      <c r="V33" s="59">
        <f t="shared" si="53"/>
        <v>560880</v>
      </c>
      <c r="W33" s="59">
        <f t="shared" si="53"/>
        <v>1090600</v>
      </c>
      <c r="X33" s="59">
        <f t="shared" si="53"/>
        <v>0</v>
      </c>
      <c r="Y33" s="59">
        <f t="shared" si="53"/>
        <v>28044</v>
      </c>
      <c r="Z33" s="59">
        <f t="shared" si="53"/>
        <v>25640.228571428572</v>
      </c>
    </row>
    <row r="34" spans="1:26" x14ac:dyDescent="0.2">
      <c r="A34" s="74">
        <v>7</v>
      </c>
      <c r="B34" s="107" t="s">
        <v>49</v>
      </c>
      <c r="C34" s="107" t="s">
        <v>103</v>
      </c>
      <c r="D34" s="110">
        <v>44316</v>
      </c>
      <c r="E34" s="74">
        <v>1</v>
      </c>
      <c r="F34" s="107" t="s">
        <v>104</v>
      </c>
      <c r="G34" s="111">
        <v>1</v>
      </c>
      <c r="H34" s="112">
        <v>83000000</v>
      </c>
      <c r="I34" s="112">
        <f>H34*G34</f>
        <v>83000000</v>
      </c>
      <c r="J34" s="110">
        <v>44315</v>
      </c>
      <c r="K34" s="77">
        <f>IFERROR(VALUE(DAY(J34)&amp;" "&amp;TEXT(EOMONTH(J34,L34)-29,"mmm")&amp;" "&amp;YEAR(EOMONTH(J34,L34)-29)),"-")</f>
        <v>46506</v>
      </c>
      <c r="L34" s="107">
        <v>72</v>
      </c>
      <c r="M34" s="99">
        <v>50.64</v>
      </c>
      <c r="N34" s="81">
        <f t="shared" ref="N34" si="54">M34*H34/1000</f>
        <v>4203120</v>
      </c>
      <c r="O34" s="81"/>
      <c r="P34" s="81"/>
      <c r="Q34" s="81">
        <f t="shared" ref="Q34" si="55">N34+O34+P34</f>
        <v>4203120</v>
      </c>
      <c r="R34" s="81">
        <f t="shared" ref="R34" si="56">10%*N34</f>
        <v>420312</v>
      </c>
      <c r="S34" s="81">
        <f t="shared" ref="S34" si="57">Q34-R34</f>
        <v>3782808</v>
      </c>
      <c r="T34" s="42">
        <f>Q34*10%+(Y34*3)</f>
        <v>580148.95774647885</v>
      </c>
      <c r="U34" s="42">
        <f t="shared" si="52"/>
        <v>639347.8309859155</v>
      </c>
      <c r="V34" s="108">
        <f t="shared" si="42"/>
        <v>2983623.2112676059</v>
      </c>
      <c r="W34" s="2">
        <f t="shared" si="43"/>
        <v>4203120</v>
      </c>
      <c r="X34" s="2">
        <f t="shared" si="44"/>
        <v>0</v>
      </c>
      <c r="Y34" s="2">
        <v>53278.985915492958</v>
      </c>
      <c r="Z34" s="109">
        <f t="shared" si="45"/>
        <v>51027.761158500296</v>
      </c>
    </row>
    <row r="35" spans="1:26" x14ac:dyDescent="0.2">
      <c r="A35" s="150"/>
      <c r="B35" s="90"/>
      <c r="C35" s="90"/>
      <c r="D35" s="90"/>
      <c r="E35" s="150">
        <f>SUM(E34:E34)</f>
        <v>1</v>
      </c>
      <c r="F35" s="90"/>
      <c r="G35" s="151"/>
      <c r="H35" s="152">
        <f>SUM(H34:H34)</f>
        <v>83000000</v>
      </c>
      <c r="I35" s="152">
        <f>SUM(I34:I34)</f>
        <v>83000000</v>
      </c>
      <c r="J35" s="152"/>
      <c r="K35" s="152"/>
      <c r="L35" s="152"/>
      <c r="M35" s="152"/>
      <c r="N35" s="152">
        <f t="shared" ref="N35:Z35" si="58">SUM(N34:N34)</f>
        <v>4203120</v>
      </c>
      <c r="O35" s="152">
        <f t="shared" si="58"/>
        <v>0</v>
      </c>
      <c r="P35" s="152">
        <f t="shared" si="58"/>
        <v>0</v>
      </c>
      <c r="Q35" s="152">
        <f t="shared" si="58"/>
        <v>4203120</v>
      </c>
      <c r="R35" s="152">
        <f t="shared" si="58"/>
        <v>420312</v>
      </c>
      <c r="S35" s="152">
        <f t="shared" si="58"/>
        <v>3782808</v>
      </c>
      <c r="T35" s="152">
        <f t="shared" si="58"/>
        <v>580148.95774647885</v>
      </c>
      <c r="U35" s="152">
        <f t="shared" si="58"/>
        <v>639347.8309859155</v>
      </c>
      <c r="V35" s="152">
        <f t="shared" si="58"/>
        <v>2983623.2112676059</v>
      </c>
      <c r="W35" s="152">
        <f t="shared" si="58"/>
        <v>4203120</v>
      </c>
      <c r="X35" s="152">
        <f t="shared" si="58"/>
        <v>0</v>
      </c>
      <c r="Y35" s="152">
        <f t="shared" si="58"/>
        <v>53278.985915492958</v>
      </c>
      <c r="Z35" s="152">
        <f t="shared" si="58"/>
        <v>51027.761158500296</v>
      </c>
    </row>
    <row r="36" spans="1:26" x14ac:dyDescent="0.2">
      <c r="A36" s="74">
        <v>8</v>
      </c>
      <c r="B36" s="107" t="s">
        <v>49</v>
      </c>
      <c r="C36" s="107" t="s">
        <v>105</v>
      </c>
      <c r="D36" s="110">
        <v>44316</v>
      </c>
      <c r="E36" s="74">
        <v>1</v>
      </c>
      <c r="F36" s="107" t="s">
        <v>106</v>
      </c>
      <c r="G36" s="111">
        <v>1</v>
      </c>
      <c r="H36" s="112">
        <v>35000000</v>
      </c>
      <c r="I36" s="112">
        <f>H36*G36</f>
        <v>35000000</v>
      </c>
      <c r="J36" s="110">
        <v>44313</v>
      </c>
      <c r="K36" s="77">
        <f>IFERROR(VALUE(DAY(J36)&amp;" "&amp;TEXT(EOMONTH(J36,L36)-29,"mmm")&amp;" "&amp;YEAR(EOMONTH(J36,L36)-29)),"-")</f>
        <v>45409</v>
      </c>
      <c r="L36" s="107">
        <v>36</v>
      </c>
      <c r="M36" s="99">
        <v>30.71</v>
      </c>
      <c r="N36" s="81">
        <f t="shared" ref="N36" si="59">M36*H36/1000</f>
        <v>1074850</v>
      </c>
      <c r="O36" s="81"/>
      <c r="P36" s="81"/>
      <c r="Q36" s="81">
        <f t="shared" ref="Q36" si="60">N36+O36+P36</f>
        <v>1074850</v>
      </c>
      <c r="R36" s="81">
        <f t="shared" ref="R36" si="61">10%*N36</f>
        <v>107485</v>
      </c>
      <c r="S36" s="81">
        <f t="shared" ref="S36" si="62">Q36-R36</f>
        <v>967365</v>
      </c>
      <c r="T36" s="42">
        <f>Q36*10%+(Y36*3)</f>
        <v>190402</v>
      </c>
      <c r="U36" s="42">
        <f t="shared" si="52"/>
        <v>331668</v>
      </c>
      <c r="V36" s="108">
        <f t="shared" si="42"/>
        <v>552780</v>
      </c>
      <c r="W36" s="2">
        <f t="shared" si="43"/>
        <v>1074850</v>
      </c>
      <c r="X36" s="2">
        <f t="shared" si="44"/>
        <v>0</v>
      </c>
      <c r="Y36" s="2">
        <v>27639</v>
      </c>
      <c r="Z36" s="109">
        <f t="shared" si="45"/>
        <v>25269.942857142858</v>
      </c>
    </row>
    <row r="37" spans="1:26" x14ac:dyDescent="0.2">
      <c r="A37" s="150"/>
      <c r="B37" s="90"/>
      <c r="C37" s="90"/>
      <c r="D37" s="90"/>
      <c r="E37" s="150">
        <f>SUM(E36:E36)</f>
        <v>1</v>
      </c>
      <c r="F37" s="90"/>
      <c r="G37" s="151"/>
      <c r="H37" s="152">
        <f>SUM(H36:H36)</f>
        <v>35000000</v>
      </c>
      <c r="I37" s="152">
        <f>SUM(I36:I36)</f>
        <v>35000000</v>
      </c>
      <c r="J37" s="152"/>
      <c r="K37" s="152"/>
      <c r="L37" s="152"/>
      <c r="M37" s="152"/>
      <c r="N37" s="152">
        <f t="shared" ref="N37:Z37" si="63">SUM(N36:N36)</f>
        <v>1074850</v>
      </c>
      <c r="O37" s="152">
        <f t="shared" si="63"/>
        <v>0</v>
      </c>
      <c r="P37" s="152">
        <f t="shared" si="63"/>
        <v>0</v>
      </c>
      <c r="Q37" s="152">
        <f t="shared" si="63"/>
        <v>1074850</v>
      </c>
      <c r="R37" s="152">
        <f t="shared" si="63"/>
        <v>107485</v>
      </c>
      <c r="S37" s="152">
        <f t="shared" si="63"/>
        <v>967365</v>
      </c>
      <c r="T37" s="152">
        <f t="shared" si="63"/>
        <v>190402</v>
      </c>
      <c r="U37" s="152">
        <f t="shared" si="63"/>
        <v>331668</v>
      </c>
      <c r="V37" s="152">
        <f t="shared" si="63"/>
        <v>552780</v>
      </c>
      <c r="W37" s="152">
        <f t="shared" si="63"/>
        <v>1074850</v>
      </c>
      <c r="X37" s="152">
        <f t="shared" si="63"/>
        <v>0</v>
      </c>
      <c r="Y37" s="152">
        <f t="shared" si="63"/>
        <v>27639</v>
      </c>
      <c r="Z37" s="152">
        <f t="shared" si="63"/>
        <v>25269.942857142858</v>
      </c>
    </row>
    <row r="38" spans="1:26" x14ac:dyDescent="0.2">
      <c r="A38" s="74">
        <v>9</v>
      </c>
      <c r="B38" s="107" t="s">
        <v>49</v>
      </c>
      <c r="C38" s="107" t="s">
        <v>108</v>
      </c>
      <c r="D38" s="110">
        <v>44316</v>
      </c>
      <c r="E38" s="74">
        <v>1</v>
      </c>
      <c r="F38" s="107" t="s">
        <v>109</v>
      </c>
      <c r="G38" s="111">
        <v>1</v>
      </c>
      <c r="H38" s="112">
        <v>220000000</v>
      </c>
      <c r="I38" s="112">
        <f>H38*G38</f>
        <v>220000000</v>
      </c>
      <c r="J38" s="110">
        <v>44300</v>
      </c>
      <c r="K38" s="77">
        <f>IFERROR(VALUE(DAY(J38)&amp;" "&amp;TEXT(EOMONTH(J38,L38)-29,"mmm")&amp;" "&amp;YEAR(EOMONTH(J38,L38)-29)),"-")</f>
        <v>47952</v>
      </c>
      <c r="L38" s="107">
        <v>120</v>
      </c>
      <c r="M38" s="99">
        <v>25.48</v>
      </c>
      <c r="N38" s="81">
        <f t="shared" ref="N38:N39" si="64">M38*H38/1000</f>
        <v>5605600</v>
      </c>
      <c r="O38" s="81"/>
      <c r="P38" s="81"/>
      <c r="Q38" s="81">
        <f t="shared" ref="Q38:Q39" si="65">N38+O38+P38</f>
        <v>5605600</v>
      </c>
      <c r="R38" s="81">
        <f t="shared" ref="R38:R39" si="66">10%*N38</f>
        <v>560560</v>
      </c>
      <c r="S38" s="81">
        <f t="shared" ref="S38:S39" si="67">Q38-R38</f>
        <v>5045040</v>
      </c>
      <c r="T38" s="42">
        <f t="shared" ref="T38:T39" si="68">Q38*10%+(Y38*3)</f>
        <v>687745.8823529412</v>
      </c>
      <c r="U38" s="42">
        <f t="shared" si="52"/>
        <v>508743.5294117647</v>
      </c>
      <c r="V38" s="108">
        <f t="shared" si="42"/>
        <v>4409110.5882352944</v>
      </c>
      <c r="W38" s="2">
        <f t="shared" si="43"/>
        <v>5605600</v>
      </c>
      <c r="X38" s="2">
        <f t="shared" si="44"/>
        <v>0</v>
      </c>
      <c r="Y38" s="2">
        <v>42395.294117647056</v>
      </c>
      <c r="Z38" s="109">
        <f t="shared" si="45"/>
        <v>41326.505190311422</v>
      </c>
    </row>
    <row r="39" spans="1:26" x14ac:dyDescent="0.2">
      <c r="A39" s="74"/>
      <c r="B39" s="107"/>
      <c r="C39" s="107"/>
      <c r="D39" s="110"/>
      <c r="E39" s="74">
        <v>1</v>
      </c>
      <c r="F39" s="107" t="s">
        <v>110</v>
      </c>
      <c r="G39" s="111">
        <v>1</v>
      </c>
      <c r="H39" s="112">
        <v>160000000</v>
      </c>
      <c r="I39" s="112">
        <f>H39*G39</f>
        <v>160000000</v>
      </c>
      <c r="J39" s="110">
        <v>44305</v>
      </c>
      <c r="K39" s="77">
        <f>IFERROR(VALUE(DAY(J39)&amp;" "&amp;TEXT(EOMONTH(J39,L39)-29,"mmm")&amp;" "&amp;YEAR(EOMONTH(J39,L39)-29)),"-")</f>
        <v>45554</v>
      </c>
      <c r="L39" s="107">
        <v>41</v>
      </c>
      <c r="M39" s="99">
        <v>11.38</v>
      </c>
      <c r="N39" s="81">
        <f t="shared" si="64"/>
        <v>1820800.0000000002</v>
      </c>
      <c r="O39" s="81"/>
      <c r="P39" s="81"/>
      <c r="Q39" s="81">
        <f t="shared" si="65"/>
        <v>1820800.0000000002</v>
      </c>
      <c r="R39" s="81">
        <f t="shared" si="66"/>
        <v>182080.00000000003</v>
      </c>
      <c r="S39" s="81">
        <f t="shared" si="67"/>
        <v>1638720.0000000002</v>
      </c>
      <c r="T39" s="42">
        <f t="shared" si="68"/>
        <v>304984.00000000006</v>
      </c>
      <c r="U39" s="42">
        <f t="shared" si="52"/>
        <v>491616.00000000012</v>
      </c>
      <c r="V39" s="108">
        <f t="shared" si="42"/>
        <v>1024200.0000000001</v>
      </c>
      <c r="W39" s="2">
        <f t="shared" si="43"/>
        <v>1820800.0000000005</v>
      </c>
      <c r="X39" s="2">
        <f t="shared" si="44"/>
        <v>0</v>
      </c>
      <c r="Y39" s="2">
        <v>40968.000000000007</v>
      </c>
      <c r="Z39" s="109">
        <f t="shared" si="45"/>
        <v>37895.400000000009</v>
      </c>
    </row>
    <row r="40" spans="1:26" x14ac:dyDescent="0.2">
      <c r="A40" s="88"/>
      <c r="B40" s="84"/>
      <c r="C40" s="84"/>
      <c r="D40" s="84"/>
      <c r="E40" s="88">
        <f>SUM(E38:E39)</f>
        <v>2</v>
      </c>
      <c r="F40" s="84"/>
      <c r="G40" s="115"/>
      <c r="H40" s="79">
        <f t="shared" ref="H40:I40" si="69">SUM(H38:H39)</f>
        <v>380000000</v>
      </c>
      <c r="I40" s="79">
        <f t="shared" si="69"/>
        <v>380000000</v>
      </c>
      <c r="J40" s="59"/>
      <c r="K40" s="59"/>
      <c r="L40" s="59"/>
      <c r="M40" s="59"/>
      <c r="N40" s="79">
        <f t="shared" ref="N40:Z40" si="70">SUM(N38:N39)</f>
        <v>7426400</v>
      </c>
      <c r="O40" s="79">
        <f t="shared" si="70"/>
        <v>0</v>
      </c>
      <c r="P40" s="79">
        <f t="shared" si="70"/>
        <v>0</v>
      </c>
      <c r="Q40" s="79">
        <f t="shared" si="70"/>
        <v>7426400</v>
      </c>
      <c r="R40" s="79">
        <f t="shared" si="70"/>
        <v>742640</v>
      </c>
      <c r="S40" s="79">
        <f t="shared" si="70"/>
        <v>6683760</v>
      </c>
      <c r="T40" s="79">
        <f t="shared" si="70"/>
        <v>992729.8823529412</v>
      </c>
      <c r="U40" s="79">
        <f t="shared" si="70"/>
        <v>1000359.5294117648</v>
      </c>
      <c r="V40" s="79">
        <f t="shared" si="70"/>
        <v>5433310.5882352944</v>
      </c>
      <c r="W40" s="79">
        <f t="shared" si="70"/>
        <v>7426400</v>
      </c>
      <c r="X40" s="79">
        <f t="shared" si="70"/>
        <v>0</v>
      </c>
      <c r="Y40" s="79">
        <f t="shared" si="70"/>
        <v>83363.294117647063</v>
      </c>
      <c r="Z40" s="79">
        <f t="shared" si="70"/>
        <v>79221.90519031143</v>
      </c>
    </row>
    <row r="41" spans="1:26" x14ac:dyDescent="0.2">
      <c r="A41" s="74">
        <v>10</v>
      </c>
      <c r="B41" s="107" t="s">
        <v>111</v>
      </c>
      <c r="C41" s="107" t="s">
        <v>112</v>
      </c>
      <c r="D41" s="110">
        <v>44316</v>
      </c>
      <c r="E41" s="74">
        <v>1</v>
      </c>
      <c r="F41" s="107" t="s">
        <v>113</v>
      </c>
      <c r="G41" s="111">
        <v>1</v>
      </c>
      <c r="H41" s="112">
        <v>45323679</v>
      </c>
      <c r="I41" s="112">
        <f>H41*G41</f>
        <v>45323679</v>
      </c>
      <c r="J41" s="110">
        <v>45784</v>
      </c>
      <c r="K41" s="77">
        <v>46302</v>
      </c>
      <c r="L41" s="107">
        <v>17</v>
      </c>
      <c r="M41" s="99">
        <v>9.1</v>
      </c>
      <c r="N41" s="81">
        <f t="shared" ref="N41" si="71">M41*H41/1000</f>
        <v>412445.47889999999</v>
      </c>
      <c r="O41" s="81">
        <v>100000</v>
      </c>
      <c r="P41" s="81"/>
      <c r="Q41" s="81">
        <f t="shared" ref="Q41" si="72">N41+O41+P41</f>
        <v>512445.47889999999</v>
      </c>
      <c r="R41" s="81"/>
      <c r="S41" s="81">
        <f t="shared" ref="S41" si="73">Q41-R41</f>
        <v>512445.47889999999</v>
      </c>
      <c r="T41" s="42">
        <f>Q41*10%+(Y41*3)</f>
        <v>137719.72245437501</v>
      </c>
      <c r="U41" s="42">
        <f t="shared" si="52"/>
        <v>345900.69825750001</v>
      </c>
      <c r="V41" s="108">
        <f t="shared" si="42"/>
        <v>28825.058188124967</v>
      </c>
      <c r="W41" s="2">
        <f t="shared" si="43"/>
        <v>512445.47889999999</v>
      </c>
      <c r="X41" s="2">
        <f t="shared" si="44"/>
        <v>0</v>
      </c>
      <c r="Y41" s="2">
        <v>28825.058188125</v>
      </c>
      <c r="Z41" s="109">
        <f t="shared" si="45"/>
        <v>23420.359777851561</v>
      </c>
    </row>
    <row r="42" spans="1:26" x14ac:dyDescent="0.2">
      <c r="A42" s="150"/>
      <c r="B42" s="90"/>
      <c r="C42" s="90"/>
      <c r="D42" s="90"/>
      <c r="E42" s="150"/>
      <c r="F42" s="90"/>
      <c r="G42" s="151"/>
      <c r="H42" s="152"/>
      <c r="I42" s="152"/>
      <c r="J42" s="152"/>
      <c r="K42" s="152"/>
      <c r="L42" s="152"/>
      <c r="M42" s="152"/>
      <c r="N42" s="152">
        <f t="shared" ref="N42:Z42" si="74">SUM(N41:N41)</f>
        <v>412445.47889999999</v>
      </c>
      <c r="O42" s="152">
        <f t="shared" si="74"/>
        <v>100000</v>
      </c>
      <c r="P42" s="152">
        <f t="shared" si="74"/>
        <v>0</v>
      </c>
      <c r="Q42" s="152">
        <f t="shared" si="74"/>
        <v>512445.47889999999</v>
      </c>
      <c r="R42" s="152">
        <f t="shared" si="74"/>
        <v>0</v>
      </c>
      <c r="S42" s="152">
        <f t="shared" si="74"/>
        <v>512445.47889999999</v>
      </c>
      <c r="T42" s="152">
        <f t="shared" si="74"/>
        <v>137719.72245437501</v>
      </c>
      <c r="U42" s="152">
        <f t="shared" si="74"/>
        <v>345900.69825750001</v>
      </c>
      <c r="V42" s="152">
        <f t="shared" si="74"/>
        <v>28825.058188124967</v>
      </c>
      <c r="W42" s="152">
        <f t="shared" si="74"/>
        <v>512445.47889999999</v>
      </c>
      <c r="X42" s="152">
        <f t="shared" si="74"/>
        <v>0</v>
      </c>
      <c r="Y42" s="152">
        <f t="shared" si="74"/>
        <v>28825.058188125</v>
      </c>
      <c r="Z42" s="152">
        <f t="shared" si="74"/>
        <v>23420.359777851561</v>
      </c>
    </row>
    <row r="43" spans="1:26" x14ac:dyDescent="0.2">
      <c r="A43" s="83"/>
      <c r="B43" s="83"/>
      <c r="C43" s="83" t="s">
        <v>115</v>
      </c>
      <c r="D43" s="84"/>
      <c r="E43" s="85">
        <f>E42+E40+E37+E35+E33+E31</f>
        <v>5</v>
      </c>
      <c r="F43" s="87"/>
      <c r="G43" s="87"/>
      <c r="H43" s="87">
        <f t="shared" ref="H43:Z43" si="75">H42+H40+H37+H35+H33+H31</f>
        <v>533000000</v>
      </c>
      <c r="I43" s="87">
        <f t="shared" si="75"/>
        <v>533000000</v>
      </c>
      <c r="J43" s="87">
        <f t="shared" si="75"/>
        <v>0</v>
      </c>
      <c r="K43" s="87">
        <f t="shared" si="75"/>
        <v>0</v>
      </c>
      <c r="L43" s="87">
        <f t="shared" si="75"/>
        <v>0</v>
      </c>
      <c r="M43" s="87">
        <f t="shared" si="75"/>
        <v>0</v>
      </c>
      <c r="N43" s="87">
        <f t="shared" si="75"/>
        <v>14796238.633820001</v>
      </c>
      <c r="O43" s="87">
        <f t="shared" si="75"/>
        <v>300000</v>
      </c>
      <c r="P43" s="87">
        <f t="shared" si="75"/>
        <v>0</v>
      </c>
      <c r="Q43" s="87">
        <f t="shared" si="75"/>
        <v>15096238.633820001</v>
      </c>
      <c r="R43" s="87">
        <f t="shared" si="75"/>
        <v>1379497</v>
      </c>
      <c r="S43" s="87">
        <f t="shared" si="75"/>
        <v>13716741.633820001</v>
      </c>
      <c r="T43" s="87">
        <f t="shared" si="75"/>
        <v>2389791.7317528599</v>
      </c>
      <c r="U43" s="87">
        <f t="shared" si="75"/>
        <v>3147028.0443761153</v>
      </c>
      <c r="V43" s="87">
        <f t="shared" si="75"/>
        <v>9559418.8576910254</v>
      </c>
      <c r="W43" s="87">
        <f t="shared" si="75"/>
        <v>15096238.633820001</v>
      </c>
      <c r="X43" s="87">
        <f t="shared" si="75"/>
        <v>0</v>
      </c>
      <c r="Y43" s="87">
        <f t="shared" si="75"/>
        <v>293389.28945695329</v>
      </c>
      <c r="Z43" s="87">
        <f t="shared" si="75"/>
        <v>253818.09881114162</v>
      </c>
    </row>
    <row r="44" spans="1:26" x14ac:dyDescent="0.2">
      <c r="A44" s="83"/>
      <c r="B44" s="83"/>
      <c r="C44" s="83" t="s">
        <v>116</v>
      </c>
      <c r="D44" s="84"/>
      <c r="E44" s="93">
        <f>E43+E24</f>
        <v>9</v>
      </c>
      <c r="F44" s="95"/>
      <c r="G44" s="95"/>
      <c r="H44" s="95">
        <f t="shared" ref="H44:Z44" si="76">H43+H24</f>
        <v>1373000000</v>
      </c>
      <c r="I44" s="95">
        <f t="shared" si="76"/>
        <v>1373000000</v>
      </c>
      <c r="J44" s="95">
        <f t="shared" si="76"/>
        <v>0</v>
      </c>
      <c r="K44" s="95">
        <f t="shared" si="76"/>
        <v>0</v>
      </c>
      <c r="L44" s="95">
        <f t="shared" si="76"/>
        <v>0</v>
      </c>
      <c r="M44" s="95">
        <f t="shared" si="76"/>
        <v>0</v>
      </c>
      <c r="N44" s="95">
        <f t="shared" si="76"/>
        <v>30976238.633820001</v>
      </c>
      <c r="O44" s="95">
        <f t="shared" si="76"/>
        <v>300000</v>
      </c>
      <c r="P44" s="95">
        <f t="shared" si="76"/>
        <v>0</v>
      </c>
      <c r="Q44" s="95">
        <f t="shared" si="76"/>
        <v>47174238.633819997</v>
      </c>
      <c r="R44" s="95">
        <f t="shared" si="76"/>
        <v>4587297</v>
      </c>
      <c r="S44" s="95">
        <f t="shared" si="76"/>
        <v>42586941.633819997</v>
      </c>
      <c r="T44" s="95">
        <f t="shared" si="76"/>
        <v>6473314.9591278424</v>
      </c>
      <c r="U44" s="95">
        <f t="shared" si="76"/>
        <v>5370145.3273990946</v>
      </c>
      <c r="V44" s="95">
        <f t="shared" si="76"/>
        <v>35330778.347293064</v>
      </c>
      <c r="W44" s="95">
        <f t="shared" si="76"/>
        <v>47174238.633819997</v>
      </c>
      <c r="X44" s="95">
        <f t="shared" si="76"/>
        <v>0</v>
      </c>
      <c r="Y44" s="95">
        <f t="shared" si="76"/>
        <v>478649.06304220157</v>
      </c>
      <c r="Z44" s="95">
        <f t="shared" si="76"/>
        <v>963231.35191032896</v>
      </c>
    </row>
    <row r="46" spans="1:26" ht="23.25" x14ac:dyDescent="0.2">
      <c r="A46" s="86" t="s">
        <v>154</v>
      </c>
      <c r="B46" s="62"/>
      <c r="C46" s="62"/>
      <c r="D46" s="57"/>
      <c r="E46" s="63"/>
      <c r="F46" s="64"/>
      <c r="G46" s="139"/>
      <c r="H46" s="66"/>
      <c r="I46" s="66"/>
      <c r="J46" s="67"/>
      <c r="K46" s="67"/>
      <c r="L46" s="68"/>
      <c r="M46" s="68"/>
      <c r="N46" s="69"/>
      <c r="O46" s="69"/>
      <c r="P46" s="69"/>
      <c r="Q46" s="69"/>
      <c r="R46" s="69"/>
      <c r="S46" s="69"/>
      <c r="T46" s="70"/>
      <c r="U46" s="71"/>
      <c r="V46" s="71"/>
    </row>
    <row r="47" spans="1:26" x14ac:dyDescent="0.2">
      <c r="A47" s="231" t="s">
        <v>0</v>
      </c>
      <c r="B47" s="232" t="s">
        <v>1</v>
      </c>
      <c r="C47" s="229" t="s">
        <v>2</v>
      </c>
      <c r="D47" s="233" t="s">
        <v>3</v>
      </c>
      <c r="E47" s="234" t="s">
        <v>4</v>
      </c>
      <c r="F47" s="232" t="s">
        <v>5</v>
      </c>
      <c r="G47" s="237" t="s">
        <v>6</v>
      </c>
      <c r="H47" s="236" t="s">
        <v>7</v>
      </c>
      <c r="I47" s="236" t="s">
        <v>8</v>
      </c>
      <c r="J47" s="227" t="s">
        <v>9</v>
      </c>
      <c r="K47" s="227"/>
      <c r="L47" s="228" t="s">
        <v>10</v>
      </c>
      <c r="M47" s="229" t="s">
        <v>11</v>
      </c>
      <c r="N47" s="230" t="s">
        <v>12</v>
      </c>
      <c r="O47" s="230"/>
      <c r="P47" s="230"/>
      <c r="Q47" s="229" t="s">
        <v>13</v>
      </c>
      <c r="R47" s="229" t="s">
        <v>14</v>
      </c>
      <c r="S47" s="229" t="s">
        <v>15</v>
      </c>
      <c r="T47" s="36">
        <v>2021</v>
      </c>
      <c r="U47" s="37"/>
      <c r="V47" s="38" t="s">
        <v>44</v>
      </c>
    </row>
    <row r="48" spans="1:26" x14ac:dyDescent="0.2">
      <c r="A48" s="231"/>
      <c r="B48" s="232"/>
      <c r="C48" s="229"/>
      <c r="D48" s="233"/>
      <c r="E48" s="234"/>
      <c r="F48" s="232"/>
      <c r="G48" s="237"/>
      <c r="H48" s="236"/>
      <c r="I48" s="236"/>
      <c r="J48" s="227"/>
      <c r="K48" s="227"/>
      <c r="L48" s="228"/>
      <c r="M48" s="229"/>
      <c r="N48" s="206" t="s">
        <v>16</v>
      </c>
      <c r="O48" s="206" t="s">
        <v>17</v>
      </c>
      <c r="P48" s="206" t="s">
        <v>18</v>
      </c>
      <c r="Q48" s="229"/>
      <c r="R48" s="229"/>
      <c r="S48" s="229"/>
      <c r="T48" s="96" t="s">
        <v>200</v>
      </c>
      <c r="U48" s="39" t="s">
        <v>196</v>
      </c>
      <c r="V48" s="40"/>
    </row>
    <row r="49" spans="1:26" ht="12.75" x14ac:dyDescent="0.2">
      <c r="A49" s="154">
        <v>11</v>
      </c>
      <c r="B49" s="155" t="s">
        <v>122</v>
      </c>
      <c r="C49" s="155" t="s">
        <v>123</v>
      </c>
      <c r="D49" s="156">
        <v>44334</v>
      </c>
      <c r="E49" s="154">
        <v>1</v>
      </c>
      <c r="F49" s="155" t="s">
        <v>124</v>
      </c>
      <c r="G49" s="111">
        <v>1</v>
      </c>
      <c r="H49" s="112">
        <v>30000000</v>
      </c>
      <c r="I49" s="112">
        <f>H49*G49</f>
        <v>30000000</v>
      </c>
      <c r="J49" s="110">
        <v>44257</v>
      </c>
      <c r="K49" s="77">
        <f>IFERROR(VALUE(DAY(J49)&amp;" "&amp;TEXT(EOMONTH(J49,L49)-29,"mmm")&amp;" "&amp;YEAR(EOMONTH(J49,L49)-29)),"-")</f>
        <v>44987</v>
      </c>
      <c r="L49" s="107">
        <v>24</v>
      </c>
      <c r="M49" s="99">
        <v>10.57</v>
      </c>
      <c r="N49" s="81">
        <f t="shared" ref="N49" si="77">M49*H49/1000</f>
        <v>317100</v>
      </c>
      <c r="O49" s="81"/>
      <c r="P49" s="81"/>
      <c r="Q49" s="81">
        <f t="shared" ref="Q49" si="78">N49+O49+P49</f>
        <v>317100</v>
      </c>
      <c r="R49" s="81">
        <f t="shared" ref="R49" si="79">10%*N49</f>
        <v>31710</v>
      </c>
      <c r="S49" s="81">
        <f t="shared" ref="S49" si="80">Q49-R49</f>
        <v>285390</v>
      </c>
      <c r="T49" s="42">
        <f>Q49*10%+(Y49*2)</f>
        <v>56526.521739130432</v>
      </c>
      <c r="U49" s="42">
        <f t="shared" ref="U49" si="81">Y49*12</f>
        <v>148899.13043478262</v>
      </c>
      <c r="V49" s="108">
        <f t="shared" ref="V49" si="82">Q49-T49-U49</f>
        <v>111674.34782608695</v>
      </c>
      <c r="W49" s="2">
        <f t="shared" ref="W49" si="83">T49+U49+V49</f>
        <v>317100</v>
      </c>
      <c r="X49" s="2">
        <f t="shared" ref="X49" si="84">Q49-W49</f>
        <v>0</v>
      </c>
      <c r="Y49" s="2">
        <v>12408.260869565218</v>
      </c>
      <c r="Z49" s="109">
        <f t="shared" ref="Z49" si="85">(Q49-T49)/(L49-1)</f>
        <v>11329.281663516069</v>
      </c>
    </row>
    <row r="50" spans="1:26" ht="12.75" x14ac:dyDescent="0.2">
      <c r="A50" s="159"/>
      <c r="B50" s="160"/>
      <c r="C50" s="160"/>
      <c r="D50" s="160"/>
      <c r="E50" s="159">
        <f>SUM(E49)</f>
        <v>1</v>
      </c>
      <c r="F50" s="160"/>
      <c r="G50" s="161"/>
      <c r="H50" s="162">
        <f>SUM(H49)</f>
        <v>30000000</v>
      </c>
      <c r="I50" s="162">
        <f>SUM(I49)</f>
        <v>30000000</v>
      </c>
      <c r="J50" s="162"/>
      <c r="K50" s="162"/>
      <c r="L50" s="162"/>
      <c r="M50" s="162"/>
      <c r="N50" s="162">
        <f t="shared" ref="N50:Z50" si="86">SUM(N49)</f>
        <v>317100</v>
      </c>
      <c r="O50" s="162">
        <f t="shared" si="86"/>
        <v>0</v>
      </c>
      <c r="P50" s="162">
        <f t="shared" si="86"/>
        <v>0</v>
      </c>
      <c r="Q50" s="162">
        <f t="shared" si="86"/>
        <v>317100</v>
      </c>
      <c r="R50" s="162">
        <f t="shared" si="86"/>
        <v>31710</v>
      </c>
      <c r="S50" s="162">
        <f t="shared" si="86"/>
        <v>285390</v>
      </c>
      <c r="T50" s="162">
        <f t="shared" si="86"/>
        <v>56526.521739130432</v>
      </c>
      <c r="U50" s="162">
        <f t="shared" si="86"/>
        <v>148899.13043478262</v>
      </c>
      <c r="V50" s="162">
        <f t="shared" si="86"/>
        <v>111674.34782608695</v>
      </c>
      <c r="W50" s="162">
        <f t="shared" si="86"/>
        <v>317100</v>
      </c>
      <c r="X50" s="162">
        <f t="shared" si="86"/>
        <v>0</v>
      </c>
      <c r="Y50" s="162">
        <f t="shared" si="86"/>
        <v>12408.260869565218</v>
      </c>
      <c r="Z50" s="162">
        <f t="shared" si="86"/>
        <v>11329.281663516069</v>
      </c>
    </row>
    <row r="51" spans="1:26" x14ac:dyDescent="0.2">
      <c r="A51" s="74">
        <v>12</v>
      </c>
      <c r="B51" s="107" t="s">
        <v>111</v>
      </c>
      <c r="C51" s="107" t="s">
        <v>125</v>
      </c>
      <c r="D51" s="110">
        <v>44336</v>
      </c>
      <c r="E51" s="74">
        <v>1</v>
      </c>
      <c r="F51" s="107" t="s">
        <v>126</v>
      </c>
      <c r="G51" s="111">
        <v>1</v>
      </c>
      <c r="H51" s="112">
        <v>69230850</v>
      </c>
      <c r="I51" s="112">
        <f>H51*G51</f>
        <v>69230850</v>
      </c>
      <c r="J51" s="110">
        <v>44315</v>
      </c>
      <c r="K51" s="77">
        <f>IFERROR(VALUE(DAY(J51)&amp;" "&amp;TEXT(EOMONTH(J51,L51)-29,"mmm")&amp;" "&amp;YEAR(EOMONTH(J51,L51)-29)),"-")</f>
        <v>45686</v>
      </c>
      <c r="L51" s="107">
        <v>45</v>
      </c>
      <c r="M51" s="99">
        <v>15.93</v>
      </c>
      <c r="N51" s="81">
        <f t="shared" ref="N51:N52" si="87">M51*H51/1000</f>
        <v>1102847.4405</v>
      </c>
      <c r="O51" s="81"/>
      <c r="P51" s="81"/>
      <c r="Q51" s="81">
        <f t="shared" ref="Q51:Q52" si="88">N51+O51+P51</f>
        <v>1102847.4405</v>
      </c>
      <c r="R51" s="81">
        <f t="shared" ref="R51:R52" si="89">10%*N51</f>
        <v>110284.74405000001</v>
      </c>
      <c r="S51" s="81">
        <f t="shared" ref="S51:S52" si="90">Q51-R51</f>
        <v>992562.69645000005</v>
      </c>
      <c r="T51" s="42">
        <f t="shared" ref="T51:T52" si="91">Q51*10%+(Y51*2)</f>
        <v>155401.23025227274</v>
      </c>
      <c r="U51" s="42">
        <f t="shared" ref="U51:U69" si="92">Y51*12</f>
        <v>270698.91721363639</v>
      </c>
      <c r="V51" s="108">
        <f t="shared" ref="V51:V69" si="93">Q51-T51-U51</f>
        <v>676747.29303409089</v>
      </c>
      <c r="W51" s="2">
        <f t="shared" ref="W51:W69" si="94">T51+U51+V51</f>
        <v>1102847.4405</v>
      </c>
      <c r="X51" s="2">
        <f t="shared" ref="X51:X69" si="95">Q51-W51</f>
        <v>0</v>
      </c>
      <c r="Y51" s="2">
        <v>22558.243101136366</v>
      </c>
      <c r="Z51" s="109">
        <f t="shared" ref="Z51:Z69" si="96">(Q51-T51)/(L51-1)</f>
        <v>21532.868414721077</v>
      </c>
    </row>
    <row r="52" spans="1:26" x14ac:dyDescent="0.2">
      <c r="A52" s="74"/>
      <c r="B52" s="107"/>
      <c r="C52" s="107"/>
      <c r="D52" s="110"/>
      <c r="E52" s="74">
        <v>1</v>
      </c>
      <c r="F52" s="107" t="s">
        <v>127</v>
      </c>
      <c r="G52" s="111">
        <v>1</v>
      </c>
      <c r="H52" s="112">
        <v>82219772</v>
      </c>
      <c r="I52" s="112">
        <f>H52*G52</f>
        <v>82219772</v>
      </c>
      <c r="J52" s="110">
        <v>44307</v>
      </c>
      <c r="K52" s="77">
        <f>IFERROR(VALUE(DAY(J52)&amp;" "&amp;TEXT(EOMONTH(J52,L52)-29,"mmm")&amp;" "&amp;YEAR(EOMONTH(J52,L52)-29)),"-")</f>
        <v>46742</v>
      </c>
      <c r="L52" s="107">
        <v>80</v>
      </c>
      <c r="M52" s="99">
        <v>25.48</v>
      </c>
      <c r="N52" s="81">
        <f t="shared" si="87"/>
        <v>2094959.7905599999</v>
      </c>
      <c r="O52" s="81"/>
      <c r="P52" s="81"/>
      <c r="Q52" s="81">
        <f t="shared" si="88"/>
        <v>2094959.7905599999</v>
      </c>
      <c r="R52" s="81">
        <f t="shared" si="89"/>
        <v>209495.97905600001</v>
      </c>
      <c r="S52" s="81">
        <f t="shared" si="90"/>
        <v>1885463.8115039999</v>
      </c>
      <c r="T52" s="42">
        <f t="shared" si="91"/>
        <v>257229.24010673419</v>
      </c>
      <c r="U52" s="42">
        <f t="shared" si="92"/>
        <v>286399.56630440505</v>
      </c>
      <c r="V52" s="108">
        <f t="shared" si="93"/>
        <v>1551330.9841488607</v>
      </c>
      <c r="W52" s="2">
        <f t="shared" si="94"/>
        <v>2094959.7905599999</v>
      </c>
      <c r="X52" s="2">
        <f t="shared" si="95"/>
        <v>0</v>
      </c>
      <c r="Y52" s="2">
        <v>23866.630525367087</v>
      </c>
      <c r="Z52" s="109">
        <f t="shared" si="96"/>
        <v>23262.412031053995</v>
      </c>
    </row>
    <row r="53" spans="1:26" x14ac:dyDescent="0.2">
      <c r="A53" s="88"/>
      <c r="B53" s="84"/>
      <c r="C53" s="84"/>
      <c r="D53" s="84"/>
      <c r="E53" s="88">
        <f>SUM(E51:E52)</f>
        <v>2</v>
      </c>
      <c r="F53" s="84"/>
      <c r="G53" s="115"/>
      <c r="H53" s="79">
        <f t="shared" ref="H53:I53" si="97">SUM(H51:H52)</f>
        <v>151450622</v>
      </c>
      <c r="I53" s="79">
        <f t="shared" si="97"/>
        <v>151450622</v>
      </c>
      <c r="J53" s="59"/>
      <c r="K53" s="59"/>
      <c r="L53" s="59"/>
      <c r="M53" s="59"/>
      <c r="N53" s="79">
        <f t="shared" ref="N53:Z53" si="98">SUM(N51:N52)</f>
        <v>3197807.2310600001</v>
      </c>
      <c r="O53" s="79">
        <f t="shared" si="98"/>
        <v>0</v>
      </c>
      <c r="P53" s="79">
        <f t="shared" si="98"/>
        <v>0</v>
      </c>
      <c r="Q53" s="79">
        <f t="shared" si="98"/>
        <v>3197807.2310600001</v>
      </c>
      <c r="R53" s="79">
        <f t="shared" si="98"/>
        <v>319780.72310599999</v>
      </c>
      <c r="S53" s="79">
        <f t="shared" si="98"/>
        <v>2878026.507954</v>
      </c>
      <c r="T53" s="79">
        <f t="shared" si="98"/>
        <v>412630.4703590069</v>
      </c>
      <c r="U53" s="79">
        <f t="shared" si="98"/>
        <v>557098.48351804144</v>
      </c>
      <c r="V53" s="79">
        <f t="shared" si="98"/>
        <v>2228078.2771829516</v>
      </c>
      <c r="W53" s="79">
        <f t="shared" si="98"/>
        <v>3197807.2310600001</v>
      </c>
      <c r="X53" s="79">
        <f t="shared" si="98"/>
        <v>0</v>
      </c>
      <c r="Y53" s="79">
        <f t="shared" si="98"/>
        <v>46424.873626503453</v>
      </c>
      <c r="Z53" s="79">
        <f t="shared" si="98"/>
        <v>44795.280445775075</v>
      </c>
    </row>
    <row r="54" spans="1:26" ht="12.75" x14ac:dyDescent="0.2">
      <c r="A54" s="154">
        <v>13</v>
      </c>
      <c r="B54" s="155" t="s">
        <v>128</v>
      </c>
      <c r="C54" s="155" t="s">
        <v>129</v>
      </c>
      <c r="D54" s="156">
        <v>44347</v>
      </c>
      <c r="E54" s="154">
        <v>1</v>
      </c>
      <c r="F54" s="155" t="s">
        <v>130</v>
      </c>
      <c r="G54" s="111">
        <v>1</v>
      </c>
      <c r="H54" s="112">
        <v>1000000000</v>
      </c>
      <c r="I54" s="112">
        <f>H54*G54</f>
        <v>1000000000</v>
      </c>
      <c r="J54" s="110">
        <v>44327</v>
      </c>
      <c r="K54" s="77">
        <f>IFERROR(VALUE(DAY(J54)&amp;" "&amp;TEXT(EOMONTH(J54,L54)-29,"mmm")&amp;" "&amp;YEAR(EOMONTH(J54,L54)-29)),"-")</f>
        <v>45241</v>
      </c>
      <c r="L54" s="107">
        <v>30</v>
      </c>
      <c r="M54" s="99">
        <v>30.71</v>
      </c>
      <c r="N54" s="81">
        <f t="shared" ref="N54" si="99">M54*H54/1000</f>
        <v>30710000</v>
      </c>
      <c r="O54" s="81"/>
      <c r="P54" s="81"/>
      <c r="Q54" s="81">
        <f t="shared" ref="Q54" si="100">N54+O54+P54</f>
        <v>30710000</v>
      </c>
      <c r="R54" s="81">
        <f t="shared" ref="R54" si="101">10%*N54</f>
        <v>3071000</v>
      </c>
      <c r="S54" s="81">
        <f t="shared" ref="S54" si="102">Q54-R54</f>
        <v>27639000</v>
      </c>
      <c r="T54" s="42">
        <f>Q54*10%+(Y54*2)</f>
        <v>4977137.931034483</v>
      </c>
      <c r="U54" s="42">
        <f t="shared" si="92"/>
        <v>11436827.586206896</v>
      </c>
      <c r="V54" s="108">
        <f t="shared" si="93"/>
        <v>14296034.482758621</v>
      </c>
      <c r="W54" s="2">
        <f t="shared" si="94"/>
        <v>30710000</v>
      </c>
      <c r="X54" s="2">
        <f t="shared" si="95"/>
        <v>0</v>
      </c>
      <c r="Y54" s="2">
        <v>953068.96551724139</v>
      </c>
      <c r="Z54" s="109">
        <f t="shared" si="96"/>
        <v>887340.07134363847</v>
      </c>
    </row>
    <row r="55" spans="1:26" ht="12.75" x14ac:dyDescent="0.2">
      <c r="A55" s="159"/>
      <c r="B55" s="160"/>
      <c r="C55" s="160"/>
      <c r="D55" s="160"/>
      <c r="E55" s="159">
        <f>SUM(E54)</f>
        <v>1</v>
      </c>
      <c r="F55" s="160"/>
      <c r="G55" s="161"/>
      <c r="H55" s="162">
        <f>SUM(H54)</f>
        <v>1000000000</v>
      </c>
      <c r="I55" s="162">
        <f>SUM(I54)</f>
        <v>1000000000</v>
      </c>
      <c r="J55" s="162"/>
      <c r="K55" s="162"/>
      <c r="L55" s="162"/>
      <c r="M55" s="162"/>
      <c r="N55" s="162">
        <f t="shared" ref="N55:Z55" si="103">SUM(N54)</f>
        <v>30710000</v>
      </c>
      <c r="O55" s="162">
        <f t="shared" si="103"/>
        <v>0</v>
      </c>
      <c r="P55" s="162">
        <f t="shared" si="103"/>
        <v>0</v>
      </c>
      <c r="Q55" s="162">
        <f t="shared" si="103"/>
        <v>30710000</v>
      </c>
      <c r="R55" s="162">
        <f t="shared" si="103"/>
        <v>3071000</v>
      </c>
      <c r="S55" s="162">
        <f t="shared" si="103"/>
        <v>27639000</v>
      </c>
      <c r="T55" s="162">
        <f t="shared" si="103"/>
        <v>4977137.931034483</v>
      </c>
      <c r="U55" s="162">
        <f t="shared" si="103"/>
        <v>11436827.586206896</v>
      </c>
      <c r="V55" s="162">
        <f t="shared" si="103"/>
        <v>14296034.482758621</v>
      </c>
      <c r="W55" s="162">
        <f t="shared" si="103"/>
        <v>30710000</v>
      </c>
      <c r="X55" s="162">
        <f t="shared" si="103"/>
        <v>0</v>
      </c>
      <c r="Y55" s="162">
        <f t="shared" si="103"/>
        <v>953068.96551724139</v>
      </c>
      <c r="Z55" s="162">
        <f t="shared" si="103"/>
        <v>887340.07134363847</v>
      </c>
    </row>
    <row r="56" spans="1:26" ht="12.75" x14ac:dyDescent="0.2">
      <c r="A56" s="154">
        <v>14</v>
      </c>
      <c r="B56" s="155" t="s">
        <v>128</v>
      </c>
      <c r="C56" s="155" t="s">
        <v>131</v>
      </c>
      <c r="D56" s="156">
        <v>44347</v>
      </c>
      <c r="E56" s="154">
        <v>1</v>
      </c>
      <c r="F56" s="155" t="s">
        <v>132</v>
      </c>
      <c r="G56" s="111">
        <v>1</v>
      </c>
      <c r="H56" s="112">
        <v>170000000</v>
      </c>
      <c r="I56" s="112">
        <f>H56*G56</f>
        <v>170000000</v>
      </c>
      <c r="J56" s="110">
        <v>44319</v>
      </c>
      <c r="K56" s="77">
        <f>IFERROR(VALUE(DAY(J56)&amp;" "&amp;TEXT(EOMONTH(J56,L56)-29,"mmm")&amp;" "&amp;YEAR(EOMONTH(J56,L56)-29)),"-")</f>
        <v>46145</v>
      </c>
      <c r="L56" s="107">
        <v>60</v>
      </c>
      <c r="M56" s="169">
        <v>13.65</v>
      </c>
      <c r="N56" s="81">
        <f t="shared" ref="N56:N69" si="104">M56*H56/1000</f>
        <v>2320500</v>
      </c>
      <c r="O56" s="81"/>
      <c r="P56" s="81"/>
      <c r="Q56" s="81">
        <f t="shared" ref="Q56:Q69" si="105">N56+O56+P56</f>
        <v>2320500</v>
      </c>
      <c r="R56" s="81">
        <f t="shared" ref="R56:R69" si="106">10%*N56</f>
        <v>232050</v>
      </c>
      <c r="S56" s="81">
        <f t="shared" ref="S56:S69" si="107">Q56-R56</f>
        <v>2088450</v>
      </c>
      <c r="T56" s="42">
        <f t="shared" ref="T56:T69" si="108">Q56*10%+(Y56*2)</f>
        <v>302844.9152542373</v>
      </c>
      <c r="U56" s="42">
        <f t="shared" si="92"/>
        <v>424769.49152542371</v>
      </c>
      <c r="V56" s="108">
        <f t="shared" si="93"/>
        <v>1592885.5932203389</v>
      </c>
      <c r="W56" s="2">
        <f t="shared" si="94"/>
        <v>2320500</v>
      </c>
      <c r="X56" s="2">
        <f t="shared" si="95"/>
        <v>0</v>
      </c>
      <c r="Y56" s="2">
        <v>35397.457627118645</v>
      </c>
      <c r="Z56" s="109">
        <f t="shared" si="96"/>
        <v>34197.543809250215</v>
      </c>
    </row>
    <row r="57" spans="1:26" ht="12.75" x14ac:dyDescent="0.2">
      <c r="A57" s="164"/>
      <c r="B57" s="165"/>
      <c r="C57" s="165"/>
      <c r="D57" s="165"/>
      <c r="E57" s="154">
        <v>1</v>
      </c>
      <c r="F57" s="155" t="s">
        <v>133</v>
      </c>
      <c r="G57" s="111">
        <v>1</v>
      </c>
      <c r="H57" s="112">
        <v>250000000</v>
      </c>
      <c r="I57" s="112">
        <f t="shared" ref="I57:I69" si="109">H57*G57</f>
        <v>250000000</v>
      </c>
      <c r="J57" s="110">
        <v>44320</v>
      </c>
      <c r="K57" s="77">
        <f t="shared" ref="K57:K69" si="110">IFERROR(VALUE(DAY(J57)&amp;" "&amp;TEXT(EOMONTH(J57,L57)-29,"mmm")&amp;" "&amp;YEAR(EOMONTH(J57,L57)-29)),"-")</f>
        <v>45781</v>
      </c>
      <c r="L57" s="107">
        <v>48</v>
      </c>
      <c r="M57" s="169">
        <v>11.38</v>
      </c>
      <c r="N57" s="81">
        <f t="shared" si="104"/>
        <v>2845000</v>
      </c>
      <c r="O57" s="81"/>
      <c r="P57" s="81"/>
      <c r="Q57" s="81">
        <f t="shared" si="105"/>
        <v>2845000</v>
      </c>
      <c r="R57" s="81">
        <f t="shared" si="106"/>
        <v>284500</v>
      </c>
      <c r="S57" s="81">
        <f t="shared" si="107"/>
        <v>2560500</v>
      </c>
      <c r="T57" s="42">
        <f t="shared" si="108"/>
        <v>393457.44680851063</v>
      </c>
      <c r="U57" s="42">
        <f t="shared" si="92"/>
        <v>653744.68085106381</v>
      </c>
      <c r="V57" s="108">
        <f t="shared" si="93"/>
        <v>1797797.8723404258</v>
      </c>
      <c r="W57" s="2">
        <f t="shared" si="94"/>
        <v>2845000</v>
      </c>
      <c r="X57" s="2">
        <f t="shared" si="95"/>
        <v>0</v>
      </c>
      <c r="Y57" s="2">
        <v>54478.723404255317</v>
      </c>
      <c r="Z57" s="109">
        <f t="shared" si="96"/>
        <v>52160.479855138074</v>
      </c>
    </row>
    <row r="58" spans="1:26" ht="12.75" x14ac:dyDescent="0.2">
      <c r="A58" s="166"/>
      <c r="B58" s="166"/>
      <c r="C58" s="166"/>
      <c r="D58" s="167"/>
      <c r="E58" s="154">
        <v>1</v>
      </c>
      <c r="F58" s="155" t="s">
        <v>134</v>
      </c>
      <c r="G58" s="111">
        <v>1</v>
      </c>
      <c r="H58" s="112">
        <v>315000000</v>
      </c>
      <c r="I58" s="112">
        <f t="shared" si="109"/>
        <v>315000000</v>
      </c>
      <c r="J58" s="110">
        <v>44319</v>
      </c>
      <c r="K58" s="77">
        <f t="shared" si="110"/>
        <v>49798</v>
      </c>
      <c r="L58" s="107">
        <v>180</v>
      </c>
      <c r="M58" s="169">
        <v>37.520000000000003</v>
      </c>
      <c r="N58" s="81">
        <f t="shared" si="104"/>
        <v>11818800.000000002</v>
      </c>
      <c r="O58" s="81"/>
      <c r="P58" s="81"/>
      <c r="Q58" s="81">
        <f t="shared" si="105"/>
        <v>11818800.000000002</v>
      </c>
      <c r="R58" s="81">
        <f t="shared" si="106"/>
        <v>1181880.0000000002</v>
      </c>
      <c r="S58" s="81">
        <f t="shared" si="107"/>
        <v>10636920.000000002</v>
      </c>
      <c r="T58" s="42">
        <f t="shared" si="108"/>
        <v>1300728.2681564249</v>
      </c>
      <c r="U58" s="42">
        <f t="shared" si="92"/>
        <v>713089.60893854755</v>
      </c>
      <c r="V58" s="108">
        <f t="shared" si="93"/>
        <v>9804982.1229050308</v>
      </c>
      <c r="W58" s="2">
        <f t="shared" si="94"/>
        <v>11818800.000000004</v>
      </c>
      <c r="X58" s="2">
        <f t="shared" si="95"/>
        <v>0</v>
      </c>
      <c r="Y58" s="2">
        <v>59424.134078212301</v>
      </c>
      <c r="Z58" s="109">
        <f t="shared" si="96"/>
        <v>58760.17727286915</v>
      </c>
    </row>
    <row r="59" spans="1:26" ht="12.75" x14ac:dyDescent="0.2">
      <c r="A59" s="168"/>
      <c r="B59" s="168"/>
      <c r="C59" s="168"/>
      <c r="D59" s="107"/>
      <c r="E59" s="154">
        <v>1</v>
      </c>
      <c r="F59" s="155" t="s">
        <v>135</v>
      </c>
      <c r="G59" s="111">
        <v>1</v>
      </c>
      <c r="H59" s="112">
        <v>315000000</v>
      </c>
      <c r="I59" s="112">
        <f t="shared" si="109"/>
        <v>315000000</v>
      </c>
      <c r="J59" s="110">
        <v>44320</v>
      </c>
      <c r="K59" s="77">
        <f t="shared" si="110"/>
        <v>49799</v>
      </c>
      <c r="L59" s="107">
        <v>180</v>
      </c>
      <c r="M59" s="169">
        <v>37.520000000000003</v>
      </c>
      <c r="N59" s="81">
        <f t="shared" si="104"/>
        <v>11818800.000000002</v>
      </c>
      <c r="O59" s="81"/>
      <c r="P59" s="81"/>
      <c r="Q59" s="81">
        <f t="shared" si="105"/>
        <v>11818800.000000002</v>
      </c>
      <c r="R59" s="81">
        <f t="shared" si="106"/>
        <v>1181880.0000000002</v>
      </c>
      <c r="S59" s="81">
        <f t="shared" si="107"/>
        <v>10636920.000000002</v>
      </c>
      <c r="T59" s="42">
        <f t="shared" si="108"/>
        <v>1300728.2681564249</v>
      </c>
      <c r="U59" s="42">
        <f t="shared" si="92"/>
        <v>713089.60893854755</v>
      </c>
      <c r="V59" s="108">
        <f t="shared" si="93"/>
        <v>9804982.1229050308</v>
      </c>
      <c r="W59" s="2">
        <f t="shared" si="94"/>
        <v>11818800.000000004</v>
      </c>
      <c r="X59" s="2">
        <f t="shared" si="95"/>
        <v>0</v>
      </c>
      <c r="Y59" s="2">
        <v>59424.134078212301</v>
      </c>
      <c r="Z59" s="109">
        <f t="shared" si="96"/>
        <v>58760.17727286915</v>
      </c>
    </row>
    <row r="60" spans="1:26" ht="12.75" x14ac:dyDescent="0.2">
      <c r="A60" s="168"/>
      <c r="B60" s="168"/>
      <c r="C60" s="168"/>
      <c r="D60" s="107"/>
      <c r="E60" s="154">
        <v>1</v>
      </c>
      <c r="F60" s="155" t="s">
        <v>136</v>
      </c>
      <c r="G60" s="111">
        <v>1</v>
      </c>
      <c r="H60" s="112">
        <v>250000000</v>
      </c>
      <c r="I60" s="112">
        <f t="shared" si="109"/>
        <v>250000000</v>
      </c>
      <c r="J60" s="110">
        <v>44320</v>
      </c>
      <c r="K60" s="77">
        <f t="shared" si="110"/>
        <v>47972</v>
      </c>
      <c r="L60" s="107">
        <v>120</v>
      </c>
      <c r="M60" s="169">
        <v>25.48</v>
      </c>
      <c r="N60" s="81">
        <f t="shared" si="104"/>
        <v>6370000</v>
      </c>
      <c r="O60" s="81"/>
      <c r="P60" s="81"/>
      <c r="Q60" s="81">
        <f t="shared" si="105"/>
        <v>6370000</v>
      </c>
      <c r="R60" s="81">
        <f t="shared" si="106"/>
        <v>637000</v>
      </c>
      <c r="S60" s="81">
        <f t="shared" si="107"/>
        <v>5733000</v>
      </c>
      <c r="T60" s="42">
        <f t="shared" si="108"/>
        <v>733352.9411764706</v>
      </c>
      <c r="U60" s="42">
        <f t="shared" si="92"/>
        <v>578117.6470588235</v>
      </c>
      <c r="V60" s="108">
        <f t="shared" si="93"/>
        <v>5058529.4117647065</v>
      </c>
      <c r="W60" s="2">
        <f t="shared" si="94"/>
        <v>6370000</v>
      </c>
      <c r="X60" s="2">
        <f t="shared" si="95"/>
        <v>0</v>
      </c>
      <c r="Y60" s="2">
        <v>48176.470588235294</v>
      </c>
      <c r="Z60" s="109">
        <f t="shared" si="96"/>
        <v>47366.782006920417</v>
      </c>
    </row>
    <row r="61" spans="1:26" ht="12.75" x14ac:dyDescent="0.2">
      <c r="A61" s="168"/>
      <c r="B61" s="168"/>
      <c r="C61" s="168"/>
      <c r="D61" s="107"/>
      <c r="E61" s="154">
        <v>1</v>
      </c>
      <c r="F61" s="155" t="s">
        <v>137</v>
      </c>
      <c r="G61" s="111">
        <v>1</v>
      </c>
      <c r="H61" s="112">
        <v>450000000</v>
      </c>
      <c r="I61" s="112">
        <f t="shared" si="109"/>
        <v>450000000</v>
      </c>
      <c r="J61" s="110">
        <v>44320</v>
      </c>
      <c r="K61" s="77">
        <f t="shared" si="110"/>
        <v>49799</v>
      </c>
      <c r="L61" s="107">
        <v>180</v>
      </c>
      <c r="M61" s="169">
        <v>37.520000000000003</v>
      </c>
      <c r="N61" s="81">
        <f t="shared" si="104"/>
        <v>16884000.000000004</v>
      </c>
      <c r="O61" s="81"/>
      <c r="P61" s="81"/>
      <c r="Q61" s="81">
        <f t="shared" si="105"/>
        <v>16884000.000000004</v>
      </c>
      <c r="R61" s="81">
        <f t="shared" si="106"/>
        <v>1688400.0000000005</v>
      </c>
      <c r="S61" s="81">
        <f t="shared" si="107"/>
        <v>15195600.000000004</v>
      </c>
      <c r="T61" s="42">
        <f t="shared" si="108"/>
        <v>1858183.2402234641</v>
      </c>
      <c r="U61" s="42">
        <f t="shared" si="92"/>
        <v>1018699.4413407824</v>
      </c>
      <c r="V61" s="108">
        <f t="shared" si="93"/>
        <v>14007117.318435758</v>
      </c>
      <c r="W61" s="2">
        <f t="shared" si="94"/>
        <v>16884000.000000004</v>
      </c>
      <c r="X61" s="2">
        <f t="shared" si="95"/>
        <v>0</v>
      </c>
      <c r="Y61" s="2">
        <v>84891.620111731871</v>
      </c>
      <c r="Z61" s="109">
        <f t="shared" si="96"/>
        <v>83943.110389813068</v>
      </c>
    </row>
    <row r="62" spans="1:26" ht="12.75" x14ac:dyDescent="0.2">
      <c r="A62" s="168"/>
      <c r="B62" s="168"/>
      <c r="C62" s="168"/>
      <c r="D62" s="107"/>
      <c r="E62" s="154">
        <v>1</v>
      </c>
      <c r="F62" s="155" t="s">
        <v>138</v>
      </c>
      <c r="G62" s="111">
        <v>1</v>
      </c>
      <c r="H62" s="112">
        <v>340000000</v>
      </c>
      <c r="I62" s="112">
        <f t="shared" si="109"/>
        <v>340000000</v>
      </c>
      <c r="J62" s="110">
        <v>44320</v>
      </c>
      <c r="K62" s="77">
        <f t="shared" si="110"/>
        <v>49799</v>
      </c>
      <c r="L62" s="107">
        <v>180</v>
      </c>
      <c r="M62" s="169">
        <v>37.520000000000003</v>
      </c>
      <c r="N62" s="81">
        <f t="shared" si="104"/>
        <v>12756800.000000002</v>
      </c>
      <c r="O62" s="81"/>
      <c r="P62" s="81"/>
      <c r="Q62" s="81">
        <f t="shared" si="105"/>
        <v>12756800.000000002</v>
      </c>
      <c r="R62" s="81">
        <f t="shared" si="106"/>
        <v>1275680.0000000002</v>
      </c>
      <c r="S62" s="81">
        <f t="shared" si="107"/>
        <v>11481120.000000002</v>
      </c>
      <c r="T62" s="42">
        <f t="shared" si="108"/>
        <v>1403960.6703910618</v>
      </c>
      <c r="U62" s="42">
        <f t="shared" si="92"/>
        <v>769684.02234636887</v>
      </c>
      <c r="V62" s="108">
        <f t="shared" si="93"/>
        <v>10583155.307262572</v>
      </c>
      <c r="W62" s="2">
        <f t="shared" si="94"/>
        <v>12756800.000000002</v>
      </c>
      <c r="X62" s="2">
        <f t="shared" si="95"/>
        <v>0</v>
      </c>
      <c r="Y62" s="2">
        <v>64140.335195530737</v>
      </c>
      <c r="Z62" s="109">
        <f t="shared" si="96"/>
        <v>63423.683405636533</v>
      </c>
    </row>
    <row r="63" spans="1:26" ht="12.75" x14ac:dyDescent="0.2">
      <c r="A63" s="168"/>
      <c r="B63" s="168"/>
      <c r="C63" s="168"/>
      <c r="D63" s="107"/>
      <c r="E63" s="154">
        <v>1</v>
      </c>
      <c r="F63" s="155" t="s">
        <v>139</v>
      </c>
      <c r="G63" s="111">
        <v>1</v>
      </c>
      <c r="H63" s="112">
        <v>30000000</v>
      </c>
      <c r="I63" s="112">
        <f t="shared" si="109"/>
        <v>30000000</v>
      </c>
      <c r="J63" s="110">
        <v>44321</v>
      </c>
      <c r="K63" s="77">
        <f t="shared" si="110"/>
        <v>45417</v>
      </c>
      <c r="L63" s="107">
        <v>36</v>
      </c>
      <c r="M63" s="169">
        <v>17.88</v>
      </c>
      <c r="N63" s="81">
        <f t="shared" si="104"/>
        <v>536399.99999999988</v>
      </c>
      <c r="O63" s="81"/>
      <c r="P63" s="81"/>
      <c r="Q63" s="81">
        <f t="shared" si="105"/>
        <v>536399.99999999988</v>
      </c>
      <c r="R63" s="81">
        <f t="shared" si="106"/>
        <v>53639.999999999993</v>
      </c>
      <c r="S63" s="81">
        <f t="shared" si="107"/>
        <v>482759.99999999988</v>
      </c>
      <c r="T63" s="42">
        <f t="shared" si="108"/>
        <v>81226.285714285696</v>
      </c>
      <c r="U63" s="42">
        <f t="shared" si="92"/>
        <v>165517.71428571423</v>
      </c>
      <c r="V63" s="108">
        <f t="shared" si="93"/>
        <v>289656</v>
      </c>
      <c r="W63" s="2">
        <f t="shared" si="94"/>
        <v>536400</v>
      </c>
      <c r="X63" s="2">
        <f t="shared" si="95"/>
        <v>0</v>
      </c>
      <c r="Y63" s="2">
        <v>13793.142857142853</v>
      </c>
      <c r="Z63" s="109">
        <f t="shared" si="96"/>
        <v>13004.96326530612</v>
      </c>
    </row>
    <row r="64" spans="1:26" ht="12.75" x14ac:dyDescent="0.2">
      <c r="A64" s="168"/>
      <c r="B64" s="168"/>
      <c r="C64" s="168"/>
      <c r="D64" s="107"/>
      <c r="E64" s="154">
        <v>1</v>
      </c>
      <c r="F64" s="155" t="s">
        <v>140</v>
      </c>
      <c r="G64" s="111">
        <v>1</v>
      </c>
      <c r="H64" s="112">
        <v>170000000</v>
      </c>
      <c r="I64" s="112">
        <f t="shared" si="109"/>
        <v>170000000</v>
      </c>
      <c r="J64" s="110">
        <v>44321</v>
      </c>
      <c r="K64" s="77">
        <f t="shared" si="110"/>
        <v>49800</v>
      </c>
      <c r="L64" s="107">
        <v>180</v>
      </c>
      <c r="M64" s="169">
        <v>37.520000000000003</v>
      </c>
      <c r="N64" s="81">
        <f t="shared" si="104"/>
        <v>6378400.0000000009</v>
      </c>
      <c r="O64" s="81"/>
      <c r="P64" s="81"/>
      <c r="Q64" s="81">
        <f t="shared" si="105"/>
        <v>6378400.0000000009</v>
      </c>
      <c r="R64" s="81">
        <f t="shared" si="106"/>
        <v>637840.00000000012</v>
      </c>
      <c r="S64" s="81">
        <f t="shared" si="107"/>
        <v>5740560.0000000009</v>
      </c>
      <c r="T64" s="42">
        <f t="shared" si="108"/>
        <v>701980.3351955309</v>
      </c>
      <c r="U64" s="42">
        <f t="shared" si="92"/>
        <v>384842.01117318444</v>
      </c>
      <c r="V64" s="108">
        <f t="shared" si="93"/>
        <v>5291577.6536312858</v>
      </c>
      <c r="W64" s="2">
        <f t="shared" si="94"/>
        <v>6378400.0000000009</v>
      </c>
      <c r="X64" s="2">
        <f t="shared" si="95"/>
        <v>0</v>
      </c>
      <c r="Y64" s="2">
        <v>32070.167597765369</v>
      </c>
      <c r="Z64" s="109">
        <f t="shared" si="96"/>
        <v>31711.841702818267</v>
      </c>
    </row>
    <row r="65" spans="1:27" ht="12.75" x14ac:dyDescent="0.2">
      <c r="A65" s="168"/>
      <c r="B65" s="168"/>
      <c r="C65" s="168"/>
      <c r="D65" s="107"/>
      <c r="E65" s="154">
        <v>1</v>
      </c>
      <c r="F65" s="155" t="s">
        <v>141</v>
      </c>
      <c r="G65" s="111">
        <v>1</v>
      </c>
      <c r="H65" s="112">
        <v>40000000</v>
      </c>
      <c r="I65" s="112">
        <f t="shared" si="109"/>
        <v>40000000</v>
      </c>
      <c r="J65" s="110">
        <v>44322</v>
      </c>
      <c r="K65" s="77">
        <f t="shared" si="110"/>
        <v>45418</v>
      </c>
      <c r="L65" s="107">
        <v>36</v>
      </c>
      <c r="M65" s="169">
        <v>9.1</v>
      </c>
      <c r="N65" s="81">
        <f t="shared" si="104"/>
        <v>364000</v>
      </c>
      <c r="O65" s="81"/>
      <c r="P65" s="81"/>
      <c r="Q65" s="81">
        <f t="shared" si="105"/>
        <v>364000</v>
      </c>
      <c r="R65" s="81">
        <f t="shared" si="106"/>
        <v>36400</v>
      </c>
      <c r="S65" s="81">
        <f t="shared" si="107"/>
        <v>327600</v>
      </c>
      <c r="T65" s="42">
        <f t="shared" si="108"/>
        <v>55120</v>
      </c>
      <c r="U65" s="42">
        <f t="shared" si="92"/>
        <v>112320</v>
      </c>
      <c r="V65" s="108">
        <f t="shared" si="93"/>
        <v>196560</v>
      </c>
      <c r="W65" s="2">
        <f t="shared" si="94"/>
        <v>364000</v>
      </c>
      <c r="X65" s="2">
        <f t="shared" si="95"/>
        <v>0</v>
      </c>
      <c r="Y65" s="2">
        <v>9360</v>
      </c>
      <c r="Z65" s="109">
        <f t="shared" si="96"/>
        <v>8825.1428571428569</v>
      </c>
    </row>
    <row r="66" spans="1:27" ht="12.75" x14ac:dyDescent="0.2">
      <c r="A66" s="168"/>
      <c r="B66" s="168"/>
      <c r="C66" s="168"/>
      <c r="D66" s="107"/>
      <c r="E66" s="154">
        <v>1</v>
      </c>
      <c r="F66" s="155" t="s">
        <v>142</v>
      </c>
      <c r="G66" s="111">
        <v>1</v>
      </c>
      <c r="H66" s="112">
        <v>440000000</v>
      </c>
      <c r="I66" s="112">
        <f t="shared" si="109"/>
        <v>440000000</v>
      </c>
      <c r="J66" s="110">
        <v>44323</v>
      </c>
      <c r="K66" s="77">
        <f t="shared" si="110"/>
        <v>49802</v>
      </c>
      <c r="L66" s="107">
        <v>180</v>
      </c>
      <c r="M66" s="169">
        <v>37.520000000000003</v>
      </c>
      <c r="N66" s="81">
        <f t="shared" si="104"/>
        <v>16508800.000000002</v>
      </c>
      <c r="O66" s="81"/>
      <c r="P66" s="81"/>
      <c r="Q66" s="81">
        <f t="shared" si="105"/>
        <v>16508800.000000002</v>
      </c>
      <c r="R66" s="81">
        <f t="shared" si="106"/>
        <v>1650880.0000000002</v>
      </c>
      <c r="S66" s="81">
        <f t="shared" si="107"/>
        <v>14857920.000000002</v>
      </c>
      <c r="T66" s="42">
        <f t="shared" si="108"/>
        <v>1816890.2793296091</v>
      </c>
      <c r="U66" s="42">
        <f t="shared" si="92"/>
        <v>996061.67597765371</v>
      </c>
      <c r="V66" s="108">
        <f t="shared" si="93"/>
        <v>13695848.04469274</v>
      </c>
      <c r="W66" s="2">
        <f t="shared" si="94"/>
        <v>16508800.000000004</v>
      </c>
      <c r="X66" s="2">
        <f t="shared" si="95"/>
        <v>0</v>
      </c>
      <c r="Y66" s="2">
        <v>83005.139664804476</v>
      </c>
      <c r="Z66" s="109">
        <f t="shared" si="96"/>
        <v>82077.707936706109</v>
      </c>
    </row>
    <row r="67" spans="1:27" ht="12.75" x14ac:dyDescent="0.2">
      <c r="A67" s="168"/>
      <c r="B67" s="168"/>
      <c r="C67" s="168"/>
      <c r="D67" s="107"/>
      <c r="E67" s="154">
        <v>1</v>
      </c>
      <c r="F67" s="155" t="s">
        <v>144</v>
      </c>
      <c r="G67" s="111">
        <v>1</v>
      </c>
      <c r="H67" s="112">
        <v>30000000</v>
      </c>
      <c r="I67" s="112">
        <f t="shared" si="109"/>
        <v>30000000</v>
      </c>
      <c r="J67" s="110">
        <v>44323</v>
      </c>
      <c r="K67" s="77">
        <f t="shared" si="110"/>
        <v>45053</v>
      </c>
      <c r="L67" s="107">
        <v>24</v>
      </c>
      <c r="M67" s="169">
        <v>9.1</v>
      </c>
      <c r="N67" s="81">
        <f t="shared" si="104"/>
        <v>273000</v>
      </c>
      <c r="O67" s="81"/>
      <c r="P67" s="81"/>
      <c r="Q67" s="81">
        <f t="shared" si="105"/>
        <v>273000</v>
      </c>
      <c r="R67" s="81">
        <f t="shared" si="106"/>
        <v>27300</v>
      </c>
      <c r="S67" s="81">
        <f t="shared" si="107"/>
        <v>245700</v>
      </c>
      <c r="T67" s="42">
        <f t="shared" si="108"/>
        <v>48665.217391304352</v>
      </c>
      <c r="U67" s="42">
        <f t="shared" si="92"/>
        <v>128191.30434782608</v>
      </c>
      <c r="V67" s="108">
        <f t="shared" si="93"/>
        <v>96143.478260869568</v>
      </c>
      <c r="W67" s="2">
        <f t="shared" si="94"/>
        <v>273000</v>
      </c>
      <c r="X67" s="2">
        <f t="shared" si="95"/>
        <v>0</v>
      </c>
      <c r="Y67" s="2">
        <v>10682.608695652174</v>
      </c>
      <c r="Z67" s="109">
        <f t="shared" si="96"/>
        <v>9753.6862003780716</v>
      </c>
    </row>
    <row r="68" spans="1:27" ht="12.75" x14ac:dyDescent="0.2">
      <c r="A68" s="168"/>
      <c r="B68" s="168"/>
      <c r="C68" s="168"/>
      <c r="D68" s="107"/>
      <c r="E68" s="154">
        <v>1</v>
      </c>
      <c r="F68" s="155" t="s">
        <v>143</v>
      </c>
      <c r="G68" s="111">
        <v>1</v>
      </c>
      <c r="H68" s="112">
        <v>200000000</v>
      </c>
      <c r="I68" s="112">
        <f t="shared" si="109"/>
        <v>200000000</v>
      </c>
      <c r="J68" s="110">
        <v>44326</v>
      </c>
      <c r="K68" s="77">
        <f t="shared" si="110"/>
        <v>47978</v>
      </c>
      <c r="L68" s="107">
        <v>120</v>
      </c>
      <c r="M68" s="169">
        <v>25.48</v>
      </c>
      <c r="N68" s="81">
        <f t="shared" si="104"/>
        <v>5096000</v>
      </c>
      <c r="O68" s="81"/>
      <c r="P68" s="81"/>
      <c r="Q68" s="81">
        <f t="shared" si="105"/>
        <v>5096000</v>
      </c>
      <c r="R68" s="81">
        <f t="shared" si="106"/>
        <v>509600</v>
      </c>
      <c r="S68" s="81">
        <f t="shared" si="107"/>
        <v>4586400</v>
      </c>
      <c r="T68" s="42">
        <f t="shared" si="108"/>
        <v>586682.3529411765</v>
      </c>
      <c r="U68" s="42">
        <f t="shared" si="92"/>
        <v>462494.11764705885</v>
      </c>
      <c r="V68" s="108">
        <f t="shared" si="93"/>
        <v>4046823.5294117643</v>
      </c>
      <c r="W68" s="2">
        <f t="shared" si="94"/>
        <v>5096000</v>
      </c>
      <c r="X68" s="2">
        <f t="shared" si="95"/>
        <v>0</v>
      </c>
      <c r="Y68" s="2">
        <v>38541.176470588238</v>
      </c>
      <c r="Z68" s="109">
        <f t="shared" si="96"/>
        <v>37893.425605536329</v>
      </c>
    </row>
    <row r="69" spans="1:27" ht="12.75" x14ac:dyDescent="0.2">
      <c r="A69" s="168"/>
      <c r="B69" s="168"/>
      <c r="C69" s="168"/>
      <c r="D69" s="107"/>
      <c r="E69" s="154">
        <v>1</v>
      </c>
      <c r="F69" s="155" t="s">
        <v>145</v>
      </c>
      <c r="G69" s="111">
        <v>1</v>
      </c>
      <c r="H69" s="112">
        <v>265000000</v>
      </c>
      <c r="I69" s="112">
        <f t="shared" si="109"/>
        <v>265000000</v>
      </c>
      <c r="J69" s="110">
        <v>44326</v>
      </c>
      <c r="K69" s="77">
        <f t="shared" si="110"/>
        <v>48497</v>
      </c>
      <c r="L69" s="107">
        <v>137</v>
      </c>
      <c r="M69" s="169">
        <v>30.46</v>
      </c>
      <c r="N69" s="81">
        <f t="shared" si="104"/>
        <v>8071900</v>
      </c>
      <c r="O69" s="81"/>
      <c r="P69" s="81"/>
      <c r="Q69" s="81">
        <f t="shared" si="105"/>
        <v>8071900</v>
      </c>
      <c r="R69" s="81">
        <f t="shared" si="106"/>
        <v>807190</v>
      </c>
      <c r="S69" s="81">
        <f t="shared" si="107"/>
        <v>7264710</v>
      </c>
      <c r="T69" s="42">
        <f t="shared" si="108"/>
        <v>914023.9705882353</v>
      </c>
      <c r="U69" s="42">
        <f t="shared" si="92"/>
        <v>641003.82352941181</v>
      </c>
      <c r="V69" s="108">
        <f t="shared" si="93"/>
        <v>6516872.2058823528</v>
      </c>
      <c r="W69" s="2">
        <f t="shared" si="94"/>
        <v>8071900</v>
      </c>
      <c r="X69" s="2">
        <f t="shared" si="95"/>
        <v>0</v>
      </c>
      <c r="Y69" s="2">
        <v>53416.98529411765</v>
      </c>
      <c r="Z69" s="109">
        <f t="shared" si="96"/>
        <v>52631.441392733563</v>
      </c>
    </row>
    <row r="70" spans="1:27" x14ac:dyDescent="0.2">
      <c r="A70" s="83"/>
      <c r="B70" s="83"/>
      <c r="C70" s="83"/>
      <c r="D70" s="84"/>
      <c r="E70" s="93">
        <f>SUM(E56:E69)</f>
        <v>14</v>
      </c>
      <c r="F70" s="83"/>
      <c r="G70" s="83"/>
      <c r="H70" s="92">
        <f>SUM(H56:H69)</f>
        <v>3265000000</v>
      </c>
      <c r="I70" s="92">
        <f t="shared" ref="I70:Z70" si="111">SUM(I56:I69)</f>
        <v>3265000000</v>
      </c>
      <c r="J70" s="92"/>
      <c r="K70" s="92"/>
      <c r="L70" s="92"/>
      <c r="M70" s="92"/>
      <c r="N70" s="92">
        <f t="shared" si="111"/>
        <v>102042400</v>
      </c>
      <c r="O70" s="92">
        <f t="shared" si="111"/>
        <v>0</v>
      </c>
      <c r="P70" s="92">
        <f t="shared" si="111"/>
        <v>0</v>
      </c>
      <c r="Q70" s="92">
        <f t="shared" si="111"/>
        <v>102042400</v>
      </c>
      <c r="R70" s="92">
        <f t="shared" si="111"/>
        <v>10204240.000000002</v>
      </c>
      <c r="S70" s="92">
        <f t="shared" si="111"/>
        <v>91838160.000000015</v>
      </c>
      <c r="T70" s="92">
        <f t="shared" si="111"/>
        <v>11497844.191326737</v>
      </c>
      <c r="U70" s="92">
        <f t="shared" si="111"/>
        <v>7761625.1479604077</v>
      </c>
      <c r="V70" s="92">
        <f t="shared" si="111"/>
        <v>82782930.660712883</v>
      </c>
      <c r="W70" s="92">
        <f t="shared" si="111"/>
        <v>102042400.00000001</v>
      </c>
      <c r="X70" s="92">
        <f t="shared" si="111"/>
        <v>0</v>
      </c>
      <c r="Y70" s="92">
        <f t="shared" si="111"/>
        <v>646802.0956633673</v>
      </c>
      <c r="Z70" s="92">
        <f t="shared" si="111"/>
        <v>634510.16297311801</v>
      </c>
    </row>
    <row r="71" spans="1:27" x14ac:dyDescent="0.2">
      <c r="A71" s="74">
        <v>15</v>
      </c>
      <c r="B71" s="107" t="s">
        <v>49</v>
      </c>
      <c r="C71" s="107" t="s">
        <v>156</v>
      </c>
      <c r="D71" s="110">
        <v>44347</v>
      </c>
      <c r="E71" s="74">
        <v>1</v>
      </c>
      <c r="F71" s="107" t="s">
        <v>157</v>
      </c>
      <c r="G71" s="111">
        <v>1</v>
      </c>
      <c r="H71" s="112">
        <v>250000000</v>
      </c>
      <c r="I71" s="112">
        <f>H71*G71</f>
        <v>250000000</v>
      </c>
      <c r="J71" s="110">
        <v>44320</v>
      </c>
      <c r="K71" s="77">
        <f>IFERROR(VALUE(DAY(J71)&amp;" "&amp;TEXT(EOMONTH(J71,L71)-29,"mmm")&amp;" "&amp;YEAR(EOMONTH(J71,L71)-29)),"-")</f>
        <v>48338</v>
      </c>
      <c r="L71" s="107">
        <v>132</v>
      </c>
      <c r="M71" s="99">
        <v>27.98</v>
      </c>
      <c r="N71" s="81">
        <f t="shared" ref="N71:N72" si="112">M71*H71/1000</f>
        <v>6995000</v>
      </c>
      <c r="O71" s="81"/>
      <c r="P71" s="81"/>
      <c r="Q71" s="81">
        <f t="shared" ref="Q71:Q72" si="113">N71+O71+P71</f>
        <v>6995000</v>
      </c>
      <c r="R71" s="81">
        <f t="shared" ref="R71:R72" si="114">10%*N71</f>
        <v>699500</v>
      </c>
      <c r="S71" s="81">
        <f t="shared" ref="S71:S72" si="115">Q71-R71</f>
        <v>6295500</v>
      </c>
      <c r="T71" s="42">
        <f t="shared" ref="T71:T72" si="116">Q71*10%+(Y71*2)</f>
        <v>795614.50381679391</v>
      </c>
      <c r="U71" s="42">
        <f t="shared" ref="U71:U72" si="117">Y71*12</f>
        <v>576687.02290076332</v>
      </c>
      <c r="V71" s="108">
        <f t="shared" ref="V71:V72" si="118">Q71-T71-U71</f>
        <v>5622698.4732824434</v>
      </c>
      <c r="W71" s="2">
        <f t="shared" ref="W71:W72" si="119">T71+U71+V71</f>
        <v>6995000</v>
      </c>
      <c r="X71" s="2">
        <f t="shared" ref="X71:X72" si="120">Q71-W71</f>
        <v>0</v>
      </c>
      <c r="Y71" s="2">
        <v>48057.251908396946</v>
      </c>
      <c r="Z71" s="109">
        <f t="shared" ref="Z71:Z72" si="121">(Q71-T71)/(L71-1)</f>
        <v>47323.553405978673</v>
      </c>
    </row>
    <row r="72" spans="1:27" x14ac:dyDescent="0.2">
      <c r="A72" s="74"/>
      <c r="B72" s="107"/>
      <c r="C72" s="107"/>
      <c r="D72" s="110"/>
      <c r="E72" s="74">
        <v>1</v>
      </c>
      <c r="F72" s="107" t="s">
        <v>158</v>
      </c>
      <c r="G72" s="111">
        <v>1</v>
      </c>
      <c r="H72" s="112">
        <v>60000000</v>
      </c>
      <c r="I72" s="112">
        <f>H72*G72</f>
        <v>60000000</v>
      </c>
      <c r="J72" s="110">
        <v>44320</v>
      </c>
      <c r="K72" s="77">
        <f>IFERROR(VALUE(DAY(J72)&amp;" "&amp;TEXT(EOMONTH(J72,L72)-29,"mmm")&amp;" "&amp;YEAR(EOMONTH(J72,L72)-29)),"-")</f>
        <v>46146</v>
      </c>
      <c r="L72" s="107">
        <v>60</v>
      </c>
      <c r="M72" s="99">
        <v>13.65</v>
      </c>
      <c r="N72" s="81">
        <f t="shared" si="112"/>
        <v>819000</v>
      </c>
      <c r="O72" s="81"/>
      <c r="P72" s="81"/>
      <c r="Q72" s="81">
        <f t="shared" si="113"/>
        <v>819000</v>
      </c>
      <c r="R72" s="81">
        <f t="shared" si="114"/>
        <v>81900</v>
      </c>
      <c r="S72" s="81">
        <f t="shared" si="115"/>
        <v>737100</v>
      </c>
      <c r="T72" s="42">
        <f t="shared" si="116"/>
        <v>106886.44067796611</v>
      </c>
      <c r="U72" s="42">
        <f t="shared" si="117"/>
        <v>149918.64406779659</v>
      </c>
      <c r="V72" s="108">
        <f t="shared" si="118"/>
        <v>562194.91525423736</v>
      </c>
      <c r="W72" s="2">
        <f t="shared" si="119"/>
        <v>819000</v>
      </c>
      <c r="X72" s="2">
        <f t="shared" si="120"/>
        <v>0</v>
      </c>
      <c r="Y72" s="2">
        <v>12493.22033898305</v>
      </c>
      <c r="Z72" s="109">
        <f t="shared" si="121"/>
        <v>12069.721344441252</v>
      </c>
    </row>
    <row r="73" spans="1:27" s="94" customFormat="1" x14ac:dyDescent="0.2">
      <c r="A73" s="88"/>
      <c r="B73" s="84"/>
      <c r="C73" s="84"/>
      <c r="D73" s="84"/>
      <c r="E73" s="88">
        <f>SUM(E71:E72)</f>
        <v>2</v>
      </c>
      <c r="F73" s="84"/>
      <c r="G73" s="115"/>
      <c r="H73" s="79">
        <f t="shared" ref="H73:I73" si="122">SUM(H71:H72)</f>
        <v>310000000</v>
      </c>
      <c r="I73" s="79">
        <f t="shared" si="122"/>
        <v>310000000</v>
      </c>
      <c r="J73" s="59"/>
      <c r="K73" s="59"/>
      <c r="L73" s="59"/>
      <c r="M73" s="59"/>
      <c r="N73" s="79">
        <f t="shared" ref="N73:Z73" si="123">SUM(N71:N72)</f>
        <v>7814000</v>
      </c>
      <c r="O73" s="79">
        <f t="shared" si="123"/>
        <v>0</v>
      </c>
      <c r="P73" s="79">
        <f t="shared" si="123"/>
        <v>0</v>
      </c>
      <c r="Q73" s="79">
        <f t="shared" si="123"/>
        <v>7814000</v>
      </c>
      <c r="R73" s="79">
        <f t="shared" si="123"/>
        <v>781400</v>
      </c>
      <c r="S73" s="79">
        <f t="shared" si="123"/>
        <v>7032600</v>
      </c>
      <c r="T73" s="79">
        <f t="shared" si="123"/>
        <v>902500.94449476001</v>
      </c>
      <c r="U73" s="79">
        <f t="shared" si="123"/>
        <v>726605.66696855985</v>
      </c>
      <c r="V73" s="79">
        <f t="shared" si="123"/>
        <v>6184893.3885366805</v>
      </c>
      <c r="W73" s="79">
        <f t="shared" si="123"/>
        <v>7814000</v>
      </c>
      <c r="X73" s="79">
        <f t="shared" si="123"/>
        <v>0</v>
      </c>
      <c r="Y73" s="79">
        <f t="shared" si="123"/>
        <v>60550.472247379992</v>
      </c>
      <c r="Z73" s="79">
        <f t="shared" si="123"/>
        <v>59393.274750419921</v>
      </c>
    </row>
    <row r="74" spans="1:27" x14ac:dyDescent="0.2">
      <c r="A74" s="83"/>
      <c r="B74" s="83"/>
      <c r="C74" s="83" t="s">
        <v>147</v>
      </c>
      <c r="D74" s="84"/>
      <c r="E74" s="85">
        <f>E70+E55+E53+E50+E73</f>
        <v>20</v>
      </c>
      <c r="F74" s="87">
        <f t="shared" ref="F74:Z74" si="124">F70+F55+F53+F50+F73</f>
        <v>0</v>
      </c>
      <c r="G74" s="87">
        <f t="shared" si="124"/>
        <v>0</v>
      </c>
      <c r="H74" s="87">
        <f>H70+H55+H53+H50+H73</f>
        <v>4756450622</v>
      </c>
      <c r="I74" s="87">
        <f t="shared" si="124"/>
        <v>4756450622</v>
      </c>
      <c r="J74" s="87">
        <f t="shared" si="124"/>
        <v>0</v>
      </c>
      <c r="K74" s="87">
        <f t="shared" si="124"/>
        <v>0</v>
      </c>
      <c r="L74" s="87">
        <f t="shared" si="124"/>
        <v>0</v>
      </c>
      <c r="M74" s="87">
        <f t="shared" si="124"/>
        <v>0</v>
      </c>
      <c r="N74" s="87">
        <f t="shared" si="124"/>
        <v>144081307.23106</v>
      </c>
      <c r="O74" s="87">
        <f t="shared" si="124"/>
        <v>0</v>
      </c>
      <c r="P74" s="87">
        <f t="shared" si="124"/>
        <v>0</v>
      </c>
      <c r="Q74" s="87">
        <f t="shared" si="124"/>
        <v>144081307.23106</v>
      </c>
      <c r="R74" s="87">
        <f t="shared" si="124"/>
        <v>14408130.723106002</v>
      </c>
      <c r="S74" s="87">
        <f t="shared" si="124"/>
        <v>129673176.50795402</v>
      </c>
      <c r="T74" s="87">
        <f t="shared" si="124"/>
        <v>17846640.058954116</v>
      </c>
      <c r="U74" s="87">
        <f t="shared" si="124"/>
        <v>20631056.015088685</v>
      </c>
      <c r="V74" s="87">
        <f t="shared" si="124"/>
        <v>105603611.15701723</v>
      </c>
      <c r="W74" s="87">
        <f t="shared" si="124"/>
        <v>144081307.23106003</v>
      </c>
      <c r="X74" s="87">
        <f t="shared" si="124"/>
        <v>0</v>
      </c>
      <c r="Y74" s="87">
        <f t="shared" si="124"/>
        <v>1719254.6679240575</v>
      </c>
      <c r="Z74" s="87">
        <f t="shared" si="124"/>
        <v>1637368.0711764675</v>
      </c>
    </row>
    <row r="75" spans="1:27" s="94" customFormat="1" x14ac:dyDescent="0.2">
      <c r="A75" s="83"/>
      <c r="B75" s="83"/>
      <c r="C75" s="83" t="s">
        <v>148</v>
      </c>
      <c r="D75" s="84"/>
      <c r="E75" s="93">
        <f t="shared" ref="E75:G75" si="125">E74+E44</f>
        <v>29</v>
      </c>
      <c r="F75" s="95">
        <f t="shared" si="125"/>
        <v>0</v>
      </c>
      <c r="G75" s="95">
        <f t="shared" si="125"/>
        <v>0</v>
      </c>
      <c r="H75" s="95">
        <f>H74+H44</f>
        <v>6129450622</v>
      </c>
      <c r="I75" s="95">
        <f t="shared" ref="I75:AA75" si="126">I74+I44</f>
        <v>6129450622</v>
      </c>
      <c r="J75" s="95">
        <f t="shared" si="126"/>
        <v>0</v>
      </c>
      <c r="K75" s="95">
        <f t="shared" si="126"/>
        <v>0</v>
      </c>
      <c r="L75" s="95">
        <f t="shared" si="126"/>
        <v>0</v>
      </c>
      <c r="M75" s="95">
        <f t="shared" si="126"/>
        <v>0</v>
      </c>
      <c r="N75" s="95">
        <f t="shared" si="126"/>
        <v>175057545.86488</v>
      </c>
      <c r="O75" s="95">
        <f t="shared" si="126"/>
        <v>300000</v>
      </c>
      <c r="P75" s="95">
        <f t="shared" si="126"/>
        <v>0</v>
      </c>
      <c r="Q75" s="95">
        <f t="shared" si="126"/>
        <v>191255545.86488</v>
      </c>
      <c r="R75" s="95">
        <f t="shared" si="126"/>
        <v>18995427.723106004</v>
      </c>
      <c r="S75" s="95">
        <f t="shared" si="126"/>
        <v>172260118.141774</v>
      </c>
      <c r="T75" s="95">
        <f t="shared" si="126"/>
        <v>24319955.018081959</v>
      </c>
      <c r="U75" s="95">
        <f t="shared" si="126"/>
        <v>26001201.342487779</v>
      </c>
      <c r="V75" s="95">
        <f t="shared" si="126"/>
        <v>140934389.50431031</v>
      </c>
      <c r="W75" s="95">
        <f t="shared" si="126"/>
        <v>191255545.86488003</v>
      </c>
      <c r="X75" s="95">
        <f t="shared" si="126"/>
        <v>0</v>
      </c>
      <c r="Y75" s="95">
        <f t="shared" si="126"/>
        <v>2197903.7309662588</v>
      </c>
      <c r="Z75" s="95">
        <f t="shared" si="126"/>
        <v>2600599.4230867964</v>
      </c>
      <c r="AA75" s="95">
        <f t="shared" si="126"/>
        <v>0</v>
      </c>
    </row>
    <row r="77" spans="1:27" ht="23.25" x14ac:dyDescent="0.2">
      <c r="A77" s="86" t="s">
        <v>172</v>
      </c>
      <c r="B77" s="62"/>
      <c r="C77" s="62"/>
      <c r="D77" s="57"/>
      <c r="E77" s="63"/>
      <c r="F77" s="64"/>
      <c r="G77" s="139"/>
      <c r="H77" s="66"/>
      <c r="I77" s="66"/>
      <c r="J77" s="67"/>
      <c r="K77" s="67"/>
      <c r="L77" s="68"/>
      <c r="M77" s="68"/>
      <c r="N77" s="69"/>
      <c r="O77" s="69"/>
      <c r="P77" s="69"/>
      <c r="Q77" s="69"/>
      <c r="R77" s="69"/>
      <c r="S77" s="69"/>
      <c r="T77" s="70"/>
      <c r="U77" s="71"/>
      <c r="V77" s="71"/>
    </row>
    <row r="78" spans="1:27" x14ac:dyDescent="0.2">
      <c r="A78" s="231" t="s">
        <v>0</v>
      </c>
      <c r="B78" s="232" t="s">
        <v>1</v>
      </c>
      <c r="C78" s="229" t="s">
        <v>2</v>
      </c>
      <c r="D78" s="233" t="s">
        <v>3</v>
      </c>
      <c r="E78" s="234" t="s">
        <v>4</v>
      </c>
      <c r="F78" s="232" t="s">
        <v>5</v>
      </c>
      <c r="G78" s="237" t="s">
        <v>6</v>
      </c>
      <c r="H78" s="236" t="s">
        <v>7</v>
      </c>
      <c r="I78" s="236" t="s">
        <v>8</v>
      </c>
      <c r="J78" s="227" t="s">
        <v>9</v>
      </c>
      <c r="K78" s="227"/>
      <c r="L78" s="228" t="s">
        <v>10</v>
      </c>
      <c r="M78" s="229" t="s">
        <v>11</v>
      </c>
      <c r="N78" s="230" t="s">
        <v>12</v>
      </c>
      <c r="O78" s="230"/>
      <c r="P78" s="230"/>
      <c r="Q78" s="229" t="s">
        <v>13</v>
      </c>
      <c r="R78" s="229" t="s">
        <v>14</v>
      </c>
      <c r="S78" s="229" t="s">
        <v>15</v>
      </c>
      <c r="T78" s="36">
        <v>2021</v>
      </c>
      <c r="U78" s="37"/>
      <c r="V78" s="38" t="s">
        <v>44</v>
      </c>
    </row>
    <row r="79" spans="1:27" x14ac:dyDescent="0.2">
      <c r="A79" s="231"/>
      <c r="B79" s="232"/>
      <c r="C79" s="229"/>
      <c r="D79" s="233"/>
      <c r="E79" s="234"/>
      <c r="F79" s="232"/>
      <c r="G79" s="237"/>
      <c r="H79" s="236"/>
      <c r="I79" s="236"/>
      <c r="J79" s="227"/>
      <c r="K79" s="227"/>
      <c r="L79" s="228"/>
      <c r="M79" s="229"/>
      <c r="N79" s="206" t="s">
        <v>16</v>
      </c>
      <c r="O79" s="206" t="s">
        <v>17</v>
      </c>
      <c r="P79" s="206" t="s">
        <v>18</v>
      </c>
      <c r="Q79" s="229"/>
      <c r="R79" s="229"/>
      <c r="S79" s="229"/>
      <c r="T79" s="96" t="s">
        <v>203</v>
      </c>
      <c r="U79" s="39" t="s">
        <v>196</v>
      </c>
      <c r="V79" s="40"/>
    </row>
    <row r="80" spans="1:27" ht="12.75" x14ac:dyDescent="0.2">
      <c r="A80" s="154">
        <v>16</v>
      </c>
      <c r="B80" s="155" t="s">
        <v>111</v>
      </c>
      <c r="C80" s="155" t="s">
        <v>160</v>
      </c>
      <c r="D80" s="156">
        <v>44361</v>
      </c>
      <c r="E80" s="154">
        <v>1</v>
      </c>
      <c r="F80" s="155" t="s">
        <v>161</v>
      </c>
      <c r="G80" s="175">
        <v>1</v>
      </c>
      <c r="H80" s="176">
        <v>64397514</v>
      </c>
      <c r="I80" s="176">
        <f>H80*G80</f>
        <v>64397514</v>
      </c>
      <c r="J80" s="156">
        <v>44822</v>
      </c>
      <c r="K80" s="177">
        <v>44990</v>
      </c>
      <c r="L80" s="155">
        <v>6</v>
      </c>
      <c r="M80" s="99">
        <v>5.46</v>
      </c>
      <c r="N80" s="81">
        <f t="shared" ref="N80" si="127">M80*H80/1000</f>
        <v>351610.42644000001</v>
      </c>
      <c r="O80" s="81">
        <v>100000</v>
      </c>
      <c r="P80" s="81"/>
      <c r="Q80" s="81">
        <f t="shared" ref="Q80" si="128">N80+O80+P80</f>
        <v>451610.42644000001</v>
      </c>
      <c r="R80" s="81"/>
      <c r="S80" s="81">
        <f t="shared" ref="S80" si="129">Q80-R80</f>
        <v>451610.42644000001</v>
      </c>
      <c r="T80" s="182">
        <f>Q80/L80*2</f>
        <v>150536.80881333334</v>
      </c>
      <c r="U80" s="182">
        <f>Q80/L80*4</f>
        <v>301073.61762666667</v>
      </c>
      <c r="V80" s="182">
        <f>Q80-T80-U80</f>
        <v>0</v>
      </c>
    </row>
    <row r="81" spans="1:24" ht="12.75" x14ac:dyDescent="0.2">
      <c r="A81" s="159"/>
      <c r="B81" s="160"/>
      <c r="C81" s="160"/>
      <c r="D81" s="160"/>
      <c r="E81" s="178"/>
      <c r="F81" s="179"/>
      <c r="G81" s="179"/>
      <c r="H81" s="179"/>
      <c r="I81" s="179"/>
      <c r="J81" s="179"/>
      <c r="K81" s="179"/>
      <c r="L81" s="179"/>
      <c r="M81" s="179"/>
      <c r="N81" s="179">
        <f t="shared" ref="N81:V81" si="130">SUM(N80)</f>
        <v>351610.42644000001</v>
      </c>
      <c r="O81" s="179">
        <f t="shared" si="130"/>
        <v>100000</v>
      </c>
      <c r="P81" s="179">
        <f t="shared" si="130"/>
        <v>0</v>
      </c>
      <c r="Q81" s="179">
        <f t="shared" si="130"/>
        <v>451610.42644000001</v>
      </c>
      <c r="R81" s="179">
        <f t="shared" si="130"/>
        <v>0</v>
      </c>
      <c r="S81" s="179">
        <f t="shared" si="130"/>
        <v>451610.42644000001</v>
      </c>
      <c r="T81" s="179">
        <f t="shared" si="130"/>
        <v>150536.80881333334</v>
      </c>
      <c r="U81" s="179">
        <f t="shared" si="130"/>
        <v>301073.61762666667</v>
      </c>
      <c r="V81" s="179">
        <f t="shared" si="130"/>
        <v>0</v>
      </c>
    </row>
    <row r="82" spans="1:24" ht="12.75" x14ac:dyDescent="0.2">
      <c r="A82" s="154">
        <v>17</v>
      </c>
      <c r="B82" s="155" t="s">
        <v>49</v>
      </c>
      <c r="C82" s="155" t="s">
        <v>163</v>
      </c>
      <c r="D82" s="156">
        <v>44377</v>
      </c>
      <c r="E82" s="154">
        <v>1</v>
      </c>
      <c r="F82" s="155" t="s">
        <v>164</v>
      </c>
      <c r="G82" s="175">
        <v>1</v>
      </c>
      <c r="H82" s="176">
        <v>179133550</v>
      </c>
      <c r="I82" s="176">
        <f>H82*G82</f>
        <v>179133550</v>
      </c>
      <c r="J82" s="156">
        <v>44373</v>
      </c>
      <c r="K82" s="177">
        <v>46280</v>
      </c>
      <c r="L82" s="155">
        <v>63</v>
      </c>
      <c r="M82" s="99">
        <v>25.48</v>
      </c>
      <c r="N82" s="81">
        <f t="shared" ref="N82" si="131">M82*H82/1000</f>
        <v>4564322.8540000003</v>
      </c>
      <c r="O82" s="81"/>
      <c r="P82" s="81"/>
      <c r="Q82" s="81">
        <f t="shared" ref="Q82" si="132">N82+O82+P82</f>
        <v>4564322.8540000003</v>
      </c>
      <c r="R82" s="81">
        <f t="shared" ref="R82" si="133">10%*N82</f>
        <v>456432.28540000005</v>
      </c>
      <c r="S82" s="81">
        <f t="shared" ref="S82" si="134">Q82-R82</f>
        <v>4107890.5686000003</v>
      </c>
      <c r="T82" s="182">
        <f>Q82/L82*2</f>
        <v>144899.13822222225</v>
      </c>
      <c r="U82" s="182">
        <f t="shared" ref="U82" si="135">Q82/L82*12</f>
        <v>869394.82933333353</v>
      </c>
      <c r="V82" s="182">
        <f t="shared" ref="V82" si="136">Q82-T82-U82</f>
        <v>3550028.8864444448</v>
      </c>
    </row>
    <row r="83" spans="1:24" ht="12.75" x14ac:dyDescent="0.2">
      <c r="A83" s="159"/>
      <c r="B83" s="160"/>
      <c r="C83" s="160"/>
      <c r="D83" s="160"/>
      <c r="E83" s="178">
        <f>SUM(E82)</f>
        <v>1</v>
      </c>
      <c r="F83" s="179"/>
      <c r="G83" s="179"/>
      <c r="H83" s="179">
        <f>SUM(H82)</f>
        <v>179133550</v>
      </c>
      <c r="I83" s="179">
        <f>SUM(I82)</f>
        <v>179133550</v>
      </c>
      <c r="J83" s="179"/>
      <c r="K83" s="179"/>
      <c r="L83" s="179"/>
      <c r="M83" s="179"/>
      <c r="N83" s="179">
        <f t="shared" ref="N83:V83" si="137">SUM(N82)</f>
        <v>4564322.8540000003</v>
      </c>
      <c r="O83" s="179">
        <f t="shared" si="137"/>
        <v>0</v>
      </c>
      <c r="P83" s="179">
        <f t="shared" si="137"/>
        <v>0</v>
      </c>
      <c r="Q83" s="179">
        <f t="shared" si="137"/>
        <v>4564322.8540000003</v>
      </c>
      <c r="R83" s="179">
        <f t="shared" si="137"/>
        <v>456432.28540000005</v>
      </c>
      <c r="S83" s="179">
        <f t="shared" si="137"/>
        <v>4107890.5686000003</v>
      </c>
      <c r="T83" s="179">
        <f t="shared" si="137"/>
        <v>144899.13822222225</v>
      </c>
      <c r="U83" s="179">
        <f t="shared" si="137"/>
        <v>869394.82933333353</v>
      </c>
      <c r="V83" s="179">
        <f t="shared" si="137"/>
        <v>3550028.8864444448</v>
      </c>
    </row>
    <row r="84" spans="1:24" x14ac:dyDescent="0.2">
      <c r="A84" s="83"/>
      <c r="B84" s="83"/>
      <c r="C84" s="83" t="s">
        <v>147</v>
      </c>
      <c r="D84" s="84"/>
      <c r="E84" s="85">
        <f>E81+E83</f>
        <v>1</v>
      </c>
      <c r="F84" s="87"/>
      <c r="G84" s="87"/>
      <c r="H84" s="87">
        <f t="shared" ref="H84:V84" si="138">H81+H83</f>
        <v>179133550</v>
      </c>
      <c r="I84" s="87">
        <f t="shared" si="138"/>
        <v>179133550</v>
      </c>
      <c r="J84" s="87"/>
      <c r="K84" s="87"/>
      <c r="L84" s="87"/>
      <c r="M84" s="87"/>
      <c r="N84" s="87">
        <f t="shared" si="138"/>
        <v>4915933.2804399999</v>
      </c>
      <c r="O84" s="87">
        <f t="shared" si="138"/>
        <v>100000</v>
      </c>
      <c r="P84" s="87">
        <f t="shared" si="138"/>
        <v>0</v>
      </c>
      <c r="Q84" s="87">
        <f t="shared" si="138"/>
        <v>5015933.2804399999</v>
      </c>
      <c r="R84" s="87">
        <f t="shared" si="138"/>
        <v>456432.28540000005</v>
      </c>
      <c r="S84" s="87">
        <f t="shared" si="138"/>
        <v>4559500.9950400004</v>
      </c>
      <c r="T84" s="87">
        <f t="shared" si="138"/>
        <v>295435.94703555561</v>
      </c>
      <c r="U84" s="87">
        <f t="shared" si="138"/>
        <v>1170468.4469600003</v>
      </c>
      <c r="V84" s="87">
        <f t="shared" si="138"/>
        <v>3550028.8864444448</v>
      </c>
    </row>
    <row r="85" spans="1:24" x14ac:dyDescent="0.2">
      <c r="A85" s="83"/>
      <c r="B85" s="83"/>
      <c r="C85" s="83" t="s">
        <v>148</v>
      </c>
      <c r="D85" s="84"/>
      <c r="E85" s="93">
        <f>E84+E74</f>
        <v>21</v>
      </c>
      <c r="F85" s="95"/>
      <c r="G85" s="95"/>
      <c r="H85" s="95">
        <f t="shared" ref="H85:V85" si="139">H84+H74</f>
        <v>4935584172</v>
      </c>
      <c r="I85" s="95">
        <f t="shared" si="139"/>
        <v>4935584172</v>
      </c>
      <c r="J85" s="95"/>
      <c r="K85" s="95"/>
      <c r="L85" s="95"/>
      <c r="M85" s="95"/>
      <c r="N85" s="95">
        <f t="shared" si="139"/>
        <v>148997240.5115</v>
      </c>
      <c r="O85" s="95">
        <f t="shared" si="139"/>
        <v>100000</v>
      </c>
      <c r="P85" s="95">
        <f t="shared" si="139"/>
        <v>0</v>
      </c>
      <c r="Q85" s="95">
        <f t="shared" si="139"/>
        <v>149097240.5115</v>
      </c>
      <c r="R85" s="95">
        <f t="shared" si="139"/>
        <v>14864563.008506002</v>
      </c>
      <c r="S85" s="95">
        <f t="shared" si="139"/>
        <v>134232677.50299403</v>
      </c>
      <c r="T85" s="95">
        <f t="shared" si="139"/>
        <v>18142076.005989671</v>
      </c>
      <c r="U85" s="95">
        <f t="shared" si="139"/>
        <v>21801524.462048687</v>
      </c>
      <c r="V85" s="95">
        <f t="shared" si="139"/>
        <v>109153640.04346168</v>
      </c>
    </row>
    <row r="86" spans="1:24" x14ac:dyDescent="0.2">
      <c r="T86" s="181"/>
      <c r="U86" s="181"/>
      <c r="V86" s="181"/>
    </row>
    <row r="87" spans="1:24" ht="23.25" x14ac:dyDescent="0.2">
      <c r="A87" s="86" t="s">
        <v>201</v>
      </c>
      <c r="B87" s="62"/>
      <c r="C87" s="62"/>
      <c r="D87" s="57"/>
      <c r="E87" s="63"/>
      <c r="F87" s="64"/>
      <c r="G87" s="139"/>
      <c r="H87" s="66"/>
      <c r="I87" s="66"/>
      <c r="J87" s="67"/>
      <c r="K87" s="67"/>
      <c r="L87" s="68"/>
      <c r="M87" s="68"/>
      <c r="N87" s="69"/>
      <c r="O87" s="69"/>
      <c r="P87" s="69"/>
      <c r="Q87" s="69"/>
      <c r="R87" s="69"/>
      <c r="S87" s="69"/>
      <c r="T87" s="70"/>
      <c r="U87" s="71"/>
      <c r="V87" s="71"/>
    </row>
    <row r="88" spans="1:24" x14ac:dyDescent="0.2">
      <c r="A88" s="231" t="s">
        <v>0</v>
      </c>
      <c r="B88" s="232" t="s">
        <v>1</v>
      </c>
      <c r="C88" s="229" t="s">
        <v>2</v>
      </c>
      <c r="D88" s="233" t="s">
        <v>3</v>
      </c>
      <c r="E88" s="234" t="s">
        <v>4</v>
      </c>
      <c r="F88" s="232" t="s">
        <v>5</v>
      </c>
      <c r="G88" s="237" t="s">
        <v>6</v>
      </c>
      <c r="H88" s="236" t="s">
        <v>7</v>
      </c>
      <c r="I88" s="236" t="s">
        <v>8</v>
      </c>
      <c r="J88" s="227" t="s">
        <v>9</v>
      </c>
      <c r="K88" s="227"/>
      <c r="L88" s="228" t="s">
        <v>10</v>
      </c>
      <c r="M88" s="229" t="s">
        <v>11</v>
      </c>
      <c r="N88" s="230" t="s">
        <v>12</v>
      </c>
      <c r="O88" s="230"/>
      <c r="P88" s="230"/>
      <c r="Q88" s="229" t="s">
        <v>13</v>
      </c>
      <c r="R88" s="229" t="s">
        <v>14</v>
      </c>
      <c r="S88" s="229" t="s">
        <v>15</v>
      </c>
      <c r="T88" s="36">
        <v>2021</v>
      </c>
      <c r="U88" s="37"/>
      <c r="V88" s="38" t="s">
        <v>44</v>
      </c>
    </row>
    <row r="89" spans="1:24" x14ac:dyDescent="0.2">
      <c r="A89" s="231"/>
      <c r="B89" s="232"/>
      <c r="C89" s="229"/>
      <c r="D89" s="233"/>
      <c r="E89" s="234"/>
      <c r="F89" s="232"/>
      <c r="G89" s="237"/>
      <c r="H89" s="236"/>
      <c r="I89" s="236"/>
      <c r="J89" s="227"/>
      <c r="K89" s="227"/>
      <c r="L89" s="228"/>
      <c r="M89" s="229"/>
      <c r="N89" s="206" t="s">
        <v>16</v>
      </c>
      <c r="O89" s="206" t="s">
        <v>17</v>
      </c>
      <c r="P89" s="206" t="s">
        <v>18</v>
      </c>
      <c r="Q89" s="229"/>
      <c r="R89" s="229"/>
      <c r="S89" s="229"/>
      <c r="T89" s="96" t="s">
        <v>202</v>
      </c>
      <c r="U89" s="39" t="s">
        <v>196</v>
      </c>
      <c r="V89" s="40"/>
    </row>
    <row r="90" spans="1:24" ht="12.75" x14ac:dyDescent="0.2">
      <c r="A90" s="154">
        <v>18</v>
      </c>
      <c r="B90" s="155" t="s">
        <v>128</v>
      </c>
      <c r="C90" s="155" t="s">
        <v>178</v>
      </c>
      <c r="D90" s="156">
        <v>44391</v>
      </c>
      <c r="E90" s="154">
        <v>1</v>
      </c>
      <c r="F90" s="155" t="s">
        <v>179</v>
      </c>
      <c r="G90" s="175">
        <v>1</v>
      </c>
      <c r="H90" s="176">
        <v>380000000</v>
      </c>
      <c r="I90" s="176">
        <f>H90*G90</f>
        <v>380000000</v>
      </c>
      <c r="J90" s="156">
        <v>44350</v>
      </c>
      <c r="K90" s="77">
        <f t="shared" ref="K90:K105" si="140">IFERROR(VALUE(DAY(J90)&amp;" "&amp;TEXT(EOMONTH(J90,L90)-29,"mmm")&amp;" "&amp;YEAR(EOMONTH(J90,L90)-29)),"-")</f>
        <v>48002</v>
      </c>
      <c r="L90" s="155">
        <v>120</v>
      </c>
      <c r="M90" s="99">
        <v>25.48</v>
      </c>
      <c r="N90" s="81">
        <f t="shared" ref="N90:N105" si="141">M90*H90/1000</f>
        <v>9682400</v>
      </c>
      <c r="O90" s="81"/>
      <c r="P90" s="81"/>
      <c r="Q90" s="81">
        <f t="shared" ref="Q90:Q105" si="142">N90+O90+P90</f>
        <v>9682400</v>
      </c>
      <c r="R90" s="81">
        <f t="shared" ref="R90:R105" si="143">10%*N90</f>
        <v>968240</v>
      </c>
      <c r="S90" s="81">
        <f t="shared" ref="S90:S105" si="144">Q90-R90</f>
        <v>8714160</v>
      </c>
      <c r="T90" s="182">
        <f>Q90/L90*2</f>
        <v>161373.33333333334</v>
      </c>
      <c r="U90" s="182">
        <f>Q90/L90*12</f>
        <v>968240</v>
      </c>
      <c r="V90" s="182">
        <f>Q90-T90-U90</f>
        <v>8552786.666666666</v>
      </c>
      <c r="W90" s="181">
        <f>T90+U90+V90</f>
        <v>9682400</v>
      </c>
      <c r="X90" s="181">
        <f>Q90-W90</f>
        <v>0</v>
      </c>
    </row>
    <row r="91" spans="1:24" ht="12.75" x14ac:dyDescent="0.2">
      <c r="A91" s="168"/>
      <c r="B91" s="168"/>
      <c r="C91" s="168"/>
      <c r="D91" s="107"/>
      <c r="E91" s="154">
        <v>1</v>
      </c>
      <c r="F91" s="155" t="s">
        <v>180</v>
      </c>
      <c r="G91" s="175">
        <v>1</v>
      </c>
      <c r="H91" s="176">
        <v>445000000</v>
      </c>
      <c r="I91" s="176">
        <f t="shared" ref="I91:I105" si="145">H91*G91</f>
        <v>445000000</v>
      </c>
      <c r="J91" s="156">
        <v>44350</v>
      </c>
      <c r="K91" s="77">
        <f t="shared" si="140"/>
        <v>49312</v>
      </c>
      <c r="L91" s="155">
        <v>164</v>
      </c>
      <c r="M91" s="99">
        <v>35.409999999999997</v>
      </c>
      <c r="N91" s="81">
        <f t="shared" si="141"/>
        <v>15757449.999999998</v>
      </c>
      <c r="O91" s="81"/>
      <c r="P91" s="81"/>
      <c r="Q91" s="81">
        <f t="shared" si="142"/>
        <v>15757449.999999998</v>
      </c>
      <c r="R91" s="81">
        <f t="shared" si="143"/>
        <v>1575745</v>
      </c>
      <c r="S91" s="81">
        <f t="shared" si="144"/>
        <v>14181704.999999998</v>
      </c>
      <c r="T91" s="182">
        <f t="shared" ref="T91:T105" si="146">Q91/L91*2</f>
        <v>192164.02439024387</v>
      </c>
      <c r="U91" s="182">
        <f t="shared" ref="U91:U109" si="147">Q91/L91*12</f>
        <v>1152984.1463414631</v>
      </c>
      <c r="V91" s="182">
        <f t="shared" ref="V91:V105" si="148">Q91-T91-U91</f>
        <v>14412301.829268292</v>
      </c>
      <c r="W91" s="181">
        <f t="shared" ref="W91:W105" si="149">T91+U91+V91</f>
        <v>15757449.999999998</v>
      </c>
      <c r="X91" s="181">
        <f t="shared" ref="X91:X105" si="150">Q91-W91</f>
        <v>0</v>
      </c>
    </row>
    <row r="92" spans="1:24" ht="12.75" x14ac:dyDescent="0.2">
      <c r="A92" s="168"/>
      <c r="B92" s="168"/>
      <c r="C92" s="168"/>
      <c r="D92" s="107"/>
      <c r="E92" s="154">
        <v>1</v>
      </c>
      <c r="F92" s="155" t="s">
        <v>181</v>
      </c>
      <c r="G92" s="175">
        <v>1</v>
      </c>
      <c r="H92" s="176">
        <v>500000000</v>
      </c>
      <c r="I92" s="176">
        <f t="shared" si="145"/>
        <v>500000000</v>
      </c>
      <c r="J92" s="156">
        <v>44350</v>
      </c>
      <c r="K92" s="77">
        <f t="shared" si="140"/>
        <v>49463</v>
      </c>
      <c r="L92" s="155">
        <v>168</v>
      </c>
      <c r="M92" s="99">
        <v>35.409999999999997</v>
      </c>
      <c r="N92" s="81">
        <f t="shared" si="141"/>
        <v>17705000</v>
      </c>
      <c r="O92" s="81"/>
      <c r="P92" s="81"/>
      <c r="Q92" s="81">
        <f t="shared" si="142"/>
        <v>17705000</v>
      </c>
      <c r="R92" s="81">
        <f t="shared" si="143"/>
        <v>1770500</v>
      </c>
      <c r="S92" s="81">
        <f t="shared" si="144"/>
        <v>15934500</v>
      </c>
      <c r="T92" s="182">
        <f t="shared" si="146"/>
        <v>210773.80952380953</v>
      </c>
      <c r="U92" s="182">
        <f t="shared" si="147"/>
        <v>1264642.8571428573</v>
      </c>
      <c r="V92" s="182">
        <f t="shared" si="148"/>
        <v>16229583.333333332</v>
      </c>
      <c r="W92" s="181">
        <f t="shared" si="149"/>
        <v>17705000</v>
      </c>
      <c r="X92" s="181">
        <f t="shared" si="150"/>
        <v>0</v>
      </c>
    </row>
    <row r="93" spans="1:24" ht="12.75" x14ac:dyDescent="0.2">
      <c r="A93" s="168"/>
      <c r="B93" s="168"/>
      <c r="C93" s="168"/>
      <c r="D93" s="107"/>
      <c r="E93" s="154">
        <v>1</v>
      </c>
      <c r="F93" s="155" t="s">
        <v>182</v>
      </c>
      <c r="G93" s="175">
        <v>1</v>
      </c>
      <c r="H93" s="176">
        <v>330000000</v>
      </c>
      <c r="I93" s="176">
        <f t="shared" si="145"/>
        <v>330000000</v>
      </c>
      <c r="J93" s="156">
        <v>44350</v>
      </c>
      <c r="K93" s="77">
        <f t="shared" si="140"/>
        <v>49829</v>
      </c>
      <c r="L93" s="155">
        <v>180</v>
      </c>
      <c r="M93" s="99">
        <v>37.520000000000003</v>
      </c>
      <c r="N93" s="81">
        <f t="shared" si="141"/>
        <v>12381600.000000002</v>
      </c>
      <c r="O93" s="81"/>
      <c r="P93" s="81"/>
      <c r="Q93" s="81">
        <f t="shared" si="142"/>
        <v>12381600.000000002</v>
      </c>
      <c r="R93" s="81">
        <f t="shared" si="143"/>
        <v>1238160.0000000002</v>
      </c>
      <c r="S93" s="81">
        <f t="shared" si="144"/>
        <v>11143440.000000002</v>
      </c>
      <c r="T93" s="182">
        <f t="shared" si="146"/>
        <v>137573.33333333334</v>
      </c>
      <c r="U93" s="182">
        <f t="shared" si="147"/>
        <v>825440</v>
      </c>
      <c r="V93" s="182">
        <f t="shared" si="148"/>
        <v>11418586.666666668</v>
      </c>
      <c r="W93" s="181">
        <f t="shared" si="149"/>
        <v>12381600.000000002</v>
      </c>
      <c r="X93" s="181">
        <f t="shared" si="150"/>
        <v>0</v>
      </c>
    </row>
    <row r="94" spans="1:24" ht="12.75" x14ac:dyDescent="0.2">
      <c r="A94" s="168"/>
      <c r="B94" s="168"/>
      <c r="C94" s="168"/>
      <c r="D94" s="107"/>
      <c r="E94" s="154">
        <v>1</v>
      </c>
      <c r="F94" s="155" t="s">
        <v>193</v>
      </c>
      <c r="G94" s="175">
        <v>1</v>
      </c>
      <c r="H94" s="176">
        <v>331000000</v>
      </c>
      <c r="I94" s="176">
        <f t="shared" si="145"/>
        <v>331000000</v>
      </c>
      <c r="J94" s="156">
        <v>44350</v>
      </c>
      <c r="K94" s="77">
        <f t="shared" si="140"/>
        <v>49281</v>
      </c>
      <c r="L94" s="155">
        <v>162</v>
      </c>
      <c r="M94" s="99">
        <v>35.409999999999997</v>
      </c>
      <c r="N94" s="81">
        <f t="shared" si="141"/>
        <v>11720709.999999998</v>
      </c>
      <c r="O94" s="81"/>
      <c r="P94" s="81"/>
      <c r="Q94" s="81">
        <f t="shared" si="142"/>
        <v>11720709.999999998</v>
      </c>
      <c r="R94" s="81">
        <f t="shared" si="143"/>
        <v>1172070.9999999998</v>
      </c>
      <c r="S94" s="81">
        <f t="shared" si="144"/>
        <v>10548638.999999998</v>
      </c>
      <c r="T94" s="182">
        <f t="shared" si="146"/>
        <v>144700.12345679011</v>
      </c>
      <c r="U94" s="182">
        <f t="shared" si="147"/>
        <v>868200.74074074067</v>
      </c>
      <c r="V94" s="182">
        <f t="shared" si="148"/>
        <v>10707809.135802468</v>
      </c>
      <c r="W94" s="181">
        <f t="shared" si="149"/>
        <v>11720710</v>
      </c>
      <c r="X94" s="181">
        <f t="shared" si="150"/>
        <v>0</v>
      </c>
    </row>
    <row r="95" spans="1:24" ht="12.75" x14ac:dyDescent="0.2">
      <c r="A95" s="168"/>
      <c r="B95" s="168"/>
      <c r="C95" s="168"/>
      <c r="D95" s="107"/>
      <c r="E95" s="154">
        <v>1</v>
      </c>
      <c r="F95" s="155" t="s">
        <v>183</v>
      </c>
      <c r="G95" s="175">
        <v>1</v>
      </c>
      <c r="H95" s="176">
        <v>230000000</v>
      </c>
      <c r="I95" s="176">
        <f t="shared" si="145"/>
        <v>230000000</v>
      </c>
      <c r="J95" s="156">
        <v>44350</v>
      </c>
      <c r="K95" s="77">
        <f t="shared" si="140"/>
        <v>48002</v>
      </c>
      <c r="L95" s="155">
        <v>120</v>
      </c>
      <c r="M95" s="99">
        <v>25.48</v>
      </c>
      <c r="N95" s="81">
        <f t="shared" si="141"/>
        <v>5860400</v>
      </c>
      <c r="O95" s="81"/>
      <c r="P95" s="81"/>
      <c r="Q95" s="81">
        <f t="shared" si="142"/>
        <v>5860400</v>
      </c>
      <c r="R95" s="81">
        <f t="shared" si="143"/>
        <v>586040</v>
      </c>
      <c r="S95" s="81">
        <f t="shared" si="144"/>
        <v>5274360</v>
      </c>
      <c r="T95" s="182">
        <f t="shared" si="146"/>
        <v>97673.333333333328</v>
      </c>
      <c r="U95" s="182">
        <f t="shared" si="147"/>
        <v>586040</v>
      </c>
      <c r="V95" s="182">
        <f t="shared" si="148"/>
        <v>5176686.666666667</v>
      </c>
      <c r="W95" s="181">
        <f t="shared" si="149"/>
        <v>5860400</v>
      </c>
      <c r="X95" s="181">
        <f t="shared" si="150"/>
        <v>0</v>
      </c>
    </row>
    <row r="96" spans="1:24" ht="12.75" x14ac:dyDescent="0.2">
      <c r="A96" s="168"/>
      <c r="B96" s="168"/>
      <c r="C96" s="168"/>
      <c r="D96" s="107"/>
      <c r="E96" s="154">
        <v>1</v>
      </c>
      <c r="F96" s="155" t="s">
        <v>184</v>
      </c>
      <c r="G96" s="175">
        <v>1</v>
      </c>
      <c r="H96" s="176">
        <v>360000000</v>
      </c>
      <c r="I96" s="176">
        <f t="shared" si="145"/>
        <v>360000000</v>
      </c>
      <c r="J96" s="156">
        <v>44351</v>
      </c>
      <c r="K96" s="77">
        <f t="shared" si="140"/>
        <v>49647</v>
      </c>
      <c r="L96" s="155">
        <v>174</v>
      </c>
      <c r="M96" s="99">
        <v>37.520000000000003</v>
      </c>
      <c r="N96" s="81">
        <f t="shared" si="141"/>
        <v>13507200.000000002</v>
      </c>
      <c r="O96" s="81"/>
      <c r="P96" s="81"/>
      <c r="Q96" s="81">
        <f t="shared" si="142"/>
        <v>13507200.000000002</v>
      </c>
      <c r="R96" s="81">
        <f t="shared" si="143"/>
        <v>1350720.0000000002</v>
      </c>
      <c r="S96" s="81">
        <f t="shared" si="144"/>
        <v>12156480.000000002</v>
      </c>
      <c r="T96" s="182">
        <f t="shared" si="146"/>
        <v>155255.17241379313</v>
      </c>
      <c r="U96" s="182">
        <f t="shared" si="147"/>
        <v>931531.03448275873</v>
      </c>
      <c r="V96" s="182">
        <f t="shared" si="148"/>
        <v>12420413.793103451</v>
      </c>
      <c r="W96" s="181">
        <f t="shared" si="149"/>
        <v>13507200.000000004</v>
      </c>
      <c r="X96" s="181">
        <f t="shared" si="150"/>
        <v>0</v>
      </c>
    </row>
    <row r="97" spans="1:24" ht="12.75" x14ac:dyDescent="0.2">
      <c r="A97" s="168"/>
      <c r="B97" s="168"/>
      <c r="C97" s="168"/>
      <c r="D97" s="107"/>
      <c r="E97" s="154">
        <v>1</v>
      </c>
      <c r="F97" s="155" t="s">
        <v>185</v>
      </c>
      <c r="G97" s="175">
        <v>1</v>
      </c>
      <c r="H97" s="176">
        <v>310000000</v>
      </c>
      <c r="I97" s="176">
        <f t="shared" si="145"/>
        <v>310000000</v>
      </c>
      <c r="J97" s="156">
        <v>44354</v>
      </c>
      <c r="K97" s="77">
        <f t="shared" si="140"/>
        <v>48372</v>
      </c>
      <c r="L97" s="155">
        <v>132</v>
      </c>
      <c r="M97" s="169">
        <v>27.98</v>
      </c>
      <c r="N97" s="81">
        <f t="shared" si="141"/>
        <v>8673800</v>
      </c>
      <c r="O97" s="81"/>
      <c r="P97" s="81"/>
      <c r="Q97" s="81">
        <f t="shared" si="142"/>
        <v>8673800</v>
      </c>
      <c r="R97" s="81">
        <f t="shared" si="143"/>
        <v>867380</v>
      </c>
      <c r="S97" s="81">
        <f t="shared" si="144"/>
        <v>7806420</v>
      </c>
      <c r="T97" s="182">
        <f t="shared" si="146"/>
        <v>131421.21212121213</v>
      </c>
      <c r="U97" s="182">
        <f t="shared" si="147"/>
        <v>788527.27272727271</v>
      </c>
      <c r="V97" s="182">
        <f t="shared" si="148"/>
        <v>7753851.5151515147</v>
      </c>
      <c r="W97" s="181">
        <f t="shared" si="149"/>
        <v>8673800</v>
      </c>
      <c r="X97" s="181">
        <f t="shared" si="150"/>
        <v>0</v>
      </c>
    </row>
    <row r="98" spans="1:24" ht="12.75" x14ac:dyDescent="0.2">
      <c r="A98" s="168"/>
      <c r="B98" s="168"/>
      <c r="C98" s="168"/>
      <c r="D98" s="107"/>
      <c r="E98" s="154">
        <v>1</v>
      </c>
      <c r="F98" s="155" t="s">
        <v>186</v>
      </c>
      <c r="G98" s="175">
        <v>1</v>
      </c>
      <c r="H98" s="176">
        <v>350000000</v>
      </c>
      <c r="I98" s="176">
        <f t="shared" si="145"/>
        <v>350000000</v>
      </c>
      <c r="J98" s="156">
        <v>44354</v>
      </c>
      <c r="K98" s="77">
        <f t="shared" si="140"/>
        <v>48737</v>
      </c>
      <c r="L98" s="155">
        <v>144</v>
      </c>
      <c r="M98" s="99">
        <v>30.46</v>
      </c>
      <c r="N98" s="81">
        <f t="shared" si="141"/>
        <v>10661000</v>
      </c>
      <c r="O98" s="81"/>
      <c r="P98" s="81"/>
      <c r="Q98" s="81">
        <f t="shared" si="142"/>
        <v>10661000</v>
      </c>
      <c r="R98" s="81">
        <f t="shared" si="143"/>
        <v>1066100</v>
      </c>
      <c r="S98" s="81">
        <f t="shared" si="144"/>
        <v>9594900</v>
      </c>
      <c r="T98" s="182">
        <f t="shared" si="146"/>
        <v>148069.44444444444</v>
      </c>
      <c r="U98" s="182">
        <f t="shared" si="147"/>
        <v>888416.66666666663</v>
      </c>
      <c r="V98" s="182">
        <f t="shared" si="148"/>
        <v>9624513.8888888899</v>
      </c>
      <c r="W98" s="181">
        <f t="shared" si="149"/>
        <v>10661000</v>
      </c>
      <c r="X98" s="181">
        <f t="shared" si="150"/>
        <v>0</v>
      </c>
    </row>
    <row r="99" spans="1:24" ht="12.75" x14ac:dyDescent="0.2">
      <c r="A99" s="168"/>
      <c r="B99" s="168"/>
      <c r="C99" s="168"/>
      <c r="D99" s="107"/>
      <c r="E99" s="154">
        <v>1</v>
      </c>
      <c r="F99" s="155" t="s">
        <v>187</v>
      </c>
      <c r="G99" s="175">
        <v>1</v>
      </c>
      <c r="H99" s="176">
        <v>400000000</v>
      </c>
      <c r="I99" s="176">
        <f t="shared" si="145"/>
        <v>400000000</v>
      </c>
      <c r="J99" s="156">
        <v>44354</v>
      </c>
      <c r="K99" s="77">
        <f t="shared" si="140"/>
        <v>49833</v>
      </c>
      <c r="L99" s="155">
        <v>180</v>
      </c>
      <c r="M99" s="99">
        <v>37.520000000000003</v>
      </c>
      <c r="N99" s="81">
        <f t="shared" si="141"/>
        <v>15008000.000000002</v>
      </c>
      <c r="O99" s="81"/>
      <c r="P99" s="81"/>
      <c r="Q99" s="81">
        <f t="shared" si="142"/>
        <v>15008000.000000002</v>
      </c>
      <c r="R99" s="81">
        <f t="shared" si="143"/>
        <v>1500800.0000000002</v>
      </c>
      <c r="S99" s="81">
        <f t="shared" si="144"/>
        <v>13507200.000000002</v>
      </c>
      <c r="T99" s="182">
        <f t="shared" si="146"/>
        <v>166755.55555555556</v>
      </c>
      <c r="U99" s="182">
        <f t="shared" si="147"/>
        <v>1000533.3333333334</v>
      </c>
      <c r="V99" s="182">
        <f t="shared" si="148"/>
        <v>13840711.111111112</v>
      </c>
      <c r="W99" s="181">
        <f t="shared" si="149"/>
        <v>15008000</v>
      </c>
      <c r="X99" s="181">
        <f t="shared" si="150"/>
        <v>0</v>
      </c>
    </row>
    <row r="100" spans="1:24" ht="12.75" x14ac:dyDescent="0.2">
      <c r="A100" s="168"/>
      <c r="B100" s="168"/>
      <c r="C100" s="168"/>
      <c r="D100" s="107"/>
      <c r="E100" s="154">
        <v>1</v>
      </c>
      <c r="F100" s="155" t="s">
        <v>188</v>
      </c>
      <c r="G100" s="175">
        <v>1</v>
      </c>
      <c r="H100" s="176">
        <v>310000000</v>
      </c>
      <c r="I100" s="176">
        <f t="shared" si="145"/>
        <v>310000000</v>
      </c>
      <c r="J100" s="156">
        <v>44355</v>
      </c>
      <c r="K100" s="77">
        <f t="shared" si="140"/>
        <v>47825</v>
      </c>
      <c r="L100" s="155">
        <v>114</v>
      </c>
      <c r="M100" s="99">
        <v>25.48</v>
      </c>
      <c r="N100" s="81">
        <f t="shared" si="141"/>
        <v>7898800</v>
      </c>
      <c r="O100" s="81"/>
      <c r="P100" s="81"/>
      <c r="Q100" s="81">
        <f t="shared" si="142"/>
        <v>7898800</v>
      </c>
      <c r="R100" s="81">
        <f t="shared" si="143"/>
        <v>789880</v>
      </c>
      <c r="S100" s="81">
        <f t="shared" si="144"/>
        <v>7108920</v>
      </c>
      <c r="T100" s="182">
        <f t="shared" si="146"/>
        <v>138575.43859649124</v>
      </c>
      <c r="U100" s="182">
        <f t="shared" si="147"/>
        <v>831452.63157894742</v>
      </c>
      <c r="V100" s="182">
        <f t="shared" si="148"/>
        <v>6928771.9298245618</v>
      </c>
      <c r="W100" s="181">
        <f t="shared" si="149"/>
        <v>7898800</v>
      </c>
      <c r="X100" s="181">
        <f t="shared" si="150"/>
        <v>0</v>
      </c>
    </row>
    <row r="101" spans="1:24" ht="12.75" x14ac:dyDescent="0.2">
      <c r="A101" s="168"/>
      <c r="B101" s="168"/>
      <c r="C101" s="168"/>
      <c r="D101" s="107"/>
      <c r="E101" s="154">
        <v>1</v>
      </c>
      <c r="F101" s="155" t="s">
        <v>189</v>
      </c>
      <c r="G101" s="175">
        <v>1</v>
      </c>
      <c r="H101" s="176">
        <v>165000000</v>
      </c>
      <c r="I101" s="176">
        <f t="shared" si="145"/>
        <v>165000000</v>
      </c>
      <c r="J101" s="156">
        <v>44355</v>
      </c>
      <c r="K101" s="77">
        <f t="shared" si="140"/>
        <v>47277</v>
      </c>
      <c r="L101" s="155">
        <v>96</v>
      </c>
      <c r="M101" s="99">
        <v>20.93</v>
      </c>
      <c r="N101" s="81">
        <f t="shared" si="141"/>
        <v>3453450</v>
      </c>
      <c r="O101" s="81"/>
      <c r="P101" s="81"/>
      <c r="Q101" s="81">
        <f t="shared" si="142"/>
        <v>3453450</v>
      </c>
      <c r="R101" s="81">
        <f t="shared" si="143"/>
        <v>345345</v>
      </c>
      <c r="S101" s="81">
        <f t="shared" si="144"/>
        <v>3108105</v>
      </c>
      <c r="T101" s="182">
        <f t="shared" si="146"/>
        <v>71946.875</v>
      </c>
      <c r="U101" s="182">
        <f t="shared" si="147"/>
        <v>431681.25</v>
      </c>
      <c r="V101" s="182">
        <f t="shared" si="148"/>
        <v>2949821.875</v>
      </c>
      <c r="W101" s="181">
        <f t="shared" si="149"/>
        <v>3453450</v>
      </c>
      <c r="X101" s="181">
        <f t="shared" si="150"/>
        <v>0</v>
      </c>
    </row>
    <row r="102" spans="1:24" ht="12.75" x14ac:dyDescent="0.2">
      <c r="A102" s="168"/>
      <c r="B102" s="168"/>
      <c r="C102" s="168"/>
      <c r="D102" s="107"/>
      <c r="E102" s="154">
        <v>1</v>
      </c>
      <c r="F102" s="155" t="s">
        <v>190</v>
      </c>
      <c r="G102" s="175">
        <v>1</v>
      </c>
      <c r="H102" s="176">
        <v>300000000</v>
      </c>
      <c r="I102" s="176">
        <f t="shared" si="145"/>
        <v>300000000</v>
      </c>
      <c r="J102" s="156">
        <v>44355</v>
      </c>
      <c r="K102" s="77">
        <f t="shared" si="140"/>
        <v>49834</v>
      </c>
      <c r="L102" s="155">
        <v>180</v>
      </c>
      <c r="M102" s="99">
        <v>37.520000000000003</v>
      </c>
      <c r="N102" s="81">
        <f t="shared" si="141"/>
        <v>11256000</v>
      </c>
      <c r="O102" s="81"/>
      <c r="P102" s="81"/>
      <c r="Q102" s="81">
        <f t="shared" si="142"/>
        <v>11256000</v>
      </c>
      <c r="R102" s="81">
        <f t="shared" si="143"/>
        <v>1125600</v>
      </c>
      <c r="S102" s="81">
        <f t="shared" si="144"/>
        <v>10130400</v>
      </c>
      <c r="T102" s="182">
        <f t="shared" si="146"/>
        <v>125066.66666666667</v>
      </c>
      <c r="U102" s="182">
        <f t="shared" si="147"/>
        <v>750400</v>
      </c>
      <c r="V102" s="182">
        <f t="shared" si="148"/>
        <v>10380533.333333334</v>
      </c>
      <c r="W102" s="181">
        <f t="shared" si="149"/>
        <v>11256000</v>
      </c>
      <c r="X102" s="181">
        <f t="shared" si="150"/>
        <v>0</v>
      </c>
    </row>
    <row r="103" spans="1:24" ht="12.75" x14ac:dyDescent="0.2">
      <c r="A103" s="168"/>
      <c r="B103" s="168"/>
      <c r="C103" s="168"/>
      <c r="D103" s="107"/>
      <c r="E103" s="154">
        <v>1</v>
      </c>
      <c r="F103" s="155" t="s">
        <v>191</v>
      </c>
      <c r="G103" s="175">
        <v>1</v>
      </c>
      <c r="H103" s="176">
        <v>25000000</v>
      </c>
      <c r="I103" s="176">
        <f t="shared" si="145"/>
        <v>25000000</v>
      </c>
      <c r="J103" s="156">
        <v>44361</v>
      </c>
      <c r="K103" s="77">
        <f t="shared" si="140"/>
        <v>45274</v>
      </c>
      <c r="L103" s="155">
        <v>30</v>
      </c>
      <c r="M103" s="99">
        <v>9.1</v>
      </c>
      <c r="N103" s="81">
        <f t="shared" si="141"/>
        <v>227500</v>
      </c>
      <c r="O103" s="81"/>
      <c r="P103" s="81"/>
      <c r="Q103" s="81">
        <f t="shared" si="142"/>
        <v>227500</v>
      </c>
      <c r="R103" s="81">
        <f t="shared" si="143"/>
        <v>22750</v>
      </c>
      <c r="S103" s="81">
        <f t="shared" si="144"/>
        <v>204750</v>
      </c>
      <c r="T103" s="182">
        <f t="shared" si="146"/>
        <v>15166.666666666666</v>
      </c>
      <c r="U103" s="182">
        <f t="shared" si="147"/>
        <v>91000</v>
      </c>
      <c r="V103" s="182">
        <f t="shared" si="148"/>
        <v>121333.33333333334</v>
      </c>
      <c r="W103" s="181">
        <f t="shared" si="149"/>
        <v>227500</v>
      </c>
      <c r="X103" s="181">
        <f t="shared" si="150"/>
        <v>0</v>
      </c>
    </row>
    <row r="104" spans="1:24" ht="12.75" x14ac:dyDescent="0.2">
      <c r="A104" s="168"/>
      <c r="B104" s="168"/>
      <c r="C104" s="168"/>
      <c r="D104" s="107"/>
      <c r="E104" s="154">
        <v>1</v>
      </c>
      <c r="F104" s="155" t="s">
        <v>192</v>
      </c>
      <c r="G104" s="175">
        <v>1</v>
      </c>
      <c r="H104" s="176">
        <v>170000000</v>
      </c>
      <c r="I104" s="176">
        <f t="shared" si="145"/>
        <v>170000000</v>
      </c>
      <c r="J104" s="156">
        <v>44362</v>
      </c>
      <c r="K104" s="77">
        <f t="shared" si="140"/>
        <v>48014</v>
      </c>
      <c r="L104" s="155">
        <v>120</v>
      </c>
      <c r="M104" s="99">
        <v>25.48</v>
      </c>
      <c r="N104" s="81">
        <f t="shared" si="141"/>
        <v>4331600</v>
      </c>
      <c r="O104" s="81"/>
      <c r="P104" s="81"/>
      <c r="Q104" s="81">
        <f t="shared" si="142"/>
        <v>4331600</v>
      </c>
      <c r="R104" s="81">
        <f t="shared" si="143"/>
        <v>433160</v>
      </c>
      <c r="S104" s="81">
        <f t="shared" si="144"/>
        <v>3898440</v>
      </c>
      <c r="T104" s="182">
        <f t="shared" si="146"/>
        <v>72193.333333333328</v>
      </c>
      <c r="U104" s="182">
        <f t="shared" si="147"/>
        <v>433160</v>
      </c>
      <c r="V104" s="182">
        <f t="shared" si="148"/>
        <v>3826246.666666667</v>
      </c>
      <c r="W104" s="181">
        <f t="shared" si="149"/>
        <v>4331600</v>
      </c>
      <c r="X104" s="181">
        <f t="shared" si="150"/>
        <v>0</v>
      </c>
    </row>
    <row r="105" spans="1:24" ht="12.75" x14ac:dyDescent="0.2">
      <c r="A105" s="168"/>
      <c r="B105" s="168"/>
      <c r="C105" s="168"/>
      <c r="D105" s="107"/>
      <c r="E105" s="154">
        <v>1</v>
      </c>
      <c r="F105" s="155" t="s">
        <v>194</v>
      </c>
      <c r="G105" s="175">
        <v>1</v>
      </c>
      <c r="H105" s="188">
        <v>343000000</v>
      </c>
      <c r="I105" s="188">
        <f t="shared" si="145"/>
        <v>343000000</v>
      </c>
      <c r="J105" s="189">
        <v>44363</v>
      </c>
      <c r="K105" s="77">
        <f t="shared" si="140"/>
        <v>49476</v>
      </c>
      <c r="L105" s="187">
        <v>168</v>
      </c>
      <c r="M105" s="99">
        <v>35.409999999999997</v>
      </c>
      <c r="N105" s="190">
        <f t="shared" si="141"/>
        <v>12145629.999999998</v>
      </c>
      <c r="O105" s="190"/>
      <c r="P105" s="190"/>
      <c r="Q105" s="190">
        <f t="shared" si="142"/>
        <v>12145629.999999998</v>
      </c>
      <c r="R105" s="81">
        <f t="shared" si="143"/>
        <v>1214562.9999999998</v>
      </c>
      <c r="S105" s="190">
        <f t="shared" si="144"/>
        <v>10931066.999999998</v>
      </c>
      <c r="T105" s="182">
        <f t="shared" si="146"/>
        <v>144590.83333333331</v>
      </c>
      <c r="U105" s="182">
        <f t="shared" si="147"/>
        <v>867544.99999999988</v>
      </c>
      <c r="V105" s="182">
        <f t="shared" si="148"/>
        <v>11133494.166666664</v>
      </c>
      <c r="W105" s="181">
        <f t="shared" si="149"/>
        <v>12145629.999999998</v>
      </c>
      <c r="X105" s="181">
        <f t="shared" si="150"/>
        <v>0</v>
      </c>
    </row>
    <row r="106" spans="1:24" x14ac:dyDescent="0.2">
      <c r="A106" s="91"/>
      <c r="B106" s="91"/>
      <c r="C106" s="91"/>
      <c r="D106" s="59"/>
      <c r="E106" s="85">
        <f>SUM(E90:E105)</f>
        <v>16</v>
      </c>
      <c r="F106" s="91"/>
      <c r="G106" s="91"/>
      <c r="H106" s="91">
        <f>SUM(H90:H105)</f>
        <v>4949000000</v>
      </c>
      <c r="I106" s="91">
        <f>SUM(I90:I105)</f>
        <v>4949000000</v>
      </c>
      <c r="J106" s="91"/>
      <c r="K106" s="91"/>
      <c r="L106" s="91"/>
      <c r="M106" s="91"/>
      <c r="N106" s="91">
        <f t="shared" ref="N106:X106" si="151">SUM(N90:N105)</f>
        <v>160270540</v>
      </c>
      <c r="O106" s="91">
        <f t="shared" si="151"/>
        <v>0</v>
      </c>
      <c r="P106" s="91">
        <f t="shared" si="151"/>
        <v>0</v>
      </c>
      <c r="Q106" s="91">
        <f t="shared" si="151"/>
        <v>160270540</v>
      </c>
      <c r="R106" s="91">
        <f t="shared" si="151"/>
        <v>16027054</v>
      </c>
      <c r="S106" s="91">
        <f t="shared" si="151"/>
        <v>144243486</v>
      </c>
      <c r="T106" s="91">
        <f t="shared" si="151"/>
        <v>2113299.1555023403</v>
      </c>
      <c r="U106" s="91">
        <f t="shared" si="151"/>
        <v>12679794.933014039</v>
      </c>
      <c r="V106" s="91">
        <f t="shared" si="151"/>
        <v>145477445.91148362</v>
      </c>
      <c r="W106" s="91">
        <f t="shared" si="151"/>
        <v>160270540</v>
      </c>
      <c r="X106" s="91">
        <f t="shared" si="151"/>
        <v>0</v>
      </c>
    </row>
    <row r="107" spans="1:24" ht="12.75" x14ac:dyDescent="0.2">
      <c r="A107" s="154"/>
      <c r="B107" s="155" t="s">
        <v>46</v>
      </c>
      <c r="C107" s="155" t="s">
        <v>206</v>
      </c>
      <c r="D107" s="156">
        <v>44407</v>
      </c>
      <c r="E107" s="154">
        <v>1</v>
      </c>
      <c r="F107" s="155" t="s">
        <v>53</v>
      </c>
      <c r="G107" s="175">
        <v>1</v>
      </c>
      <c r="H107" s="176">
        <v>70717947</v>
      </c>
      <c r="I107" s="176">
        <f>H107*G107</f>
        <v>70717947</v>
      </c>
      <c r="J107" s="156">
        <v>46914</v>
      </c>
      <c r="K107" s="156">
        <v>47279</v>
      </c>
      <c r="L107" s="155">
        <v>12</v>
      </c>
      <c r="M107" s="195">
        <v>5.46</v>
      </c>
      <c r="N107" s="176">
        <f>M107*H107/1000</f>
        <v>386119.99062</v>
      </c>
      <c r="O107" s="176">
        <v>100000</v>
      </c>
      <c r="P107" s="176"/>
      <c r="Q107" s="176">
        <f>N107+O107+P107</f>
        <v>486119.99062</v>
      </c>
      <c r="R107" s="196"/>
      <c r="S107" s="176">
        <f>Q107-R107</f>
        <v>486119.99062</v>
      </c>
      <c r="T107" s="182">
        <f>Q107/L107</f>
        <v>40509.999218333331</v>
      </c>
      <c r="U107" s="182">
        <f>Q107/L107*11</f>
        <v>445609.99140166666</v>
      </c>
      <c r="V107" s="182">
        <f t="shared" ref="V107" si="152">Q107-T107-U107</f>
        <v>0</v>
      </c>
      <c r="W107" s="181">
        <f t="shared" ref="W107" si="153">T107+U107+V107</f>
        <v>486119.99062</v>
      </c>
      <c r="X107" s="181">
        <f t="shared" ref="X107" si="154">Q107-W107</f>
        <v>0</v>
      </c>
    </row>
    <row r="108" spans="1:24" ht="12.75" x14ac:dyDescent="0.2">
      <c r="A108" s="198"/>
      <c r="B108" s="199"/>
      <c r="C108" s="199"/>
      <c r="D108" s="199"/>
      <c r="E108" s="200"/>
      <c r="F108" s="201"/>
      <c r="G108" s="201"/>
      <c r="H108" s="201"/>
      <c r="I108" s="201"/>
      <c r="J108" s="201"/>
      <c r="K108" s="201"/>
      <c r="L108" s="201"/>
      <c r="M108" s="201"/>
      <c r="N108" s="201">
        <f t="shared" ref="N108:X108" si="155">SUM(N107:N107)</f>
        <v>386119.99062</v>
      </c>
      <c r="O108" s="201">
        <f t="shared" si="155"/>
        <v>100000</v>
      </c>
      <c r="P108" s="201">
        <f t="shared" si="155"/>
        <v>0</v>
      </c>
      <c r="Q108" s="201">
        <f t="shared" si="155"/>
        <v>486119.99062</v>
      </c>
      <c r="R108" s="201">
        <f t="shared" si="155"/>
        <v>0</v>
      </c>
      <c r="S108" s="201">
        <f t="shared" si="155"/>
        <v>486119.99062</v>
      </c>
      <c r="T108" s="201">
        <f t="shared" si="155"/>
        <v>40509.999218333331</v>
      </c>
      <c r="U108" s="201">
        <f t="shared" si="155"/>
        <v>445609.99140166666</v>
      </c>
      <c r="V108" s="201">
        <f t="shared" si="155"/>
        <v>0</v>
      </c>
      <c r="W108" s="201">
        <f t="shared" si="155"/>
        <v>486119.99062</v>
      </c>
      <c r="X108" s="201">
        <f t="shared" si="155"/>
        <v>0</v>
      </c>
    </row>
    <row r="109" spans="1:24" ht="12.75" x14ac:dyDescent="0.2">
      <c r="A109" s="154"/>
      <c r="B109" s="155" t="s">
        <v>122</v>
      </c>
      <c r="C109" s="155" t="s">
        <v>207</v>
      </c>
      <c r="D109" s="156">
        <v>44407</v>
      </c>
      <c r="E109" s="154">
        <v>1</v>
      </c>
      <c r="F109" s="155" t="s">
        <v>208</v>
      </c>
      <c r="G109" s="175">
        <v>1</v>
      </c>
      <c r="H109" s="176">
        <v>30000000</v>
      </c>
      <c r="I109" s="176">
        <f>H109*G109</f>
        <v>30000000</v>
      </c>
      <c r="J109" s="156">
        <v>44406</v>
      </c>
      <c r="K109" s="156">
        <v>45136</v>
      </c>
      <c r="L109" s="155">
        <v>24</v>
      </c>
      <c r="M109" s="195">
        <v>10.57</v>
      </c>
      <c r="N109" s="176">
        <f>M109*H109/1000</f>
        <v>317100</v>
      </c>
      <c r="O109" s="176"/>
      <c r="P109" s="176"/>
      <c r="Q109" s="190">
        <f t="shared" ref="Q109" si="156">N109+O109+P109</f>
        <v>317100</v>
      </c>
      <c r="R109" s="81">
        <f t="shared" ref="R109" si="157">10%*N109</f>
        <v>31710</v>
      </c>
      <c r="S109" s="190">
        <f t="shared" ref="S109" si="158">Q109-R109</f>
        <v>285390</v>
      </c>
      <c r="T109" s="182">
        <f>Q109/L109</f>
        <v>13212.5</v>
      </c>
      <c r="U109" s="182">
        <f t="shared" si="147"/>
        <v>158550</v>
      </c>
      <c r="V109" s="182">
        <f t="shared" ref="V109" si="159">Q109-T109-U109</f>
        <v>145337.5</v>
      </c>
      <c r="W109" s="181">
        <f t="shared" ref="W109" si="160">T109+U109+V109</f>
        <v>317100</v>
      </c>
      <c r="X109" s="181">
        <f t="shared" ref="X109" si="161">Q109-W109</f>
        <v>0</v>
      </c>
    </row>
    <row r="110" spans="1:24" ht="12.75" x14ac:dyDescent="0.2">
      <c r="A110" s="198"/>
      <c r="B110" s="199"/>
      <c r="C110" s="199"/>
      <c r="D110" s="199"/>
      <c r="E110" s="200">
        <f>SUM(E109:E109)</f>
        <v>1</v>
      </c>
      <c r="F110" s="201">
        <f>SUM(F109:F109)</f>
        <v>0</v>
      </c>
      <c r="G110" s="201"/>
      <c r="H110" s="201">
        <f>SUM(H109:H109)</f>
        <v>30000000</v>
      </c>
      <c r="I110" s="201">
        <f>SUM(I109:I109)</f>
        <v>30000000</v>
      </c>
      <c r="J110" s="201"/>
      <c r="K110" s="201"/>
      <c r="L110" s="201"/>
      <c r="M110" s="201"/>
      <c r="N110" s="201">
        <f t="shared" ref="N110:X110" si="162">SUM(N109:N109)</f>
        <v>317100</v>
      </c>
      <c r="O110" s="201">
        <f t="shared" si="162"/>
        <v>0</v>
      </c>
      <c r="P110" s="201">
        <f t="shared" si="162"/>
        <v>0</v>
      </c>
      <c r="Q110" s="201">
        <f t="shared" si="162"/>
        <v>317100</v>
      </c>
      <c r="R110" s="201">
        <f t="shared" si="162"/>
        <v>31710</v>
      </c>
      <c r="S110" s="201">
        <f t="shared" si="162"/>
        <v>285390</v>
      </c>
      <c r="T110" s="201">
        <f t="shared" si="162"/>
        <v>13212.5</v>
      </c>
      <c r="U110" s="201">
        <f t="shared" si="162"/>
        <v>158550</v>
      </c>
      <c r="V110" s="201">
        <f t="shared" si="162"/>
        <v>145337.5</v>
      </c>
      <c r="W110" s="201">
        <f t="shared" si="162"/>
        <v>317100</v>
      </c>
      <c r="X110" s="201">
        <f t="shared" si="162"/>
        <v>0</v>
      </c>
    </row>
    <row r="111" spans="1:24" x14ac:dyDescent="0.2">
      <c r="A111" s="83"/>
      <c r="B111" s="83"/>
      <c r="C111" s="83" t="s">
        <v>50</v>
      </c>
      <c r="D111" s="84"/>
      <c r="E111" s="185">
        <f t="shared" ref="E111:P111" si="163">E110+E106+E108</f>
        <v>17</v>
      </c>
      <c r="F111" s="185">
        <f t="shared" si="163"/>
        <v>0</v>
      </c>
      <c r="G111" s="185">
        <f t="shared" si="163"/>
        <v>0</v>
      </c>
      <c r="H111" s="185">
        <f t="shared" si="163"/>
        <v>4979000000</v>
      </c>
      <c r="I111" s="185">
        <f t="shared" si="163"/>
        <v>4979000000</v>
      </c>
      <c r="J111" s="185">
        <f t="shared" si="163"/>
        <v>0</v>
      </c>
      <c r="K111" s="185">
        <f t="shared" si="163"/>
        <v>0</v>
      </c>
      <c r="L111" s="185">
        <f t="shared" si="163"/>
        <v>0</v>
      </c>
      <c r="M111" s="185">
        <f t="shared" si="163"/>
        <v>0</v>
      </c>
      <c r="N111" s="185">
        <f t="shared" si="163"/>
        <v>160973759.99061999</v>
      </c>
      <c r="O111" s="185">
        <f t="shared" si="163"/>
        <v>100000</v>
      </c>
      <c r="P111" s="185">
        <f t="shared" si="163"/>
        <v>0</v>
      </c>
      <c r="Q111" s="185">
        <f>Q110+Q106+Q108</f>
        <v>161073759.99061999</v>
      </c>
      <c r="R111" s="185">
        <f t="shared" ref="R111:S111" si="164">R110+R106+R108</f>
        <v>16058764</v>
      </c>
      <c r="S111" s="185">
        <f t="shared" si="164"/>
        <v>145014995.99061999</v>
      </c>
      <c r="T111" s="185">
        <f>T110+T106+T108</f>
        <v>2167021.6547206738</v>
      </c>
      <c r="U111" s="185">
        <f t="shared" ref="U111:W111" si="165">U110+U106+U108</f>
        <v>13283954.924415706</v>
      </c>
      <c r="V111" s="185">
        <f t="shared" si="165"/>
        <v>145622783.41148362</v>
      </c>
      <c r="W111" s="185">
        <f t="shared" si="165"/>
        <v>161073759.99061999</v>
      </c>
      <c r="X111" s="185">
        <f t="shared" ref="X111" si="166">X110+X106</f>
        <v>0</v>
      </c>
    </row>
    <row r="112" spans="1:24" x14ac:dyDescent="0.2">
      <c r="A112" s="83"/>
      <c r="B112" s="83"/>
      <c r="C112" s="83" t="s">
        <v>209</v>
      </c>
      <c r="D112" s="84"/>
      <c r="E112" s="93">
        <f>E111+E85</f>
        <v>38</v>
      </c>
      <c r="F112" s="95">
        <f t="shared" ref="F112:X112" si="167">F111+F85</f>
        <v>0</v>
      </c>
      <c r="G112" s="95">
        <f t="shared" si="167"/>
        <v>0</v>
      </c>
      <c r="H112" s="95">
        <f t="shared" si="167"/>
        <v>9914584172</v>
      </c>
      <c r="I112" s="95">
        <f t="shared" si="167"/>
        <v>9914584172</v>
      </c>
      <c r="J112" s="95"/>
      <c r="K112" s="95"/>
      <c r="L112" s="95"/>
      <c r="M112" s="95"/>
      <c r="N112" s="95">
        <f t="shared" si="167"/>
        <v>309971000.50212002</v>
      </c>
      <c r="O112" s="95">
        <f t="shared" si="167"/>
        <v>200000</v>
      </c>
      <c r="P112" s="95">
        <f t="shared" si="167"/>
        <v>0</v>
      </c>
      <c r="Q112" s="95">
        <f t="shared" si="167"/>
        <v>310171000.50212002</v>
      </c>
      <c r="R112" s="95">
        <f t="shared" si="167"/>
        <v>30923327.008506</v>
      </c>
      <c r="S112" s="95">
        <f t="shared" si="167"/>
        <v>279247673.49361402</v>
      </c>
      <c r="T112" s="95">
        <f t="shared" si="167"/>
        <v>20309097.660710346</v>
      </c>
      <c r="U112" s="95">
        <f t="shared" si="167"/>
        <v>35085479.386464395</v>
      </c>
      <c r="V112" s="95">
        <f t="shared" si="167"/>
        <v>254776423.4549453</v>
      </c>
      <c r="W112" s="95">
        <f t="shared" si="167"/>
        <v>161073759.99061999</v>
      </c>
      <c r="X112" s="95">
        <f t="shared" si="167"/>
        <v>0</v>
      </c>
    </row>
    <row r="114" spans="1:24" ht="23.25" x14ac:dyDescent="0.2">
      <c r="A114" s="86" t="s">
        <v>230</v>
      </c>
      <c r="B114" s="62"/>
      <c r="C114" s="62"/>
      <c r="D114" s="57"/>
      <c r="E114" s="63"/>
      <c r="F114" s="64"/>
      <c r="G114" s="139"/>
      <c r="H114" s="66"/>
      <c r="I114" s="66"/>
      <c r="J114" s="67"/>
      <c r="K114" s="67"/>
      <c r="L114" s="68"/>
      <c r="M114" s="68"/>
      <c r="N114" s="69"/>
      <c r="O114" s="69"/>
      <c r="P114" s="69"/>
      <c r="Q114" s="69"/>
      <c r="R114" s="69"/>
      <c r="S114" s="69"/>
      <c r="T114" s="70"/>
      <c r="U114" s="71"/>
      <c r="V114" s="71"/>
    </row>
    <row r="115" spans="1:24" x14ac:dyDescent="0.2">
      <c r="A115" s="231" t="s">
        <v>0</v>
      </c>
      <c r="B115" s="232" t="s">
        <v>1</v>
      </c>
      <c r="C115" s="229" t="s">
        <v>2</v>
      </c>
      <c r="D115" s="233" t="s">
        <v>3</v>
      </c>
      <c r="E115" s="234" t="s">
        <v>4</v>
      </c>
      <c r="F115" s="232" t="s">
        <v>5</v>
      </c>
      <c r="G115" s="237" t="s">
        <v>6</v>
      </c>
      <c r="H115" s="236" t="s">
        <v>7</v>
      </c>
      <c r="I115" s="236" t="s">
        <v>8</v>
      </c>
      <c r="J115" s="227" t="s">
        <v>9</v>
      </c>
      <c r="K115" s="227"/>
      <c r="L115" s="228" t="s">
        <v>10</v>
      </c>
      <c r="M115" s="229" t="s">
        <v>11</v>
      </c>
      <c r="N115" s="230" t="s">
        <v>12</v>
      </c>
      <c r="O115" s="230"/>
      <c r="P115" s="230"/>
      <c r="Q115" s="229" t="s">
        <v>13</v>
      </c>
      <c r="R115" s="229" t="s">
        <v>14</v>
      </c>
      <c r="S115" s="229" t="s">
        <v>15</v>
      </c>
      <c r="T115" s="36">
        <v>2021</v>
      </c>
      <c r="U115" s="37"/>
      <c r="V115" s="38" t="s">
        <v>44</v>
      </c>
    </row>
    <row r="116" spans="1:24" x14ac:dyDescent="0.2">
      <c r="A116" s="231"/>
      <c r="B116" s="232"/>
      <c r="C116" s="229"/>
      <c r="D116" s="233"/>
      <c r="E116" s="234"/>
      <c r="F116" s="232"/>
      <c r="G116" s="237"/>
      <c r="H116" s="236"/>
      <c r="I116" s="236"/>
      <c r="J116" s="227"/>
      <c r="K116" s="227"/>
      <c r="L116" s="228"/>
      <c r="M116" s="229"/>
      <c r="N116" s="207" t="s">
        <v>16</v>
      </c>
      <c r="O116" s="207" t="s">
        <v>17</v>
      </c>
      <c r="P116" s="207" t="s">
        <v>18</v>
      </c>
      <c r="Q116" s="229"/>
      <c r="R116" s="229"/>
      <c r="S116" s="229"/>
      <c r="T116" s="96" t="s">
        <v>231</v>
      </c>
      <c r="U116" s="39" t="s">
        <v>232</v>
      </c>
      <c r="V116" s="40"/>
    </row>
    <row r="117" spans="1:24" ht="12.75" x14ac:dyDescent="0.2">
      <c r="A117" s="154">
        <v>21</v>
      </c>
      <c r="B117" s="155" t="s">
        <v>19</v>
      </c>
      <c r="C117" s="155" t="s">
        <v>211</v>
      </c>
      <c r="D117" s="156">
        <v>44463</v>
      </c>
      <c r="E117" s="154">
        <v>1</v>
      </c>
      <c r="F117" s="155" t="s">
        <v>212</v>
      </c>
      <c r="G117" s="175">
        <v>1</v>
      </c>
      <c r="H117" s="176">
        <v>25237639</v>
      </c>
      <c r="I117" s="176">
        <f>H117*G117</f>
        <v>25237639</v>
      </c>
      <c r="J117" s="205">
        <v>44611</v>
      </c>
      <c r="K117" s="205">
        <v>44895</v>
      </c>
      <c r="L117" s="155">
        <v>9</v>
      </c>
      <c r="M117" s="195">
        <v>5.46</v>
      </c>
      <c r="N117" s="176">
        <f>M117*H117/1000</f>
        <v>137797.50894</v>
      </c>
      <c r="O117" s="176">
        <v>100000</v>
      </c>
      <c r="P117" s="176"/>
      <c r="Q117" s="176">
        <f>N117+O117+P117</f>
        <v>237797.50894</v>
      </c>
      <c r="R117" s="196"/>
      <c r="S117" s="176">
        <f>Q117-R117</f>
        <v>237797.50894</v>
      </c>
      <c r="T117" s="182">
        <f>Q117/L117</f>
        <v>26421.945437777777</v>
      </c>
      <c r="U117" s="182">
        <f>Q117/L117*8</f>
        <v>211375.56350222221</v>
      </c>
      <c r="V117" s="182">
        <f t="shared" ref="V117" si="168">Q117-T117-U117</f>
        <v>0</v>
      </c>
      <c r="W117" s="181">
        <f t="shared" ref="W117" si="169">T117+U117+V117</f>
        <v>237797.50894</v>
      </c>
      <c r="X117" s="181">
        <f t="shared" ref="X117" si="170">Q117-W117</f>
        <v>0</v>
      </c>
    </row>
    <row r="118" spans="1:24" ht="12.75" x14ac:dyDescent="0.2">
      <c r="A118" s="198"/>
      <c r="B118" s="199"/>
      <c r="C118" s="199"/>
      <c r="D118" s="199"/>
      <c r="E118" s="200"/>
      <c r="F118" s="201"/>
      <c r="G118" s="201"/>
      <c r="H118" s="201"/>
      <c r="I118" s="201"/>
      <c r="J118" s="201"/>
      <c r="K118" s="201"/>
      <c r="L118" s="201"/>
      <c r="M118" s="201"/>
      <c r="N118" s="201">
        <f t="shared" ref="N118:X118" si="171">SUM(N117:N117)</f>
        <v>137797.50894</v>
      </c>
      <c r="O118" s="201">
        <f t="shared" si="171"/>
        <v>100000</v>
      </c>
      <c r="P118" s="201">
        <f t="shared" si="171"/>
        <v>0</v>
      </c>
      <c r="Q118" s="201">
        <f t="shared" si="171"/>
        <v>237797.50894</v>
      </c>
      <c r="R118" s="201">
        <f t="shared" si="171"/>
        <v>0</v>
      </c>
      <c r="S118" s="201">
        <f t="shared" si="171"/>
        <v>237797.50894</v>
      </c>
      <c r="T118" s="201">
        <f t="shared" si="171"/>
        <v>26421.945437777777</v>
      </c>
      <c r="U118" s="201">
        <f t="shared" si="171"/>
        <v>211375.56350222221</v>
      </c>
      <c r="V118" s="201">
        <f t="shared" si="171"/>
        <v>0</v>
      </c>
      <c r="W118" s="201">
        <f t="shared" si="171"/>
        <v>237797.50894</v>
      </c>
      <c r="X118" s="201">
        <f t="shared" si="171"/>
        <v>0</v>
      </c>
    </row>
    <row r="119" spans="1:24" ht="12.75" x14ac:dyDescent="0.2">
      <c r="A119" s="154">
        <v>22</v>
      </c>
      <c r="B119" s="155" t="s">
        <v>213</v>
      </c>
      <c r="C119" s="155" t="s">
        <v>214</v>
      </c>
      <c r="D119" s="156">
        <v>44468</v>
      </c>
      <c r="E119" s="154">
        <v>1</v>
      </c>
      <c r="F119" s="155" t="s">
        <v>215</v>
      </c>
      <c r="G119" s="175">
        <v>1</v>
      </c>
      <c r="H119" s="176">
        <v>13910250</v>
      </c>
      <c r="I119" s="176">
        <f>H119*G119</f>
        <v>13910250</v>
      </c>
      <c r="J119" s="205">
        <v>44447</v>
      </c>
      <c r="K119" s="205">
        <v>44812</v>
      </c>
      <c r="L119" s="155">
        <v>12</v>
      </c>
      <c r="M119" s="195">
        <v>60.9</v>
      </c>
      <c r="N119" s="176">
        <f>M119*H119/1000</f>
        <v>847134.22499999998</v>
      </c>
      <c r="O119" s="176"/>
      <c r="P119" s="176"/>
      <c r="Q119" s="190">
        <f t="shared" ref="Q119" si="172">N119+O119+P119</f>
        <v>847134.22499999998</v>
      </c>
      <c r="R119" s="81">
        <f t="shared" ref="R119:R129" si="173">10%*N119</f>
        <v>84713.422500000001</v>
      </c>
      <c r="S119" s="190">
        <f t="shared" ref="S119" si="174">Q119-R119</f>
        <v>762420.80249999999</v>
      </c>
      <c r="T119" s="182">
        <f t="shared" ref="T119:T132" si="175">Q119/L119</f>
        <v>70594.518750000003</v>
      </c>
      <c r="U119" s="182">
        <f>Q119/L119*11</f>
        <v>776539.70625000005</v>
      </c>
      <c r="V119" s="182">
        <f t="shared" ref="V119:V132" si="176">Q119-T119-U119</f>
        <v>0</v>
      </c>
      <c r="W119" s="181">
        <f t="shared" ref="W119:W132" si="177">T119+U119+V119</f>
        <v>847134.22500000009</v>
      </c>
      <c r="X119" s="181">
        <f t="shared" ref="X119:X132" si="178">Q119-W119</f>
        <v>0</v>
      </c>
    </row>
    <row r="120" spans="1:24" ht="12.75" x14ac:dyDescent="0.2">
      <c r="A120" s="198"/>
      <c r="B120" s="199"/>
      <c r="C120" s="199"/>
      <c r="D120" s="199"/>
      <c r="E120" s="200">
        <f>SUM(E119:E119)</f>
        <v>1</v>
      </c>
      <c r="F120" s="201"/>
      <c r="G120" s="201"/>
      <c r="H120" s="201">
        <f>SUM(H119:H119)</f>
        <v>13910250</v>
      </c>
      <c r="I120" s="201">
        <f>SUM(I119:I119)</f>
        <v>13910250</v>
      </c>
      <c r="J120" s="201"/>
      <c r="K120" s="201"/>
      <c r="L120" s="201"/>
      <c r="M120" s="201"/>
      <c r="N120" s="201">
        <f t="shared" ref="N120:X120" si="179">SUM(N119:N119)</f>
        <v>847134.22499999998</v>
      </c>
      <c r="O120" s="201">
        <f t="shared" si="179"/>
        <v>0</v>
      </c>
      <c r="P120" s="201">
        <f t="shared" si="179"/>
        <v>0</v>
      </c>
      <c r="Q120" s="201">
        <f t="shared" si="179"/>
        <v>847134.22499999998</v>
      </c>
      <c r="R120" s="201">
        <f t="shared" si="179"/>
        <v>84713.422500000001</v>
      </c>
      <c r="S120" s="201">
        <f t="shared" si="179"/>
        <v>762420.80249999999</v>
      </c>
      <c r="T120" s="201">
        <f t="shared" si="179"/>
        <v>70594.518750000003</v>
      </c>
      <c r="U120" s="201">
        <f t="shared" si="179"/>
        <v>776539.70625000005</v>
      </c>
      <c r="V120" s="201">
        <f t="shared" si="179"/>
        <v>0</v>
      </c>
      <c r="W120" s="201">
        <f t="shared" si="179"/>
        <v>847134.22500000009</v>
      </c>
      <c r="X120" s="201">
        <f t="shared" si="179"/>
        <v>0</v>
      </c>
    </row>
    <row r="121" spans="1:24" ht="12.75" x14ac:dyDescent="0.2">
      <c r="A121" s="154">
        <v>23</v>
      </c>
      <c r="B121" s="155" t="s">
        <v>49</v>
      </c>
      <c r="C121" s="155" t="s">
        <v>216</v>
      </c>
      <c r="D121" s="156">
        <v>44467</v>
      </c>
      <c r="E121" s="154">
        <v>1</v>
      </c>
      <c r="F121" s="155" t="s">
        <v>217</v>
      </c>
      <c r="G121" s="175">
        <v>1</v>
      </c>
      <c r="H121" s="176">
        <v>22343000</v>
      </c>
      <c r="I121" s="176">
        <f t="shared" ref="I121:I129" si="180">H121*G121</f>
        <v>22343000</v>
      </c>
      <c r="J121" s="205">
        <v>44456</v>
      </c>
      <c r="K121" s="205">
        <v>45552</v>
      </c>
      <c r="L121" s="155">
        <v>36</v>
      </c>
      <c r="M121" s="195">
        <v>11.5</v>
      </c>
      <c r="N121" s="176">
        <f>M121*H121/1000</f>
        <v>256944.5</v>
      </c>
      <c r="O121" s="176"/>
      <c r="P121" s="176"/>
      <c r="Q121" s="176">
        <f>N121+O121+P121</f>
        <v>256944.5</v>
      </c>
      <c r="R121" s="81">
        <f t="shared" si="173"/>
        <v>25694.45</v>
      </c>
      <c r="S121" s="176">
        <f>Q121-R121</f>
        <v>231250.05</v>
      </c>
      <c r="T121" s="182">
        <f t="shared" si="175"/>
        <v>7137.3472222222226</v>
      </c>
      <c r="U121" s="182">
        <f t="shared" ref="U121:U132" si="181">Q121/L121*12</f>
        <v>85648.166666666672</v>
      </c>
      <c r="V121" s="182">
        <f t="shared" si="176"/>
        <v>164158.98611111112</v>
      </c>
      <c r="W121" s="181">
        <f t="shared" si="177"/>
        <v>256944.5</v>
      </c>
      <c r="X121" s="181">
        <f t="shared" si="178"/>
        <v>0</v>
      </c>
    </row>
    <row r="122" spans="1:24" ht="12.75" x14ac:dyDescent="0.2">
      <c r="A122" s="154"/>
      <c r="B122" s="155"/>
      <c r="C122" s="155"/>
      <c r="D122" s="156"/>
      <c r="E122" s="154">
        <v>1</v>
      </c>
      <c r="F122" s="155" t="s">
        <v>218</v>
      </c>
      <c r="G122" s="175">
        <v>1</v>
      </c>
      <c r="H122" s="176">
        <v>330000000</v>
      </c>
      <c r="I122" s="176">
        <f t="shared" si="180"/>
        <v>330000000</v>
      </c>
      <c r="J122" s="205">
        <v>44467</v>
      </c>
      <c r="K122" s="205">
        <v>46293</v>
      </c>
      <c r="L122" s="155">
        <v>180</v>
      </c>
      <c r="M122" s="195">
        <v>37.520000000000003</v>
      </c>
      <c r="N122" s="176">
        <f t="shared" ref="N122:N129" si="182">M122*H122/1000</f>
        <v>12381600.000000002</v>
      </c>
      <c r="O122" s="176"/>
      <c r="P122" s="176"/>
      <c r="Q122" s="176">
        <f t="shared" ref="Q122:Q129" si="183">N122+O122+P122</f>
        <v>12381600.000000002</v>
      </c>
      <c r="R122" s="81">
        <f t="shared" si="173"/>
        <v>1238160.0000000002</v>
      </c>
      <c r="S122" s="190">
        <f t="shared" ref="S122:S129" si="184">Q122-R122</f>
        <v>11143440.000000002</v>
      </c>
      <c r="T122" s="182">
        <f t="shared" si="175"/>
        <v>68786.666666666672</v>
      </c>
      <c r="U122" s="182">
        <f t="shared" si="181"/>
        <v>825440</v>
      </c>
      <c r="V122" s="182">
        <f t="shared" si="176"/>
        <v>11487373.333333336</v>
      </c>
      <c r="W122" s="181">
        <f t="shared" si="177"/>
        <v>12381600.000000002</v>
      </c>
      <c r="X122" s="181">
        <f t="shared" si="178"/>
        <v>0</v>
      </c>
    </row>
    <row r="123" spans="1:24" ht="12.75" x14ac:dyDescent="0.2">
      <c r="A123" s="154"/>
      <c r="B123" s="155"/>
      <c r="C123" s="155"/>
      <c r="D123" s="156"/>
      <c r="E123" s="154">
        <v>1</v>
      </c>
      <c r="F123" s="155" t="s">
        <v>219</v>
      </c>
      <c r="G123" s="175">
        <v>1</v>
      </c>
      <c r="H123" s="176">
        <v>35000000</v>
      </c>
      <c r="I123" s="176">
        <f t="shared" si="180"/>
        <v>35000000</v>
      </c>
      <c r="J123" s="205">
        <v>44447</v>
      </c>
      <c r="K123" s="205">
        <v>46273</v>
      </c>
      <c r="L123" s="155">
        <v>60</v>
      </c>
      <c r="M123" s="195">
        <v>18.2</v>
      </c>
      <c r="N123" s="176">
        <f t="shared" si="182"/>
        <v>637000</v>
      </c>
      <c r="O123" s="176"/>
      <c r="P123" s="176"/>
      <c r="Q123" s="176">
        <f t="shared" si="183"/>
        <v>637000</v>
      </c>
      <c r="R123" s="81">
        <f t="shared" si="173"/>
        <v>63700</v>
      </c>
      <c r="S123" s="190">
        <f t="shared" si="184"/>
        <v>573300</v>
      </c>
      <c r="T123" s="182">
        <f t="shared" si="175"/>
        <v>10616.666666666666</v>
      </c>
      <c r="U123" s="182">
        <f t="shared" si="181"/>
        <v>127400</v>
      </c>
      <c r="V123" s="182">
        <f t="shared" si="176"/>
        <v>498983.33333333337</v>
      </c>
      <c r="W123" s="181">
        <f t="shared" si="177"/>
        <v>637000</v>
      </c>
      <c r="X123" s="181">
        <f t="shared" si="178"/>
        <v>0</v>
      </c>
    </row>
    <row r="124" spans="1:24" ht="12.75" x14ac:dyDescent="0.2">
      <c r="A124" s="154"/>
      <c r="B124" s="155"/>
      <c r="C124" s="155"/>
      <c r="D124" s="156"/>
      <c r="E124" s="154">
        <v>1</v>
      </c>
      <c r="F124" s="155" t="s">
        <v>220</v>
      </c>
      <c r="G124" s="175">
        <v>1</v>
      </c>
      <c r="H124" s="176">
        <v>250000000</v>
      </c>
      <c r="I124" s="176">
        <f t="shared" si="180"/>
        <v>250000000</v>
      </c>
      <c r="J124" s="205">
        <v>44446</v>
      </c>
      <c r="K124" s="205">
        <v>49194</v>
      </c>
      <c r="L124" s="155">
        <v>156</v>
      </c>
      <c r="M124" s="195">
        <v>32.94</v>
      </c>
      <c r="N124" s="176">
        <f t="shared" si="182"/>
        <v>8234999.9999999991</v>
      </c>
      <c r="O124" s="176"/>
      <c r="P124" s="176"/>
      <c r="Q124" s="176">
        <f t="shared" si="183"/>
        <v>8234999.9999999991</v>
      </c>
      <c r="R124" s="81">
        <f t="shared" si="173"/>
        <v>823500</v>
      </c>
      <c r="S124" s="190">
        <f t="shared" si="184"/>
        <v>7411499.9999999991</v>
      </c>
      <c r="T124" s="182">
        <f t="shared" si="175"/>
        <v>52788.461538461532</v>
      </c>
      <c r="U124" s="182">
        <f t="shared" si="181"/>
        <v>633461.53846153838</v>
      </c>
      <c r="V124" s="182">
        <f t="shared" si="176"/>
        <v>7548749.9999999991</v>
      </c>
      <c r="W124" s="181">
        <f t="shared" si="177"/>
        <v>8234999.9999999991</v>
      </c>
      <c r="X124" s="181">
        <f t="shared" si="178"/>
        <v>0</v>
      </c>
    </row>
    <row r="125" spans="1:24" ht="12.75" x14ac:dyDescent="0.2">
      <c r="A125" s="154"/>
      <c r="B125" s="155"/>
      <c r="C125" s="155"/>
      <c r="D125" s="156"/>
      <c r="E125" s="154">
        <v>1</v>
      </c>
      <c r="F125" s="155" t="s">
        <v>221</v>
      </c>
      <c r="G125" s="175">
        <v>1</v>
      </c>
      <c r="H125" s="176">
        <v>270000000</v>
      </c>
      <c r="I125" s="176">
        <f t="shared" si="180"/>
        <v>270000000</v>
      </c>
      <c r="J125" s="205">
        <v>44446</v>
      </c>
      <c r="K125" s="205">
        <v>48098</v>
      </c>
      <c r="L125" s="155">
        <v>120</v>
      </c>
      <c r="M125" s="195">
        <v>25.48</v>
      </c>
      <c r="N125" s="176">
        <f t="shared" si="182"/>
        <v>6879600</v>
      </c>
      <c r="O125" s="176"/>
      <c r="P125" s="176"/>
      <c r="Q125" s="176">
        <f t="shared" si="183"/>
        <v>6879600</v>
      </c>
      <c r="R125" s="81">
        <f t="shared" si="173"/>
        <v>687960</v>
      </c>
      <c r="S125" s="190">
        <f t="shared" si="184"/>
        <v>6191640</v>
      </c>
      <c r="T125" s="182">
        <f t="shared" si="175"/>
        <v>57330</v>
      </c>
      <c r="U125" s="182">
        <f t="shared" si="181"/>
        <v>687960</v>
      </c>
      <c r="V125" s="182">
        <f t="shared" si="176"/>
        <v>6134310</v>
      </c>
      <c r="W125" s="181">
        <f t="shared" si="177"/>
        <v>6879600</v>
      </c>
      <c r="X125" s="181">
        <f t="shared" si="178"/>
        <v>0</v>
      </c>
    </row>
    <row r="126" spans="1:24" ht="12.75" x14ac:dyDescent="0.2">
      <c r="A126" s="154"/>
      <c r="B126" s="155"/>
      <c r="C126" s="155"/>
      <c r="D126" s="156"/>
      <c r="E126" s="154">
        <v>1</v>
      </c>
      <c r="F126" s="155" t="s">
        <v>222</v>
      </c>
      <c r="G126" s="175">
        <v>1</v>
      </c>
      <c r="H126" s="176">
        <v>310000000</v>
      </c>
      <c r="I126" s="176">
        <f t="shared" si="180"/>
        <v>310000000</v>
      </c>
      <c r="J126" s="205">
        <v>44453</v>
      </c>
      <c r="K126" s="205">
        <v>48105</v>
      </c>
      <c r="L126" s="155">
        <v>120</v>
      </c>
      <c r="M126" s="195">
        <v>25.48</v>
      </c>
      <c r="N126" s="176">
        <f t="shared" si="182"/>
        <v>7898800</v>
      </c>
      <c r="O126" s="176"/>
      <c r="P126" s="176"/>
      <c r="Q126" s="176">
        <f t="shared" si="183"/>
        <v>7898800</v>
      </c>
      <c r="R126" s="81">
        <f t="shared" si="173"/>
        <v>789880</v>
      </c>
      <c r="S126" s="190">
        <f t="shared" si="184"/>
        <v>7108920</v>
      </c>
      <c r="T126" s="182">
        <f t="shared" si="175"/>
        <v>65823.333333333328</v>
      </c>
      <c r="U126" s="182">
        <f t="shared" si="181"/>
        <v>789880</v>
      </c>
      <c r="V126" s="182">
        <f t="shared" si="176"/>
        <v>7043096.666666667</v>
      </c>
      <c r="W126" s="181">
        <f t="shared" si="177"/>
        <v>7898800</v>
      </c>
      <c r="X126" s="181">
        <f t="shared" si="178"/>
        <v>0</v>
      </c>
    </row>
    <row r="127" spans="1:24" ht="12.75" x14ac:dyDescent="0.2">
      <c r="A127" s="154"/>
      <c r="B127" s="155"/>
      <c r="C127" s="155"/>
      <c r="D127" s="156"/>
      <c r="E127" s="154">
        <v>1</v>
      </c>
      <c r="F127" s="155" t="s">
        <v>223</v>
      </c>
      <c r="G127" s="175">
        <v>1</v>
      </c>
      <c r="H127" s="176">
        <v>50000000</v>
      </c>
      <c r="I127" s="176">
        <f t="shared" si="180"/>
        <v>50000000</v>
      </c>
      <c r="J127" s="205">
        <v>44460</v>
      </c>
      <c r="K127" s="205">
        <v>48112</v>
      </c>
      <c r="L127" s="155">
        <v>36</v>
      </c>
      <c r="M127" s="195">
        <v>9.1</v>
      </c>
      <c r="N127" s="176">
        <f t="shared" si="182"/>
        <v>455000</v>
      </c>
      <c r="O127" s="176"/>
      <c r="P127" s="176"/>
      <c r="Q127" s="176">
        <f t="shared" si="183"/>
        <v>455000</v>
      </c>
      <c r="R127" s="81">
        <f t="shared" si="173"/>
        <v>45500</v>
      </c>
      <c r="S127" s="190">
        <f t="shared" si="184"/>
        <v>409500</v>
      </c>
      <c r="T127" s="182">
        <f t="shared" si="175"/>
        <v>12638.888888888889</v>
      </c>
      <c r="U127" s="182">
        <f t="shared" si="181"/>
        <v>151666.66666666666</v>
      </c>
      <c r="V127" s="182">
        <f t="shared" si="176"/>
        <v>290694.4444444445</v>
      </c>
      <c r="W127" s="181">
        <f t="shared" si="177"/>
        <v>455000</v>
      </c>
      <c r="X127" s="181">
        <f t="shared" si="178"/>
        <v>0</v>
      </c>
    </row>
    <row r="128" spans="1:24" ht="12.75" x14ac:dyDescent="0.2">
      <c r="A128" s="154"/>
      <c r="B128" s="155"/>
      <c r="C128" s="155"/>
      <c r="D128" s="156"/>
      <c r="E128" s="154">
        <v>1</v>
      </c>
      <c r="F128" s="155" t="s">
        <v>224</v>
      </c>
      <c r="G128" s="175">
        <v>1</v>
      </c>
      <c r="H128" s="176">
        <v>334000000</v>
      </c>
      <c r="I128" s="176">
        <f t="shared" si="180"/>
        <v>334000000</v>
      </c>
      <c r="J128" s="205">
        <v>44453</v>
      </c>
      <c r="K128" s="205">
        <v>44453</v>
      </c>
      <c r="L128" s="155">
        <v>180</v>
      </c>
      <c r="M128" s="195">
        <v>35.409999999999997</v>
      </c>
      <c r="N128" s="176">
        <f t="shared" si="182"/>
        <v>11826939.999999998</v>
      </c>
      <c r="O128" s="176"/>
      <c r="P128" s="176"/>
      <c r="Q128" s="176">
        <f t="shared" si="183"/>
        <v>11826939.999999998</v>
      </c>
      <c r="R128" s="81">
        <f t="shared" si="173"/>
        <v>1182693.9999999998</v>
      </c>
      <c r="S128" s="190">
        <f t="shared" si="184"/>
        <v>10644245.999999998</v>
      </c>
      <c r="T128" s="182">
        <f t="shared" si="175"/>
        <v>65705.222222222219</v>
      </c>
      <c r="U128" s="182">
        <f t="shared" si="181"/>
        <v>788462.66666666663</v>
      </c>
      <c r="V128" s="182">
        <f t="shared" si="176"/>
        <v>10972772.11111111</v>
      </c>
      <c r="W128" s="181">
        <f t="shared" si="177"/>
        <v>11826939.999999998</v>
      </c>
      <c r="X128" s="181">
        <f t="shared" si="178"/>
        <v>0</v>
      </c>
    </row>
    <row r="129" spans="1:24" ht="12.75" x14ac:dyDescent="0.2">
      <c r="A129" s="154"/>
      <c r="B129" s="155"/>
      <c r="C129" s="155"/>
      <c r="D129" s="156"/>
      <c r="E129" s="154">
        <v>1</v>
      </c>
      <c r="F129" s="155" t="s">
        <v>225</v>
      </c>
      <c r="G129" s="175">
        <v>1</v>
      </c>
      <c r="H129" s="176">
        <v>230000000</v>
      </c>
      <c r="I129" s="176">
        <f t="shared" si="180"/>
        <v>230000000</v>
      </c>
      <c r="J129" s="205">
        <v>44436</v>
      </c>
      <c r="K129" s="205">
        <v>44436</v>
      </c>
      <c r="L129" s="155">
        <v>84</v>
      </c>
      <c r="M129" s="195">
        <v>25.48</v>
      </c>
      <c r="N129" s="176">
        <f t="shared" si="182"/>
        <v>5860400</v>
      </c>
      <c r="O129" s="176"/>
      <c r="P129" s="176"/>
      <c r="Q129" s="176">
        <f t="shared" si="183"/>
        <v>5860400</v>
      </c>
      <c r="R129" s="81">
        <f t="shared" si="173"/>
        <v>586040</v>
      </c>
      <c r="S129" s="190">
        <f t="shared" si="184"/>
        <v>5274360</v>
      </c>
      <c r="T129" s="182">
        <f t="shared" si="175"/>
        <v>69766.666666666672</v>
      </c>
      <c r="U129" s="182">
        <f t="shared" si="181"/>
        <v>837200</v>
      </c>
      <c r="V129" s="182">
        <f t="shared" si="176"/>
        <v>4953433.333333333</v>
      </c>
      <c r="W129" s="181">
        <f t="shared" si="177"/>
        <v>5860400</v>
      </c>
      <c r="X129" s="181">
        <f t="shared" si="178"/>
        <v>0</v>
      </c>
    </row>
    <row r="130" spans="1:24" ht="12.75" x14ac:dyDescent="0.2">
      <c r="A130" s="198"/>
      <c r="B130" s="199"/>
      <c r="C130" s="199"/>
      <c r="D130" s="199"/>
      <c r="E130" s="201">
        <f t="shared" ref="E130:P130" si="185">SUM(E121:E129)</f>
        <v>9</v>
      </c>
      <c r="F130" s="201">
        <f t="shared" si="185"/>
        <v>0</v>
      </c>
      <c r="G130" s="201">
        <f t="shared" si="185"/>
        <v>9</v>
      </c>
      <c r="H130" s="201">
        <f t="shared" si="185"/>
        <v>1831343000</v>
      </c>
      <c r="I130" s="201">
        <f t="shared" si="185"/>
        <v>1831343000</v>
      </c>
      <c r="J130" s="201"/>
      <c r="K130" s="201"/>
      <c r="L130" s="201"/>
      <c r="M130" s="201"/>
      <c r="N130" s="201">
        <f t="shared" si="185"/>
        <v>54431284.5</v>
      </c>
      <c r="O130" s="201">
        <f t="shared" si="185"/>
        <v>0</v>
      </c>
      <c r="P130" s="201">
        <f t="shared" si="185"/>
        <v>0</v>
      </c>
      <c r="Q130" s="201">
        <f t="shared" ref="Q130:X130" si="186">SUM(Q121:Q129)</f>
        <v>54431284.5</v>
      </c>
      <c r="R130" s="201">
        <f t="shared" si="186"/>
        <v>5443128.4500000002</v>
      </c>
      <c r="S130" s="201">
        <f t="shared" si="186"/>
        <v>48988156.049999997</v>
      </c>
      <c r="T130" s="201">
        <f t="shared" si="186"/>
        <v>410593.25320512819</v>
      </c>
      <c r="U130" s="201">
        <f t="shared" si="186"/>
        <v>4927119.038461538</v>
      </c>
      <c r="V130" s="201">
        <f t="shared" si="186"/>
        <v>49093572.208333336</v>
      </c>
      <c r="W130" s="201">
        <f t="shared" si="186"/>
        <v>54431284.5</v>
      </c>
      <c r="X130" s="201">
        <f t="shared" si="186"/>
        <v>0</v>
      </c>
    </row>
    <row r="131" spans="1:24" ht="12.75" x14ac:dyDescent="0.2">
      <c r="A131" s="154">
        <v>24</v>
      </c>
      <c r="B131" s="155" t="s">
        <v>51</v>
      </c>
      <c r="C131" s="155" t="s">
        <v>226</v>
      </c>
      <c r="D131" s="156">
        <v>44469</v>
      </c>
      <c r="E131" s="154">
        <v>1</v>
      </c>
      <c r="F131" s="155" t="s">
        <v>227</v>
      </c>
      <c r="G131" s="175">
        <v>1</v>
      </c>
      <c r="H131" s="176">
        <v>300000000</v>
      </c>
      <c r="I131" s="176">
        <f t="shared" ref="I131:I132" si="187">H131*G131</f>
        <v>300000000</v>
      </c>
      <c r="J131" s="205">
        <v>44442</v>
      </c>
      <c r="K131" s="205">
        <v>48094</v>
      </c>
      <c r="L131" s="155">
        <v>120</v>
      </c>
      <c r="M131" s="195">
        <v>25.48</v>
      </c>
      <c r="N131" s="176">
        <f t="shared" ref="N131:N132" si="188">M131*H131/1000</f>
        <v>7644000</v>
      </c>
      <c r="O131" s="176"/>
      <c r="P131" s="176"/>
      <c r="Q131" s="176">
        <f t="shared" ref="Q131:Q132" si="189">N131+O131+P131</f>
        <v>7644000</v>
      </c>
      <c r="R131" s="196"/>
      <c r="S131" s="190">
        <f t="shared" ref="S131:S132" si="190">Q131-R131</f>
        <v>7644000</v>
      </c>
      <c r="T131" s="182">
        <f t="shared" si="175"/>
        <v>63700</v>
      </c>
      <c r="U131" s="182">
        <f t="shared" si="181"/>
        <v>764400</v>
      </c>
      <c r="V131" s="182">
        <f t="shared" si="176"/>
        <v>6815900</v>
      </c>
      <c r="W131" s="181">
        <f t="shared" si="177"/>
        <v>7644000</v>
      </c>
      <c r="X131" s="181">
        <f t="shared" si="178"/>
        <v>0</v>
      </c>
    </row>
    <row r="132" spans="1:24" ht="12.75" x14ac:dyDescent="0.2">
      <c r="A132" s="154"/>
      <c r="B132" s="155"/>
      <c r="C132" s="155"/>
      <c r="D132" s="156"/>
      <c r="E132" s="154">
        <v>1</v>
      </c>
      <c r="F132" s="155" t="s">
        <v>228</v>
      </c>
      <c r="G132" s="175">
        <v>1</v>
      </c>
      <c r="H132" s="176">
        <v>260000000</v>
      </c>
      <c r="I132" s="176">
        <f t="shared" si="187"/>
        <v>260000000</v>
      </c>
      <c r="J132" s="205">
        <v>44466</v>
      </c>
      <c r="K132" s="205">
        <v>48118</v>
      </c>
      <c r="L132" s="155">
        <v>120</v>
      </c>
      <c r="M132" s="195">
        <v>36.4</v>
      </c>
      <c r="N132" s="176">
        <f t="shared" si="188"/>
        <v>9464000</v>
      </c>
      <c r="O132" s="176"/>
      <c r="P132" s="176"/>
      <c r="Q132" s="176">
        <f t="shared" si="189"/>
        <v>9464000</v>
      </c>
      <c r="R132" s="196"/>
      <c r="S132" s="190">
        <f t="shared" si="190"/>
        <v>9464000</v>
      </c>
      <c r="T132" s="182">
        <f t="shared" si="175"/>
        <v>78866.666666666672</v>
      </c>
      <c r="U132" s="182">
        <f t="shared" si="181"/>
        <v>946400</v>
      </c>
      <c r="V132" s="182">
        <f t="shared" si="176"/>
        <v>8438733.333333334</v>
      </c>
      <c r="W132" s="181">
        <f t="shared" si="177"/>
        <v>9464000</v>
      </c>
      <c r="X132" s="181">
        <f t="shared" si="178"/>
        <v>0</v>
      </c>
    </row>
    <row r="133" spans="1:24" ht="12.75" x14ac:dyDescent="0.2">
      <c r="A133" s="198"/>
      <c r="B133" s="199"/>
      <c r="C133" s="199"/>
      <c r="D133" s="199"/>
      <c r="E133" s="200">
        <f>SUM(E131:E132)</f>
        <v>2</v>
      </c>
      <c r="F133" s="201"/>
      <c r="G133" s="201"/>
      <c r="H133" s="201">
        <f>SUM(H131:H132)</f>
        <v>560000000</v>
      </c>
      <c r="I133" s="201">
        <f>SUM(I131:I132)</f>
        <v>560000000</v>
      </c>
      <c r="J133" s="201"/>
      <c r="K133" s="201"/>
      <c r="L133" s="201"/>
      <c r="M133" s="201"/>
      <c r="N133" s="201">
        <f t="shared" ref="N133:Q133" si="191">SUM(N131:N132)</f>
        <v>17108000</v>
      </c>
      <c r="O133" s="201">
        <f t="shared" si="191"/>
        <v>0</v>
      </c>
      <c r="P133" s="201">
        <f t="shared" si="191"/>
        <v>0</v>
      </c>
      <c r="Q133" s="201">
        <f t="shared" si="191"/>
        <v>17108000</v>
      </c>
      <c r="R133" s="201">
        <f t="shared" ref="R133:X133" si="192">SUM(R131:R132)</f>
        <v>0</v>
      </c>
      <c r="S133" s="201">
        <f t="shared" si="192"/>
        <v>17108000</v>
      </c>
      <c r="T133" s="201">
        <f t="shared" si="192"/>
        <v>142566.66666666669</v>
      </c>
      <c r="U133" s="201">
        <f t="shared" si="192"/>
        <v>1710800</v>
      </c>
      <c r="V133" s="201">
        <f t="shared" si="192"/>
        <v>15254633.333333334</v>
      </c>
      <c r="W133" s="201">
        <f t="shared" si="192"/>
        <v>17108000</v>
      </c>
      <c r="X133" s="201">
        <f t="shared" si="192"/>
        <v>0</v>
      </c>
    </row>
    <row r="134" spans="1:24" x14ac:dyDescent="0.2">
      <c r="A134" s="83"/>
      <c r="B134" s="83"/>
      <c r="C134" s="83" t="s">
        <v>52</v>
      </c>
      <c r="D134" s="84"/>
      <c r="E134" s="85">
        <f>E133+E130+E120+E118</f>
        <v>12</v>
      </c>
      <c r="F134" s="87"/>
      <c r="G134" s="87"/>
      <c r="H134" s="87">
        <f t="shared" ref="H134:Q134" si="193">H133+H130+H120+H118</f>
        <v>2405253250</v>
      </c>
      <c r="I134" s="87">
        <f t="shared" si="193"/>
        <v>2405253250</v>
      </c>
      <c r="J134" s="87"/>
      <c r="K134" s="87"/>
      <c r="L134" s="87"/>
      <c r="M134" s="87"/>
      <c r="N134" s="87">
        <f t="shared" si="193"/>
        <v>72524216.23393999</v>
      </c>
      <c r="O134" s="87">
        <f t="shared" si="193"/>
        <v>100000</v>
      </c>
      <c r="P134" s="87">
        <f t="shared" si="193"/>
        <v>0</v>
      </c>
      <c r="Q134" s="87">
        <f t="shared" si="193"/>
        <v>72624216.23393999</v>
      </c>
      <c r="R134" s="87">
        <f t="shared" ref="R134:X134" si="194">R133+R130+R120+R118</f>
        <v>5527841.8725000005</v>
      </c>
      <c r="S134" s="87">
        <f t="shared" si="194"/>
        <v>67096374.361439995</v>
      </c>
      <c r="T134" s="87">
        <f t="shared" si="194"/>
        <v>650176.38405957271</v>
      </c>
      <c r="U134" s="87">
        <f t="shared" si="194"/>
        <v>7625834.3082137601</v>
      </c>
      <c r="V134" s="87">
        <f t="shared" si="194"/>
        <v>64348205.541666672</v>
      </c>
      <c r="W134" s="87">
        <f t="shared" si="194"/>
        <v>72624216.23393999</v>
      </c>
      <c r="X134" s="87">
        <f t="shared" si="194"/>
        <v>0</v>
      </c>
    </row>
    <row r="135" spans="1:24" x14ac:dyDescent="0.2">
      <c r="A135" s="83"/>
      <c r="B135" s="83"/>
      <c r="C135" s="83" t="s">
        <v>229</v>
      </c>
      <c r="D135" s="84"/>
      <c r="E135" s="93">
        <f>E134+E112</f>
        <v>50</v>
      </c>
      <c r="F135" s="95"/>
      <c r="G135" s="95"/>
      <c r="H135" s="95">
        <f t="shared" ref="H135:Q135" si="195">H134+H112</f>
        <v>12319837422</v>
      </c>
      <c r="I135" s="95">
        <f t="shared" si="195"/>
        <v>12319837422</v>
      </c>
      <c r="J135" s="95"/>
      <c r="K135" s="95"/>
      <c r="L135" s="95"/>
      <c r="M135" s="95"/>
      <c r="N135" s="95">
        <f t="shared" si="195"/>
        <v>382495216.73606002</v>
      </c>
      <c r="O135" s="95">
        <f t="shared" si="195"/>
        <v>300000</v>
      </c>
      <c r="P135" s="95">
        <f t="shared" si="195"/>
        <v>0</v>
      </c>
      <c r="Q135" s="95">
        <f t="shared" si="195"/>
        <v>382795216.73606002</v>
      </c>
      <c r="R135" s="95">
        <f t="shared" ref="R135:X135" si="196">R134+R112</f>
        <v>36451168.881006002</v>
      </c>
      <c r="S135" s="95">
        <f t="shared" si="196"/>
        <v>346344047.85505402</v>
      </c>
      <c r="T135" s="95">
        <f t="shared" si="196"/>
        <v>20959274.04476992</v>
      </c>
      <c r="U135" s="95">
        <f t="shared" si="196"/>
        <v>42711313.694678158</v>
      </c>
      <c r="V135" s="95">
        <f t="shared" si="196"/>
        <v>319124628.99661195</v>
      </c>
      <c r="W135" s="95">
        <f t="shared" si="196"/>
        <v>233697976.22455996</v>
      </c>
      <c r="X135" s="95">
        <f t="shared" si="196"/>
        <v>0</v>
      </c>
    </row>
  </sheetData>
  <mergeCells count="128">
    <mergeCell ref="L88:L89"/>
    <mergeCell ref="M88:M89"/>
    <mergeCell ref="N78:P78"/>
    <mergeCell ref="Q78:Q79"/>
    <mergeCell ref="R78:R79"/>
    <mergeCell ref="S78:S79"/>
    <mergeCell ref="A88:A89"/>
    <mergeCell ref="B88:B89"/>
    <mergeCell ref="C88:C89"/>
    <mergeCell ref="D88:D89"/>
    <mergeCell ref="E88:E89"/>
    <mergeCell ref="F88:F89"/>
    <mergeCell ref="G78:G79"/>
    <mergeCell ref="H78:H79"/>
    <mergeCell ref="I78:I79"/>
    <mergeCell ref="J78:K79"/>
    <mergeCell ref="L78:L79"/>
    <mergeCell ref="M78:M79"/>
    <mergeCell ref="N88:P88"/>
    <mergeCell ref="Q88:Q89"/>
    <mergeCell ref="R88:R89"/>
    <mergeCell ref="S88:S89"/>
    <mergeCell ref="G88:G89"/>
    <mergeCell ref="H88:H89"/>
    <mergeCell ref="I88:I89"/>
    <mergeCell ref="J88:K89"/>
    <mergeCell ref="A78:A79"/>
    <mergeCell ref="B78:B79"/>
    <mergeCell ref="C78:C79"/>
    <mergeCell ref="D78:D79"/>
    <mergeCell ref="E78:E79"/>
    <mergeCell ref="F78:F79"/>
    <mergeCell ref="G47:G48"/>
    <mergeCell ref="H47:H48"/>
    <mergeCell ref="I47:I48"/>
    <mergeCell ref="S27:S28"/>
    <mergeCell ref="A47:A48"/>
    <mergeCell ref="B47:B48"/>
    <mergeCell ref="C47:C48"/>
    <mergeCell ref="D47:D48"/>
    <mergeCell ref="E47:E48"/>
    <mergeCell ref="F47:F48"/>
    <mergeCell ref="G27:G28"/>
    <mergeCell ref="H27:H28"/>
    <mergeCell ref="I27:I28"/>
    <mergeCell ref="J27:K28"/>
    <mergeCell ref="L27:L28"/>
    <mergeCell ref="M27:M28"/>
    <mergeCell ref="N47:P47"/>
    <mergeCell ref="Q47:Q48"/>
    <mergeCell ref="R47:R48"/>
    <mergeCell ref="S47:S48"/>
    <mergeCell ref="J47:K48"/>
    <mergeCell ref="L47:L48"/>
    <mergeCell ref="M47:M48"/>
    <mergeCell ref="A27:A28"/>
    <mergeCell ref="B27:B28"/>
    <mergeCell ref="C27:C28"/>
    <mergeCell ref="D27:D28"/>
    <mergeCell ref="E27:E28"/>
    <mergeCell ref="F27:F28"/>
    <mergeCell ref="G17:G18"/>
    <mergeCell ref="H17:H18"/>
    <mergeCell ref="I17:I18"/>
    <mergeCell ref="R9:R10"/>
    <mergeCell ref="N27:P27"/>
    <mergeCell ref="Q27:Q28"/>
    <mergeCell ref="R27:R28"/>
    <mergeCell ref="S9:S10"/>
    <mergeCell ref="A17:A18"/>
    <mergeCell ref="B17:B18"/>
    <mergeCell ref="C17:C18"/>
    <mergeCell ref="D17:D18"/>
    <mergeCell ref="E17:E18"/>
    <mergeCell ref="F17:F18"/>
    <mergeCell ref="G9:G10"/>
    <mergeCell ref="H9:H10"/>
    <mergeCell ref="I9:I10"/>
    <mergeCell ref="J9:K10"/>
    <mergeCell ref="L9:L10"/>
    <mergeCell ref="M9:M10"/>
    <mergeCell ref="N17:P17"/>
    <mergeCell ref="Q17:Q18"/>
    <mergeCell ref="R17:R18"/>
    <mergeCell ref="S17:S18"/>
    <mergeCell ref="J17:K18"/>
    <mergeCell ref="L17:L18"/>
    <mergeCell ref="M17:M18"/>
    <mergeCell ref="N3:P3"/>
    <mergeCell ref="Q3:Q4"/>
    <mergeCell ref="R3:R4"/>
    <mergeCell ref="S3:S4"/>
    <mergeCell ref="A9:A10"/>
    <mergeCell ref="B9:B10"/>
    <mergeCell ref="C9:C10"/>
    <mergeCell ref="D9:D10"/>
    <mergeCell ref="E9:E10"/>
    <mergeCell ref="F9:F10"/>
    <mergeCell ref="G3:G4"/>
    <mergeCell ref="H3:H4"/>
    <mergeCell ref="I3:I4"/>
    <mergeCell ref="J3:K4"/>
    <mergeCell ref="L3:L4"/>
    <mergeCell ref="M3:M4"/>
    <mergeCell ref="A3:A4"/>
    <mergeCell ref="B3:B4"/>
    <mergeCell ref="C3:C4"/>
    <mergeCell ref="D3:D4"/>
    <mergeCell ref="E3:E4"/>
    <mergeCell ref="F3:F4"/>
    <mergeCell ref="N9:P9"/>
    <mergeCell ref="Q9:Q10"/>
    <mergeCell ref="J115:K116"/>
    <mergeCell ref="L115:L116"/>
    <mergeCell ref="M115:M116"/>
    <mergeCell ref="N115:P115"/>
    <mergeCell ref="Q115:Q116"/>
    <mergeCell ref="R115:R116"/>
    <mergeCell ref="S115:S116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</mergeCells>
  <pageMargins left="0.47244094488188981" right="0.70866141732283472" top="0.59055118110236227" bottom="0.74803149606299213" header="0.31496062992125984" footer="0.31496062992125984"/>
  <pageSetup paperSize="5" scale="76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55"/>
  <sheetViews>
    <sheetView topLeftCell="A109" workbookViewId="0">
      <selection activeCell="I148" sqref="I148"/>
    </sheetView>
  </sheetViews>
  <sheetFormatPr defaultRowHeight="12" x14ac:dyDescent="0.2"/>
  <cols>
    <col min="1" max="1" width="4.140625" style="3" customWidth="1"/>
    <col min="2" max="2" width="14.7109375" style="3" customWidth="1"/>
    <col min="3" max="3" width="19.85546875" style="3" customWidth="1"/>
    <col min="4" max="4" width="10.85546875" style="82" customWidth="1"/>
    <col min="5" max="5" width="7.85546875" style="97" customWidth="1"/>
    <col min="6" max="6" width="25.85546875" style="3" customWidth="1"/>
    <col min="7" max="7" width="8.85546875" style="3" hidden="1" customWidth="1"/>
    <col min="8" max="8" width="14" style="3" customWidth="1"/>
    <col min="9" max="9" width="13.7109375" style="3" customWidth="1"/>
    <col min="10" max="10" width="0.28515625" style="3" hidden="1" customWidth="1"/>
    <col min="11" max="11" width="9.5703125" style="3" hidden="1" customWidth="1"/>
    <col min="12" max="12" width="4.28515625" style="3" bestFit="1" customWidth="1"/>
    <col min="13" max="13" width="8.5703125" style="3" customWidth="1"/>
    <col min="14" max="14" width="12.5703125" style="3" hidden="1" customWidth="1"/>
    <col min="15" max="16" width="9.140625" style="3" hidden="1" customWidth="1"/>
    <col min="17" max="17" width="9" style="3" hidden="1" customWidth="1"/>
    <col min="18" max="18" width="10.7109375" style="3" customWidth="1"/>
    <col min="19" max="19" width="17.28515625" style="3" hidden="1" customWidth="1"/>
    <col min="20" max="20" width="12.7109375" style="3" customWidth="1"/>
    <col min="21" max="21" width="14" style="3" customWidth="1"/>
    <col min="22" max="22" width="13" style="3" customWidth="1"/>
    <col min="23" max="23" width="10.85546875" style="3" customWidth="1"/>
    <col min="24" max="27" width="9.140625" style="3"/>
    <col min="28" max="30" width="17.5703125" style="3" customWidth="1"/>
    <col min="31" max="16384" width="9.140625" style="3"/>
  </cols>
  <sheetData>
    <row r="2" spans="1:26" ht="14.25" customHeight="1" x14ac:dyDescent="0.2">
      <c r="A2" s="86" t="s">
        <v>76</v>
      </c>
      <c r="B2" s="62"/>
      <c r="C2" s="62"/>
      <c r="D2" s="57"/>
      <c r="E2" s="63"/>
      <c r="F2" s="64"/>
      <c r="G2" s="65"/>
      <c r="H2" s="66"/>
      <c r="I2" s="66"/>
      <c r="J2" s="67"/>
      <c r="K2" s="67"/>
      <c r="L2" s="68"/>
      <c r="M2" s="68"/>
      <c r="N2" s="69"/>
      <c r="O2" s="69"/>
      <c r="P2" s="69"/>
      <c r="Q2" s="69"/>
      <c r="R2" s="69"/>
      <c r="S2" s="69"/>
      <c r="T2" s="70"/>
      <c r="U2" s="71"/>
      <c r="V2" s="71"/>
    </row>
    <row r="3" spans="1:26" ht="14.25" customHeight="1" x14ac:dyDescent="0.2">
      <c r="A3" s="231" t="s">
        <v>0</v>
      </c>
      <c r="B3" s="232" t="s">
        <v>1</v>
      </c>
      <c r="C3" s="229" t="s">
        <v>2</v>
      </c>
      <c r="D3" s="233" t="s">
        <v>3</v>
      </c>
      <c r="E3" s="234" t="s">
        <v>4</v>
      </c>
      <c r="F3" s="232" t="s">
        <v>5</v>
      </c>
      <c r="G3" s="235" t="s">
        <v>6</v>
      </c>
      <c r="H3" s="236" t="s">
        <v>7</v>
      </c>
      <c r="I3" s="236" t="s">
        <v>8</v>
      </c>
      <c r="J3" s="227" t="s">
        <v>9</v>
      </c>
      <c r="K3" s="227"/>
      <c r="L3" s="228" t="s">
        <v>10</v>
      </c>
      <c r="M3" s="229" t="s">
        <v>11</v>
      </c>
      <c r="N3" s="230" t="s">
        <v>12</v>
      </c>
      <c r="O3" s="230"/>
      <c r="P3" s="230"/>
      <c r="Q3" s="229" t="s">
        <v>13</v>
      </c>
      <c r="R3" s="229" t="s">
        <v>14</v>
      </c>
      <c r="S3" s="229" t="s">
        <v>15</v>
      </c>
      <c r="T3" s="36">
        <v>2021</v>
      </c>
      <c r="U3" s="37"/>
      <c r="V3" s="38" t="s">
        <v>44</v>
      </c>
    </row>
    <row r="4" spans="1:26" ht="14.25" customHeight="1" x14ac:dyDescent="0.2">
      <c r="A4" s="231"/>
      <c r="B4" s="232"/>
      <c r="C4" s="229"/>
      <c r="D4" s="233"/>
      <c r="E4" s="234"/>
      <c r="F4" s="232"/>
      <c r="G4" s="235"/>
      <c r="H4" s="236"/>
      <c r="I4" s="236"/>
      <c r="J4" s="227"/>
      <c r="K4" s="227"/>
      <c r="L4" s="228"/>
      <c r="M4" s="229"/>
      <c r="N4" s="206" t="s">
        <v>16</v>
      </c>
      <c r="O4" s="206" t="s">
        <v>17</v>
      </c>
      <c r="P4" s="206" t="s">
        <v>18</v>
      </c>
      <c r="Q4" s="229"/>
      <c r="R4" s="229"/>
      <c r="S4" s="229"/>
      <c r="T4" s="96" t="s">
        <v>195</v>
      </c>
      <c r="U4" s="39" t="s">
        <v>204</v>
      </c>
      <c r="V4" s="40"/>
    </row>
    <row r="5" spans="1:26" x14ac:dyDescent="0.2">
      <c r="A5" s="72">
        <v>1</v>
      </c>
      <c r="B5" s="73" t="s">
        <v>49</v>
      </c>
      <c r="C5" s="73" t="s">
        <v>55</v>
      </c>
      <c r="D5" s="58">
        <v>44225</v>
      </c>
      <c r="E5" s="74">
        <v>1</v>
      </c>
      <c r="F5" s="73" t="s">
        <v>56</v>
      </c>
      <c r="G5" s="75">
        <v>1</v>
      </c>
      <c r="H5" s="42">
        <v>200000000</v>
      </c>
      <c r="I5" s="42">
        <f>H5*G5</f>
        <v>200000000</v>
      </c>
      <c r="J5" s="76">
        <v>44207</v>
      </c>
      <c r="K5" s="77">
        <f>IFERROR(VALUE(DAY(J5)&amp;" "&amp;TEXT(EOMONTH(J5,L5)-29,"mmm")&amp;" "&amp;YEAR(EOMONTH(J5,L5)-29)),"-")</f>
        <v>47494</v>
      </c>
      <c r="L5" s="78">
        <v>108</v>
      </c>
      <c r="M5" s="99">
        <v>23.21</v>
      </c>
      <c r="N5" s="81">
        <f t="shared" ref="N5" si="0">M5*H5/1000</f>
        <v>4642000</v>
      </c>
      <c r="O5" s="81"/>
      <c r="P5" s="81"/>
      <c r="Q5" s="81">
        <f t="shared" ref="Q5" si="1">N5+O5+P5</f>
        <v>4642000</v>
      </c>
      <c r="R5" s="81">
        <f t="shared" ref="R5" si="2">10%*N5</f>
        <v>464200</v>
      </c>
      <c r="S5" s="81">
        <f t="shared" ref="S5" si="3">Q5-R5</f>
        <v>4177800</v>
      </c>
      <c r="T5" s="42">
        <f>R5*10%+(Y5*6)</f>
        <v>69846.915887850468</v>
      </c>
      <c r="U5" s="1">
        <f t="shared" ref="U5" si="4">Y5*12</f>
        <v>46853.831775700935</v>
      </c>
      <c r="V5" s="34">
        <f t="shared" ref="V5" si="5">R5-T5-U5</f>
        <v>347499.25233644864</v>
      </c>
      <c r="W5" s="35">
        <f t="shared" ref="W5" si="6">T5+U5+V5</f>
        <v>464200.00000000006</v>
      </c>
      <c r="X5" s="35">
        <f t="shared" ref="X5" si="7">R5-W5</f>
        <v>0</v>
      </c>
      <c r="Y5" s="35">
        <v>3904.4859813084113</v>
      </c>
      <c r="Z5" s="41">
        <f t="shared" ref="Z5" si="8">(R5-T5)/(L5-1)</f>
        <v>3685.542842169622</v>
      </c>
    </row>
    <row r="6" spans="1:26" x14ac:dyDescent="0.2">
      <c r="A6" s="79"/>
      <c r="B6" s="59"/>
      <c r="C6" s="59"/>
      <c r="D6" s="59"/>
      <c r="E6" s="80">
        <f>SUM(E5:E5)</f>
        <v>1</v>
      </c>
      <c r="F6" s="80"/>
      <c r="G6" s="80"/>
      <c r="H6" s="79">
        <f>SUM(H5:H5)</f>
        <v>200000000</v>
      </c>
      <c r="I6" s="79">
        <f>SUM(I5:I5)</f>
        <v>200000000</v>
      </c>
      <c r="J6" s="79"/>
      <c r="K6" s="79"/>
      <c r="L6" s="79"/>
      <c r="M6" s="79"/>
      <c r="N6" s="79">
        <f t="shared" ref="N6:Z6" si="9">SUM(N5:N5)</f>
        <v>4642000</v>
      </c>
      <c r="O6" s="79">
        <f t="shared" si="9"/>
        <v>0</v>
      </c>
      <c r="P6" s="79">
        <f t="shared" si="9"/>
        <v>0</v>
      </c>
      <c r="Q6" s="79">
        <f t="shared" si="9"/>
        <v>4642000</v>
      </c>
      <c r="R6" s="79">
        <f t="shared" si="9"/>
        <v>464200</v>
      </c>
      <c r="S6" s="79">
        <f t="shared" si="9"/>
        <v>4177800</v>
      </c>
      <c r="T6" s="79">
        <f t="shared" si="9"/>
        <v>69846.915887850468</v>
      </c>
      <c r="U6" s="79">
        <f t="shared" si="9"/>
        <v>46853.831775700935</v>
      </c>
      <c r="V6" s="79">
        <f t="shared" si="9"/>
        <v>347499.25233644864</v>
      </c>
      <c r="W6" s="79">
        <f t="shared" si="9"/>
        <v>464200.00000000006</v>
      </c>
      <c r="X6" s="79">
        <f t="shared" si="9"/>
        <v>0</v>
      </c>
      <c r="Y6" s="79">
        <f t="shared" si="9"/>
        <v>3904.4859813084113</v>
      </c>
      <c r="Z6" s="79">
        <f t="shared" si="9"/>
        <v>3685.542842169622</v>
      </c>
    </row>
    <row r="8" spans="1:26" ht="14.25" customHeight="1" x14ac:dyDescent="0.2">
      <c r="A8" s="86" t="s">
        <v>74</v>
      </c>
      <c r="B8" s="62"/>
      <c r="C8" s="62"/>
      <c r="D8" s="57"/>
      <c r="E8" s="63"/>
      <c r="F8" s="64"/>
      <c r="G8" s="65"/>
      <c r="H8" s="66"/>
      <c r="I8" s="66"/>
      <c r="J8" s="67"/>
      <c r="K8" s="67"/>
      <c r="L8" s="68"/>
      <c r="M8" s="68"/>
      <c r="N8" s="69"/>
      <c r="O8" s="69"/>
      <c r="P8" s="69"/>
      <c r="Q8" s="69"/>
      <c r="R8" s="69"/>
      <c r="S8" s="69"/>
      <c r="T8" s="70"/>
      <c r="U8" s="71"/>
      <c r="V8" s="71"/>
    </row>
    <row r="9" spans="1:26" ht="14.25" customHeight="1" x14ac:dyDescent="0.2">
      <c r="A9" s="231" t="s">
        <v>0</v>
      </c>
      <c r="B9" s="232" t="s">
        <v>1</v>
      </c>
      <c r="C9" s="229" t="s">
        <v>2</v>
      </c>
      <c r="D9" s="233" t="s">
        <v>3</v>
      </c>
      <c r="E9" s="234" t="s">
        <v>4</v>
      </c>
      <c r="F9" s="232" t="s">
        <v>5</v>
      </c>
      <c r="G9" s="235" t="s">
        <v>6</v>
      </c>
      <c r="H9" s="236" t="s">
        <v>7</v>
      </c>
      <c r="I9" s="236" t="s">
        <v>8</v>
      </c>
      <c r="J9" s="227" t="s">
        <v>9</v>
      </c>
      <c r="K9" s="227"/>
      <c r="L9" s="228" t="s">
        <v>10</v>
      </c>
      <c r="M9" s="229" t="s">
        <v>11</v>
      </c>
      <c r="N9" s="230" t="s">
        <v>12</v>
      </c>
      <c r="O9" s="230"/>
      <c r="P9" s="230"/>
      <c r="Q9" s="229" t="s">
        <v>13</v>
      </c>
      <c r="R9" s="229" t="s">
        <v>14</v>
      </c>
      <c r="S9" s="229" t="s">
        <v>15</v>
      </c>
      <c r="T9" s="36">
        <v>2021</v>
      </c>
      <c r="U9" s="37"/>
      <c r="V9" s="38" t="s">
        <v>44</v>
      </c>
    </row>
    <row r="10" spans="1:26" ht="14.25" customHeight="1" x14ac:dyDescent="0.2">
      <c r="A10" s="231"/>
      <c r="B10" s="232"/>
      <c r="C10" s="229"/>
      <c r="D10" s="233"/>
      <c r="E10" s="234"/>
      <c r="F10" s="232"/>
      <c r="G10" s="235"/>
      <c r="H10" s="236"/>
      <c r="I10" s="236"/>
      <c r="J10" s="227"/>
      <c r="K10" s="227"/>
      <c r="L10" s="228"/>
      <c r="M10" s="229"/>
      <c r="N10" s="206" t="s">
        <v>16</v>
      </c>
      <c r="O10" s="206" t="s">
        <v>17</v>
      </c>
      <c r="P10" s="206" t="s">
        <v>18</v>
      </c>
      <c r="Q10" s="229"/>
      <c r="R10" s="229"/>
      <c r="S10" s="229"/>
      <c r="T10" s="96" t="s">
        <v>198</v>
      </c>
      <c r="U10" s="39" t="s">
        <v>204</v>
      </c>
      <c r="V10" s="40"/>
    </row>
    <row r="11" spans="1:26" x14ac:dyDescent="0.2">
      <c r="A11" s="74">
        <v>2</v>
      </c>
      <c r="B11" s="107" t="s">
        <v>59</v>
      </c>
      <c r="C11" s="107" t="s">
        <v>60</v>
      </c>
      <c r="D11" s="110">
        <v>44237</v>
      </c>
      <c r="E11" s="74">
        <v>1</v>
      </c>
      <c r="F11" s="107" t="s">
        <v>61</v>
      </c>
      <c r="G11" s="111">
        <v>1</v>
      </c>
      <c r="H11" s="112">
        <v>300000000</v>
      </c>
      <c r="I11" s="112">
        <f>H11*G11</f>
        <v>300000000</v>
      </c>
      <c r="J11" s="110">
        <v>44222</v>
      </c>
      <c r="K11" s="77">
        <f>IFERROR(VALUE(DAY(J11)&amp;" "&amp;TEXT(EOMONTH(J11,L11)-29,"mmm")&amp;" "&amp;YEAR(EOMONTH(J11,L11)-29)),"-")</f>
        <v>49700</v>
      </c>
      <c r="L11" s="107">
        <v>180</v>
      </c>
      <c r="M11" s="99">
        <v>37.520000000000003</v>
      </c>
      <c r="N11" s="81">
        <f t="shared" ref="N11" si="10">M11*H11/1000</f>
        <v>11256000</v>
      </c>
      <c r="O11" s="81"/>
      <c r="P11" s="81"/>
      <c r="Q11" s="81">
        <f t="shared" ref="Q11" si="11">N11+O11+P11</f>
        <v>11256000</v>
      </c>
      <c r="R11" s="81">
        <f t="shared" ref="R11" si="12">10%*N11</f>
        <v>1125600</v>
      </c>
      <c r="S11" s="81">
        <f t="shared" ref="S11" si="13">Q11-R11</f>
        <v>10130400</v>
      </c>
      <c r="T11" s="42">
        <f>(R11*10%)+(Y11*5)</f>
        <v>140857.2067039106</v>
      </c>
      <c r="U11" s="1">
        <f t="shared" ref="U11" si="14">Y11*12</f>
        <v>67913.296089385476</v>
      </c>
      <c r="V11" s="34">
        <f t="shared" ref="V11" si="15">R11-T11-U11</f>
        <v>916829.49720670388</v>
      </c>
      <c r="W11" s="35">
        <f t="shared" ref="W11" si="16">T11+U11+V11</f>
        <v>1125600</v>
      </c>
      <c r="X11" s="35">
        <f t="shared" ref="X11" si="17">R11-W11</f>
        <v>0</v>
      </c>
      <c r="Y11" s="35">
        <v>5659.441340782123</v>
      </c>
      <c r="Z11" s="41">
        <f t="shared" ref="Z11" si="18">(R11-T11)/(L11-1)</f>
        <v>5501.3563871289907</v>
      </c>
    </row>
    <row r="12" spans="1:26" x14ac:dyDescent="0.2">
      <c r="A12" s="79"/>
      <c r="B12" s="59"/>
      <c r="C12" s="59"/>
      <c r="D12" s="59"/>
      <c r="E12" s="80">
        <f>SUM(E11:E11)</f>
        <v>1</v>
      </c>
      <c r="F12" s="80"/>
      <c r="G12" s="80"/>
      <c r="H12" s="79">
        <f>SUM(H11:H11)</f>
        <v>300000000</v>
      </c>
      <c r="I12" s="79">
        <f>SUM(I11:I11)</f>
        <v>300000000</v>
      </c>
      <c r="J12" s="79"/>
      <c r="K12" s="79"/>
      <c r="L12" s="79"/>
      <c r="M12" s="79"/>
      <c r="N12" s="79">
        <f t="shared" ref="N12:Z12" si="19">SUM(N11:N11)</f>
        <v>11256000</v>
      </c>
      <c r="O12" s="79">
        <f t="shared" si="19"/>
        <v>0</v>
      </c>
      <c r="P12" s="79">
        <f t="shared" si="19"/>
        <v>0</v>
      </c>
      <c r="Q12" s="79">
        <f t="shared" si="19"/>
        <v>11256000</v>
      </c>
      <c r="R12" s="79">
        <f t="shared" si="19"/>
        <v>1125600</v>
      </c>
      <c r="S12" s="79">
        <f t="shared" si="19"/>
        <v>10130400</v>
      </c>
      <c r="T12" s="79">
        <f t="shared" si="19"/>
        <v>140857.2067039106</v>
      </c>
      <c r="U12" s="79">
        <f t="shared" si="19"/>
        <v>67913.296089385476</v>
      </c>
      <c r="V12" s="79">
        <f t="shared" si="19"/>
        <v>916829.49720670388</v>
      </c>
      <c r="W12" s="79">
        <f t="shared" si="19"/>
        <v>1125600</v>
      </c>
      <c r="X12" s="79">
        <f t="shared" si="19"/>
        <v>0</v>
      </c>
      <c r="Y12" s="79">
        <f t="shared" si="19"/>
        <v>5659.441340782123</v>
      </c>
      <c r="Z12" s="79">
        <f t="shared" si="19"/>
        <v>5501.3563871289907</v>
      </c>
    </row>
    <row r="13" spans="1:26" x14ac:dyDescent="0.2">
      <c r="A13" s="89"/>
      <c r="B13" s="89"/>
      <c r="C13" s="89" t="s">
        <v>73</v>
      </c>
      <c r="D13" s="90"/>
      <c r="E13" s="85">
        <f>E6+E12</f>
        <v>2</v>
      </c>
      <c r="F13" s="87">
        <f t="shared" ref="F13:G13" si="20">F6</f>
        <v>0</v>
      </c>
      <c r="G13" s="87">
        <f t="shared" si="20"/>
        <v>0</v>
      </c>
      <c r="H13" s="87">
        <f>H6+H12</f>
        <v>500000000</v>
      </c>
      <c r="I13" s="87">
        <f t="shared" ref="I13:Z13" si="21">I6+I12</f>
        <v>500000000</v>
      </c>
      <c r="J13" s="87">
        <f t="shared" si="21"/>
        <v>0</v>
      </c>
      <c r="K13" s="87">
        <f t="shared" si="21"/>
        <v>0</v>
      </c>
      <c r="L13" s="87">
        <f t="shared" si="21"/>
        <v>0</v>
      </c>
      <c r="M13" s="87">
        <f t="shared" si="21"/>
        <v>0</v>
      </c>
      <c r="N13" s="87">
        <f t="shared" si="21"/>
        <v>15898000</v>
      </c>
      <c r="O13" s="87">
        <f t="shared" si="21"/>
        <v>0</v>
      </c>
      <c r="P13" s="87">
        <f t="shared" si="21"/>
        <v>0</v>
      </c>
      <c r="Q13" s="87">
        <f t="shared" si="21"/>
        <v>15898000</v>
      </c>
      <c r="R13" s="87">
        <f t="shared" si="21"/>
        <v>1589800</v>
      </c>
      <c r="S13" s="87">
        <f t="shared" si="21"/>
        <v>14308200</v>
      </c>
      <c r="T13" s="87">
        <f t="shared" si="21"/>
        <v>210704.12259176106</v>
      </c>
      <c r="U13" s="87">
        <f t="shared" si="21"/>
        <v>114767.12786508641</v>
      </c>
      <c r="V13" s="87">
        <f t="shared" si="21"/>
        <v>1264328.7495431525</v>
      </c>
      <c r="W13" s="87">
        <f t="shared" si="21"/>
        <v>1589800</v>
      </c>
      <c r="X13" s="87">
        <f t="shared" si="21"/>
        <v>0</v>
      </c>
      <c r="Y13" s="87">
        <f t="shared" si="21"/>
        <v>9563.9273220905343</v>
      </c>
      <c r="Z13" s="87">
        <f t="shared" si="21"/>
        <v>9186.8992292986131</v>
      </c>
    </row>
    <row r="16" spans="1:26" ht="14.25" customHeight="1" x14ac:dyDescent="0.2">
      <c r="A16" s="86" t="s">
        <v>91</v>
      </c>
      <c r="B16" s="62"/>
      <c r="C16" s="62"/>
      <c r="D16" s="57"/>
      <c r="E16" s="63"/>
      <c r="F16" s="64"/>
      <c r="G16" s="65"/>
      <c r="H16" s="66"/>
      <c r="I16" s="66"/>
      <c r="J16" s="67"/>
      <c r="K16" s="67"/>
      <c r="L16" s="68"/>
      <c r="M16" s="68"/>
      <c r="N16" s="69"/>
      <c r="O16" s="69"/>
      <c r="P16" s="69"/>
      <c r="Q16" s="69"/>
      <c r="R16" s="69"/>
      <c r="S16" s="69"/>
      <c r="T16" s="70"/>
      <c r="U16" s="71"/>
      <c r="V16" s="71"/>
    </row>
    <row r="17" spans="1:26" ht="14.25" customHeight="1" x14ac:dyDescent="0.2">
      <c r="A17" s="231" t="s">
        <v>0</v>
      </c>
      <c r="B17" s="232" t="s">
        <v>1</v>
      </c>
      <c r="C17" s="229" t="s">
        <v>2</v>
      </c>
      <c r="D17" s="233" t="s">
        <v>3</v>
      </c>
      <c r="E17" s="234" t="s">
        <v>4</v>
      </c>
      <c r="F17" s="232" t="s">
        <v>5</v>
      </c>
      <c r="G17" s="235" t="s">
        <v>6</v>
      </c>
      <c r="H17" s="236" t="s">
        <v>7</v>
      </c>
      <c r="I17" s="236" t="s">
        <v>8</v>
      </c>
      <c r="J17" s="227" t="s">
        <v>9</v>
      </c>
      <c r="K17" s="227"/>
      <c r="L17" s="228" t="s">
        <v>10</v>
      </c>
      <c r="M17" s="229" t="s">
        <v>11</v>
      </c>
      <c r="N17" s="230" t="s">
        <v>12</v>
      </c>
      <c r="O17" s="230"/>
      <c r="P17" s="230"/>
      <c r="Q17" s="229" t="s">
        <v>13</v>
      </c>
      <c r="R17" s="229" t="s">
        <v>14</v>
      </c>
      <c r="S17" s="229" t="s">
        <v>15</v>
      </c>
      <c r="T17" s="36">
        <v>2021</v>
      </c>
      <c r="U17" s="37"/>
      <c r="V17" s="38" t="s">
        <v>44</v>
      </c>
    </row>
    <row r="18" spans="1:26" ht="14.25" customHeight="1" x14ac:dyDescent="0.2">
      <c r="A18" s="231"/>
      <c r="B18" s="232"/>
      <c r="C18" s="229"/>
      <c r="D18" s="233"/>
      <c r="E18" s="234"/>
      <c r="F18" s="232"/>
      <c r="G18" s="235"/>
      <c r="H18" s="236"/>
      <c r="I18" s="236"/>
      <c r="J18" s="227"/>
      <c r="K18" s="227"/>
      <c r="L18" s="228"/>
      <c r="M18" s="229"/>
      <c r="N18" s="206" t="s">
        <v>16</v>
      </c>
      <c r="O18" s="206" t="s">
        <v>17</v>
      </c>
      <c r="P18" s="206" t="s">
        <v>18</v>
      </c>
      <c r="Q18" s="229"/>
      <c r="R18" s="229"/>
      <c r="S18" s="229"/>
      <c r="T18" s="96" t="s">
        <v>197</v>
      </c>
      <c r="U18" s="39" t="s">
        <v>204</v>
      </c>
      <c r="V18" s="40"/>
    </row>
    <row r="19" spans="1:26" x14ac:dyDescent="0.2">
      <c r="A19" s="74">
        <v>3</v>
      </c>
      <c r="B19" s="107" t="s">
        <v>49</v>
      </c>
      <c r="C19" s="107" t="s">
        <v>78</v>
      </c>
      <c r="D19" s="110">
        <v>44237</v>
      </c>
      <c r="E19" s="74">
        <v>1</v>
      </c>
      <c r="F19" s="107" t="s">
        <v>79</v>
      </c>
      <c r="G19" s="111">
        <v>1</v>
      </c>
      <c r="H19" s="112">
        <v>40000000</v>
      </c>
      <c r="I19" s="112">
        <f>H19*G19</f>
        <v>40000000</v>
      </c>
      <c r="J19" s="110">
        <v>44245</v>
      </c>
      <c r="K19" s="77">
        <f>IFERROR(VALUE(DAY(J19)&amp;" "&amp;TEXT(EOMONTH(J19,L19)-29,"mmm")&amp;" "&amp;YEAR(EOMONTH(J19,L19)-29)),"-")</f>
        <v>44944</v>
      </c>
      <c r="L19" s="107">
        <v>24</v>
      </c>
      <c r="M19" s="99">
        <v>21.1</v>
      </c>
      <c r="N19" s="81">
        <f t="shared" ref="N19" si="22">M19*H19/1000</f>
        <v>844000</v>
      </c>
      <c r="O19" s="81"/>
      <c r="P19" s="81"/>
      <c r="Q19" s="81">
        <f t="shared" ref="Q19" si="23">N19+O19+P19</f>
        <v>844000</v>
      </c>
      <c r="R19" s="81">
        <f t="shared" ref="R19" si="24">10%*N19</f>
        <v>84400</v>
      </c>
      <c r="S19" s="81">
        <f t="shared" ref="S19" si="25">Q19-R19</f>
        <v>759600</v>
      </c>
      <c r="T19" s="42">
        <f>R19*10%+(Y19*4)</f>
        <v>21650.434782608696</v>
      </c>
      <c r="U19" s="1">
        <f>Y19*12</f>
        <v>39631.304347826088</v>
      </c>
      <c r="V19" s="34">
        <f t="shared" ref="V19" si="26">R19-T19-U19</f>
        <v>23118.260869565216</v>
      </c>
      <c r="W19" s="35">
        <f t="shared" ref="W19" si="27">T19+U19+V19</f>
        <v>84400</v>
      </c>
      <c r="X19" s="35">
        <f t="shared" ref="X19" si="28">R19-W19</f>
        <v>0</v>
      </c>
      <c r="Y19" s="35">
        <v>3302.608695652174</v>
      </c>
      <c r="Z19" s="41">
        <f>(R19-T19)/(L19-1)</f>
        <v>2728.2419659735351</v>
      </c>
    </row>
    <row r="20" spans="1:26" x14ac:dyDescent="0.2">
      <c r="A20" s="88"/>
      <c r="B20" s="84"/>
      <c r="C20" s="84"/>
      <c r="D20" s="84"/>
      <c r="E20" s="88">
        <f>SUM(E19:E19)</f>
        <v>1</v>
      </c>
      <c r="F20" s="84"/>
      <c r="G20" s="115"/>
      <c r="H20" s="59">
        <f>SUM(H19:H19)</f>
        <v>40000000</v>
      </c>
      <c r="I20" s="59">
        <f>SUM(I19:I19)</f>
        <v>40000000</v>
      </c>
      <c r="J20" s="59"/>
      <c r="K20" s="59"/>
      <c r="L20" s="59"/>
      <c r="M20" s="59"/>
      <c r="N20" s="59">
        <f t="shared" ref="N20:Z20" si="29">SUM(N19:N19)</f>
        <v>844000</v>
      </c>
      <c r="O20" s="59">
        <f t="shared" si="29"/>
        <v>0</v>
      </c>
      <c r="P20" s="59">
        <f t="shared" si="29"/>
        <v>0</v>
      </c>
      <c r="Q20" s="59">
        <f t="shared" si="29"/>
        <v>844000</v>
      </c>
      <c r="R20" s="59">
        <f t="shared" si="29"/>
        <v>84400</v>
      </c>
      <c r="S20" s="59">
        <f t="shared" si="29"/>
        <v>759600</v>
      </c>
      <c r="T20" s="59">
        <f t="shared" si="29"/>
        <v>21650.434782608696</v>
      </c>
      <c r="U20" s="59">
        <f t="shared" si="29"/>
        <v>39631.304347826088</v>
      </c>
      <c r="V20" s="59">
        <f t="shared" si="29"/>
        <v>23118.260869565216</v>
      </c>
      <c r="W20" s="59">
        <f t="shared" si="29"/>
        <v>84400</v>
      </c>
      <c r="X20" s="59">
        <f t="shared" si="29"/>
        <v>0</v>
      </c>
      <c r="Y20" s="59">
        <f t="shared" si="29"/>
        <v>3302.608695652174</v>
      </c>
      <c r="Z20" s="59">
        <f t="shared" si="29"/>
        <v>2728.2419659735351</v>
      </c>
    </row>
    <row r="21" spans="1:26" x14ac:dyDescent="0.2">
      <c r="A21" s="74">
        <v>4</v>
      </c>
      <c r="B21" s="107" t="s">
        <v>84</v>
      </c>
      <c r="C21" s="107" t="s">
        <v>85</v>
      </c>
      <c r="D21" s="110">
        <v>44286</v>
      </c>
      <c r="E21" s="74">
        <v>1</v>
      </c>
      <c r="F21" s="107" t="s">
        <v>86</v>
      </c>
      <c r="G21" s="111">
        <v>1</v>
      </c>
      <c r="H21" s="112">
        <v>300000000</v>
      </c>
      <c r="I21" s="112">
        <f>H21*G21</f>
        <v>300000000</v>
      </c>
      <c r="J21" s="110">
        <v>44263</v>
      </c>
      <c r="K21" s="77">
        <f t="shared" ref="K21" si="30">IFERROR(VALUE(DAY(J21)&amp;" "&amp;TEXT(EOMONTH(J21,L21)-29,"mmm")&amp;" "&amp;YEAR(EOMONTH(J21,L21)-29)),"-")</f>
        <v>44993</v>
      </c>
      <c r="L21" s="107">
        <v>24</v>
      </c>
      <c r="M21" s="99">
        <v>51.12</v>
      </c>
      <c r="N21" s="81">
        <f t="shared" ref="N21" si="31">M21*H21/1000</f>
        <v>15336000</v>
      </c>
      <c r="O21" s="81"/>
      <c r="P21" s="81"/>
      <c r="Q21" s="81">
        <f t="shared" ref="Q21" si="32">N21+O21+P21</f>
        <v>15336000</v>
      </c>
      <c r="R21" s="81">
        <f t="shared" ref="R21" si="33">10%*N21</f>
        <v>1533600</v>
      </c>
      <c r="S21" s="81">
        <f t="shared" ref="S21" si="34">Q21-R21</f>
        <v>13802400</v>
      </c>
      <c r="T21" s="42"/>
      <c r="U21" s="1"/>
      <c r="V21" s="34"/>
      <c r="W21" s="35"/>
      <c r="X21" s="35"/>
      <c r="Y21" s="35"/>
      <c r="Z21" s="41"/>
    </row>
    <row r="22" spans="1:26" x14ac:dyDescent="0.2">
      <c r="A22" s="88"/>
      <c r="B22" s="84"/>
      <c r="C22" s="84"/>
      <c r="D22" s="84"/>
      <c r="E22" s="88"/>
      <c r="F22" s="84"/>
      <c r="G22" s="115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>
        <f t="shared" ref="S22:Z22" si="35">SUM(S21:S21)</f>
        <v>13802400</v>
      </c>
      <c r="T22" s="59">
        <f t="shared" si="35"/>
        <v>0</v>
      </c>
      <c r="U22" s="59">
        <f t="shared" si="35"/>
        <v>0</v>
      </c>
      <c r="V22" s="59">
        <f t="shared" si="35"/>
        <v>0</v>
      </c>
      <c r="W22" s="59">
        <f t="shared" si="35"/>
        <v>0</v>
      </c>
      <c r="X22" s="59">
        <f t="shared" si="35"/>
        <v>0</v>
      </c>
      <c r="Y22" s="59">
        <f t="shared" si="35"/>
        <v>0</v>
      </c>
      <c r="Z22" s="59">
        <f t="shared" si="35"/>
        <v>0</v>
      </c>
    </row>
    <row r="23" spans="1:26" x14ac:dyDescent="0.2">
      <c r="A23" s="83"/>
      <c r="B23" s="83"/>
      <c r="C23" s="83" t="s">
        <v>92</v>
      </c>
      <c r="D23" s="84"/>
      <c r="E23" s="85">
        <f>E22+E20</f>
        <v>1</v>
      </c>
      <c r="F23" s="87"/>
      <c r="G23" s="87"/>
      <c r="H23" s="87">
        <f t="shared" ref="H23:Z23" si="36">H22+H20</f>
        <v>40000000</v>
      </c>
      <c r="I23" s="87">
        <f t="shared" si="36"/>
        <v>40000000</v>
      </c>
      <c r="J23" s="87">
        <f t="shared" si="36"/>
        <v>0</v>
      </c>
      <c r="K23" s="87">
        <f t="shared" si="36"/>
        <v>0</v>
      </c>
      <c r="L23" s="87"/>
      <c r="M23" s="87"/>
      <c r="N23" s="87">
        <f t="shared" si="36"/>
        <v>844000</v>
      </c>
      <c r="O23" s="87">
        <f t="shared" si="36"/>
        <v>0</v>
      </c>
      <c r="P23" s="87">
        <f t="shared" si="36"/>
        <v>0</v>
      </c>
      <c r="Q23" s="87">
        <f t="shared" si="36"/>
        <v>844000</v>
      </c>
      <c r="R23" s="87">
        <f t="shared" si="36"/>
        <v>84400</v>
      </c>
      <c r="S23" s="87">
        <f t="shared" si="36"/>
        <v>14562000</v>
      </c>
      <c r="T23" s="87">
        <f t="shared" si="36"/>
        <v>21650.434782608696</v>
      </c>
      <c r="U23" s="87">
        <f t="shared" si="36"/>
        <v>39631.304347826088</v>
      </c>
      <c r="V23" s="87">
        <f t="shared" si="36"/>
        <v>23118.260869565216</v>
      </c>
      <c r="W23" s="87">
        <f t="shared" si="36"/>
        <v>84400</v>
      </c>
      <c r="X23" s="87">
        <f t="shared" si="36"/>
        <v>0</v>
      </c>
      <c r="Y23" s="87">
        <f t="shared" si="36"/>
        <v>3302.608695652174</v>
      </c>
      <c r="Z23" s="87">
        <f t="shared" si="36"/>
        <v>2728.2419659735351</v>
      </c>
    </row>
    <row r="24" spans="1:26" s="94" customFormat="1" x14ac:dyDescent="0.2">
      <c r="A24" s="83"/>
      <c r="B24" s="83"/>
      <c r="C24" s="83" t="s">
        <v>93</v>
      </c>
      <c r="D24" s="84"/>
      <c r="E24" s="85">
        <f>E23+E13</f>
        <v>3</v>
      </c>
      <c r="F24" s="87">
        <f t="shared" ref="F24:Z24" si="37">F23+F13</f>
        <v>0</v>
      </c>
      <c r="G24" s="87">
        <f t="shared" si="37"/>
        <v>0</v>
      </c>
      <c r="H24" s="87">
        <f t="shared" si="37"/>
        <v>540000000</v>
      </c>
      <c r="I24" s="87">
        <f t="shared" si="37"/>
        <v>540000000</v>
      </c>
      <c r="J24" s="87">
        <f t="shared" si="37"/>
        <v>0</v>
      </c>
      <c r="K24" s="87">
        <f t="shared" si="37"/>
        <v>0</v>
      </c>
      <c r="L24" s="87">
        <f t="shared" si="37"/>
        <v>0</v>
      </c>
      <c r="M24" s="87">
        <f t="shared" si="37"/>
        <v>0</v>
      </c>
      <c r="N24" s="87">
        <f t="shared" si="37"/>
        <v>16742000</v>
      </c>
      <c r="O24" s="87">
        <f t="shared" si="37"/>
        <v>0</v>
      </c>
      <c r="P24" s="87">
        <f t="shared" si="37"/>
        <v>0</v>
      </c>
      <c r="Q24" s="87">
        <f t="shared" si="37"/>
        <v>16742000</v>
      </c>
      <c r="R24" s="87">
        <f>R23+R13</f>
        <v>1674200</v>
      </c>
      <c r="S24" s="87">
        <f t="shared" si="37"/>
        <v>28870200</v>
      </c>
      <c r="T24" s="87">
        <f t="shared" si="37"/>
        <v>232354.55737436976</v>
      </c>
      <c r="U24" s="87">
        <f t="shared" si="37"/>
        <v>154398.43221291251</v>
      </c>
      <c r="V24" s="87">
        <f t="shared" si="37"/>
        <v>1287447.0104127177</v>
      </c>
      <c r="W24" s="87">
        <f t="shared" si="37"/>
        <v>1674200</v>
      </c>
      <c r="X24" s="87">
        <f t="shared" si="37"/>
        <v>0</v>
      </c>
      <c r="Y24" s="87">
        <f t="shared" si="37"/>
        <v>12866.536017742708</v>
      </c>
      <c r="Z24" s="87">
        <f t="shared" si="37"/>
        <v>11915.141195272148</v>
      </c>
    </row>
    <row r="26" spans="1:26" ht="14.25" customHeight="1" x14ac:dyDescent="0.2">
      <c r="A26" s="86" t="s">
        <v>120</v>
      </c>
      <c r="B26" s="62"/>
      <c r="C26" s="62"/>
      <c r="D26" s="57"/>
      <c r="E26" s="63"/>
      <c r="F26" s="64"/>
      <c r="G26" s="65"/>
      <c r="H26" s="66"/>
      <c r="I26" s="66"/>
      <c r="J26" s="67"/>
      <c r="K26" s="67"/>
      <c r="L26" s="68"/>
      <c r="M26" s="68"/>
      <c r="N26" s="69"/>
      <c r="O26" s="69"/>
      <c r="P26" s="69"/>
      <c r="Q26" s="69"/>
      <c r="R26" s="69"/>
      <c r="S26" s="69"/>
      <c r="T26" s="70"/>
      <c r="U26" s="71"/>
      <c r="V26" s="71"/>
    </row>
    <row r="27" spans="1:26" ht="14.25" customHeight="1" x14ac:dyDescent="0.2">
      <c r="A27" s="231" t="s">
        <v>0</v>
      </c>
      <c r="B27" s="232" t="s">
        <v>1</v>
      </c>
      <c r="C27" s="229" t="s">
        <v>2</v>
      </c>
      <c r="D27" s="233" t="s">
        <v>3</v>
      </c>
      <c r="E27" s="234" t="s">
        <v>4</v>
      </c>
      <c r="F27" s="232" t="s">
        <v>5</v>
      </c>
      <c r="G27" s="235" t="s">
        <v>6</v>
      </c>
      <c r="H27" s="236" t="s">
        <v>7</v>
      </c>
      <c r="I27" s="236" t="s">
        <v>8</v>
      </c>
      <c r="J27" s="227" t="s">
        <v>9</v>
      </c>
      <c r="K27" s="227"/>
      <c r="L27" s="228" t="s">
        <v>10</v>
      </c>
      <c r="M27" s="229" t="s">
        <v>11</v>
      </c>
      <c r="N27" s="230" t="s">
        <v>12</v>
      </c>
      <c r="O27" s="230"/>
      <c r="P27" s="230"/>
      <c r="Q27" s="229" t="s">
        <v>13</v>
      </c>
      <c r="R27" s="229" t="s">
        <v>14</v>
      </c>
      <c r="S27" s="229" t="s">
        <v>15</v>
      </c>
      <c r="T27" s="36">
        <v>2021</v>
      </c>
      <c r="U27" s="37"/>
      <c r="V27" s="38" t="s">
        <v>44</v>
      </c>
    </row>
    <row r="28" spans="1:26" ht="14.25" customHeight="1" x14ac:dyDescent="0.2">
      <c r="A28" s="231"/>
      <c r="B28" s="232"/>
      <c r="C28" s="229"/>
      <c r="D28" s="233"/>
      <c r="E28" s="234"/>
      <c r="F28" s="232"/>
      <c r="G28" s="235"/>
      <c r="H28" s="236"/>
      <c r="I28" s="236"/>
      <c r="J28" s="227"/>
      <c r="K28" s="227"/>
      <c r="L28" s="228"/>
      <c r="M28" s="229"/>
      <c r="N28" s="206" t="s">
        <v>16</v>
      </c>
      <c r="O28" s="206" t="s">
        <v>17</v>
      </c>
      <c r="P28" s="206" t="s">
        <v>18</v>
      </c>
      <c r="Q28" s="229"/>
      <c r="R28" s="229"/>
      <c r="S28" s="229"/>
      <c r="T28" s="96" t="s">
        <v>199</v>
      </c>
      <c r="U28" s="39" t="s">
        <v>204</v>
      </c>
      <c r="V28" s="40"/>
    </row>
    <row r="29" spans="1:26" x14ac:dyDescent="0.2">
      <c r="A29" s="74">
        <v>5</v>
      </c>
      <c r="B29" s="107" t="s">
        <v>46</v>
      </c>
      <c r="C29" s="107" t="s">
        <v>96</v>
      </c>
      <c r="D29" s="110">
        <v>44313</v>
      </c>
      <c r="E29" s="74">
        <v>1</v>
      </c>
      <c r="F29" s="107" t="s">
        <v>47</v>
      </c>
      <c r="G29" s="111">
        <v>1</v>
      </c>
      <c r="H29" s="112">
        <v>57599206</v>
      </c>
      <c r="I29" s="112">
        <f>H29*G29</f>
        <v>57599206</v>
      </c>
      <c r="J29" s="110">
        <v>46069</v>
      </c>
      <c r="K29" s="77">
        <v>46446</v>
      </c>
      <c r="L29" s="107">
        <v>12</v>
      </c>
      <c r="M29" s="99">
        <v>9.1</v>
      </c>
      <c r="N29" s="81">
        <f t="shared" ref="N29:N30" si="38">M29*H29/1000</f>
        <v>524152.77459999995</v>
      </c>
      <c r="O29" s="81">
        <v>100000</v>
      </c>
      <c r="P29" s="81"/>
      <c r="Q29" s="81">
        <f t="shared" ref="Q29:Q30" si="39">N29+O29+P29</f>
        <v>624152.77459999989</v>
      </c>
      <c r="R29" s="81"/>
      <c r="S29" s="81">
        <f t="shared" ref="S29:S30" si="40">Q29-R29</f>
        <v>624152.77459999989</v>
      </c>
      <c r="T29" s="42">
        <f>R29*10%</f>
        <v>0</v>
      </c>
      <c r="U29" s="1">
        <f>Y29*12</f>
        <v>0</v>
      </c>
      <c r="V29" s="34">
        <f t="shared" ref="V29:V41" si="41">R29-T29-U29</f>
        <v>0</v>
      </c>
      <c r="W29" s="35">
        <f t="shared" ref="W29:W41" si="42">T29+U29+V29</f>
        <v>0</v>
      </c>
      <c r="X29" s="35">
        <f t="shared" ref="X29:X41" si="43">R29-W29</f>
        <v>0</v>
      </c>
      <c r="Y29" s="35">
        <v>0</v>
      </c>
      <c r="Z29" s="41">
        <f>(R29-T29)/(L29-1)</f>
        <v>0</v>
      </c>
    </row>
    <row r="30" spans="1:26" x14ac:dyDescent="0.2">
      <c r="A30" s="74"/>
      <c r="B30" s="107"/>
      <c r="C30" s="107"/>
      <c r="D30" s="110"/>
      <c r="E30" s="74">
        <v>1</v>
      </c>
      <c r="F30" s="107" t="s">
        <v>48</v>
      </c>
      <c r="G30" s="111">
        <v>1</v>
      </c>
      <c r="H30" s="112">
        <v>11844392</v>
      </c>
      <c r="I30" s="112">
        <f>H30*G30</f>
        <v>11844392</v>
      </c>
      <c r="J30" s="110">
        <v>46523</v>
      </c>
      <c r="K30" s="77">
        <v>46768</v>
      </c>
      <c r="L30" s="107">
        <v>8</v>
      </c>
      <c r="M30" s="99">
        <v>5.46</v>
      </c>
      <c r="N30" s="81">
        <f t="shared" si="38"/>
        <v>64670.380320000004</v>
      </c>
      <c r="O30" s="81">
        <v>100000</v>
      </c>
      <c r="P30" s="81"/>
      <c r="Q30" s="81">
        <f t="shared" si="39"/>
        <v>164670.38032</v>
      </c>
      <c r="R30" s="81"/>
      <c r="S30" s="81">
        <f t="shared" si="40"/>
        <v>164670.38032</v>
      </c>
      <c r="T30" s="42">
        <f t="shared" ref="T30:T41" si="44">R30*10%</f>
        <v>0</v>
      </c>
      <c r="U30" s="1">
        <f t="shared" ref="U30:U41" si="45">Y30*12</f>
        <v>0</v>
      </c>
      <c r="V30" s="34">
        <f t="shared" si="41"/>
        <v>0</v>
      </c>
      <c r="W30" s="35">
        <f t="shared" si="42"/>
        <v>0</v>
      </c>
      <c r="X30" s="35">
        <f t="shared" si="43"/>
        <v>0</v>
      </c>
      <c r="Y30" s="35">
        <v>0</v>
      </c>
      <c r="Z30" s="41">
        <f t="shared" ref="Z30:Z41" si="46">(R30-T30)/(L30-1)</f>
        <v>0</v>
      </c>
    </row>
    <row r="31" spans="1:26" x14ac:dyDescent="0.2">
      <c r="A31" s="88"/>
      <c r="B31" s="84"/>
      <c r="C31" s="84"/>
      <c r="D31" s="84"/>
      <c r="E31" s="88"/>
      <c r="F31" s="84"/>
      <c r="G31" s="115"/>
      <c r="H31" s="59"/>
      <c r="I31" s="59"/>
      <c r="J31" s="59"/>
      <c r="K31" s="59"/>
      <c r="L31" s="59"/>
      <c r="M31" s="59"/>
      <c r="N31" s="59">
        <f t="shared" ref="N31:Z31" si="47">SUM(N29:N30)</f>
        <v>588823.15492</v>
      </c>
      <c r="O31" s="59">
        <f t="shared" si="47"/>
        <v>200000</v>
      </c>
      <c r="P31" s="59">
        <f t="shared" si="47"/>
        <v>0</v>
      </c>
      <c r="Q31" s="59">
        <f t="shared" si="47"/>
        <v>788823.15491999988</v>
      </c>
      <c r="R31" s="59">
        <f t="shared" si="47"/>
        <v>0</v>
      </c>
      <c r="S31" s="59">
        <f t="shared" si="47"/>
        <v>788823.15491999988</v>
      </c>
      <c r="T31" s="59">
        <f t="shared" si="47"/>
        <v>0</v>
      </c>
      <c r="U31" s="59">
        <f t="shared" si="47"/>
        <v>0</v>
      </c>
      <c r="V31" s="59">
        <f t="shared" si="47"/>
        <v>0</v>
      </c>
      <c r="W31" s="59">
        <f t="shared" si="47"/>
        <v>0</v>
      </c>
      <c r="X31" s="59">
        <f t="shared" si="47"/>
        <v>0</v>
      </c>
      <c r="Y31" s="59">
        <f t="shared" si="47"/>
        <v>0</v>
      </c>
      <c r="Z31" s="59">
        <f t="shared" si="47"/>
        <v>0</v>
      </c>
    </row>
    <row r="32" spans="1:26" x14ac:dyDescent="0.2">
      <c r="A32" s="74">
        <v>6</v>
      </c>
      <c r="B32" s="107" t="s">
        <v>49</v>
      </c>
      <c r="C32" s="107" t="s">
        <v>101</v>
      </c>
      <c r="D32" s="110">
        <v>44301</v>
      </c>
      <c r="E32" s="74">
        <v>1</v>
      </c>
      <c r="F32" s="107" t="s">
        <v>102</v>
      </c>
      <c r="G32" s="111">
        <v>1</v>
      </c>
      <c r="H32" s="112">
        <v>35000000</v>
      </c>
      <c r="I32" s="112">
        <f>H32*G32</f>
        <v>35000000</v>
      </c>
      <c r="J32" s="110">
        <v>44278</v>
      </c>
      <c r="K32" s="77">
        <f t="shared" ref="K32" si="48">IFERROR(VALUE(DAY(J32)&amp;" "&amp;TEXT(EOMONTH(J32,L32)-29,"mmm")&amp;" "&amp;YEAR(EOMONTH(J32,L32)-29)),"-")</f>
        <v>45374</v>
      </c>
      <c r="L32" s="107">
        <v>36</v>
      </c>
      <c r="M32" s="99">
        <v>31.16</v>
      </c>
      <c r="N32" s="81">
        <f t="shared" ref="N32" si="49">M32*H32/1000</f>
        <v>1090600</v>
      </c>
      <c r="O32" s="81"/>
      <c r="P32" s="81"/>
      <c r="Q32" s="81">
        <f t="shared" ref="Q32" si="50">N32+O32+P32</f>
        <v>1090600</v>
      </c>
      <c r="R32" s="81">
        <f t="shared" ref="R32" si="51">10%*N32</f>
        <v>109060</v>
      </c>
      <c r="S32" s="81">
        <f t="shared" ref="S32" si="52">Q32-R32</f>
        <v>981540</v>
      </c>
      <c r="T32" s="42">
        <f>R32*10%+(Y32*3)</f>
        <v>19319.2</v>
      </c>
      <c r="U32" s="1">
        <f t="shared" si="45"/>
        <v>33652.800000000003</v>
      </c>
      <c r="V32" s="34">
        <f t="shared" si="41"/>
        <v>56088</v>
      </c>
      <c r="W32" s="35">
        <f t="shared" si="42"/>
        <v>109060</v>
      </c>
      <c r="X32" s="35">
        <f t="shared" si="43"/>
        <v>0</v>
      </c>
      <c r="Y32" s="35">
        <v>2804.4</v>
      </c>
      <c r="Z32" s="41">
        <f t="shared" si="46"/>
        <v>2564.0228571428574</v>
      </c>
    </row>
    <row r="33" spans="1:26" x14ac:dyDescent="0.2">
      <c r="A33" s="88"/>
      <c r="B33" s="84"/>
      <c r="C33" s="84"/>
      <c r="D33" s="84"/>
      <c r="E33" s="88">
        <f>SUM(E32:E32)</f>
        <v>1</v>
      </c>
      <c r="F33" s="84"/>
      <c r="G33" s="115"/>
      <c r="H33" s="59">
        <f>SUM(H32:H32)</f>
        <v>35000000</v>
      </c>
      <c r="I33" s="59">
        <f>SUM(I32:I32)</f>
        <v>35000000</v>
      </c>
      <c r="J33" s="59"/>
      <c r="K33" s="59"/>
      <c r="L33" s="59"/>
      <c r="M33" s="59"/>
      <c r="N33" s="59">
        <f t="shared" ref="N33:Z33" si="53">SUM(N32:N32)</f>
        <v>1090600</v>
      </c>
      <c r="O33" s="59">
        <f t="shared" si="53"/>
        <v>0</v>
      </c>
      <c r="P33" s="59">
        <f t="shared" si="53"/>
        <v>0</v>
      </c>
      <c r="Q33" s="59">
        <f t="shared" si="53"/>
        <v>1090600</v>
      </c>
      <c r="R33" s="59">
        <f t="shared" si="53"/>
        <v>109060</v>
      </c>
      <c r="S33" s="59">
        <f t="shared" si="53"/>
        <v>981540</v>
      </c>
      <c r="T33" s="59">
        <f t="shared" si="53"/>
        <v>19319.2</v>
      </c>
      <c r="U33" s="59">
        <f t="shared" si="53"/>
        <v>33652.800000000003</v>
      </c>
      <c r="V33" s="59">
        <f t="shared" si="53"/>
        <v>56088</v>
      </c>
      <c r="W33" s="59">
        <f t="shared" si="53"/>
        <v>109060</v>
      </c>
      <c r="X33" s="59">
        <f t="shared" si="53"/>
        <v>0</v>
      </c>
      <c r="Y33" s="59">
        <f t="shared" si="53"/>
        <v>2804.4</v>
      </c>
      <c r="Z33" s="59">
        <f t="shared" si="53"/>
        <v>2564.0228571428574</v>
      </c>
    </row>
    <row r="34" spans="1:26" x14ac:dyDescent="0.2">
      <c r="A34" s="74">
        <v>7</v>
      </c>
      <c r="B34" s="107" t="s">
        <v>49</v>
      </c>
      <c r="C34" s="107" t="s">
        <v>103</v>
      </c>
      <c r="D34" s="110">
        <v>44316</v>
      </c>
      <c r="E34" s="74">
        <v>1</v>
      </c>
      <c r="F34" s="107" t="s">
        <v>104</v>
      </c>
      <c r="G34" s="111">
        <v>1</v>
      </c>
      <c r="H34" s="112">
        <v>83000000</v>
      </c>
      <c r="I34" s="112">
        <f>H34*G34</f>
        <v>83000000</v>
      </c>
      <c r="J34" s="110">
        <v>44315</v>
      </c>
      <c r="K34" s="77">
        <f>IFERROR(VALUE(DAY(J34)&amp;" "&amp;TEXT(EOMONTH(J34,L34)-29,"mmm")&amp;" "&amp;YEAR(EOMONTH(J34,L34)-29)),"-")</f>
        <v>46506</v>
      </c>
      <c r="L34" s="107">
        <v>72</v>
      </c>
      <c r="M34" s="99">
        <v>50.64</v>
      </c>
      <c r="N34" s="81">
        <f t="shared" ref="N34" si="54">M34*H34/1000</f>
        <v>4203120</v>
      </c>
      <c r="O34" s="81"/>
      <c r="P34" s="81"/>
      <c r="Q34" s="81">
        <f t="shared" ref="Q34" si="55">N34+O34+P34</f>
        <v>4203120</v>
      </c>
      <c r="R34" s="81">
        <f t="shared" ref="R34" si="56">10%*N34</f>
        <v>420312</v>
      </c>
      <c r="S34" s="81">
        <f t="shared" ref="S34" si="57">Q34-R34</f>
        <v>3782808</v>
      </c>
      <c r="T34" s="42">
        <f>R34*10%+(Y34*3)</f>
        <v>58014.895774647892</v>
      </c>
      <c r="U34" s="1">
        <f t="shared" si="45"/>
        <v>63934.78309859155</v>
      </c>
      <c r="V34" s="34">
        <f t="shared" si="41"/>
        <v>298362.32112676057</v>
      </c>
      <c r="W34" s="35">
        <f t="shared" si="42"/>
        <v>420312</v>
      </c>
      <c r="X34" s="35">
        <f t="shared" si="43"/>
        <v>0</v>
      </c>
      <c r="Y34" s="35">
        <v>5327.8985915492958</v>
      </c>
      <c r="Z34" s="41">
        <f t="shared" si="46"/>
        <v>5102.7761158500298</v>
      </c>
    </row>
    <row r="35" spans="1:26" x14ac:dyDescent="0.2">
      <c r="A35" s="150"/>
      <c r="B35" s="90"/>
      <c r="C35" s="90"/>
      <c r="D35" s="90"/>
      <c r="E35" s="150">
        <f>SUM(E34:E34)</f>
        <v>1</v>
      </c>
      <c r="F35" s="90"/>
      <c r="G35" s="151"/>
      <c r="H35" s="152">
        <f>SUM(H34:H34)</f>
        <v>83000000</v>
      </c>
      <c r="I35" s="152">
        <f>SUM(I34:I34)</f>
        <v>83000000</v>
      </c>
      <c r="J35" s="152"/>
      <c r="K35" s="152"/>
      <c r="L35" s="152"/>
      <c r="M35" s="152"/>
      <c r="N35" s="152">
        <f t="shared" ref="N35:Z35" si="58">SUM(N34:N34)</f>
        <v>4203120</v>
      </c>
      <c r="O35" s="152">
        <f t="shared" si="58"/>
        <v>0</v>
      </c>
      <c r="P35" s="152">
        <f t="shared" si="58"/>
        <v>0</v>
      </c>
      <c r="Q35" s="152">
        <f t="shared" si="58"/>
        <v>4203120</v>
      </c>
      <c r="R35" s="152">
        <f t="shared" si="58"/>
        <v>420312</v>
      </c>
      <c r="S35" s="152">
        <f t="shared" si="58"/>
        <v>3782808</v>
      </c>
      <c r="T35" s="152">
        <f t="shared" si="58"/>
        <v>58014.895774647892</v>
      </c>
      <c r="U35" s="152">
        <f t="shared" si="58"/>
        <v>63934.78309859155</v>
      </c>
      <c r="V35" s="152">
        <f t="shared" si="58"/>
        <v>298362.32112676057</v>
      </c>
      <c r="W35" s="152">
        <f t="shared" si="58"/>
        <v>420312</v>
      </c>
      <c r="X35" s="152">
        <f t="shared" si="58"/>
        <v>0</v>
      </c>
      <c r="Y35" s="152">
        <f t="shared" si="58"/>
        <v>5327.8985915492958</v>
      </c>
      <c r="Z35" s="152">
        <f t="shared" si="58"/>
        <v>5102.7761158500298</v>
      </c>
    </row>
    <row r="36" spans="1:26" x14ac:dyDescent="0.2">
      <c r="A36" s="74">
        <v>8</v>
      </c>
      <c r="B36" s="107" t="s">
        <v>49</v>
      </c>
      <c r="C36" s="107" t="s">
        <v>105</v>
      </c>
      <c r="D36" s="110">
        <v>44316</v>
      </c>
      <c r="E36" s="74">
        <v>1</v>
      </c>
      <c r="F36" s="107" t="s">
        <v>106</v>
      </c>
      <c r="G36" s="111">
        <v>1</v>
      </c>
      <c r="H36" s="112">
        <v>35000000</v>
      </c>
      <c r="I36" s="112">
        <f>H36*G36</f>
        <v>35000000</v>
      </c>
      <c r="J36" s="110">
        <v>44313</v>
      </c>
      <c r="K36" s="77">
        <f>IFERROR(VALUE(DAY(J36)&amp;" "&amp;TEXT(EOMONTH(J36,L36)-29,"mmm")&amp;" "&amp;YEAR(EOMONTH(J36,L36)-29)),"-")</f>
        <v>45409</v>
      </c>
      <c r="L36" s="107">
        <v>36</v>
      </c>
      <c r="M36" s="99">
        <v>30.71</v>
      </c>
      <c r="N36" s="81">
        <f t="shared" ref="N36" si="59">M36*H36/1000</f>
        <v>1074850</v>
      </c>
      <c r="O36" s="81"/>
      <c r="P36" s="81"/>
      <c r="Q36" s="81">
        <f t="shared" ref="Q36" si="60">N36+O36+P36</f>
        <v>1074850</v>
      </c>
      <c r="R36" s="81">
        <f t="shared" ref="R36" si="61">10%*N36</f>
        <v>107485</v>
      </c>
      <c r="S36" s="81">
        <f t="shared" ref="S36" si="62">Q36-R36</f>
        <v>967365</v>
      </c>
      <c r="T36" s="42">
        <f>R36*10%+(Y36*3)</f>
        <v>19040.2</v>
      </c>
      <c r="U36" s="1">
        <f t="shared" si="45"/>
        <v>33166.800000000003</v>
      </c>
      <c r="V36" s="34">
        <f t="shared" si="41"/>
        <v>55278</v>
      </c>
      <c r="W36" s="35">
        <f t="shared" si="42"/>
        <v>107485</v>
      </c>
      <c r="X36" s="35">
        <f t="shared" si="43"/>
        <v>0</v>
      </c>
      <c r="Y36" s="35">
        <v>2763.9</v>
      </c>
      <c r="Z36" s="41">
        <f t="shared" si="46"/>
        <v>2526.994285714286</v>
      </c>
    </row>
    <row r="37" spans="1:26" x14ac:dyDescent="0.2">
      <c r="A37" s="150"/>
      <c r="B37" s="90"/>
      <c r="C37" s="90"/>
      <c r="D37" s="90"/>
      <c r="E37" s="150">
        <f>SUM(E36:E36)</f>
        <v>1</v>
      </c>
      <c r="F37" s="90"/>
      <c r="G37" s="151"/>
      <c r="H37" s="152">
        <f>SUM(H36:H36)</f>
        <v>35000000</v>
      </c>
      <c r="I37" s="152">
        <f>SUM(I36:I36)</f>
        <v>35000000</v>
      </c>
      <c r="J37" s="152"/>
      <c r="K37" s="152"/>
      <c r="L37" s="152"/>
      <c r="M37" s="152"/>
      <c r="N37" s="152">
        <f t="shared" ref="N37:Z37" si="63">SUM(N36:N36)</f>
        <v>1074850</v>
      </c>
      <c r="O37" s="152">
        <f t="shared" si="63"/>
        <v>0</v>
      </c>
      <c r="P37" s="152">
        <f t="shared" si="63"/>
        <v>0</v>
      </c>
      <c r="Q37" s="152">
        <f t="shared" si="63"/>
        <v>1074850</v>
      </c>
      <c r="R37" s="152">
        <f t="shared" si="63"/>
        <v>107485</v>
      </c>
      <c r="S37" s="152">
        <f t="shared" si="63"/>
        <v>967365</v>
      </c>
      <c r="T37" s="152">
        <f t="shared" si="63"/>
        <v>19040.2</v>
      </c>
      <c r="U37" s="152">
        <f t="shared" si="63"/>
        <v>33166.800000000003</v>
      </c>
      <c r="V37" s="152">
        <f t="shared" si="63"/>
        <v>55278</v>
      </c>
      <c r="W37" s="152">
        <f t="shared" si="63"/>
        <v>107485</v>
      </c>
      <c r="X37" s="152">
        <f t="shared" si="63"/>
        <v>0</v>
      </c>
      <c r="Y37" s="152">
        <f t="shared" si="63"/>
        <v>2763.9</v>
      </c>
      <c r="Z37" s="152">
        <f t="shared" si="63"/>
        <v>2526.994285714286</v>
      </c>
    </row>
    <row r="38" spans="1:26" x14ac:dyDescent="0.2">
      <c r="A38" s="74">
        <v>9</v>
      </c>
      <c r="B38" s="107" t="s">
        <v>49</v>
      </c>
      <c r="C38" s="107" t="s">
        <v>108</v>
      </c>
      <c r="D38" s="110">
        <v>44316</v>
      </c>
      <c r="E38" s="74">
        <v>1</v>
      </c>
      <c r="F38" s="107" t="s">
        <v>109</v>
      </c>
      <c r="G38" s="111">
        <v>1</v>
      </c>
      <c r="H38" s="112">
        <v>220000000</v>
      </c>
      <c r="I38" s="112">
        <f>H38*G38</f>
        <v>220000000</v>
      </c>
      <c r="J38" s="110">
        <v>44300</v>
      </c>
      <c r="K38" s="77">
        <f>IFERROR(VALUE(DAY(J38)&amp;" "&amp;TEXT(EOMONTH(J38,L38)-29,"mmm")&amp;" "&amp;YEAR(EOMONTH(J38,L38)-29)),"-")</f>
        <v>47952</v>
      </c>
      <c r="L38" s="107">
        <v>120</v>
      </c>
      <c r="M38" s="99">
        <v>25.48</v>
      </c>
      <c r="N38" s="81">
        <f t="shared" ref="N38:N39" si="64">M38*H38/1000</f>
        <v>5605600</v>
      </c>
      <c r="O38" s="81"/>
      <c r="P38" s="81"/>
      <c r="Q38" s="81">
        <f t="shared" ref="Q38:Q39" si="65">N38+O38+P38</f>
        <v>5605600</v>
      </c>
      <c r="R38" s="81">
        <f t="shared" ref="R38:R39" si="66">10%*N38</f>
        <v>560560</v>
      </c>
      <c r="S38" s="81">
        <f t="shared" ref="S38:S39" si="67">Q38-R38</f>
        <v>5045040</v>
      </c>
      <c r="T38" s="42">
        <f t="shared" ref="T38:T39" si="68">R38*10%+(Y38*3)</f>
        <v>68774.588235294126</v>
      </c>
      <c r="U38" s="1">
        <f t="shared" si="45"/>
        <v>50874.352941176476</v>
      </c>
      <c r="V38" s="34">
        <f t="shared" si="41"/>
        <v>440911.0588235294</v>
      </c>
      <c r="W38" s="35">
        <f t="shared" si="42"/>
        <v>560560</v>
      </c>
      <c r="X38" s="35">
        <f t="shared" si="43"/>
        <v>0</v>
      </c>
      <c r="Y38" s="35">
        <v>4239.5294117647063</v>
      </c>
      <c r="Z38" s="41">
        <f t="shared" si="46"/>
        <v>4132.6505190311418</v>
      </c>
    </row>
    <row r="39" spans="1:26" x14ac:dyDescent="0.2">
      <c r="A39" s="74"/>
      <c r="B39" s="107"/>
      <c r="C39" s="107"/>
      <c r="D39" s="110"/>
      <c r="E39" s="74">
        <v>1</v>
      </c>
      <c r="F39" s="107" t="s">
        <v>110</v>
      </c>
      <c r="G39" s="111">
        <v>1</v>
      </c>
      <c r="H39" s="112">
        <v>160000000</v>
      </c>
      <c r="I39" s="112">
        <f>H39*G39</f>
        <v>160000000</v>
      </c>
      <c r="J39" s="110">
        <v>44305</v>
      </c>
      <c r="K39" s="77">
        <f>IFERROR(VALUE(DAY(J39)&amp;" "&amp;TEXT(EOMONTH(J39,L39)-29,"mmm")&amp;" "&amp;YEAR(EOMONTH(J39,L39)-29)),"-")</f>
        <v>45554</v>
      </c>
      <c r="L39" s="107">
        <v>41</v>
      </c>
      <c r="M39" s="99">
        <v>11.38</v>
      </c>
      <c r="N39" s="81">
        <f t="shared" si="64"/>
        <v>1820800.0000000002</v>
      </c>
      <c r="O39" s="81"/>
      <c r="P39" s="81"/>
      <c r="Q39" s="81">
        <f t="shared" si="65"/>
        <v>1820800.0000000002</v>
      </c>
      <c r="R39" s="81">
        <f t="shared" si="66"/>
        <v>182080.00000000003</v>
      </c>
      <c r="S39" s="81">
        <f t="shared" si="67"/>
        <v>1638720.0000000002</v>
      </c>
      <c r="T39" s="42">
        <f t="shared" si="68"/>
        <v>30498.400000000009</v>
      </c>
      <c r="U39" s="1">
        <f t="shared" si="45"/>
        <v>49161.600000000013</v>
      </c>
      <c r="V39" s="34">
        <f t="shared" si="41"/>
        <v>102420.00000000003</v>
      </c>
      <c r="W39" s="35">
        <f t="shared" si="42"/>
        <v>182080.00000000006</v>
      </c>
      <c r="X39" s="35">
        <f t="shared" si="43"/>
        <v>0</v>
      </c>
      <c r="Y39" s="35">
        <v>4096.8000000000011</v>
      </c>
      <c r="Z39" s="41">
        <f t="shared" si="46"/>
        <v>3789.5400000000009</v>
      </c>
    </row>
    <row r="40" spans="1:26" x14ac:dyDescent="0.2">
      <c r="A40" s="88"/>
      <c r="B40" s="84"/>
      <c r="C40" s="84"/>
      <c r="D40" s="84"/>
      <c r="E40" s="88">
        <f>SUM(E38:E39)</f>
        <v>2</v>
      </c>
      <c r="F40" s="84"/>
      <c r="G40" s="115"/>
      <c r="H40" s="79">
        <f t="shared" ref="H40:I40" si="69">SUM(H38:H39)</f>
        <v>380000000</v>
      </c>
      <c r="I40" s="79">
        <f t="shared" si="69"/>
        <v>380000000</v>
      </c>
      <c r="J40" s="59"/>
      <c r="K40" s="59"/>
      <c r="L40" s="59"/>
      <c r="M40" s="59"/>
      <c r="N40" s="79">
        <f t="shared" ref="N40:Z40" si="70">SUM(N38:N39)</f>
        <v>7426400</v>
      </c>
      <c r="O40" s="79">
        <f t="shared" si="70"/>
        <v>0</v>
      </c>
      <c r="P40" s="79">
        <f t="shared" si="70"/>
        <v>0</v>
      </c>
      <c r="Q40" s="79">
        <f t="shared" si="70"/>
        <v>7426400</v>
      </c>
      <c r="R40" s="79">
        <f t="shared" si="70"/>
        <v>742640</v>
      </c>
      <c r="S40" s="79">
        <f t="shared" si="70"/>
        <v>6683760</v>
      </c>
      <c r="T40" s="79">
        <f t="shared" si="70"/>
        <v>99272.988235294135</v>
      </c>
      <c r="U40" s="79">
        <f t="shared" si="70"/>
        <v>100035.95294117648</v>
      </c>
      <c r="V40" s="79">
        <f t="shared" si="70"/>
        <v>543331.0588235294</v>
      </c>
      <c r="W40" s="79">
        <f t="shared" si="70"/>
        <v>742640</v>
      </c>
      <c r="X40" s="79">
        <f t="shared" si="70"/>
        <v>0</v>
      </c>
      <c r="Y40" s="79">
        <f t="shared" si="70"/>
        <v>8336.3294117647074</v>
      </c>
      <c r="Z40" s="79">
        <f t="shared" si="70"/>
        <v>7922.1905190311427</v>
      </c>
    </row>
    <row r="41" spans="1:26" x14ac:dyDescent="0.2">
      <c r="A41" s="74">
        <v>10</v>
      </c>
      <c r="B41" s="107" t="s">
        <v>111</v>
      </c>
      <c r="C41" s="107" t="s">
        <v>112</v>
      </c>
      <c r="D41" s="110">
        <v>44316</v>
      </c>
      <c r="E41" s="74">
        <v>1</v>
      </c>
      <c r="F41" s="107" t="s">
        <v>113</v>
      </c>
      <c r="G41" s="111">
        <v>1</v>
      </c>
      <c r="H41" s="112">
        <v>45323679</v>
      </c>
      <c r="I41" s="112">
        <f>H41*G41</f>
        <v>45323679</v>
      </c>
      <c r="J41" s="110">
        <v>45784</v>
      </c>
      <c r="K41" s="77">
        <v>46302</v>
      </c>
      <c r="L41" s="107">
        <v>17</v>
      </c>
      <c r="M41" s="99">
        <v>9.1</v>
      </c>
      <c r="N41" s="81">
        <f t="shared" ref="N41" si="71">M41*H41/1000</f>
        <v>412445.47889999999</v>
      </c>
      <c r="O41" s="81">
        <v>100000</v>
      </c>
      <c r="P41" s="81"/>
      <c r="Q41" s="81">
        <f t="shared" ref="Q41" si="72">N41+O41+P41</f>
        <v>512445.47889999999</v>
      </c>
      <c r="R41" s="81"/>
      <c r="S41" s="81">
        <f t="shared" ref="S41" si="73">Q41-R41</f>
        <v>512445.47889999999</v>
      </c>
      <c r="T41" s="42">
        <f t="shared" si="44"/>
        <v>0</v>
      </c>
      <c r="U41" s="1">
        <f t="shared" si="45"/>
        <v>0</v>
      </c>
      <c r="V41" s="34">
        <f t="shared" si="41"/>
        <v>0</v>
      </c>
      <c r="W41" s="35">
        <f t="shared" si="42"/>
        <v>0</v>
      </c>
      <c r="X41" s="35">
        <f t="shared" si="43"/>
        <v>0</v>
      </c>
      <c r="Y41" s="35">
        <v>0</v>
      </c>
      <c r="Z41" s="41">
        <f t="shared" si="46"/>
        <v>0</v>
      </c>
    </row>
    <row r="42" spans="1:26" x14ac:dyDescent="0.2">
      <c r="A42" s="150"/>
      <c r="B42" s="90"/>
      <c r="C42" s="90"/>
      <c r="D42" s="90"/>
      <c r="E42" s="150"/>
      <c r="F42" s="90"/>
      <c r="G42" s="151"/>
      <c r="H42" s="152"/>
      <c r="I42" s="152"/>
      <c r="J42" s="152"/>
      <c r="K42" s="152"/>
      <c r="L42" s="152"/>
      <c r="M42" s="152"/>
      <c r="N42" s="152">
        <f t="shared" ref="N42:Z42" si="74">SUM(N41:N41)</f>
        <v>412445.47889999999</v>
      </c>
      <c r="O42" s="152">
        <f t="shared" si="74"/>
        <v>100000</v>
      </c>
      <c r="P42" s="152">
        <f t="shared" si="74"/>
        <v>0</v>
      </c>
      <c r="Q42" s="152">
        <f t="shared" si="74"/>
        <v>512445.47889999999</v>
      </c>
      <c r="R42" s="152">
        <f t="shared" si="74"/>
        <v>0</v>
      </c>
      <c r="S42" s="152">
        <f t="shared" si="74"/>
        <v>512445.47889999999</v>
      </c>
      <c r="T42" s="152">
        <f t="shared" si="74"/>
        <v>0</v>
      </c>
      <c r="U42" s="152">
        <f t="shared" si="74"/>
        <v>0</v>
      </c>
      <c r="V42" s="152">
        <f t="shared" si="74"/>
        <v>0</v>
      </c>
      <c r="W42" s="152">
        <f t="shared" si="74"/>
        <v>0</v>
      </c>
      <c r="X42" s="152">
        <f t="shared" si="74"/>
        <v>0</v>
      </c>
      <c r="Y42" s="152">
        <f t="shared" si="74"/>
        <v>0</v>
      </c>
      <c r="Z42" s="152">
        <f t="shared" si="74"/>
        <v>0</v>
      </c>
    </row>
    <row r="43" spans="1:26" x14ac:dyDescent="0.2">
      <c r="A43" s="83"/>
      <c r="B43" s="83"/>
      <c r="C43" s="83" t="s">
        <v>115</v>
      </c>
      <c r="D43" s="84"/>
      <c r="E43" s="85">
        <f>E42+E40+E37+E35+E33+E31</f>
        <v>5</v>
      </c>
      <c r="F43" s="87"/>
      <c r="G43" s="87"/>
      <c r="H43" s="87">
        <f t="shared" ref="H43:Z43" si="75">H42+H40+H37+H35+H33+H31</f>
        <v>533000000</v>
      </c>
      <c r="I43" s="87">
        <f t="shared" si="75"/>
        <v>533000000</v>
      </c>
      <c r="J43" s="87">
        <f t="shared" si="75"/>
        <v>0</v>
      </c>
      <c r="K43" s="87">
        <f t="shared" si="75"/>
        <v>0</v>
      </c>
      <c r="L43" s="87"/>
      <c r="M43" s="87"/>
      <c r="N43" s="87">
        <f t="shared" si="75"/>
        <v>14796238.633820001</v>
      </c>
      <c r="O43" s="87">
        <f t="shared" si="75"/>
        <v>300000</v>
      </c>
      <c r="P43" s="87">
        <f t="shared" si="75"/>
        <v>0</v>
      </c>
      <c r="Q43" s="87">
        <f t="shared" si="75"/>
        <v>15096238.633820001</v>
      </c>
      <c r="R43" s="87">
        <f t="shared" si="75"/>
        <v>1379497</v>
      </c>
      <c r="S43" s="87">
        <f t="shared" si="75"/>
        <v>13716741.633820001</v>
      </c>
      <c r="T43" s="87">
        <f t="shared" si="75"/>
        <v>195647.28400994203</v>
      </c>
      <c r="U43" s="87">
        <f t="shared" si="75"/>
        <v>230790.33603976801</v>
      </c>
      <c r="V43" s="87">
        <f t="shared" si="75"/>
        <v>953059.37995028996</v>
      </c>
      <c r="W43" s="87">
        <f t="shared" si="75"/>
        <v>1379497</v>
      </c>
      <c r="X43" s="87">
        <f t="shared" si="75"/>
        <v>0</v>
      </c>
      <c r="Y43" s="87">
        <f t="shared" si="75"/>
        <v>19232.528003314004</v>
      </c>
      <c r="Z43" s="87">
        <f t="shared" si="75"/>
        <v>18115.983777738315</v>
      </c>
    </row>
    <row r="44" spans="1:26" x14ac:dyDescent="0.2">
      <c r="A44" s="83"/>
      <c r="B44" s="83"/>
      <c r="C44" s="83" t="s">
        <v>116</v>
      </c>
      <c r="D44" s="84"/>
      <c r="E44" s="93">
        <f>E43+E24</f>
        <v>8</v>
      </c>
      <c r="F44" s="95"/>
      <c r="G44" s="95"/>
      <c r="H44" s="95">
        <f t="shared" ref="H44:Q44" si="76">H43+H24</f>
        <v>1073000000</v>
      </c>
      <c r="I44" s="95">
        <f t="shared" si="76"/>
        <v>1073000000</v>
      </c>
      <c r="J44" s="95">
        <f t="shared" si="76"/>
        <v>0</v>
      </c>
      <c r="K44" s="95">
        <f t="shared" si="76"/>
        <v>0</v>
      </c>
      <c r="L44" s="95"/>
      <c r="M44" s="95"/>
      <c r="N44" s="95">
        <f t="shared" si="76"/>
        <v>31538238.633820001</v>
      </c>
      <c r="O44" s="95">
        <f t="shared" si="76"/>
        <v>300000</v>
      </c>
      <c r="P44" s="95">
        <f t="shared" si="76"/>
        <v>0</v>
      </c>
      <c r="Q44" s="95">
        <f t="shared" si="76"/>
        <v>31838238.633820001</v>
      </c>
      <c r="R44" s="95">
        <f>R43+R24</f>
        <v>3053697</v>
      </c>
      <c r="S44" s="95">
        <f t="shared" ref="S44:Z44" si="77">S43+S24</f>
        <v>42586941.633819997</v>
      </c>
      <c r="T44" s="95">
        <f t="shared" si="77"/>
        <v>428001.84138431179</v>
      </c>
      <c r="U44" s="95">
        <f t="shared" si="77"/>
        <v>385188.76825268054</v>
      </c>
      <c r="V44" s="95">
        <f t="shared" si="77"/>
        <v>2240506.3903630078</v>
      </c>
      <c r="W44" s="95">
        <f t="shared" si="77"/>
        <v>3053697</v>
      </c>
      <c r="X44" s="95">
        <f t="shared" si="77"/>
        <v>0</v>
      </c>
      <c r="Y44" s="95">
        <f t="shared" si="77"/>
        <v>32099.064021056714</v>
      </c>
      <c r="Z44" s="95">
        <f t="shared" si="77"/>
        <v>30031.124973010461</v>
      </c>
    </row>
    <row r="46" spans="1:26" ht="23.25" x14ac:dyDescent="0.2">
      <c r="A46" s="86" t="s">
        <v>159</v>
      </c>
      <c r="B46" s="62"/>
      <c r="C46" s="62"/>
      <c r="D46" s="57"/>
      <c r="E46" s="63"/>
      <c r="F46" s="64"/>
      <c r="G46" s="65"/>
      <c r="H46" s="66"/>
      <c r="I46" s="66"/>
      <c r="J46" s="67"/>
      <c r="K46" s="67"/>
      <c r="L46" s="68"/>
      <c r="M46" s="68"/>
      <c r="N46" s="69"/>
      <c r="O46" s="69"/>
      <c r="P46" s="69"/>
      <c r="Q46" s="69"/>
      <c r="R46" s="69"/>
      <c r="S46" s="69"/>
      <c r="T46" s="70"/>
      <c r="U46" s="71"/>
      <c r="V46" s="71"/>
    </row>
    <row r="47" spans="1:26" x14ac:dyDescent="0.2">
      <c r="A47" s="231" t="s">
        <v>0</v>
      </c>
      <c r="B47" s="232" t="s">
        <v>1</v>
      </c>
      <c r="C47" s="229" t="s">
        <v>2</v>
      </c>
      <c r="D47" s="233" t="s">
        <v>3</v>
      </c>
      <c r="E47" s="234" t="s">
        <v>4</v>
      </c>
      <c r="F47" s="232" t="s">
        <v>5</v>
      </c>
      <c r="G47" s="235" t="s">
        <v>6</v>
      </c>
      <c r="H47" s="236" t="s">
        <v>7</v>
      </c>
      <c r="I47" s="236" t="s">
        <v>8</v>
      </c>
      <c r="J47" s="227" t="s">
        <v>9</v>
      </c>
      <c r="K47" s="227"/>
      <c r="L47" s="228" t="s">
        <v>10</v>
      </c>
      <c r="M47" s="229" t="s">
        <v>11</v>
      </c>
      <c r="N47" s="230" t="s">
        <v>12</v>
      </c>
      <c r="O47" s="230"/>
      <c r="P47" s="230"/>
      <c r="Q47" s="229" t="s">
        <v>13</v>
      </c>
      <c r="R47" s="229" t="s">
        <v>14</v>
      </c>
      <c r="S47" s="229" t="s">
        <v>15</v>
      </c>
      <c r="T47" s="36">
        <v>2021</v>
      </c>
      <c r="U47" s="37"/>
      <c r="V47" s="38" t="s">
        <v>44</v>
      </c>
    </row>
    <row r="48" spans="1:26" x14ac:dyDescent="0.2">
      <c r="A48" s="231"/>
      <c r="B48" s="232"/>
      <c r="C48" s="229"/>
      <c r="D48" s="233"/>
      <c r="E48" s="234"/>
      <c r="F48" s="232"/>
      <c r="G48" s="235"/>
      <c r="H48" s="236"/>
      <c r="I48" s="236"/>
      <c r="J48" s="227"/>
      <c r="K48" s="227"/>
      <c r="L48" s="228"/>
      <c r="M48" s="229"/>
      <c r="N48" s="206" t="s">
        <v>16</v>
      </c>
      <c r="O48" s="206" t="s">
        <v>17</v>
      </c>
      <c r="P48" s="206" t="s">
        <v>18</v>
      </c>
      <c r="Q48" s="229"/>
      <c r="R48" s="229"/>
      <c r="S48" s="229"/>
      <c r="T48" s="96" t="s">
        <v>200</v>
      </c>
      <c r="U48" s="39" t="s">
        <v>204</v>
      </c>
      <c r="V48" s="40"/>
    </row>
    <row r="49" spans="1:26" ht="12.75" x14ac:dyDescent="0.2">
      <c r="A49" s="154">
        <v>11</v>
      </c>
      <c r="B49" s="155" t="s">
        <v>122</v>
      </c>
      <c r="C49" s="155" t="s">
        <v>123</v>
      </c>
      <c r="D49" s="156">
        <v>44334</v>
      </c>
      <c r="E49" s="154">
        <v>1</v>
      </c>
      <c r="F49" s="155" t="s">
        <v>124</v>
      </c>
      <c r="G49" s="111">
        <v>1</v>
      </c>
      <c r="H49" s="112">
        <v>30000000</v>
      </c>
      <c r="I49" s="112">
        <f>H49*G49</f>
        <v>30000000</v>
      </c>
      <c r="J49" s="110">
        <v>44257</v>
      </c>
      <c r="K49" s="77">
        <f>IFERROR(VALUE(DAY(J49)&amp;" "&amp;TEXT(EOMONTH(J49,L49)-29,"mmm")&amp;" "&amp;YEAR(EOMONTH(J49,L49)-29)),"-")</f>
        <v>44987</v>
      </c>
      <c r="L49" s="107">
        <v>24</v>
      </c>
      <c r="M49" s="99">
        <v>10.57</v>
      </c>
      <c r="N49" s="81">
        <f t="shared" ref="N49" si="78">M49*H49/1000</f>
        <v>317100</v>
      </c>
      <c r="O49" s="81"/>
      <c r="P49" s="81"/>
      <c r="Q49" s="81">
        <f t="shared" ref="Q49" si="79">N49+O49+P49</f>
        <v>317100</v>
      </c>
      <c r="R49" s="81">
        <f t="shared" ref="R49" si="80">10%*N49</f>
        <v>31710</v>
      </c>
      <c r="S49" s="81">
        <f t="shared" ref="S49" si="81">Q49-R49</f>
        <v>285390</v>
      </c>
      <c r="T49" s="42">
        <f>R49*10%+(Y49*2)</f>
        <v>5652.652173913044</v>
      </c>
      <c r="U49" s="1">
        <f t="shared" ref="U49" si="82">Y49*12</f>
        <v>14889.91304347826</v>
      </c>
      <c r="V49" s="34">
        <f t="shared" ref="V49" si="83">R49-T49-U49</f>
        <v>11167.434782608696</v>
      </c>
      <c r="W49" s="35">
        <f t="shared" ref="W49" si="84">T49+U49+V49</f>
        <v>31710</v>
      </c>
      <c r="X49" s="35">
        <f t="shared" ref="X49" si="85">R49-W49</f>
        <v>0</v>
      </c>
      <c r="Y49" s="35">
        <v>1240.8260869565217</v>
      </c>
      <c r="Z49" s="41">
        <f t="shared" ref="Z49" si="86">(R49-T49)/(L49-1)</f>
        <v>1132.9281663516067</v>
      </c>
    </row>
    <row r="50" spans="1:26" ht="12.75" x14ac:dyDescent="0.2">
      <c r="A50" s="159"/>
      <c r="B50" s="160"/>
      <c r="C50" s="160"/>
      <c r="D50" s="160"/>
      <c r="E50" s="159">
        <f>SUM(E49)</f>
        <v>1</v>
      </c>
      <c r="F50" s="160"/>
      <c r="G50" s="161"/>
      <c r="H50" s="162">
        <f>SUM(H49)</f>
        <v>30000000</v>
      </c>
      <c r="I50" s="162">
        <f>SUM(I49)</f>
        <v>30000000</v>
      </c>
      <c r="J50" s="162"/>
      <c r="K50" s="162"/>
      <c r="L50" s="162"/>
      <c r="M50" s="162"/>
      <c r="N50" s="162">
        <f t="shared" ref="N50:Z50" si="87">SUM(N49)</f>
        <v>317100</v>
      </c>
      <c r="O50" s="162">
        <f t="shared" si="87"/>
        <v>0</v>
      </c>
      <c r="P50" s="162">
        <f t="shared" si="87"/>
        <v>0</v>
      </c>
      <c r="Q50" s="162">
        <f t="shared" si="87"/>
        <v>317100</v>
      </c>
      <c r="R50" s="162">
        <f t="shared" si="87"/>
        <v>31710</v>
      </c>
      <c r="S50" s="162">
        <f t="shared" si="87"/>
        <v>285390</v>
      </c>
      <c r="T50" s="162">
        <f t="shared" si="87"/>
        <v>5652.652173913044</v>
      </c>
      <c r="U50" s="162">
        <f t="shared" si="87"/>
        <v>14889.91304347826</v>
      </c>
      <c r="V50" s="162">
        <f t="shared" si="87"/>
        <v>11167.434782608696</v>
      </c>
      <c r="W50" s="162">
        <f t="shared" si="87"/>
        <v>31710</v>
      </c>
      <c r="X50" s="162">
        <f t="shared" si="87"/>
        <v>0</v>
      </c>
      <c r="Y50" s="162">
        <f t="shared" si="87"/>
        <v>1240.8260869565217</v>
      </c>
      <c r="Z50" s="162">
        <f t="shared" si="87"/>
        <v>1132.9281663516067</v>
      </c>
    </row>
    <row r="51" spans="1:26" x14ac:dyDescent="0.2">
      <c r="A51" s="74">
        <v>12</v>
      </c>
      <c r="B51" s="107" t="s">
        <v>111</v>
      </c>
      <c r="C51" s="107" t="s">
        <v>125</v>
      </c>
      <c r="D51" s="110">
        <v>44336</v>
      </c>
      <c r="E51" s="74">
        <v>1</v>
      </c>
      <c r="F51" s="107" t="s">
        <v>126</v>
      </c>
      <c r="G51" s="111">
        <v>1</v>
      </c>
      <c r="H51" s="112">
        <v>69230850</v>
      </c>
      <c r="I51" s="112">
        <f>H51*G51</f>
        <v>69230850</v>
      </c>
      <c r="J51" s="110">
        <v>44315</v>
      </c>
      <c r="K51" s="77">
        <f>IFERROR(VALUE(DAY(J51)&amp;" "&amp;TEXT(EOMONTH(J51,L51)-29,"mmm")&amp;" "&amp;YEAR(EOMONTH(J51,L51)-29)),"-")</f>
        <v>45686</v>
      </c>
      <c r="L51" s="107">
        <v>45</v>
      </c>
      <c r="M51" s="99">
        <v>15.93</v>
      </c>
      <c r="N51" s="81">
        <f t="shared" ref="N51:N52" si="88">M51*H51/1000</f>
        <v>1102847.4405</v>
      </c>
      <c r="O51" s="81"/>
      <c r="P51" s="81"/>
      <c r="Q51" s="81">
        <f t="shared" ref="Q51:Q52" si="89">N51+O51+P51</f>
        <v>1102847.4405</v>
      </c>
      <c r="R51" s="81">
        <f t="shared" ref="R51:R52" si="90">10%*N51</f>
        <v>110284.74405000001</v>
      </c>
      <c r="S51" s="81">
        <f t="shared" ref="S51:S52" si="91">Q51-R51</f>
        <v>992562.69645000005</v>
      </c>
      <c r="T51" s="42"/>
      <c r="U51" s="1"/>
      <c r="V51" s="34"/>
      <c r="W51" s="35"/>
      <c r="X51" s="35"/>
      <c r="Y51" s="35"/>
      <c r="Z51" s="41"/>
    </row>
    <row r="52" spans="1:26" x14ac:dyDescent="0.2">
      <c r="A52" s="74"/>
      <c r="B52" s="107"/>
      <c r="C52" s="107"/>
      <c r="D52" s="110"/>
      <c r="E52" s="74">
        <v>1</v>
      </c>
      <c r="F52" s="107" t="s">
        <v>127</v>
      </c>
      <c r="G52" s="111">
        <v>1</v>
      </c>
      <c r="H52" s="112">
        <v>82219772</v>
      </c>
      <c r="I52" s="112">
        <f>H52*G52</f>
        <v>82219772</v>
      </c>
      <c r="J52" s="110">
        <v>44307</v>
      </c>
      <c r="K52" s="77">
        <f>IFERROR(VALUE(DAY(J52)&amp;" "&amp;TEXT(EOMONTH(J52,L52)-29,"mmm")&amp;" "&amp;YEAR(EOMONTH(J52,L52)-29)),"-")</f>
        <v>46742</v>
      </c>
      <c r="L52" s="107">
        <v>80</v>
      </c>
      <c r="M52" s="99">
        <v>25.48</v>
      </c>
      <c r="N52" s="81">
        <f t="shared" si="88"/>
        <v>2094959.7905599999</v>
      </c>
      <c r="O52" s="81"/>
      <c r="P52" s="81"/>
      <c r="Q52" s="81">
        <f t="shared" si="89"/>
        <v>2094959.7905599999</v>
      </c>
      <c r="R52" s="81">
        <f t="shared" si="90"/>
        <v>209495.97905600001</v>
      </c>
      <c r="S52" s="81">
        <f t="shared" si="91"/>
        <v>1885463.8115039999</v>
      </c>
      <c r="T52" s="42"/>
      <c r="U52" s="1"/>
      <c r="V52" s="34"/>
      <c r="W52" s="35"/>
      <c r="X52" s="35"/>
      <c r="Y52" s="35"/>
      <c r="Z52" s="41"/>
    </row>
    <row r="53" spans="1:26" x14ac:dyDescent="0.2">
      <c r="A53" s="88"/>
      <c r="B53" s="84"/>
      <c r="C53" s="84"/>
      <c r="D53" s="84"/>
      <c r="E53" s="88">
        <f>SUM(E51:E52)</f>
        <v>2</v>
      </c>
      <c r="F53" s="84"/>
      <c r="G53" s="115"/>
      <c r="H53" s="79">
        <f t="shared" ref="H53:I53" si="92">SUM(H51:H52)</f>
        <v>151450622</v>
      </c>
      <c r="I53" s="79">
        <f t="shared" si="92"/>
        <v>151450622</v>
      </c>
      <c r="J53" s="59"/>
      <c r="K53" s="59"/>
      <c r="L53" s="59"/>
      <c r="M53" s="59"/>
      <c r="N53" s="79">
        <f t="shared" ref="N53:Z53" si="93">SUM(N51:N52)</f>
        <v>3197807.2310600001</v>
      </c>
      <c r="O53" s="79">
        <f t="shared" si="93"/>
        <v>0</v>
      </c>
      <c r="P53" s="79">
        <f t="shared" si="93"/>
        <v>0</v>
      </c>
      <c r="Q53" s="79">
        <f t="shared" si="93"/>
        <v>3197807.2310600001</v>
      </c>
      <c r="R53" s="79"/>
      <c r="S53" s="79">
        <f t="shared" si="93"/>
        <v>2878026.507954</v>
      </c>
      <c r="T53" s="79">
        <f t="shared" si="93"/>
        <v>0</v>
      </c>
      <c r="U53" s="79">
        <f t="shared" si="93"/>
        <v>0</v>
      </c>
      <c r="V53" s="79">
        <f t="shared" si="93"/>
        <v>0</v>
      </c>
      <c r="W53" s="79">
        <f t="shared" si="93"/>
        <v>0</v>
      </c>
      <c r="X53" s="79">
        <f t="shared" si="93"/>
        <v>0</v>
      </c>
      <c r="Y53" s="79">
        <f t="shared" si="93"/>
        <v>0</v>
      </c>
      <c r="Z53" s="79">
        <f t="shared" si="93"/>
        <v>0</v>
      </c>
    </row>
    <row r="54" spans="1:26" ht="12.75" x14ac:dyDescent="0.2">
      <c r="A54" s="154">
        <v>13</v>
      </c>
      <c r="B54" s="155" t="s">
        <v>128</v>
      </c>
      <c r="C54" s="155" t="s">
        <v>129</v>
      </c>
      <c r="D54" s="156">
        <v>44347</v>
      </c>
      <c r="E54" s="154">
        <v>1</v>
      </c>
      <c r="F54" s="155" t="s">
        <v>130</v>
      </c>
      <c r="G54" s="111">
        <v>1</v>
      </c>
      <c r="H54" s="112">
        <v>1000000000</v>
      </c>
      <c r="I54" s="112">
        <f>H54*G54</f>
        <v>1000000000</v>
      </c>
      <c r="J54" s="110">
        <v>44327</v>
      </c>
      <c r="K54" s="77">
        <f>IFERROR(VALUE(DAY(J54)&amp;" "&amp;TEXT(EOMONTH(J54,L54)-29,"mmm")&amp;" "&amp;YEAR(EOMONTH(J54,L54)-29)),"-")</f>
        <v>45241</v>
      </c>
      <c r="L54" s="107">
        <v>30</v>
      </c>
      <c r="M54" s="99">
        <v>30.71</v>
      </c>
      <c r="N54" s="81">
        <f t="shared" ref="N54" si="94">M54*H54/1000</f>
        <v>30710000</v>
      </c>
      <c r="O54" s="81"/>
      <c r="P54" s="81"/>
      <c r="Q54" s="81">
        <f t="shared" ref="Q54" si="95">N54+O54+P54</f>
        <v>30710000</v>
      </c>
      <c r="R54" s="81">
        <f t="shared" ref="R54" si="96">10%*N54</f>
        <v>3071000</v>
      </c>
      <c r="S54" s="81">
        <f t="shared" ref="S54" si="97">Q54-R54</f>
        <v>27639000</v>
      </c>
      <c r="T54" s="42">
        <f>R54*10%+(Y54*2)</f>
        <v>497713.79310344829</v>
      </c>
      <c r="U54" s="1">
        <f t="shared" ref="U54:U72" si="98">Y54*12</f>
        <v>1143682.7586206896</v>
      </c>
      <c r="V54" s="34">
        <f t="shared" ref="V54:V72" si="99">R54-T54-U54</f>
        <v>1429603.4482758623</v>
      </c>
      <c r="W54" s="35">
        <f t="shared" ref="W54:W72" si="100">T54+U54+V54</f>
        <v>3071000</v>
      </c>
      <c r="X54" s="35">
        <f t="shared" ref="X54:X72" si="101">R54-W54</f>
        <v>0</v>
      </c>
      <c r="Y54" s="35">
        <v>95306.896551724145</v>
      </c>
      <c r="Z54" s="41">
        <f t="shared" ref="Z54:Z72" si="102">(R54-T54)/(L54-1)</f>
        <v>88734.007134363856</v>
      </c>
    </row>
    <row r="55" spans="1:26" ht="12.75" x14ac:dyDescent="0.2">
      <c r="A55" s="159"/>
      <c r="B55" s="160"/>
      <c r="C55" s="160"/>
      <c r="D55" s="160"/>
      <c r="E55" s="159">
        <f>SUM(E54)</f>
        <v>1</v>
      </c>
      <c r="F55" s="160"/>
      <c r="G55" s="161"/>
      <c r="H55" s="162">
        <f>SUM(H54)</f>
        <v>1000000000</v>
      </c>
      <c r="I55" s="162">
        <f>SUM(I54)</f>
        <v>1000000000</v>
      </c>
      <c r="J55" s="162"/>
      <c r="K55" s="162"/>
      <c r="L55" s="162"/>
      <c r="M55" s="162"/>
      <c r="N55" s="162">
        <f t="shared" ref="N55:Z55" si="103">SUM(N54)</f>
        <v>30710000</v>
      </c>
      <c r="O55" s="162">
        <f t="shared" si="103"/>
        <v>0</v>
      </c>
      <c r="P55" s="162">
        <f t="shared" si="103"/>
        <v>0</v>
      </c>
      <c r="Q55" s="162">
        <f t="shared" si="103"/>
        <v>30710000</v>
      </c>
      <c r="R55" s="162">
        <f t="shared" si="103"/>
        <v>3071000</v>
      </c>
      <c r="S55" s="162">
        <f t="shared" si="103"/>
        <v>27639000</v>
      </c>
      <c r="T55" s="162">
        <f t="shared" si="103"/>
        <v>497713.79310344829</v>
      </c>
      <c r="U55" s="162">
        <f t="shared" si="103"/>
        <v>1143682.7586206896</v>
      </c>
      <c r="V55" s="162">
        <f t="shared" si="103"/>
        <v>1429603.4482758623</v>
      </c>
      <c r="W55" s="162">
        <f t="shared" si="103"/>
        <v>3071000</v>
      </c>
      <c r="X55" s="162">
        <f t="shared" si="103"/>
        <v>0</v>
      </c>
      <c r="Y55" s="162">
        <f t="shared" si="103"/>
        <v>95306.896551724145</v>
      </c>
      <c r="Z55" s="162">
        <f t="shared" si="103"/>
        <v>88734.007134363856</v>
      </c>
    </row>
    <row r="56" spans="1:26" ht="12.75" x14ac:dyDescent="0.2">
      <c r="A56" s="154">
        <v>14</v>
      </c>
      <c r="B56" s="155" t="s">
        <v>128</v>
      </c>
      <c r="C56" s="155" t="s">
        <v>131</v>
      </c>
      <c r="D56" s="156">
        <v>44347</v>
      </c>
      <c r="E56" s="154">
        <v>1</v>
      </c>
      <c r="F56" s="155" t="s">
        <v>132</v>
      </c>
      <c r="G56" s="111">
        <v>1</v>
      </c>
      <c r="H56" s="112">
        <v>170000000</v>
      </c>
      <c r="I56" s="112">
        <f>H56*G56</f>
        <v>170000000</v>
      </c>
      <c r="J56" s="110">
        <v>44319</v>
      </c>
      <c r="K56" s="77">
        <f>IFERROR(VALUE(DAY(J56)&amp;" "&amp;TEXT(EOMONTH(J56,L56)-29,"mmm")&amp;" "&amp;YEAR(EOMONTH(J56,L56)-29)),"-")</f>
        <v>46145</v>
      </c>
      <c r="L56" s="107">
        <v>60</v>
      </c>
      <c r="M56" s="169">
        <v>13.65</v>
      </c>
      <c r="N56" s="81">
        <f t="shared" ref="N56:N69" si="104">M56*H56/1000</f>
        <v>2320500</v>
      </c>
      <c r="O56" s="81"/>
      <c r="P56" s="81"/>
      <c r="Q56" s="81">
        <f t="shared" ref="Q56:Q69" si="105">N56+O56+P56</f>
        <v>2320500</v>
      </c>
      <c r="R56" s="81">
        <f t="shared" ref="R56:R69" si="106">10%*N56</f>
        <v>232050</v>
      </c>
      <c r="S56" s="81">
        <f t="shared" ref="S56:S69" si="107">Q56-R56</f>
        <v>2088450</v>
      </c>
      <c r="T56" s="42">
        <f t="shared" ref="T56:T69" si="108">R56*10%+(Y56*2)</f>
        <v>30284.491525423728</v>
      </c>
      <c r="U56" s="1">
        <f t="shared" si="98"/>
        <v>42476.949152542373</v>
      </c>
      <c r="V56" s="34">
        <f t="shared" si="99"/>
        <v>159288.55932203392</v>
      </c>
      <c r="W56" s="35">
        <f t="shared" si="100"/>
        <v>232050.00000000003</v>
      </c>
      <c r="X56" s="35">
        <f t="shared" si="101"/>
        <v>0</v>
      </c>
      <c r="Y56" s="35">
        <v>3539.7457627118642</v>
      </c>
      <c r="Z56" s="41">
        <f t="shared" si="102"/>
        <v>3419.7543809250219</v>
      </c>
    </row>
    <row r="57" spans="1:26" ht="12.75" x14ac:dyDescent="0.2">
      <c r="A57" s="164"/>
      <c r="B57" s="165"/>
      <c r="C57" s="165"/>
      <c r="D57" s="165"/>
      <c r="E57" s="154">
        <v>1</v>
      </c>
      <c r="F57" s="155" t="s">
        <v>133</v>
      </c>
      <c r="G57" s="111">
        <v>1</v>
      </c>
      <c r="H57" s="112">
        <v>250000000</v>
      </c>
      <c r="I57" s="112">
        <f t="shared" ref="I57:I69" si="109">H57*G57</f>
        <v>250000000</v>
      </c>
      <c r="J57" s="110">
        <v>44320</v>
      </c>
      <c r="K57" s="77">
        <f t="shared" ref="K57:K69" si="110">IFERROR(VALUE(DAY(J57)&amp;" "&amp;TEXT(EOMONTH(J57,L57)-29,"mmm")&amp;" "&amp;YEAR(EOMONTH(J57,L57)-29)),"-")</f>
        <v>45781</v>
      </c>
      <c r="L57" s="107">
        <v>48</v>
      </c>
      <c r="M57" s="169">
        <v>11.38</v>
      </c>
      <c r="N57" s="81">
        <f t="shared" si="104"/>
        <v>2845000</v>
      </c>
      <c r="O57" s="81"/>
      <c r="P57" s="81"/>
      <c r="Q57" s="81">
        <f t="shared" si="105"/>
        <v>2845000</v>
      </c>
      <c r="R57" s="81">
        <f t="shared" si="106"/>
        <v>284500</v>
      </c>
      <c r="S57" s="81">
        <f t="shared" si="107"/>
        <v>2560500</v>
      </c>
      <c r="T57" s="42">
        <f t="shared" si="108"/>
        <v>39345.744680851065</v>
      </c>
      <c r="U57" s="1">
        <f t="shared" si="98"/>
        <v>65374.468085106375</v>
      </c>
      <c r="V57" s="34">
        <f t="shared" si="99"/>
        <v>179779.78723404257</v>
      </c>
      <c r="W57" s="35">
        <f t="shared" si="100"/>
        <v>284500</v>
      </c>
      <c r="X57" s="35">
        <f t="shared" si="101"/>
        <v>0</v>
      </c>
      <c r="Y57" s="35">
        <v>5447.8723404255315</v>
      </c>
      <c r="Z57" s="41">
        <f t="shared" si="102"/>
        <v>5216.0479855138074</v>
      </c>
    </row>
    <row r="58" spans="1:26" ht="12.75" x14ac:dyDescent="0.2">
      <c r="A58" s="166"/>
      <c r="B58" s="166"/>
      <c r="C58" s="166"/>
      <c r="D58" s="167"/>
      <c r="E58" s="154">
        <v>1</v>
      </c>
      <c r="F58" s="155" t="s">
        <v>134</v>
      </c>
      <c r="G58" s="111">
        <v>1</v>
      </c>
      <c r="H58" s="112">
        <v>315000000</v>
      </c>
      <c r="I58" s="112">
        <f t="shared" si="109"/>
        <v>315000000</v>
      </c>
      <c r="J58" s="110">
        <v>44319</v>
      </c>
      <c r="K58" s="77">
        <f t="shared" si="110"/>
        <v>49798</v>
      </c>
      <c r="L58" s="107">
        <v>180</v>
      </c>
      <c r="M58" s="169">
        <v>37.520000000000003</v>
      </c>
      <c r="N58" s="81">
        <f t="shared" si="104"/>
        <v>11818800.000000002</v>
      </c>
      <c r="O58" s="81"/>
      <c r="P58" s="81"/>
      <c r="Q58" s="81">
        <f t="shared" si="105"/>
        <v>11818800.000000002</v>
      </c>
      <c r="R58" s="81">
        <f t="shared" si="106"/>
        <v>1181880.0000000002</v>
      </c>
      <c r="S58" s="81">
        <f t="shared" si="107"/>
        <v>10636920.000000002</v>
      </c>
      <c r="T58" s="42">
        <f t="shared" si="108"/>
        <v>130072.82681564249</v>
      </c>
      <c r="U58" s="1">
        <f t="shared" si="98"/>
        <v>71308.960893854761</v>
      </c>
      <c r="V58" s="34">
        <f t="shared" si="99"/>
        <v>980498.21229050308</v>
      </c>
      <c r="W58" s="35">
        <f t="shared" si="100"/>
        <v>1181880.0000000005</v>
      </c>
      <c r="X58" s="35">
        <f t="shared" si="101"/>
        <v>0</v>
      </c>
      <c r="Y58" s="35">
        <v>5942.4134078212301</v>
      </c>
      <c r="Z58" s="41">
        <f t="shared" si="102"/>
        <v>5876.017727286915</v>
      </c>
    </row>
    <row r="59" spans="1:26" ht="12.75" x14ac:dyDescent="0.2">
      <c r="A59" s="168"/>
      <c r="B59" s="168"/>
      <c r="C59" s="168"/>
      <c r="D59" s="107"/>
      <c r="E59" s="154">
        <v>1</v>
      </c>
      <c r="F59" s="155" t="s">
        <v>135</v>
      </c>
      <c r="G59" s="111">
        <v>1</v>
      </c>
      <c r="H59" s="112">
        <v>315000000</v>
      </c>
      <c r="I59" s="112">
        <f t="shared" si="109"/>
        <v>315000000</v>
      </c>
      <c r="J59" s="110">
        <v>44320</v>
      </c>
      <c r="K59" s="77">
        <f t="shared" si="110"/>
        <v>49799</v>
      </c>
      <c r="L59" s="107">
        <v>180</v>
      </c>
      <c r="M59" s="169">
        <v>37.520000000000003</v>
      </c>
      <c r="N59" s="81">
        <f t="shared" si="104"/>
        <v>11818800.000000002</v>
      </c>
      <c r="O59" s="81"/>
      <c r="P59" s="81"/>
      <c r="Q59" s="81">
        <f t="shared" si="105"/>
        <v>11818800.000000002</v>
      </c>
      <c r="R59" s="81">
        <f t="shared" si="106"/>
        <v>1181880.0000000002</v>
      </c>
      <c r="S59" s="81">
        <f t="shared" si="107"/>
        <v>10636920.000000002</v>
      </c>
      <c r="T59" s="42">
        <f t="shared" si="108"/>
        <v>130072.82681564249</v>
      </c>
      <c r="U59" s="1">
        <f t="shared" si="98"/>
        <v>71308.960893854761</v>
      </c>
      <c r="V59" s="34">
        <f t="shared" si="99"/>
        <v>980498.21229050308</v>
      </c>
      <c r="W59" s="35">
        <f t="shared" si="100"/>
        <v>1181880.0000000005</v>
      </c>
      <c r="X59" s="35">
        <f t="shared" si="101"/>
        <v>0</v>
      </c>
      <c r="Y59" s="35">
        <v>5942.4134078212301</v>
      </c>
      <c r="Z59" s="41">
        <f t="shared" si="102"/>
        <v>5876.017727286915</v>
      </c>
    </row>
    <row r="60" spans="1:26" ht="12.75" x14ac:dyDescent="0.2">
      <c r="A60" s="168"/>
      <c r="B60" s="168"/>
      <c r="C60" s="168"/>
      <c r="D60" s="107"/>
      <c r="E60" s="154">
        <v>1</v>
      </c>
      <c r="F60" s="155" t="s">
        <v>136</v>
      </c>
      <c r="G60" s="111">
        <v>1</v>
      </c>
      <c r="H60" s="112">
        <v>250000000</v>
      </c>
      <c r="I60" s="112">
        <f t="shared" si="109"/>
        <v>250000000</v>
      </c>
      <c r="J60" s="110">
        <v>44320</v>
      </c>
      <c r="K60" s="77">
        <f t="shared" si="110"/>
        <v>47972</v>
      </c>
      <c r="L60" s="107">
        <v>120</v>
      </c>
      <c r="M60" s="169">
        <v>25.48</v>
      </c>
      <c r="N60" s="81">
        <f t="shared" si="104"/>
        <v>6370000</v>
      </c>
      <c r="O60" s="81"/>
      <c r="P60" s="81"/>
      <c r="Q60" s="81">
        <f t="shared" si="105"/>
        <v>6370000</v>
      </c>
      <c r="R60" s="81">
        <f t="shared" si="106"/>
        <v>637000</v>
      </c>
      <c r="S60" s="81">
        <f t="shared" si="107"/>
        <v>5733000</v>
      </c>
      <c r="T60" s="42">
        <f t="shared" si="108"/>
        <v>73335.294117647063</v>
      </c>
      <c r="U60" s="1">
        <f t="shared" si="98"/>
        <v>57811.764705882357</v>
      </c>
      <c r="V60" s="34">
        <f t="shared" si="99"/>
        <v>505852.94117647054</v>
      </c>
      <c r="W60" s="35">
        <f t="shared" si="100"/>
        <v>637000</v>
      </c>
      <c r="X60" s="35">
        <f t="shared" si="101"/>
        <v>0</v>
      </c>
      <c r="Y60" s="35">
        <v>4817.6470588235297</v>
      </c>
      <c r="Z60" s="41">
        <f t="shared" si="102"/>
        <v>4736.6782006920412</v>
      </c>
    </row>
    <row r="61" spans="1:26" ht="12.75" x14ac:dyDescent="0.2">
      <c r="A61" s="168"/>
      <c r="B61" s="168"/>
      <c r="C61" s="168"/>
      <c r="D61" s="107"/>
      <c r="E61" s="154">
        <v>1</v>
      </c>
      <c r="F61" s="155" t="s">
        <v>137</v>
      </c>
      <c r="G61" s="111">
        <v>1</v>
      </c>
      <c r="H61" s="112">
        <v>450000000</v>
      </c>
      <c r="I61" s="112">
        <f t="shared" si="109"/>
        <v>450000000</v>
      </c>
      <c r="J61" s="110">
        <v>44320</v>
      </c>
      <c r="K61" s="77">
        <f t="shared" si="110"/>
        <v>49799</v>
      </c>
      <c r="L61" s="107">
        <v>180</v>
      </c>
      <c r="M61" s="169">
        <v>37.520000000000003</v>
      </c>
      <c r="N61" s="81">
        <f t="shared" si="104"/>
        <v>16884000.000000004</v>
      </c>
      <c r="O61" s="81"/>
      <c r="P61" s="81"/>
      <c r="Q61" s="81">
        <f t="shared" si="105"/>
        <v>16884000.000000004</v>
      </c>
      <c r="R61" s="81">
        <f t="shared" si="106"/>
        <v>1688400.0000000005</v>
      </c>
      <c r="S61" s="81">
        <f t="shared" si="107"/>
        <v>15195600.000000004</v>
      </c>
      <c r="T61" s="42">
        <f t="shared" si="108"/>
        <v>185818.32402234644</v>
      </c>
      <c r="U61" s="1">
        <f t="shared" si="98"/>
        <v>101869.94413407824</v>
      </c>
      <c r="V61" s="34">
        <f t="shared" si="99"/>
        <v>1400711.7318435758</v>
      </c>
      <c r="W61" s="35">
        <f t="shared" si="100"/>
        <v>1688400.0000000005</v>
      </c>
      <c r="X61" s="35">
        <f t="shared" si="101"/>
        <v>0</v>
      </c>
      <c r="Y61" s="35">
        <v>8489.1620111731863</v>
      </c>
      <c r="Z61" s="41">
        <f t="shared" si="102"/>
        <v>8394.3110389813082</v>
      </c>
    </row>
    <row r="62" spans="1:26" ht="12.75" x14ac:dyDescent="0.2">
      <c r="A62" s="168"/>
      <c r="B62" s="168"/>
      <c r="C62" s="168"/>
      <c r="D62" s="107"/>
      <c r="E62" s="154">
        <v>1</v>
      </c>
      <c r="F62" s="155" t="s">
        <v>138</v>
      </c>
      <c r="G62" s="111">
        <v>1</v>
      </c>
      <c r="H62" s="112">
        <v>340000000</v>
      </c>
      <c r="I62" s="112">
        <f t="shared" si="109"/>
        <v>340000000</v>
      </c>
      <c r="J62" s="110">
        <v>44320</v>
      </c>
      <c r="K62" s="77">
        <f t="shared" si="110"/>
        <v>49799</v>
      </c>
      <c r="L62" s="107">
        <v>180</v>
      </c>
      <c r="M62" s="169">
        <v>37.520000000000003</v>
      </c>
      <c r="N62" s="81">
        <f t="shared" si="104"/>
        <v>12756800.000000002</v>
      </c>
      <c r="O62" s="81"/>
      <c r="P62" s="81"/>
      <c r="Q62" s="81">
        <f t="shared" si="105"/>
        <v>12756800.000000002</v>
      </c>
      <c r="R62" s="81">
        <f t="shared" si="106"/>
        <v>1275680.0000000002</v>
      </c>
      <c r="S62" s="81">
        <f t="shared" si="107"/>
        <v>11481120.000000002</v>
      </c>
      <c r="T62" s="42">
        <f t="shared" si="108"/>
        <v>140396.06703910619</v>
      </c>
      <c r="U62" s="1">
        <f t="shared" si="98"/>
        <v>76968.402234636887</v>
      </c>
      <c r="V62" s="34">
        <f t="shared" si="99"/>
        <v>1058315.530726257</v>
      </c>
      <c r="W62" s="35">
        <f t="shared" si="100"/>
        <v>1275680</v>
      </c>
      <c r="X62" s="35">
        <f t="shared" si="101"/>
        <v>0</v>
      </c>
      <c r="Y62" s="35">
        <v>6414.0335195530743</v>
      </c>
      <c r="Z62" s="41">
        <f t="shared" si="102"/>
        <v>6342.368340563653</v>
      </c>
    </row>
    <row r="63" spans="1:26" ht="12.75" x14ac:dyDescent="0.2">
      <c r="A63" s="168"/>
      <c r="B63" s="168"/>
      <c r="C63" s="168"/>
      <c r="D63" s="107"/>
      <c r="E63" s="154">
        <v>1</v>
      </c>
      <c r="F63" s="155" t="s">
        <v>139</v>
      </c>
      <c r="G63" s="111">
        <v>1</v>
      </c>
      <c r="H63" s="112">
        <v>30000000</v>
      </c>
      <c r="I63" s="112">
        <f t="shared" si="109"/>
        <v>30000000</v>
      </c>
      <c r="J63" s="110">
        <v>44321</v>
      </c>
      <c r="K63" s="77">
        <f t="shared" si="110"/>
        <v>45417</v>
      </c>
      <c r="L63" s="107">
        <v>36</v>
      </c>
      <c r="M63" s="169">
        <v>17.88</v>
      </c>
      <c r="N63" s="81">
        <f t="shared" si="104"/>
        <v>536399.99999999988</v>
      </c>
      <c r="O63" s="81"/>
      <c r="P63" s="81"/>
      <c r="Q63" s="81">
        <f t="shared" si="105"/>
        <v>536399.99999999988</v>
      </c>
      <c r="R63" s="81">
        <f t="shared" si="106"/>
        <v>53639.999999999993</v>
      </c>
      <c r="S63" s="81">
        <f t="shared" si="107"/>
        <v>482759.99999999988</v>
      </c>
      <c r="T63" s="42">
        <f t="shared" si="108"/>
        <v>8122.6285714285714</v>
      </c>
      <c r="U63" s="1">
        <f t="shared" si="98"/>
        <v>16551.771428571425</v>
      </c>
      <c r="V63" s="34">
        <f t="shared" si="99"/>
        <v>28965.599999999999</v>
      </c>
      <c r="W63" s="35">
        <f t="shared" si="100"/>
        <v>53639.999999999993</v>
      </c>
      <c r="X63" s="35">
        <f t="shared" si="101"/>
        <v>0</v>
      </c>
      <c r="Y63" s="35">
        <v>1379.3142857142855</v>
      </c>
      <c r="Z63" s="41">
        <f t="shared" si="102"/>
        <v>1300.4963265306121</v>
      </c>
    </row>
    <row r="64" spans="1:26" ht="12.75" x14ac:dyDescent="0.2">
      <c r="A64" s="168"/>
      <c r="B64" s="168"/>
      <c r="C64" s="168"/>
      <c r="D64" s="107"/>
      <c r="E64" s="154">
        <v>1</v>
      </c>
      <c r="F64" s="155" t="s">
        <v>140</v>
      </c>
      <c r="G64" s="111">
        <v>1</v>
      </c>
      <c r="H64" s="112">
        <v>170000000</v>
      </c>
      <c r="I64" s="112">
        <f t="shared" si="109"/>
        <v>170000000</v>
      </c>
      <c r="J64" s="110">
        <v>44321</v>
      </c>
      <c r="K64" s="77">
        <f t="shared" si="110"/>
        <v>49800</v>
      </c>
      <c r="L64" s="107">
        <v>180</v>
      </c>
      <c r="M64" s="169">
        <v>37.520000000000003</v>
      </c>
      <c r="N64" s="81">
        <f t="shared" si="104"/>
        <v>6378400.0000000009</v>
      </c>
      <c r="O64" s="81"/>
      <c r="P64" s="81"/>
      <c r="Q64" s="81">
        <f t="shared" si="105"/>
        <v>6378400.0000000009</v>
      </c>
      <c r="R64" s="81">
        <f t="shared" si="106"/>
        <v>637840.00000000012</v>
      </c>
      <c r="S64" s="81">
        <f t="shared" si="107"/>
        <v>5740560.0000000009</v>
      </c>
      <c r="T64" s="42">
        <f t="shared" si="108"/>
        <v>70198.033519553093</v>
      </c>
      <c r="U64" s="1">
        <f t="shared" si="98"/>
        <v>38484.201117318444</v>
      </c>
      <c r="V64" s="34">
        <f t="shared" si="99"/>
        <v>529157.76536312851</v>
      </c>
      <c r="W64" s="35">
        <f t="shared" si="100"/>
        <v>637840</v>
      </c>
      <c r="X64" s="35">
        <f t="shared" si="101"/>
        <v>0</v>
      </c>
      <c r="Y64" s="35">
        <v>3207.0167597765371</v>
      </c>
      <c r="Z64" s="41">
        <f t="shared" si="102"/>
        <v>3171.1841702818265</v>
      </c>
    </row>
    <row r="65" spans="1:26" ht="12.75" x14ac:dyDescent="0.2">
      <c r="A65" s="168"/>
      <c r="B65" s="168"/>
      <c r="C65" s="168"/>
      <c r="D65" s="107"/>
      <c r="E65" s="154">
        <v>1</v>
      </c>
      <c r="F65" s="155" t="s">
        <v>141</v>
      </c>
      <c r="G65" s="111">
        <v>1</v>
      </c>
      <c r="H65" s="112">
        <v>40000000</v>
      </c>
      <c r="I65" s="112">
        <f t="shared" si="109"/>
        <v>40000000</v>
      </c>
      <c r="J65" s="110">
        <v>44322</v>
      </c>
      <c r="K65" s="77">
        <f t="shared" si="110"/>
        <v>45418</v>
      </c>
      <c r="L65" s="107">
        <v>36</v>
      </c>
      <c r="M65" s="169">
        <v>9.1</v>
      </c>
      <c r="N65" s="81">
        <f t="shared" si="104"/>
        <v>364000</v>
      </c>
      <c r="O65" s="81"/>
      <c r="P65" s="81"/>
      <c r="Q65" s="81">
        <f t="shared" si="105"/>
        <v>364000</v>
      </c>
      <c r="R65" s="81">
        <f t="shared" si="106"/>
        <v>36400</v>
      </c>
      <c r="S65" s="81">
        <f t="shared" si="107"/>
        <v>327600</v>
      </c>
      <c r="T65" s="42">
        <f t="shared" si="108"/>
        <v>5512</v>
      </c>
      <c r="U65" s="1">
        <f t="shared" si="98"/>
        <v>11232</v>
      </c>
      <c r="V65" s="34">
        <f t="shared" si="99"/>
        <v>19656</v>
      </c>
      <c r="W65" s="35">
        <f t="shared" si="100"/>
        <v>36400</v>
      </c>
      <c r="X65" s="35">
        <f t="shared" si="101"/>
        <v>0</v>
      </c>
      <c r="Y65" s="35">
        <v>936</v>
      </c>
      <c r="Z65" s="41">
        <f t="shared" si="102"/>
        <v>882.51428571428573</v>
      </c>
    </row>
    <row r="66" spans="1:26" ht="12.75" x14ac:dyDescent="0.2">
      <c r="A66" s="168"/>
      <c r="B66" s="168"/>
      <c r="C66" s="168"/>
      <c r="D66" s="107"/>
      <c r="E66" s="154">
        <v>1</v>
      </c>
      <c r="F66" s="155" t="s">
        <v>142</v>
      </c>
      <c r="G66" s="111">
        <v>1</v>
      </c>
      <c r="H66" s="112">
        <v>440000000</v>
      </c>
      <c r="I66" s="112">
        <f t="shared" si="109"/>
        <v>440000000</v>
      </c>
      <c r="J66" s="110">
        <v>44323</v>
      </c>
      <c r="K66" s="77">
        <f t="shared" si="110"/>
        <v>49802</v>
      </c>
      <c r="L66" s="107">
        <v>180</v>
      </c>
      <c r="M66" s="169">
        <v>37.520000000000003</v>
      </c>
      <c r="N66" s="81">
        <f t="shared" si="104"/>
        <v>16508800.000000002</v>
      </c>
      <c r="O66" s="81"/>
      <c r="P66" s="81"/>
      <c r="Q66" s="81">
        <f t="shared" si="105"/>
        <v>16508800.000000002</v>
      </c>
      <c r="R66" s="81">
        <f t="shared" si="106"/>
        <v>1650880.0000000002</v>
      </c>
      <c r="S66" s="81">
        <f t="shared" si="107"/>
        <v>14857920.000000002</v>
      </c>
      <c r="T66" s="42">
        <f t="shared" si="108"/>
        <v>181689.02793296092</v>
      </c>
      <c r="U66" s="1">
        <f t="shared" si="98"/>
        <v>99606.167597765379</v>
      </c>
      <c r="V66" s="34">
        <f t="shared" si="99"/>
        <v>1369584.8044692739</v>
      </c>
      <c r="W66" s="35">
        <f t="shared" si="100"/>
        <v>1650880.0000000002</v>
      </c>
      <c r="X66" s="35">
        <f t="shared" si="101"/>
        <v>0</v>
      </c>
      <c r="Y66" s="35">
        <v>8300.5139664804483</v>
      </c>
      <c r="Z66" s="41">
        <f t="shared" si="102"/>
        <v>8207.7707936706101</v>
      </c>
    </row>
    <row r="67" spans="1:26" ht="12.75" x14ac:dyDescent="0.2">
      <c r="A67" s="168"/>
      <c r="B67" s="168"/>
      <c r="C67" s="168"/>
      <c r="D67" s="107"/>
      <c r="E67" s="154">
        <v>1</v>
      </c>
      <c r="F67" s="155" t="s">
        <v>144</v>
      </c>
      <c r="G67" s="111">
        <v>1</v>
      </c>
      <c r="H67" s="112">
        <v>30000000</v>
      </c>
      <c r="I67" s="112">
        <f t="shared" si="109"/>
        <v>30000000</v>
      </c>
      <c r="J67" s="110">
        <v>44323</v>
      </c>
      <c r="K67" s="77">
        <f t="shared" si="110"/>
        <v>45053</v>
      </c>
      <c r="L67" s="107">
        <v>24</v>
      </c>
      <c r="M67" s="169">
        <v>9.1</v>
      </c>
      <c r="N67" s="81">
        <f t="shared" si="104"/>
        <v>273000</v>
      </c>
      <c r="O67" s="81"/>
      <c r="P67" s="81"/>
      <c r="Q67" s="81">
        <f t="shared" si="105"/>
        <v>273000</v>
      </c>
      <c r="R67" s="81">
        <f t="shared" si="106"/>
        <v>27300</v>
      </c>
      <c r="S67" s="81">
        <f t="shared" si="107"/>
        <v>245700</v>
      </c>
      <c r="T67" s="42">
        <f t="shared" si="108"/>
        <v>4866.521739130435</v>
      </c>
      <c r="U67" s="1">
        <f t="shared" si="98"/>
        <v>12819.13043478261</v>
      </c>
      <c r="V67" s="34">
        <f t="shared" si="99"/>
        <v>9614.3478260869542</v>
      </c>
      <c r="W67" s="35">
        <f t="shared" si="100"/>
        <v>27300</v>
      </c>
      <c r="X67" s="35">
        <f t="shared" si="101"/>
        <v>0</v>
      </c>
      <c r="Y67" s="35">
        <v>1068.2608695652175</v>
      </c>
      <c r="Z67" s="41">
        <f t="shared" si="102"/>
        <v>975.36862003780709</v>
      </c>
    </row>
    <row r="68" spans="1:26" ht="12.75" x14ac:dyDescent="0.2">
      <c r="A68" s="168"/>
      <c r="B68" s="168"/>
      <c r="C68" s="168"/>
      <c r="D68" s="107"/>
      <c r="E68" s="154">
        <v>1</v>
      </c>
      <c r="F68" s="155" t="s">
        <v>143</v>
      </c>
      <c r="G68" s="111">
        <v>1</v>
      </c>
      <c r="H68" s="112">
        <v>200000000</v>
      </c>
      <c r="I68" s="112">
        <f t="shared" si="109"/>
        <v>200000000</v>
      </c>
      <c r="J68" s="110">
        <v>44326</v>
      </c>
      <c r="K68" s="77">
        <f t="shared" si="110"/>
        <v>47978</v>
      </c>
      <c r="L68" s="107">
        <v>120</v>
      </c>
      <c r="M68" s="169">
        <v>25.48</v>
      </c>
      <c r="N68" s="81">
        <f t="shared" si="104"/>
        <v>5096000</v>
      </c>
      <c r="O68" s="81"/>
      <c r="P68" s="81"/>
      <c r="Q68" s="81">
        <f t="shared" si="105"/>
        <v>5096000</v>
      </c>
      <c r="R68" s="81">
        <f t="shared" si="106"/>
        <v>509600</v>
      </c>
      <c r="S68" s="81">
        <f t="shared" si="107"/>
        <v>4586400</v>
      </c>
      <c r="T68" s="42">
        <f t="shared" si="108"/>
        <v>58668.23529411765</v>
      </c>
      <c r="U68" s="1">
        <f t="shared" si="98"/>
        <v>46249.411764705881</v>
      </c>
      <c r="V68" s="34">
        <f t="shared" si="99"/>
        <v>404682.35294117645</v>
      </c>
      <c r="W68" s="35">
        <f t="shared" si="100"/>
        <v>509600</v>
      </c>
      <c r="X68" s="35">
        <f t="shared" si="101"/>
        <v>0</v>
      </c>
      <c r="Y68" s="35">
        <v>3854.1176470588234</v>
      </c>
      <c r="Z68" s="41">
        <f t="shared" si="102"/>
        <v>3789.3425605536331</v>
      </c>
    </row>
    <row r="69" spans="1:26" ht="12.75" x14ac:dyDescent="0.2">
      <c r="A69" s="168"/>
      <c r="B69" s="168"/>
      <c r="C69" s="168"/>
      <c r="D69" s="107"/>
      <c r="E69" s="154">
        <v>1</v>
      </c>
      <c r="F69" s="155" t="s">
        <v>145</v>
      </c>
      <c r="G69" s="111">
        <v>1</v>
      </c>
      <c r="H69" s="112">
        <v>265000000</v>
      </c>
      <c r="I69" s="112">
        <f t="shared" si="109"/>
        <v>265000000</v>
      </c>
      <c r="J69" s="110">
        <v>44326</v>
      </c>
      <c r="K69" s="77">
        <f t="shared" si="110"/>
        <v>48497</v>
      </c>
      <c r="L69" s="107">
        <v>137</v>
      </c>
      <c r="M69" s="169">
        <v>30.46</v>
      </c>
      <c r="N69" s="81">
        <f t="shared" si="104"/>
        <v>8071900</v>
      </c>
      <c r="O69" s="81"/>
      <c r="P69" s="81"/>
      <c r="Q69" s="81">
        <f t="shared" si="105"/>
        <v>8071900</v>
      </c>
      <c r="R69" s="81">
        <f t="shared" si="106"/>
        <v>807190</v>
      </c>
      <c r="S69" s="81">
        <f t="shared" si="107"/>
        <v>7264710</v>
      </c>
      <c r="T69" s="42">
        <f t="shared" si="108"/>
        <v>91402.397058823524</v>
      </c>
      <c r="U69" s="1">
        <f t="shared" si="98"/>
        <v>64100.382352941175</v>
      </c>
      <c r="V69" s="34">
        <f t="shared" si="99"/>
        <v>651687.2205882353</v>
      </c>
      <c r="W69" s="35">
        <f t="shared" si="100"/>
        <v>807190</v>
      </c>
      <c r="X69" s="35">
        <f t="shared" si="101"/>
        <v>0</v>
      </c>
      <c r="Y69" s="35">
        <v>5341.6985294117649</v>
      </c>
      <c r="Z69" s="41">
        <f t="shared" si="102"/>
        <v>5263.1441392733568</v>
      </c>
    </row>
    <row r="70" spans="1:26" x14ac:dyDescent="0.2">
      <c r="A70" s="83"/>
      <c r="B70" s="83"/>
      <c r="C70" s="83"/>
      <c r="D70" s="84"/>
      <c r="E70" s="93">
        <f>SUM(E56:E69)</f>
        <v>14</v>
      </c>
      <c r="F70" s="83"/>
      <c r="G70" s="83"/>
      <c r="H70" s="92">
        <f>SUM(H56:H69)</f>
        <v>3265000000</v>
      </c>
      <c r="I70" s="92">
        <f t="shared" ref="I70:Z70" si="111">SUM(I56:I69)</f>
        <v>3265000000</v>
      </c>
      <c r="J70" s="92"/>
      <c r="K70" s="92"/>
      <c r="L70" s="92"/>
      <c r="M70" s="92"/>
      <c r="N70" s="92">
        <f t="shared" si="111"/>
        <v>102042400</v>
      </c>
      <c r="O70" s="92">
        <f t="shared" si="111"/>
        <v>0</v>
      </c>
      <c r="P70" s="92">
        <f t="shared" si="111"/>
        <v>0</v>
      </c>
      <c r="Q70" s="92">
        <f t="shared" si="111"/>
        <v>102042400</v>
      </c>
      <c r="R70" s="92">
        <f t="shared" si="111"/>
        <v>10204240.000000002</v>
      </c>
      <c r="S70" s="92">
        <f t="shared" si="111"/>
        <v>91838160.000000015</v>
      </c>
      <c r="T70" s="92">
        <f t="shared" si="111"/>
        <v>1149784.4191326739</v>
      </c>
      <c r="U70" s="92">
        <f t="shared" si="111"/>
        <v>776162.5147960406</v>
      </c>
      <c r="V70" s="92">
        <f t="shared" si="111"/>
        <v>8278293.0660712868</v>
      </c>
      <c r="W70" s="92">
        <f t="shared" si="111"/>
        <v>10204240.000000002</v>
      </c>
      <c r="X70" s="92">
        <f t="shared" si="111"/>
        <v>0</v>
      </c>
      <c r="Y70" s="92">
        <f t="shared" si="111"/>
        <v>64680.209566336722</v>
      </c>
      <c r="Z70" s="92">
        <f t="shared" si="111"/>
        <v>63451.016297311791</v>
      </c>
    </row>
    <row r="71" spans="1:26" x14ac:dyDescent="0.2">
      <c r="A71" s="74">
        <v>15</v>
      </c>
      <c r="B71" s="107" t="s">
        <v>49</v>
      </c>
      <c r="C71" s="107" t="s">
        <v>156</v>
      </c>
      <c r="D71" s="110">
        <v>44347</v>
      </c>
      <c r="E71" s="74">
        <v>1</v>
      </c>
      <c r="F71" s="107" t="s">
        <v>157</v>
      </c>
      <c r="G71" s="111">
        <v>1</v>
      </c>
      <c r="H71" s="112">
        <v>250000000</v>
      </c>
      <c r="I71" s="112">
        <f>H71*G71</f>
        <v>250000000</v>
      </c>
      <c r="J71" s="110">
        <v>44320</v>
      </c>
      <c r="K71" s="77">
        <f>IFERROR(VALUE(DAY(J71)&amp;" "&amp;TEXT(EOMONTH(J71,L71)-29,"mmm")&amp;" "&amp;YEAR(EOMONTH(J71,L71)-29)),"-")</f>
        <v>48338</v>
      </c>
      <c r="L71" s="107">
        <v>132</v>
      </c>
      <c r="M71" s="99">
        <v>27.98</v>
      </c>
      <c r="N71" s="81">
        <f t="shared" ref="N71:N72" si="112">M71*H71/1000</f>
        <v>6995000</v>
      </c>
      <c r="O71" s="81"/>
      <c r="P71" s="81"/>
      <c r="Q71" s="81">
        <f t="shared" ref="Q71:Q72" si="113">N71+O71+P71</f>
        <v>6995000</v>
      </c>
      <c r="R71" s="81">
        <f t="shared" ref="R71:R72" si="114">10%*N71</f>
        <v>699500</v>
      </c>
      <c r="S71" s="81">
        <f t="shared" ref="S71:S72" si="115">Q71-R71</f>
        <v>6295500</v>
      </c>
      <c r="T71" s="42">
        <f t="shared" ref="T71:T72" si="116">R71*10%+(Y71*2)</f>
        <v>79561.450381679388</v>
      </c>
      <c r="U71" s="1">
        <f t="shared" si="98"/>
        <v>57668.70229007634</v>
      </c>
      <c r="V71" s="34">
        <f t="shared" si="99"/>
        <v>562269.84732824436</v>
      </c>
      <c r="W71" s="35">
        <f t="shared" si="100"/>
        <v>699500.00000000012</v>
      </c>
      <c r="X71" s="35">
        <f t="shared" si="101"/>
        <v>0</v>
      </c>
      <c r="Y71" s="35">
        <v>4805.7251908396947</v>
      </c>
      <c r="Z71" s="41">
        <f t="shared" si="102"/>
        <v>4732.3553405978673</v>
      </c>
    </row>
    <row r="72" spans="1:26" x14ac:dyDescent="0.2">
      <c r="A72" s="74"/>
      <c r="B72" s="107"/>
      <c r="C72" s="107"/>
      <c r="D72" s="110"/>
      <c r="E72" s="74">
        <v>1</v>
      </c>
      <c r="F72" s="107" t="s">
        <v>158</v>
      </c>
      <c r="G72" s="111">
        <v>1</v>
      </c>
      <c r="H72" s="112">
        <v>60000000</v>
      </c>
      <c r="I72" s="112">
        <f>H72*G72</f>
        <v>60000000</v>
      </c>
      <c r="J72" s="110">
        <v>44320</v>
      </c>
      <c r="K72" s="77">
        <f>IFERROR(VALUE(DAY(J72)&amp;" "&amp;TEXT(EOMONTH(J72,L72)-29,"mmm")&amp;" "&amp;YEAR(EOMONTH(J72,L72)-29)),"-")</f>
        <v>46146</v>
      </c>
      <c r="L72" s="107">
        <v>60</v>
      </c>
      <c r="M72" s="99">
        <v>13.65</v>
      </c>
      <c r="N72" s="81">
        <f t="shared" si="112"/>
        <v>819000</v>
      </c>
      <c r="O72" s="81"/>
      <c r="P72" s="81"/>
      <c r="Q72" s="81">
        <f t="shared" si="113"/>
        <v>819000</v>
      </c>
      <c r="R72" s="81">
        <f t="shared" si="114"/>
        <v>81900</v>
      </c>
      <c r="S72" s="81">
        <f t="shared" si="115"/>
        <v>737100</v>
      </c>
      <c r="T72" s="42">
        <f t="shared" si="116"/>
        <v>10688.644067796609</v>
      </c>
      <c r="U72" s="1">
        <f t="shared" si="98"/>
        <v>14991.864406779661</v>
      </c>
      <c r="V72" s="34">
        <f t="shared" si="99"/>
        <v>56219.49152542372</v>
      </c>
      <c r="W72" s="35">
        <f t="shared" si="100"/>
        <v>81900</v>
      </c>
      <c r="X72" s="35">
        <f t="shared" si="101"/>
        <v>0</v>
      </c>
      <c r="Y72" s="35">
        <v>1249.3220338983051</v>
      </c>
      <c r="Z72" s="41">
        <f t="shared" si="102"/>
        <v>1206.9721344441252</v>
      </c>
    </row>
    <row r="73" spans="1:26" x14ac:dyDescent="0.2">
      <c r="A73" s="88"/>
      <c r="B73" s="84"/>
      <c r="C73" s="84"/>
      <c r="D73" s="84"/>
      <c r="E73" s="88">
        <f>SUM(E71:E72)</f>
        <v>2</v>
      </c>
      <c r="F73" s="84"/>
      <c r="G73" s="115"/>
      <c r="H73" s="79">
        <f t="shared" ref="H73:I73" si="117">SUM(H71:H72)</f>
        <v>310000000</v>
      </c>
      <c r="I73" s="79">
        <f t="shared" si="117"/>
        <v>310000000</v>
      </c>
      <c r="J73" s="59"/>
      <c r="K73" s="59"/>
      <c r="L73" s="59"/>
      <c r="M73" s="59"/>
      <c r="N73" s="79">
        <f t="shared" ref="N73:Z73" si="118">SUM(N71:N72)</f>
        <v>7814000</v>
      </c>
      <c r="O73" s="79">
        <f t="shared" si="118"/>
        <v>0</v>
      </c>
      <c r="P73" s="79">
        <f t="shared" si="118"/>
        <v>0</v>
      </c>
      <c r="Q73" s="79">
        <f t="shared" si="118"/>
        <v>7814000</v>
      </c>
      <c r="R73" s="79">
        <f t="shared" si="118"/>
        <v>781400</v>
      </c>
      <c r="S73" s="79">
        <f t="shared" si="118"/>
        <v>7032600</v>
      </c>
      <c r="T73" s="79">
        <f t="shared" si="118"/>
        <v>90250.09444947599</v>
      </c>
      <c r="U73" s="79">
        <f t="shared" si="118"/>
        <v>72660.566696855996</v>
      </c>
      <c r="V73" s="79">
        <f t="shared" si="118"/>
        <v>618489.33885366807</v>
      </c>
      <c r="W73" s="79">
        <f t="shared" si="118"/>
        <v>781400.00000000012</v>
      </c>
      <c r="X73" s="79">
        <f t="shared" si="118"/>
        <v>0</v>
      </c>
      <c r="Y73" s="79">
        <f t="shared" si="118"/>
        <v>6055.0472247380003</v>
      </c>
      <c r="Z73" s="79">
        <f t="shared" si="118"/>
        <v>5939.3274750419923</v>
      </c>
    </row>
    <row r="74" spans="1:26" x14ac:dyDescent="0.2">
      <c r="A74" s="83"/>
      <c r="B74" s="83"/>
      <c r="C74" s="83" t="s">
        <v>147</v>
      </c>
      <c r="D74" s="84"/>
      <c r="E74" s="85">
        <f>E70+E55+E53+E50+E73</f>
        <v>20</v>
      </c>
      <c r="F74" s="87">
        <f t="shared" ref="F74:S74" si="119">F70+F55+F53+F50+F73</f>
        <v>0</v>
      </c>
      <c r="G74" s="87">
        <f t="shared" si="119"/>
        <v>0</v>
      </c>
      <c r="H74" s="87">
        <f t="shared" si="119"/>
        <v>4756450622</v>
      </c>
      <c r="I74" s="87">
        <f t="shared" si="119"/>
        <v>4756450622</v>
      </c>
      <c r="J74" s="87">
        <f t="shared" si="119"/>
        <v>0</v>
      </c>
      <c r="K74" s="87">
        <f t="shared" si="119"/>
        <v>0</v>
      </c>
      <c r="L74" s="87">
        <f t="shared" si="119"/>
        <v>0</v>
      </c>
      <c r="M74" s="87">
        <f t="shared" si="119"/>
        <v>0</v>
      </c>
      <c r="N74" s="87">
        <f t="shared" si="119"/>
        <v>144081307.23106</v>
      </c>
      <c r="O74" s="87">
        <f t="shared" si="119"/>
        <v>0</v>
      </c>
      <c r="P74" s="87">
        <f t="shared" si="119"/>
        <v>0</v>
      </c>
      <c r="Q74" s="87">
        <f t="shared" si="119"/>
        <v>144081307.23106</v>
      </c>
      <c r="R74" s="87">
        <f t="shared" si="119"/>
        <v>14088350.000000002</v>
      </c>
      <c r="S74" s="87">
        <f t="shared" si="119"/>
        <v>129673176.50795402</v>
      </c>
      <c r="T74" s="87">
        <f>T70+T55+T53+T50+T73</f>
        <v>1743400.9588595112</v>
      </c>
      <c r="U74" s="87">
        <f t="shared" ref="U74:Z74" si="120">U70+U55+U53+U50+U73</f>
        <v>2007395.7531570643</v>
      </c>
      <c r="V74" s="87">
        <f t="shared" si="120"/>
        <v>10337553.287983427</v>
      </c>
      <c r="W74" s="87">
        <f t="shared" si="120"/>
        <v>14088350.000000002</v>
      </c>
      <c r="X74" s="87">
        <f t="shared" si="120"/>
        <v>0</v>
      </c>
      <c r="Y74" s="87">
        <f t="shared" si="120"/>
        <v>167282.97942975539</v>
      </c>
      <c r="Z74" s="87">
        <f t="shared" si="120"/>
        <v>159257.27907306925</v>
      </c>
    </row>
    <row r="75" spans="1:26" x14ac:dyDescent="0.2">
      <c r="A75" s="83"/>
      <c r="B75" s="83"/>
      <c r="C75" s="83" t="s">
        <v>148</v>
      </c>
      <c r="D75" s="84"/>
      <c r="E75" s="93">
        <f>E74+E43</f>
        <v>25</v>
      </c>
      <c r="F75" s="95">
        <f t="shared" ref="F75:Z75" si="121">F74+F43</f>
        <v>0</v>
      </c>
      <c r="G75" s="95">
        <f t="shared" si="121"/>
        <v>0</v>
      </c>
      <c r="H75" s="95">
        <f t="shared" si="121"/>
        <v>5289450622</v>
      </c>
      <c r="I75" s="95">
        <f t="shared" si="121"/>
        <v>5289450622</v>
      </c>
      <c r="J75" s="95"/>
      <c r="K75" s="95"/>
      <c r="L75" s="95"/>
      <c r="M75" s="95"/>
      <c r="N75" s="95">
        <f t="shared" si="121"/>
        <v>158877545.86488</v>
      </c>
      <c r="O75" s="95">
        <f t="shared" si="121"/>
        <v>300000</v>
      </c>
      <c r="P75" s="95">
        <f t="shared" si="121"/>
        <v>0</v>
      </c>
      <c r="Q75" s="95">
        <f t="shared" si="121"/>
        <v>159177545.86488</v>
      </c>
      <c r="R75" s="95">
        <f t="shared" si="121"/>
        <v>15467847.000000002</v>
      </c>
      <c r="S75" s="95">
        <f t="shared" si="121"/>
        <v>143389918.14177403</v>
      </c>
      <c r="T75" s="95">
        <f t="shared" si="121"/>
        <v>1939048.2428694533</v>
      </c>
      <c r="U75" s="95">
        <f t="shared" si="121"/>
        <v>2238186.0891968324</v>
      </c>
      <c r="V75" s="95">
        <f t="shared" si="121"/>
        <v>11290612.667933717</v>
      </c>
      <c r="W75" s="95">
        <f t="shared" si="121"/>
        <v>15467847.000000002</v>
      </c>
      <c r="X75" s="95">
        <f t="shared" si="121"/>
        <v>0</v>
      </c>
      <c r="Y75" s="95">
        <f t="shared" si="121"/>
        <v>186515.5074330694</v>
      </c>
      <c r="Z75" s="95">
        <f t="shared" si="121"/>
        <v>177373.26285080757</v>
      </c>
    </row>
    <row r="77" spans="1:26" ht="23.25" x14ac:dyDescent="0.2">
      <c r="A77" s="86" t="s">
        <v>176</v>
      </c>
      <c r="B77" s="62"/>
      <c r="C77" s="62"/>
      <c r="D77" s="57"/>
      <c r="E77" s="63"/>
      <c r="F77" s="64"/>
      <c r="G77" s="65"/>
      <c r="H77" s="66"/>
      <c r="I77" s="66"/>
      <c r="J77" s="67"/>
      <c r="K77" s="67"/>
      <c r="L77" s="68"/>
      <c r="M77" s="68"/>
      <c r="N77" s="69"/>
      <c r="O77" s="69"/>
      <c r="P77" s="69"/>
      <c r="Q77" s="69"/>
      <c r="R77" s="69"/>
      <c r="S77" s="69"/>
      <c r="T77" s="70"/>
      <c r="U77" s="71"/>
      <c r="V77" s="71"/>
    </row>
    <row r="78" spans="1:26" x14ac:dyDescent="0.2">
      <c r="A78" s="231" t="s">
        <v>0</v>
      </c>
      <c r="B78" s="232" t="s">
        <v>1</v>
      </c>
      <c r="C78" s="229" t="s">
        <v>2</v>
      </c>
      <c r="D78" s="233" t="s">
        <v>3</v>
      </c>
      <c r="E78" s="234" t="s">
        <v>4</v>
      </c>
      <c r="F78" s="232" t="s">
        <v>5</v>
      </c>
      <c r="G78" s="235" t="s">
        <v>6</v>
      </c>
      <c r="H78" s="236" t="s">
        <v>7</v>
      </c>
      <c r="I78" s="236" t="s">
        <v>8</v>
      </c>
      <c r="J78" s="227" t="s">
        <v>9</v>
      </c>
      <c r="K78" s="227"/>
      <c r="L78" s="228" t="s">
        <v>10</v>
      </c>
      <c r="M78" s="229" t="s">
        <v>11</v>
      </c>
      <c r="N78" s="230" t="s">
        <v>12</v>
      </c>
      <c r="O78" s="230"/>
      <c r="P78" s="230"/>
      <c r="Q78" s="229" t="s">
        <v>13</v>
      </c>
      <c r="R78" s="229" t="s">
        <v>14</v>
      </c>
      <c r="S78" s="229" t="s">
        <v>15</v>
      </c>
      <c r="T78" s="36">
        <v>2021</v>
      </c>
      <c r="U78" s="37"/>
      <c r="V78" s="38" t="s">
        <v>44</v>
      </c>
    </row>
    <row r="79" spans="1:26" x14ac:dyDescent="0.2">
      <c r="A79" s="231"/>
      <c r="B79" s="232"/>
      <c r="C79" s="229"/>
      <c r="D79" s="233"/>
      <c r="E79" s="234"/>
      <c r="F79" s="232"/>
      <c r="G79" s="235"/>
      <c r="H79" s="236"/>
      <c r="I79" s="236"/>
      <c r="J79" s="227"/>
      <c r="K79" s="227"/>
      <c r="L79" s="228"/>
      <c r="M79" s="229"/>
      <c r="N79" s="206" t="s">
        <v>16</v>
      </c>
      <c r="O79" s="206" t="s">
        <v>17</v>
      </c>
      <c r="P79" s="206" t="s">
        <v>18</v>
      </c>
      <c r="Q79" s="229"/>
      <c r="R79" s="229"/>
      <c r="S79" s="229"/>
      <c r="T79" s="96" t="s">
        <v>203</v>
      </c>
      <c r="U79" s="39" t="s">
        <v>204</v>
      </c>
      <c r="V79" s="40"/>
    </row>
    <row r="80" spans="1:26" ht="12.75" x14ac:dyDescent="0.2">
      <c r="A80" s="154">
        <v>16</v>
      </c>
      <c r="B80" s="155" t="s">
        <v>111</v>
      </c>
      <c r="C80" s="155" t="s">
        <v>160</v>
      </c>
      <c r="D80" s="156">
        <v>44361</v>
      </c>
      <c r="E80" s="154">
        <v>1</v>
      </c>
      <c r="F80" s="155" t="s">
        <v>161</v>
      </c>
      <c r="G80" s="175">
        <v>1</v>
      </c>
      <c r="H80" s="176">
        <v>64397514</v>
      </c>
      <c r="I80" s="176">
        <f>H80*G80</f>
        <v>64397514</v>
      </c>
      <c r="J80" s="156">
        <v>44822</v>
      </c>
      <c r="K80" s="177">
        <v>44990</v>
      </c>
      <c r="L80" s="155">
        <v>6</v>
      </c>
      <c r="M80" s="99">
        <v>5.46</v>
      </c>
      <c r="N80" s="81">
        <f t="shared" ref="N80" si="122">M80*H80/1000</f>
        <v>351610.42644000001</v>
      </c>
      <c r="O80" s="81">
        <v>100000</v>
      </c>
      <c r="P80" s="81"/>
      <c r="Q80" s="81">
        <f t="shared" ref="Q80" si="123">N80+O80+P80</f>
        <v>451610.42644000001</v>
      </c>
      <c r="R80" s="81"/>
      <c r="S80" s="81">
        <f t="shared" ref="S80" si="124">Q80-R80</f>
        <v>451610.42644000001</v>
      </c>
      <c r="T80" s="42"/>
      <c r="U80" s="1"/>
      <c r="V80" s="34"/>
      <c r="W80" s="35"/>
      <c r="X80" s="35"/>
    </row>
    <row r="81" spans="1:24" ht="12.75" x14ac:dyDescent="0.2">
      <c r="A81" s="159"/>
      <c r="B81" s="160"/>
      <c r="C81" s="160"/>
      <c r="D81" s="160"/>
      <c r="E81" s="178"/>
      <c r="F81" s="179"/>
      <c r="G81" s="179"/>
      <c r="H81" s="179"/>
      <c r="I81" s="179"/>
      <c r="J81" s="179"/>
      <c r="K81" s="179"/>
      <c r="L81" s="179"/>
      <c r="M81" s="179"/>
      <c r="N81" s="179">
        <f t="shared" ref="N81:X81" si="125">SUM(N80)</f>
        <v>351610.42644000001</v>
      </c>
      <c r="O81" s="179">
        <f t="shared" si="125"/>
        <v>100000</v>
      </c>
      <c r="P81" s="179">
        <f t="shared" si="125"/>
        <v>0</v>
      </c>
      <c r="Q81" s="179">
        <f t="shared" si="125"/>
        <v>451610.42644000001</v>
      </c>
      <c r="R81" s="179">
        <f t="shared" si="125"/>
        <v>0</v>
      </c>
      <c r="S81" s="179">
        <f t="shared" si="125"/>
        <v>451610.42644000001</v>
      </c>
      <c r="T81" s="179">
        <f t="shared" si="125"/>
        <v>0</v>
      </c>
      <c r="U81" s="179">
        <f t="shared" si="125"/>
        <v>0</v>
      </c>
      <c r="V81" s="179">
        <f t="shared" si="125"/>
        <v>0</v>
      </c>
      <c r="W81" s="179">
        <f t="shared" si="125"/>
        <v>0</v>
      </c>
      <c r="X81" s="179">
        <f t="shared" si="125"/>
        <v>0</v>
      </c>
    </row>
    <row r="82" spans="1:24" ht="12.75" x14ac:dyDescent="0.2">
      <c r="A82" s="154">
        <v>17</v>
      </c>
      <c r="B82" s="155" t="s">
        <v>49</v>
      </c>
      <c r="C82" s="155" t="s">
        <v>163</v>
      </c>
      <c r="D82" s="156">
        <v>44377</v>
      </c>
      <c r="E82" s="154">
        <v>1</v>
      </c>
      <c r="F82" s="155" t="s">
        <v>164</v>
      </c>
      <c r="G82" s="175">
        <v>1</v>
      </c>
      <c r="H82" s="176">
        <v>179133550</v>
      </c>
      <c r="I82" s="176">
        <f>H82*G82</f>
        <v>179133550</v>
      </c>
      <c r="J82" s="156">
        <v>44373</v>
      </c>
      <c r="K82" s="177">
        <v>46280</v>
      </c>
      <c r="L82" s="155">
        <v>63</v>
      </c>
      <c r="M82" s="99">
        <v>25.48</v>
      </c>
      <c r="N82" s="81">
        <f t="shared" ref="N82" si="126">M82*H82/1000</f>
        <v>4564322.8540000003</v>
      </c>
      <c r="O82" s="81"/>
      <c r="P82" s="81"/>
      <c r="Q82" s="81">
        <f t="shared" ref="Q82" si="127">N82+O82+P82</f>
        <v>4564322.8540000003</v>
      </c>
      <c r="R82" s="81">
        <f t="shared" ref="R82" si="128">10%*N82</f>
        <v>456432.28540000005</v>
      </c>
      <c r="S82" s="81">
        <f t="shared" ref="S82" si="129">Q82-R82</f>
        <v>4107890.5686000003</v>
      </c>
      <c r="T82" s="42">
        <f>R82/L82*2</f>
        <v>14489.913822222225</v>
      </c>
      <c r="U82" s="1">
        <f>R82/L82*12</f>
        <v>86939.482933333347</v>
      </c>
      <c r="V82" s="34">
        <f>R82-T82-U82</f>
        <v>355002.88864444452</v>
      </c>
      <c r="W82" s="35">
        <f t="shared" ref="W82" si="130">T82+U82+V82</f>
        <v>456432.28540000011</v>
      </c>
      <c r="X82" s="35">
        <f t="shared" ref="X82" si="131">R82-W82</f>
        <v>0</v>
      </c>
    </row>
    <row r="83" spans="1:24" ht="12.75" x14ac:dyDescent="0.2">
      <c r="A83" s="159"/>
      <c r="B83" s="160"/>
      <c r="C83" s="160"/>
      <c r="D83" s="160"/>
      <c r="E83" s="179">
        <f>SUM(E82)</f>
        <v>1</v>
      </c>
      <c r="F83" s="179">
        <f t="shared" ref="F83:X83" si="132">SUM(F82)</f>
        <v>0</v>
      </c>
      <c r="G83" s="179">
        <f t="shared" si="132"/>
        <v>1</v>
      </c>
      <c r="H83" s="179">
        <f t="shared" si="132"/>
        <v>179133550</v>
      </c>
      <c r="I83" s="179">
        <f t="shared" si="132"/>
        <v>179133550</v>
      </c>
      <c r="J83" s="179">
        <f t="shared" si="132"/>
        <v>44373</v>
      </c>
      <c r="K83" s="179">
        <f t="shared" si="132"/>
        <v>46280</v>
      </c>
      <c r="L83" s="179"/>
      <c r="M83" s="179"/>
      <c r="N83" s="179">
        <f t="shared" si="132"/>
        <v>4564322.8540000003</v>
      </c>
      <c r="O83" s="179">
        <f t="shared" si="132"/>
        <v>0</v>
      </c>
      <c r="P83" s="179">
        <f t="shared" si="132"/>
        <v>0</v>
      </c>
      <c r="Q83" s="179">
        <f t="shared" si="132"/>
        <v>4564322.8540000003</v>
      </c>
      <c r="R83" s="179">
        <f t="shared" si="132"/>
        <v>456432.28540000005</v>
      </c>
      <c r="S83" s="179">
        <f t="shared" si="132"/>
        <v>4107890.5686000003</v>
      </c>
      <c r="T83" s="179">
        <f t="shared" si="132"/>
        <v>14489.913822222225</v>
      </c>
      <c r="U83" s="179">
        <f t="shared" si="132"/>
        <v>86939.482933333347</v>
      </c>
      <c r="V83" s="179">
        <f t="shared" si="132"/>
        <v>355002.88864444452</v>
      </c>
      <c r="W83" s="179">
        <f t="shared" si="132"/>
        <v>456432.28540000011</v>
      </c>
      <c r="X83" s="179">
        <f t="shared" si="132"/>
        <v>0</v>
      </c>
    </row>
    <row r="84" spans="1:24" x14ac:dyDescent="0.2">
      <c r="A84" s="83"/>
      <c r="B84" s="83"/>
      <c r="C84" s="83" t="s">
        <v>174</v>
      </c>
      <c r="D84" s="84"/>
      <c r="E84" s="185">
        <f>E83</f>
        <v>1</v>
      </c>
      <c r="F84" s="185">
        <f t="shared" ref="F84:X84" si="133">F83</f>
        <v>0</v>
      </c>
      <c r="G84" s="185">
        <f t="shared" si="133"/>
        <v>1</v>
      </c>
      <c r="H84" s="185">
        <f t="shared" si="133"/>
        <v>179133550</v>
      </c>
      <c r="I84" s="185">
        <f t="shared" si="133"/>
        <v>179133550</v>
      </c>
      <c r="J84" s="185">
        <f t="shared" si="133"/>
        <v>44373</v>
      </c>
      <c r="K84" s="185">
        <f t="shared" si="133"/>
        <v>46280</v>
      </c>
      <c r="L84" s="185"/>
      <c r="M84" s="185"/>
      <c r="N84" s="185">
        <f t="shared" si="133"/>
        <v>4564322.8540000003</v>
      </c>
      <c r="O84" s="185">
        <f t="shared" si="133"/>
        <v>0</v>
      </c>
      <c r="P84" s="185">
        <f t="shared" si="133"/>
        <v>0</v>
      </c>
      <c r="Q84" s="185">
        <f t="shared" si="133"/>
        <v>4564322.8540000003</v>
      </c>
      <c r="R84" s="185">
        <f t="shared" si="133"/>
        <v>456432.28540000005</v>
      </c>
      <c r="S84" s="185">
        <f t="shared" si="133"/>
        <v>4107890.5686000003</v>
      </c>
      <c r="T84" s="185">
        <f t="shared" si="133"/>
        <v>14489.913822222225</v>
      </c>
      <c r="U84" s="185">
        <f t="shared" si="133"/>
        <v>86939.482933333347</v>
      </c>
      <c r="V84" s="185">
        <f t="shared" si="133"/>
        <v>355002.88864444452</v>
      </c>
      <c r="W84" s="185">
        <f t="shared" si="133"/>
        <v>456432.28540000011</v>
      </c>
      <c r="X84" s="185">
        <f t="shared" si="133"/>
        <v>0</v>
      </c>
    </row>
    <row r="85" spans="1:24" x14ac:dyDescent="0.2">
      <c r="A85" s="83"/>
      <c r="B85" s="83"/>
      <c r="C85" s="83" t="s">
        <v>175</v>
      </c>
      <c r="D85" s="84"/>
      <c r="E85" s="95">
        <f>E84+E75</f>
        <v>26</v>
      </c>
      <c r="F85" s="95">
        <f t="shared" ref="F85:X85" si="134">F84+F75</f>
        <v>0</v>
      </c>
      <c r="G85" s="95">
        <f t="shared" si="134"/>
        <v>1</v>
      </c>
      <c r="H85" s="95">
        <f t="shared" si="134"/>
        <v>5468584172</v>
      </c>
      <c r="I85" s="95">
        <f t="shared" si="134"/>
        <v>5468584172</v>
      </c>
      <c r="J85" s="95">
        <f t="shared" si="134"/>
        <v>44373</v>
      </c>
      <c r="K85" s="95">
        <f t="shared" si="134"/>
        <v>46280</v>
      </c>
      <c r="L85" s="95"/>
      <c r="M85" s="95"/>
      <c r="N85" s="95">
        <f t="shared" si="134"/>
        <v>163441868.71888</v>
      </c>
      <c r="O85" s="95">
        <f t="shared" si="134"/>
        <v>300000</v>
      </c>
      <c r="P85" s="95">
        <f t="shared" si="134"/>
        <v>0</v>
      </c>
      <c r="Q85" s="95">
        <f t="shared" si="134"/>
        <v>163741868.71888</v>
      </c>
      <c r="R85" s="95">
        <f t="shared" si="134"/>
        <v>15924279.285400001</v>
      </c>
      <c r="S85" s="95">
        <f t="shared" si="134"/>
        <v>147497808.71037403</v>
      </c>
      <c r="T85" s="95">
        <f t="shared" si="134"/>
        <v>1953538.1566916755</v>
      </c>
      <c r="U85" s="95">
        <f t="shared" si="134"/>
        <v>2325125.5721301655</v>
      </c>
      <c r="V85" s="95">
        <f t="shared" si="134"/>
        <v>11645615.556578161</v>
      </c>
      <c r="W85" s="95">
        <f t="shared" si="134"/>
        <v>15924279.285400001</v>
      </c>
      <c r="X85" s="95">
        <f t="shared" si="134"/>
        <v>0</v>
      </c>
    </row>
    <row r="87" spans="1:24" ht="23.25" x14ac:dyDescent="0.2">
      <c r="A87" s="86" t="s">
        <v>205</v>
      </c>
      <c r="B87" s="62"/>
      <c r="C87" s="62"/>
      <c r="D87" s="57"/>
      <c r="E87" s="63"/>
      <c r="F87" s="64"/>
      <c r="G87" s="65"/>
      <c r="H87" s="66"/>
      <c r="I87" s="66"/>
      <c r="J87" s="67"/>
      <c r="K87" s="67"/>
      <c r="L87" s="68"/>
      <c r="M87" s="68"/>
      <c r="N87" s="69"/>
      <c r="O87" s="69"/>
      <c r="P87" s="69"/>
      <c r="Q87" s="69"/>
      <c r="R87" s="69"/>
      <c r="S87" s="69"/>
      <c r="T87" s="70"/>
      <c r="U87" s="71"/>
      <c r="V87" s="71"/>
    </row>
    <row r="88" spans="1:24" x14ac:dyDescent="0.2">
      <c r="A88" s="231" t="s">
        <v>0</v>
      </c>
      <c r="B88" s="232" t="s">
        <v>1</v>
      </c>
      <c r="C88" s="229" t="s">
        <v>2</v>
      </c>
      <c r="D88" s="233" t="s">
        <v>3</v>
      </c>
      <c r="E88" s="234" t="s">
        <v>4</v>
      </c>
      <c r="F88" s="232" t="s">
        <v>5</v>
      </c>
      <c r="G88" s="235" t="s">
        <v>6</v>
      </c>
      <c r="H88" s="236" t="s">
        <v>7</v>
      </c>
      <c r="I88" s="236" t="s">
        <v>8</v>
      </c>
      <c r="J88" s="227" t="s">
        <v>9</v>
      </c>
      <c r="K88" s="227"/>
      <c r="L88" s="228" t="s">
        <v>10</v>
      </c>
      <c r="M88" s="229" t="s">
        <v>11</v>
      </c>
      <c r="N88" s="230" t="s">
        <v>12</v>
      </c>
      <c r="O88" s="230"/>
      <c r="P88" s="230"/>
      <c r="Q88" s="229" t="s">
        <v>13</v>
      </c>
      <c r="R88" s="229" t="s">
        <v>14</v>
      </c>
      <c r="S88" s="229" t="s">
        <v>15</v>
      </c>
      <c r="T88" s="36">
        <v>2021</v>
      </c>
      <c r="U88" s="37"/>
      <c r="V88" s="38" t="s">
        <v>44</v>
      </c>
    </row>
    <row r="89" spans="1:24" x14ac:dyDescent="0.2">
      <c r="A89" s="231"/>
      <c r="B89" s="232"/>
      <c r="C89" s="229"/>
      <c r="D89" s="233"/>
      <c r="E89" s="234"/>
      <c r="F89" s="232"/>
      <c r="G89" s="235"/>
      <c r="H89" s="236"/>
      <c r="I89" s="236"/>
      <c r="J89" s="227"/>
      <c r="K89" s="227"/>
      <c r="L89" s="228"/>
      <c r="M89" s="229"/>
      <c r="N89" s="206" t="s">
        <v>16</v>
      </c>
      <c r="O89" s="206" t="s">
        <v>17</v>
      </c>
      <c r="P89" s="206" t="s">
        <v>18</v>
      </c>
      <c r="Q89" s="229"/>
      <c r="R89" s="229"/>
      <c r="S89" s="229"/>
      <c r="T89" s="96" t="s">
        <v>202</v>
      </c>
      <c r="U89" s="39" t="s">
        <v>204</v>
      </c>
      <c r="V89" s="40"/>
    </row>
    <row r="90" spans="1:24" ht="12.75" x14ac:dyDescent="0.2">
      <c r="A90" s="154">
        <v>18</v>
      </c>
      <c r="B90" s="155" t="s">
        <v>128</v>
      </c>
      <c r="C90" s="155" t="s">
        <v>178</v>
      </c>
      <c r="D90" s="156">
        <v>44391</v>
      </c>
      <c r="E90" s="154">
        <v>1</v>
      </c>
      <c r="F90" s="155" t="s">
        <v>179</v>
      </c>
      <c r="G90" s="175">
        <v>1</v>
      </c>
      <c r="H90" s="176">
        <v>380000000</v>
      </c>
      <c r="I90" s="176">
        <f>H90*G90</f>
        <v>380000000</v>
      </c>
      <c r="J90" s="156">
        <v>44350</v>
      </c>
      <c r="K90" s="77">
        <f t="shared" ref="K90:K105" si="135">IFERROR(VALUE(DAY(J90)&amp;" "&amp;TEXT(EOMONTH(J90,L90)-29,"mmm")&amp;" "&amp;YEAR(EOMONTH(J90,L90)-29)),"-")</f>
        <v>48002</v>
      </c>
      <c r="L90" s="155">
        <v>120</v>
      </c>
      <c r="M90" s="99">
        <v>25.48</v>
      </c>
      <c r="N90" s="81">
        <f t="shared" ref="N90:N105" si="136">M90*H90/1000</f>
        <v>9682400</v>
      </c>
      <c r="O90" s="81"/>
      <c r="P90" s="81"/>
      <c r="Q90" s="81">
        <f t="shared" ref="Q90:Q105" si="137">N90+O90+P90</f>
        <v>9682400</v>
      </c>
      <c r="R90" s="81">
        <f t="shared" ref="R90:R105" si="138">10%*N90</f>
        <v>968240</v>
      </c>
      <c r="S90" s="81">
        <f t="shared" ref="S90:S105" si="139">Q90-R90</f>
        <v>8714160</v>
      </c>
      <c r="T90" s="42">
        <f>R90/L90*2</f>
        <v>16137.333333333334</v>
      </c>
      <c r="U90" s="1">
        <f>R90/L90*12</f>
        <v>96824</v>
      </c>
      <c r="V90" s="34">
        <f>R90-T90-U90</f>
        <v>855278.66666666663</v>
      </c>
      <c r="W90" s="35">
        <f t="shared" ref="W90:W105" si="140">T90+U90+V90</f>
        <v>968240</v>
      </c>
      <c r="X90" s="35">
        <f t="shared" ref="X90:X105" si="141">R90-W90</f>
        <v>0</v>
      </c>
    </row>
    <row r="91" spans="1:24" ht="12.75" x14ac:dyDescent="0.2">
      <c r="A91" s="168"/>
      <c r="B91" s="168"/>
      <c r="C91" s="168"/>
      <c r="D91" s="107"/>
      <c r="E91" s="154">
        <v>1</v>
      </c>
      <c r="F91" s="155" t="s">
        <v>180</v>
      </c>
      <c r="G91" s="175">
        <v>1</v>
      </c>
      <c r="H91" s="176">
        <v>445000000</v>
      </c>
      <c r="I91" s="176">
        <f t="shared" ref="I91:I105" si="142">H91*G91</f>
        <v>445000000</v>
      </c>
      <c r="J91" s="156">
        <v>44350</v>
      </c>
      <c r="K91" s="77">
        <f t="shared" si="135"/>
        <v>49312</v>
      </c>
      <c r="L91" s="155">
        <v>164</v>
      </c>
      <c r="M91" s="99">
        <v>35.409999999999997</v>
      </c>
      <c r="N91" s="81">
        <f t="shared" si="136"/>
        <v>15757449.999999998</v>
      </c>
      <c r="O91" s="81"/>
      <c r="P91" s="81"/>
      <c r="Q91" s="81">
        <f t="shared" si="137"/>
        <v>15757449.999999998</v>
      </c>
      <c r="R91" s="81">
        <f t="shared" si="138"/>
        <v>1575745</v>
      </c>
      <c r="S91" s="81">
        <f t="shared" si="139"/>
        <v>14181704.999999998</v>
      </c>
      <c r="T91" s="42">
        <f t="shared" ref="T91:T105" si="143">R91/L91*2</f>
        <v>19216.40243902439</v>
      </c>
      <c r="U91" s="1">
        <f t="shared" ref="U91:U105" si="144">R91/L91*12</f>
        <v>115298.41463414635</v>
      </c>
      <c r="V91" s="34">
        <f t="shared" ref="V91:V105" si="145">R91-T91-U91</f>
        <v>1441230.1829268294</v>
      </c>
      <c r="W91" s="35">
        <f t="shared" si="140"/>
        <v>1575745.0000000002</v>
      </c>
      <c r="X91" s="35">
        <f t="shared" si="141"/>
        <v>0</v>
      </c>
    </row>
    <row r="92" spans="1:24" ht="12.75" x14ac:dyDescent="0.2">
      <c r="A92" s="168"/>
      <c r="B92" s="168"/>
      <c r="C92" s="168"/>
      <c r="D92" s="107"/>
      <c r="E92" s="154">
        <v>1</v>
      </c>
      <c r="F92" s="155" t="s">
        <v>181</v>
      </c>
      <c r="G92" s="175">
        <v>1</v>
      </c>
      <c r="H92" s="176">
        <v>500000000</v>
      </c>
      <c r="I92" s="176">
        <f t="shared" si="142"/>
        <v>500000000</v>
      </c>
      <c r="J92" s="156">
        <v>44350</v>
      </c>
      <c r="K92" s="77">
        <f t="shared" si="135"/>
        <v>49463</v>
      </c>
      <c r="L92" s="155">
        <v>168</v>
      </c>
      <c r="M92" s="99">
        <v>35.409999999999997</v>
      </c>
      <c r="N92" s="81">
        <f t="shared" si="136"/>
        <v>17705000</v>
      </c>
      <c r="O92" s="81"/>
      <c r="P92" s="81"/>
      <c r="Q92" s="81">
        <f t="shared" si="137"/>
        <v>17705000</v>
      </c>
      <c r="R92" s="81">
        <f t="shared" si="138"/>
        <v>1770500</v>
      </c>
      <c r="S92" s="81">
        <f t="shared" si="139"/>
        <v>15934500</v>
      </c>
      <c r="T92" s="42">
        <f t="shared" si="143"/>
        <v>21077.380952380954</v>
      </c>
      <c r="U92" s="1">
        <f t="shared" si="144"/>
        <v>126464.28571428572</v>
      </c>
      <c r="V92" s="34">
        <f t="shared" si="145"/>
        <v>1622958.3333333333</v>
      </c>
      <c r="W92" s="35">
        <f t="shared" si="140"/>
        <v>1770500</v>
      </c>
      <c r="X92" s="35">
        <f t="shared" si="141"/>
        <v>0</v>
      </c>
    </row>
    <row r="93" spans="1:24" ht="12.75" x14ac:dyDescent="0.2">
      <c r="A93" s="168"/>
      <c r="B93" s="168"/>
      <c r="C93" s="168"/>
      <c r="D93" s="107"/>
      <c r="E93" s="154">
        <v>1</v>
      </c>
      <c r="F93" s="155" t="s">
        <v>182</v>
      </c>
      <c r="G93" s="175">
        <v>1</v>
      </c>
      <c r="H93" s="176">
        <v>330000000</v>
      </c>
      <c r="I93" s="176">
        <f t="shared" si="142"/>
        <v>330000000</v>
      </c>
      <c r="J93" s="156">
        <v>44350</v>
      </c>
      <c r="K93" s="77">
        <f t="shared" si="135"/>
        <v>49829</v>
      </c>
      <c r="L93" s="155">
        <v>180</v>
      </c>
      <c r="M93" s="99">
        <v>37.520000000000003</v>
      </c>
      <c r="N93" s="81">
        <f t="shared" si="136"/>
        <v>12381600.000000002</v>
      </c>
      <c r="O93" s="81"/>
      <c r="P93" s="81"/>
      <c r="Q93" s="81">
        <f t="shared" si="137"/>
        <v>12381600.000000002</v>
      </c>
      <c r="R93" s="81">
        <f t="shared" si="138"/>
        <v>1238160.0000000002</v>
      </c>
      <c r="S93" s="81">
        <f t="shared" si="139"/>
        <v>11143440.000000002</v>
      </c>
      <c r="T93" s="42">
        <f t="shared" si="143"/>
        <v>13757.333333333336</v>
      </c>
      <c r="U93" s="1">
        <f t="shared" si="144"/>
        <v>82544.000000000015</v>
      </c>
      <c r="V93" s="34">
        <f t="shared" si="145"/>
        <v>1141858.666666667</v>
      </c>
      <c r="W93" s="35">
        <f t="shared" si="140"/>
        <v>1238160.0000000002</v>
      </c>
      <c r="X93" s="35">
        <f t="shared" si="141"/>
        <v>0</v>
      </c>
    </row>
    <row r="94" spans="1:24" ht="12.75" x14ac:dyDescent="0.2">
      <c r="A94" s="168"/>
      <c r="B94" s="168"/>
      <c r="C94" s="168"/>
      <c r="D94" s="107"/>
      <c r="E94" s="154">
        <v>1</v>
      </c>
      <c r="F94" s="155" t="s">
        <v>193</v>
      </c>
      <c r="G94" s="175">
        <v>1</v>
      </c>
      <c r="H94" s="176">
        <v>331000000</v>
      </c>
      <c r="I94" s="176">
        <f t="shared" si="142"/>
        <v>331000000</v>
      </c>
      <c r="J94" s="156">
        <v>44350</v>
      </c>
      <c r="K94" s="77">
        <f t="shared" si="135"/>
        <v>49281</v>
      </c>
      <c r="L94" s="155">
        <v>162</v>
      </c>
      <c r="M94" s="99">
        <v>35.409999999999997</v>
      </c>
      <c r="N94" s="81">
        <f t="shared" si="136"/>
        <v>11720709.999999998</v>
      </c>
      <c r="O94" s="81"/>
      <c r="P94" s="81"/>
      <c r="Q94" s="81">
        <f t="shared" si="137"/>
        <v>11720709.999999998</v>
      </c>
      <c r="R94" s="81">
        <f t="shared" si="138"/>
        <v>1172070.9999999998</v>
      </c>
      <c r="S94" s="81">
        <f t="shared" si="139"/>
        <v>10548638.999999998</v>
      </c>
      <c r="T94" s="42">
        <f t="shared" si="143"/>
        <v>14470.01234567901</v>
      </c>
      <c r="U94" s="1">
        <f t="shared" si="144"/>
        <v>86820.074074074058</v>
      </c>
      <c r="V94" s="34">
        <f t="shared" si="145"/>
        <v>1070780.9135802465</v>
      </c>
      <c r="W94" s="35">
        <f t="shared" si="140"/>
        <v>1172070.9999999995</v>
      </c>
      <c r="X94" s="35">
        <f t="shared" si="141"/>
        <v>0</v>
      </c>
    </row>
    <row r="95" spans="1:24" ht="12.75" x14ac:dyDescent="0.2">
      <c r="A95" s="168"/>
      <c r="B95" s="168"/>
      <c r="C95" s="168"/>
      <c r="D95" s="107"/>
      <c r="E95" s="154">
        <v>1</v>
      </c>
      <c r="F95" s="155" t="s">
        <v>183</v>
      </c>
      <c r="G95" s="175">
        <v>1</v>
      </c>
      <c r="H95" s="176">
        <v>230000000</v>
      </c>
      <c r="I95" s="176">
        <f t="shared" si="142"/>
        <v>230000000</v>
      </c>
      <c r="J95" s="156">
        <v>44350</v>
      </c>
      <c r="K95" s="77">
        <f t="shared" si="135"/>
        <v>48002</v>
      </c>
      <c r="L95" s="155">
        <v>120</v>
      </c>
      <c r="M95" s="99">
        <v>25.48</v>
      </c>
      <c r="N95" s="81">
        <f t="shared" si="136"/>
        <v>5860400</v>
      </c>
      <c r="O95" s="81"/>
      <c r="P95" s="81"/>
      <c r="Q95" s="81">
        <f t="shared" si="137"/>
        <v>5860400</v>
      </c>
      <c r="R95" s="81">
        <f t="shared" si="138"/>
        <v>586040</v>
      </c>
      <c r="S95" s="81">
        <f t="shared" si="139"/>
        <v>5274360</v>
      </c>
      <c r="T95" s="42">
        <f t="shared" si="143"/>
        <v>9767.3333333333339</v>
      </c>
      <c r="U95" s="1">
        <f t="shared" si="144"/>
        <v>58604</v>
      </c>
      <c r="V95" s="34">
        <f t="shared" si="145"/>
        <v>517668.66666666663</v>
      </c>
      <c r="W95" s="35">
        <f t="shared" si="140"/>
        <v>586040</v>
      </c>
      <c r="X95" s="35">
        <f t="shared" si="141"/>
        <v>0</v>
      </c>
    </row>
    <row r="96" spans="1:24" ht="12.75" x14ac:dyDescent="0.2">
      <c r="A96" s="168"/>
      <c r="B96" s="168"/>
      <c r="C96" s="168"/>
      <c r="D96" s="107"/>
      <c r="E96" s="154">
        <v>1</v>
      </c>
      <c r="F96" s="155" t="s">
        <v>184</v>
      </c>
      <c r="G96" s="175">
        <v>1</v>
      </c>
      <c r="H96" s="176">
        <v>360000000</v>
      </c>
      <c r="I96" s="176">
        <f t="shared" si="142"/>
        <v>360000000</v>
      </c>
      <c r="J96" s="156">
        <v>44351</v>
      </c>
      <c r="K96" s="77">
        <f t="shared" si="135"/>
        <v>49647</v>
      </c>
      <c r="L96" s="155">
        <v>174</v>
      </c>
      <c r="M96" s="99">
        <v>37.520000000000003</v>
      </c>
      <c r="N96" s="81">
        <f t="shared" si="136"/>
        <v>13507200.000000002</v>
      </c>
      <c r="O96" s="81"/>
      <c r="P96" s="81"/>
      <c r="Q96" s="81">
        <f t="shared" si="137"/>
        <v>13507200.000000002</v>
      </c>
      <c r="R96" s="81">
        <f t="shared" si="138"/>
        <v>1350720.0000000002</v>
      </c>
      <c r="S96" s="81">
        <f t="shared" si="139"/>
        <v>12156480.000000002</v>
      </c>
      <c r="T96" s="42">
        <f t="shared" si="143"/>
        <v>15525.517241379313</v>
      </c>
      <c r="U96" s="1">
        <f t="shared" si="144"/>
        <v>93153.103448275884</v>
      </c>
      <c r="V96" s="34">
        <f t="shared" si="145"/>
        <v>1242041.379310345</v>
      </c>
      <c r="W96" s="35">
        <f t="shared" si="140"/>
        <v>1350720.0000000002</v>
      </c>
      <c r="X96" s="35">
        <f t="shared" si="141"/>
        <v>0</v>
      </c>
    </row>
    <row r="97" spans="1:24" ht="12.75" x14ac:dyDescent="0.2">
      <c r="A97" s="168"/>
      <c r="B97" s="168"/>
      <c r="C97" s="168"/>
      <c r="D97" s="107"/>
      <c r="E97" s="154">
        <v>1</v>
      </c>
      <c r="F97" s="155" t="s">
        <v>185</v>
      </c>
      <c r="G97" s="175">
        <v>1</v>
      </c>
      <c r="H97" s="176">
        <v>310000000</v>
      </c>
      <c r="I97" s="176">
        <f t="shared" si="142"/>
        <v>310000000</v>
      </c>
      <c r="J97" s="156">
        <v>44354</v>
      </c>
      <c r="K97" s="77">
        <f t="shared" si="135"/>
        <v>48372</v>
      </c>
      <c r="L97" s="155">
        <v>132</v>
      </c>
      <c r="M97" s="169">
        <v>27.98</v>
      </c>
      <c r="N97" s="81">
        <f t="shared" si="136"/>
        <v>8673800</v>
      </c>
      <c r="O97" s="81"/>
      <c r="P97" s="81"/>
      <c r="Q97" s="81">
        <f t="shared" si="137"/>
        <v>8673800</v>
      </c>
      <c r="R97" s="81">
        <f t="shared" si="138"/>
        <v>867380</v>
      </c>
      <c r="S97" s="81">
        <f t="shared" si="139"/>
        <v>7806420</v>
      </c>
      <c r="T97" s="42">
        <f t="shared" si="143"/>
        <v>13142.121212121212</v>
      </c>
      <c r="U97" s="1">
        <f t="shared" si="144"/>
        <v>78852.727272727265</v>
      </c>
      <c r="V97" s="34">
        <f t="shared" si="145"/>
        <v>775385.15151515149</v>
      </c>
      <c r="W97" s="35">
        <f t="shared" si="140"/>
        <v>867380</v>
      </c>
      <c r="X97" s="35">
        <f t="shared" si="141"/>
        <v>0</v>
      </c>
    </row>
    <row r="98" spans="1:24" ht="12.75" x14ac:dyDescent="0.2">
      <c r="A98" s="168"/>
      <c r="B98" s="168"/>
      <c r="C98" s="168"/>
      <c r="D98" s="107"/>
      <c r="E98" s="154">
        <v>1</v>
      </c>
      <c r="F98" s="155" t="s">
        <v>186</v>
      </c>
      <c r="G98" s="175">
        <v>1</v>
      </c>
      <c r="H98" s="176">
        <v>350000000</v>
      </c>
      <c r="I98" s="176">
        <f t="shared" si="142"/>
        <v>350000000</v>
      </c>
      <c r="J98" s="156">
        <v>44354</v>
      </c>
      <c r="K98" s="77">
        <f t="shared" si="135"/>
        <v>48737</v>
      </c>
      <c r="L98" s="155">
        <v>144</v>
      </c>
      <c r="M98" s="99">
        <v>30.46</v>
      </c>
      <c r="N98" s="81">
        <f t="shared" si="136"/>
        <v>10661000</v>
      </c>
      <c r="O98" s="81"/>
      <c r="P98" s="81"/>
      <c r="Q98" s="81">
        <f t="shared" si="137"/>
        <v>10661000</v>
      </c>
      <c r="R98" s="81">
        <f t="shared" si="138"/>
        <v>1066100</v>
      </c>
      <c r="S98" s="81">
        <f t="shared" si="139"/>
        <v>9594900</v>
      </c>
      <c r="T98" s="42">
        <f t="shared" si="143"/>
        <v>14806.944444444445</v>
      </c>
      <c r="U98" s="1">
        <f t="shared" si="144"/>
        <v>88841.666666666672</v>
      </c>
      <c r="V98" s="34">
        <f t="shared" si="145"/>
        <v>962451.38888888888</v>
      </c>
      <c r="W98" s="35">
        <f t="shared" si="140"/>
        <v>1066100</v>
      </c>
      <c r="X98" s="35">
        <f t="shared" si="141"/>
        <v>0</v>
      </c>
    </row>
    <row r="99" spans="1:24" ht="12.75" x14ac:dyDescent="0.2">
      <c r="A99" s="168"/>
      <c r="B99" s="168"/>
      <c r="C99" s="168"/>
      <c r="D99" s="107"/>
      <c r="E99" s="154">
        <v>1</v>
      </c>
      <c r="F99" s="155" t="s">
        <v>187</v>
      </c>
      <c r="G99" s="175">
        <v>1</v>
      </c>
      <c r="H99" s="176">
        <v>400000000</v>
      </c>
      <c r="I99" s="176">
        <f t="shared" si="142"/>
        <v>400000000</v>
      </c>
      <c r="J99" s="156">
        <v>44354</v>
      </c>
      <c r="K99" s="77">
        <f t="shared" si="135"/>
        <v>49833</v>
      </c>
      <c r="L99" s="155">
        <v>180</v>
      </c>
      <c r="M99" s="99">
        <v>37.520000000000003</v>
      </c>
      <c r="N99" s="81">
        <f t="shared" si="136"/>
        <v>15008000.000000002</v>
      </c>
      <c r="O99" s="81"/>
      <c r="P99" s="81"/>
      <c r="Q99" s="81">
        <f t="shared" si="137"/>
        <v>15008000.000000002</v>
      </c>
      <c r="R99" s="81">
        <f t="shared" si="138"/>
        <v>1500800.0000000002</v>
      </c>
      <c r="S99" s="81">
        <f t="shared" si="139"/>
        <v>13507200.000000002</v>
      </c>
      <c r="T99" s="42">
        <f t="shared" si="143"/>
        <v>16675.555555555558</v>
      </c>
      <c r="U99" s="1">
        <f t="shared" si="144"/>
        <v>100053.33333333334</v>
      </c>
      <c r="V99" s="34">
        <f t="shared" si="145"/>
        <v>1384071.1111111115</v>
      </c>
      <c r="W99" s="35">
        <f t="shared" si="140"/>
        <v>1500800.0000000005</v>
      </c>
      <c r="X99" s="35">
        <f t="shared" si="141"/>
        <v>0</v>
      </c>
    </row>
    <row r="100" spans="1:24" ht="12.75" x14ac:dyDescent="0.2">
      <c r="A100" s="168"/>
      <c r="B100" s="168"/>
      <c r="C100" s="168"/>
      <c r="D100" s="107"/>
      <c r="E100" s="154">
        <v>1</v>
      </c>
      <c r="F100" s="155" t="s">
        <v>188</v>
      </c>
      <c r="G100" s="175">
        <v>1</v>
      </c>
      <c r="H100" s="176">
        <v>310000000</v>
      </c>
      <c r="I100" s="176">
        <f t="shared" si="142"/>
        <v>310000000</v>
      </c>
      <c r="J100" s="156">
        <v>44355</v>
      </c>
      <c r="K100" s="77">
        <f t="shared" si="135"/>
        <v>47825</v>
      </c>
      <c r="L100" s="155">
        <v>114</v>
      </c>
      <c r="M100" s="99">
        <v>25.48</v>
      </c>
      <c r="N100" s="81">
        <f t="shared" si="136"/>
        <v>7898800</v>
      </c>
      <c r="O100" s="81"/>
      <c r="P100" s="81"/>
      <c r="Q100" s="81">
        <f t="shared" si="137"/>
        <v>7898800</v>
      </c>
      <c r="R100" s="81">
        <f t="shared" si="138"/>
        <v>789880</v>
      </c>
      <c r="S100" s="81">
        <f t="shared" si="139"/>
        <v>7108920</v>
      </c>
      <c r="T100" s="42">
        <f t="shared" si="143"/>
        <v>13857.543859649122</v>
      </c>
      <c r="U100" s="1">
        <f t="shared" si="144"/>
        <v>83145.263157894733</v>
      </c>
      <c r="V100" s="34">
        <f t="shared" si="145"/>
        <v>692877.19298245618</v>
      </c>
      <c r="W100" s="35">
        <f t="shared" si="140"/>
        <v>789880</v>
      </c>
      <c r="X100" s="35">
        <f t="shared" si="141"/>
        <v>0</v>
      </c>
    </row>
    <row r="101" spans="1:24" ht="12.75" x14ac:dyDescent="0.2">
      <c r="A101" s="168"/>
      <c r="B101" s="168"/>
      <c r="C101" s="168"/>
      <c r="D101" s="107"/>
      <c r="E101" s="154">
        <v>1</v>
      </c>
      <c r="F101" s="155" t="s">
        <v>189</v>
      </c>
      <c r="G101" s="175">
        <v>1</v>
      </c>
      <c r="H101" s="176">
        <v>165000000</v>
      </c>
      <c r="I101" s="176">
        <f t="shared" si="142"/>
        <v>165000000</v>
      </c>
      <c r="J101" s="156">
        <v>44355</v>
      </c>
      <c r="K101" s="77">
        <f t="shared" si="135"/>
        <v>47277</v>
      </c>
      <c r="L101" s="155">
        <v>96</v>
      </c>
      <c r="M101" s="99">
        <v>20.93</v>
      </c>
      <c r="N101" s="81">
        <f t="shared" si="136"/>
        <v>3453450</v>
      </c>
      <c r="O101" s="81"/>
      <c r="P101" s="81"/>
      <c r="Q101" s="81">
        <f t="shared" si="137"/>
        <v>3453450</v>
      </c>
      <c r="R101" s="81">
        <f t="shared" si="138"/>
        <v>345345</v>
      </c>
      <c r="S101" s="81">
        <f t="shared" si="139"/>
        <v>3108105</v>
      </c>
      <c r="T101" s="42">
        <f t="shared" si="143"/>
        <v>7194.6875</v>
      </c>
      <c r="U101" s="1">
        <f t="shared" si="144"/>
        <v>43168.125</v>
      </c>
      <c r="V101" s="34">
        <f t="shared" si="145"/>
        <v>294982.1875</v>
      </c>
      <c r="W101" s="35">
        <f t="shared" si="140"/>
        <v>345345</v>
      </c>
      <c r="X101" s="35">
        <f t="shared" si="141"/>
        <v>0</v>
      </c>
    </row>
    <row r="102" spans="1:24" ht="12.75" x14ac:dyDescent="0.2">
      <c r="A102" s="168"/>
      <c r="B102" s="168"/>
      <c r="C102" s="168"/>
      <c r="D102" s="107"/>
      <c r="E102" s="154">
        <v>1</v>
      </c>
      <c r="F102" s="155" t="s">
        <v>190</v>
      </c>
      <c r="G102" s="175">
        <v>1</v>
      </c>
      <c r="H102" s="176">
        <v>300000000</v>
      </c>
      <c r="I102" s="176">
        <f t="shared" si="142"/>
        <v>300000000</v>
      </c>
      <c r="J102" s="156">
        <v>44355</v>
      </c>
      <c r="K102" s="77">
        <f t="shared" si="135"/>
        <v>49834</v>
      </c>
      <c r="L102" s="155">
        <v>180</v>
      </c>
      <c r="M102" s="99">
        <v>37.520000000000003</v>
      </c>
      <c r="N102" s="81">
        <f t="shared" si="136"/>
        <v>11256000</v>
      </c>
      <c r="O102" s="81"/>
      <c r="P102" s="81"/>
      <c r="Q102" s="81">
        <f t="shared" si="137"/>
        <v>11256000</v>
      </c>
      <c r="R102" s="81">
        <f t="shared" si="138"/>
        <v>1125600</v>
      </c>
      <c r="S102" s="81">
        <f t="shared" si="139"/>
        <v>10130400</v>
      </c>
      <c r="T102" s="42">
        <f t="shared" si="143"/>
        <v>12506.666666666666</v>
      </c>
      <c r="U102" s="1">
        <f t="shared" si="144"/>
        <v>75040</v>
      </c>
      <c r="V102" s="34">
        <f t="shared" si="145"/>
        <v>1038053.3333333333</v>
      </c>
      <c r="W102" s="35">
        <f t="shared" si="140"/>
        <v>1125600</v>
      </c>
      <c r="X102" s="35">
        <f t="shared" si="141"/>
        <v>0</v>
      </c>
    </row>
    <row r="103" spans="1:24" ht="12.75" x14ac:dyDescent="0.2">
      <c r="A103" s="168"/>
      <c r="B103" s="168"/>
      <c r="C103" s="168"/>
      <c r="D103" s="107"/>
      <c r="E103" s="154">
        <v>1</v>
      </c>
      <c r="F103" s="155" t="s">
        <v>191</v>
      </c>
      <c r="G103" s="175">
        <v>1</v>
      </c>
      <c r="H103" s="176">
        <v>25000000</v>
      </c>
      <c r="I103" s="176">
        <f t="shared" si="142"/>
        <v>25000000</v>
      </c>
      <c r="J103" s="156">
        <v>44361</v>
      </c>
      <c r="K103" s="77">
        <f t="shared" si="135"/>
        <v>45274</v>
      </c>
      <c r="L103" s="155">
        <v>30</v>
      </c>
      <c r="M103" s="99">
        <v>9.1</v>
      </c>
      <c r="N103" s="81">
        <f t="shared" si="136"/>
        <v>227500</v>
      </c>
      <c r="O103" s="81"/>
      <c r="P103" s="81"/>
      <c r="Q103" s="81">
        <f t="shared" si="137"/>
        <v>227500</v>
      </c>
      <c r="R103" s="81">
        <f t="shared" si="138"/>
        <v>22750</v>
      </c>
      <c r="S103" s="81">
        <f t="shared" si="139"/>
        <v>204750</v>
      </c>
      <c r="T103" s="42">
        <f t="shared" si="143"/>
        <v>1516.6666666666667</v>
      </c>
      <c r="U103" s="1">
        <f t="shared" si="144"/>
        <v>9100</v>
      </c>
      <c r="V103" s="34">
        <f t="shared" si="145"/>
        <v>12133.333333333332</v>
      </c>
      <c r="W103" s="35">
        <f t="shared" si="140"/>
        <v>22750</v>
      </c>
      <c r="X103" s="35">
        <f t="shared" si="141"/>
        <v>0</v>
      </c>
    </row>
    <row r="104" spans="1:24" ht="12.75" x14ac:dyDescent="0.2">
      <c r="A104" s="168"/>
      <c r="B104" s="168"/>
      <c r="C104" s="168"/>
      <c r="D104" s="107"/>
      <c r="E104" s="154">
        <v>1</v>
      </c>
      <c r="F104" s="155" t="s">
        <v>192</v>
      </c>
      <c r="G104" s="175">
        <v>1</v>
      </c>
      <c r="H104" s="176">
        <v>170000000</v>
      </c>
      <c r="I104" s="176">
        <f t="shared" si="142"/>
        <v>170000000</v>
      </c>
      <c r="J104" s="156">
        <v>44362</v>
      </c>
      <c r="K104" s="77">
        <f t="shared" si="135"/>
        <v>48014</v>
      </c>
      <c r="L104" s="155">
        <v>120</v>
      </c>
      <c r="M104" s="99">
        <v>25.48</v>
      </c>
      <c r="N104" s="81">
        <f t="shared" si="136"/>
        <v>4331600</v>
      </c>
      <c r="O104" s="81"/>
      <c r="P104" s="81"/>
      <c r="Q104" s="81">
        <f t="shared" si="137"/>
        <v>4331600</v>
      </c>
      <c r="R104" s="81">
        <f t="shared" si="138"/>
        <v>433160</v>
      </c>
      <c r="S104" s="81">
        <f t="shared" si="139"/>
        <v>3898440</v>
      </c>
      <c r="T104" s="42">
        <f t="shared" si="143"/>
        <v>7219.333333333333</v>
      </c>
      <c r="U104" s="1">
        <f t="shared" si="144"/>
        <v>43316</v>
      </c>
      <c r="V104" s="34">
        <f t="shared" si="145"/>
        <v>382624.66666666669</v>
      </c>
      <c r="W104" s="35">
        <f t="shared" si="140"/>
        <v>433160</v>
      </c>
      <c r="X104" s="35">
        <f t="shared" si="141"/>
        <v>0</v>
      </c>
    </row>
    <row r="105" spans="1:24" ht="12.75" x14ac:dyDescent="0.2">
      <c r="A105" s="168"/>
      <c r="B105" s="168"/>
      <c r="C105" s="168"/>
      <c r="D105" s="107"/>
      <c r="E105" s="154">
        <v>1</v>
      </c>
      <c r="F105" s="155" t="s">
        <v>194</v>
      </c>
      <c r="G105" s="175">
        <v>1</v>
      </c>
      <c r="H105" s="188">
        <v>343000000</v>
      </c>
      <c r="I105" s="188">
        <f t="shared" si="142"/>
        <v>343000000</v>
      </c>
      <c r="J105" s="189">
        <v>44363</v>
      </c>
      <c r="K105" s="77">
        <f t="shared" si="135"/>
        <v>49476</v>
      </c>
      <c r="L105" s="187">
        <v>168</v>
      </c>
      <c r="M105" s="99">
        <v>35.409999999999997</v>
      </c>
      <c r="N105" s="190">
        <f t="shared" si="136"/>
        <v>12145629.999999998</v>
      </c>
      <c r="O105" s="190"/>
      <c r="P105" s="190"/>
      <c r="Q105" s="190">
        <f t="shared" si="137"/>
        <v>12145629.999999998</v>
      </c>
      <c r="R105" s="81">
        <f t="shared" si="138"/>
        <v>1214562.9999999998</v>
      </c>
      <c r="S105" s="190">
        <f t="shared" si="139"/>
        <v>10931066.999999998</v>
      </c>
      <c r="T105" s="42">
        <f t="shared" si="143"/>
        <v>14459.08333333333</v>
      </c>
      <c r="U105" s="1">
        <f t="shared" si="144"/>
        <v>86754.499999999985</v>
      </c>
      <c r="V105" s="34">
        <f t="shared" si="145"/>
        <v>1113349.4166666665</v>
      </c>
      <c r="W105" s="35">
        <f t="shared" si="140"/>
        <v>1214562.9999999998</v>
      </c>
      <c r="X105" s="35">
        <f t="shared" si="141"/>
        <v>0</v>
      </c>
    </row>
    <row r="106" spans="1:24" x14ac:dyDescent="0.2">
      <c r="A106" s="91"/>
      <c r="B106" s="91"/>
      <c r="C106" s="91"/>
      <c r="D106" s="59"/>
      <c r="E106" s="91">
        <f>SUM(E90:E105)</f>
        <v>16</v>
      </c>
      <c r="F106" s="91"/>
      <c r="G106" s="91"/>
      <c r="H106" s="91">
        <f>SUM(H90:H105)</f>
        <v>4949000000</v>
      </c>
      <c r="I106" s="91">
        <f>SUM(I90:I105)</f>
        <v>4949000000</v>
      </c>
      <c r="J106" s="91"/>
      <c r="K106" s="91"/>
      <c r="L106" s="91"/>
      <c r="M106" s="91"/>
      <c r="N106" s="91">
        <f t="shared" ref="N106:X106" si="146">SUM(N90:N105)</f>
        <v>160270540</v>
      </c>
      <c r="O106" s="91">
        <f t="shared" si="146"/>
        <v>0</v>
      </c>
      <c r="P106" s="91">
        <f t="shared" si="146"/>
        <v>0</v>
      </c>
      <c r="Q106" s="91">
        <f t="shared" si="146"/>
        <v>160270540</v>
      </c>
      <c r="R106" s="91">
        <f t="shared" si="146"/>
        <v>16027054</v>
      </c>
      <c r="S106" s="91">
        <f t="shared" si="146"/>
        <v>144243486</v>
      </c>
      <c r="T106" s="91">
        <f t="shared" si="146"/>
        <v>211329.91555023403</v>
      </c>
      <c r="U106" s="91">
        <f t="shared" si="146"/>
        <v>1267979.4933014042</v>
      </c>
      <c r="V106" s="91">
        <f t="shared" si="146"/>
        <v>14547744.591148362</v>
      </c>
      <c r="W106" s="91">
        <f t="shared" si="146"/>
        <v>16027054</v>
      </c>
      <c r="X106" s="91">
        <f t="shared" si="146"/>
        <v>0</v>
      </c>
    </row>
    <row r="107" spans="1:24" ht="12.75" x14ac:dyDescent="0.2">
      <c r="A107" s="154"/>
      <c r="B107" s="155" t="s">
        <v>46</v>
      </c>
      <c r="C107" s="155" t="s">
        <v>206</v>
      </c>
      <c r="D107" s="156">
        <v>44407</v>
      </c>
      <c r="E107" s="154">
        <v>1</v>
      </c>
      <c r="F107" s="155" t="s">
        <v>53</v>
      </c>
      <c r="G107" s="175">
        <v>1</v>
      </c>
      <c r="H107" s="176">
        <v>70717947</v>
      </c>
      <c r="I107" s="176">
        <f>H107*G107</f>
        <v>70717947</v>
      </c>
      <c r="J107" s="156">
        <v>46914</v>
      </c>
      <c r="K107" s="156">
        <v>47279</v>
      </c>
      <c r="L107" s="155">
        <v>12</v>
      </c>
      <c r="M107" s="195">
        <v>5.46</v>
      </c>
      <c r="N107" s="176">
        <f>M107*H107/1000</f>
        <v>386119.99062</v>
      </c>
      <c r="O107" s="176">
        <v>100000</v>
      </c>
      <c r="P107" s="176"/>
      <c r="Q107" s="176">
        <f>N107+O107+P107</f>
        <v>486119.99062</v>
      </c>
      <c r="R107" s="196"/>
      <c r="S107" s="176">
        <f>Q107-R107</f>
        <v>486119.99062</v>
      </c>
      <c r="T107" s="42">
        <f t="shared" ref="T107" si="147">R107/L107*2</f>
        <v>0</v>
      </c>
      <c r="U107" s="1">
        <f t="shared" ref="U107:U109" si="148">R107/L107*12</f>
        <v>0</v>
      </c>
      <c r="V107" s="34">
        <f t="shared" ref="V107:V109" si="149">R107-T107-U107</f>
        <v>0</v>
      </c>
      <c r="W107" s="35">
        <f t="shared" ref="W107:W109" si="150">T107+U107+V107</f>
        <v>0</v>
      </c>
      <c r="X107" s="35">
        <f t="shared" ref="X107:X109" si="151">R107-W107</f>
        <v>0</v>
      </c>
    </row>
    <row r="108" spans="1:24" ht="12.75" x14ac:dyDescent="0.2">
      <c r="A108" s="198"/>
      <c r="B108" s="199"/>
      <c r="C108" s="199"/>
      <c r="D108" s="199"/>
      <c r="E108" s="200"/>
      <c r="F108" s="201"/>
      <c r="G108" s="201"/>
      <c r="H108" s="201"/>
      <c r="I108" s="201"/>
      <c r="J108" s="201"/>
      <c r="K108" s="201"/>
      <c r="L108" s="201"/>
      <c r="M108" s="201"/>
      <c r="N108" s="201">
        <f t="shared" ref="N108:X108" si="152">SUM(N107:N107)</f>
        <v>386119.99062</v>
      </c>
      <c r="O108" s="201">
        <f t="shared" si="152"/>
        <v>100000</v>
      </c>
      <c r="P108" s="201">
        <f t="shared" si="152"/>
        <v>0</v>
      </c>
      <c r="Q108" s="201">
        <f t="shared" si="152"/>
        <v>486119.99062</v>
      </c>
      <c r="R108" s="201">
        <f t="shared" si="152"/>
        <v>0</v>
      </c>
      <c r="S108" s="201">
        <f t="shared" si="152"/>
        <v>486119.99062</v>
      </c>
      <c r="T108" s="201">
        <f t="shared" si="152"/>
        <v>0</v>
      </c>
      <c r="U108" s="201">
        <f t="shared" si="152"/>
        <v>0</v>
      </c>
      <c r="V108" s="201">
        <f t="shared" si="152"/>
        <v>0</v>
      </c>
      <c r="W108" s="201">
        <f t="shared" si="152"/>
        <v>0</v>
      </c>
      <c r="X108" s="201">
        <f t="shared" si="152"/>
        <v>0</v>
      </c>
    </row>
    <row r="109" spans="1:24" ht="12.75" x14ac:dyDescent="0.2">
      <c r="A109" s="154"/>
      <c r="B109" s="155" t="s">
        <v>122</v>
      </c>
      <c r="C109" s="155" t="s">
        <v>207</v>
      </c>
      <c r="D109" s="156">
        <v>44407</v>
      </c>
      <c r="E109" s="154">
        <v>1</v>
      </c>
      <c r="F109" s="155" t="s">
        <v>208</v>
      </c>
      <c r="G109" s="175">
        <v>1</v>
      </c>
      <c r="H109" s="176">
        <v>30000000</v>
      </c>
      <c r="I109" s="176">
        <f>H109*G109</f>
        <v>30000000</v>
      </c>
      <c r="J109" s="156">
        <v>44406</v>
      </c>
      <c r="K109" s="156">
        <v>45136</v>
      </c>
      <c r="L109" s="155">
        <v>24</v>
      </c>
      <c r="M109" s="195">
        <v>10.57</v>
      </c>
      <c r="N109" s="176">
        <f>M109*H109/1000</f>
        <v>317100</v>
      </c>
      <c r="O109" s="176"/>
      <c r="P109" s="176"/>
      <c r="Q109" s="190">
        <f t="shared" ref="Q109" si="153">N109+O109+P109</f>
        <v>317100</v>
      </c>
      <c r="R109" s="81">
        <f t="shared" ref="R109" si="154">10%*N109</f>
        <v>31710</v>
      </c>
      <c r="S109" s="190">
        <f t="shared" ref="S109" si="155">Q109-R109</f>
        <v>285390</v>
      </c>
      <c r="T109" s="42">
        <f>R109/L109</f>
        <v>1321.25</v>
      </c>
      <c r="U109" s="1">
        <f t="shared" si="148"/>
        <v>15855</v>
      </c>
      <c r="V109" s="34">
        <f t="shared" si="149"/>
        <v>14533.75</v>
      </c>
      <c r="W109" s="35">
        <f t="shared" si="150"/>
        <v>31710</v>
      </c>
      <c r="X109" s="35">
        <f t="shared" si="151"/>
        <v>0</v>
      </c>
    </row>
    <row r="110" spans="1:24" ht="12.75" x14ac:dyDescent="0.2">
      <c r="A110" s="198"/>
      <c r="B110" s="199"/>
      <c r="C110" s="199"/>
      <c r="D110" s="199"/>
      <c r="E110" s="200">
        <f>SUM(E109:E109)</f>
        <v>1</v>
      </c>
      <c r="F110" s="201">
        <f>SUM(F109:F109)</f>
        <v>0</v>
      </c>
      <c r="G110" s="201"/>
      <c r="H110" s="201">
        <f>SUM(H109:H109)</f>
        <v>30000000</v>
      </c>
      <c r="I110" s="201">
        <f>SUM(I109:I109)</f>
        <v>30000000</v>
      </c>
      <c r="J110" s="201"/>
      <c r="K110" s="201"/>
      <c r="L110" s="201"/>
      <c r="M110" s="201"/>
      <c r="N110" s="201">
        <f t="shared" ref="N110:X110" si="156">SUM(N109:N109)</f>
        <v>317100</v>
      </c>
      <c r="O110" s="201">
        <f t="shared" si="156"/>
        <v>0</v>
      </c>
      <c r="P110" s="201">
        <f t="shared" si="156"/>
        <v>0</v>
      </c>
      <c r="Q110" s="201">
        <f t="shared" si="156"/>
        <v>317100</v>
      </c>
      <c r="R110" s="201">
        <f t="shared" si="156"/>
        <v>31710</v>
      </c>
      <c r="S110" s="201">
        <f t="shared" si="156"/>
        <v>285390</v>
      </c>
      <c r="T110" s="201">
        <f t="shared" si="156"/>
        <v>1321.25</v>
      </c>
      <c r="U110" s="201">
        <f t="shared" si="156"/>
        <v>15855</v>
      </c>
      <c r="V110" s="201">
        <f t="shared" si="156"/>
        <v>14533.75</v>
      </c>
      <c r="W110" s="201">
        <f t="shared" si="156"/>
        <v>31710</v>
      </c>
      <c r="X110" s="201">
        <f t="shared" si="156"/>
        <v>0</v>
      </c>
    </row>
    <row r="111" spans="1:24" x14ac:dyDescent="0.2">
      <c r="A111" s="83"/>
      <c r="B111" s="83"/>
      <c r="C111" s="83" t="s">
        <v>50</v>
      </c>
      <c r="D111" s="84"/>
      <c r="E111" s="185">
        <f>E110+E106</f>
        <v>17</v>
      </c>
      <c r="F111" s="185">
        <f t="shared" ref="F111:S111" si="157">F110+F106</f>
        <v>0</v>
      </c>
      <c r="G111" s="185">
        <f t="shared" si="157"/>
        <v>0</v>
      </c>
      <c r="H111" s="185">
        <f t="shared" si="157"/>
        <v>4979000000</v>
      </c>
      <c r="I111" s="185">
        <f t="shared" si="157"/>
        <v>4979000000</v>
      </c>
      <c r="J111" s="185"/>
      <c r="K111" s="185"/>
      <c r="L111" s="185"/>
      <c r="M111" s="185"/>
      <c r="N111" s="185">
        <f t="shared" si="157"/>
        <v>160587640</v>
      </c>
      <c r="O111" s="185">
        <f t="shared" si="157"/>
        <v>0</v>
      </c>
      <c r="P111" s="185">
        <f t="shared" si="157"/>
        <v>0</v>
      </c>
      <c r="Q111" s="185">
        <f t="shared" si="157"/>
        <v>160587640</v>
      </c>
      <c r="R111" s="185">
        <f t="shared" si="157"/>
        <v>16058764</v>
      </c>
      <c r="S111" s="185">
        <f t="shared" si="157"/>
        <v>144528876</v>
      </c>
      <c r="T111" s="185">
        <f>T110+T106</f>
        <v>212651.16555023403</v>
      </c>
      <c r="U111" s="185">
        <f t="shared" ref="U111:X111" si="158">U110+U106</f>
        <v>1283834.4933014042</v>
      </c>
      <c r="V111" s="185">
        <f t="shared" si="158"/>
        <v>14562278.341148362</v>
      </c>
      <c r="W111" s="185">
        <f t="shared" si="158"/>
        <v>16058764</v>
      </c>
      <c r="X111" s="185">
        <f t="shared" si="158"/>
        <v>0</v>
      </c>
    </row>
    <row r="112" spans="1:24" x14ac:dyDescent="0.2">
      <c r="A112" s="83"/>
      <c r="B112" s="83"/>
      <c r="C112" s="83" t="s">
        <v>209</v>
      </c>
      <c r="D112" s="84"/>
      <c r="E112" s="95">
        <f>E111+E85</f>
        <v>43</v>
      </c>
      <c r="F112" s="95">
        <f t="shared" ref="F112:X112" si="159">F111+F85</f>
        <v>0</v>
      </c>
      <c r="G112" s="95">
        <f t="shared" si="159"/>
        <v>1</v>
      </c>
      <c r="H112" s="95">
        <f t="shared" si="159"/>
        <v>10447584172</v>
      </c>
      <c r="I112" s="95">
        <f t="shared" si="159"/>
        <v>10447584172</v>
      </c>
      <c r="J112" s="95"/>
      <c r="K112" s="95"/>
      <c r="L112" s="95"/>
      <c r="M112" s="95"/>
      <c r="N112" s="95">
        <f t="shared" si="159"/>
        <v>324029508.71888</v>
      </c>
      <c r="O112" s="95">
        <f t="shared" si="159"/>
        <v>300000</v>
      </c>
      <c r="P112" s="95">
        <f t="shared" si="159"/>
        <v>0</v>
      </c>
      <c r="Q112" s="95">
        <f t="shared" si="159"/>
        <v>324329508.71888</v>
      </c>
      <c r="R112" s="95">
        <f t="shared" si="159"/>
        <v>31983043.285400003</v>
      </c>
      <c r="S112" s="95">
        <f t="shared" si="159"/>
        <v>292026684.710374</v>
      </c>
      <c r="T112" s="95">
        <f t="shared" si="159"/>
        <v>2166189.3222419098</v>
      </c>
      <c r="U112" s="95">
        <f t="shared" si="159"/>
        <v>3608960.0654315697</v>
      </c>
      <c r="V112" s="95">
        <f t="shared" si="159"/>
        <v>26207893.897726521</v>
      </c>
      <c r="W112" s="95">
        <f t="shared" si="159"/>
        <v>31983043.285400003</v>
      </c>
      <c r="X112" s="95">
        <f t="shared" si="159"/>
        <v>0</v>
      </c>
    </row>
    <row r="115" spans="1:24" ht="23.25" x14ac:dyDescent="0.2">
      <c r="A115" s="86" t="s">
        <v>233</v>
      </c>
      <c r="B115" s="62"/>
      <c r="C115" s="62"/>
      <c r="D115" s="57"/>
      <c r="E115" s="63"/>
      <c r="F115" s="64"/>
      <c r="G115" s="139"/>
      <c r="H115" s="66"/>
      <c r="I115" s="66"/>
      <c r="J115" s="67"/>
      <c r="K115" s="67"/>
      <c r="L115" s="68"/>
      <c r="M115" s="68"/>
      <c r="N115" s="69"/>
      <c r="O115" s="69"/>
      <c r="P115" s="69"/>
      <c r="Q115" s="69"/>
      <c r="R115" s="69"/>
      <c r="S115" s="69"/>
      <c r="T115" s="70"/>
      <c r="U115" s="71"/>
      <c r="V115" s="71"/>
    </row>
    <row r="116" spans="1:24" x14ac:dyDescent="0.2">
      <c r="A116" s="231" t="s">
        <v>0</v>
      </c>
      <c r="B116" s="232" t="s">
        <v>1</v>
      </c>
      <c r="C116" s="229" t="s">
        <v>2</v>
      </c>
      <c r="D116" s="233" t="s">
        <v>3</v>
      </c>
      <c r="E116" s="234" t="s">
        <v>4</v>
      </c>
      <c r="F116" s="232" t="s">
        <v>5</v>
      </c>
      <c r="G116" s="237" t="s">
        <v>6</v>
      </c>
      <c r="H116" s="236" t="s">
        <v>7</v>
      </c>
      <c r="I116" s="236" t="s">
        <v>8</v>
      </c>
      <c r="J116" s="227" t="s">
        <v>9</v>
      </c>
      <c r="K116" s="227"/>
      <c r="L116" s="228" t="s">
        <v>10</v>
      </c>
      <c r="M116" s="229" t="s">
        <v>11</v>
      </c>
      <c r="N116" s="230" t="s">
        <v>12</v>
      </c>
      <c r="O116" s="230"/>
      <c r="P116" s="230"/>
      <c r="Q116" s="229" t="s">
        <v>13</v>
      </c>
      <c r="R116" s="229" t="s">
        <v>14</v>
      </c>
      <c r="S116" s="229" t="s">
        <v>15</v>
      </c>
      <c r="T116" s="36">
        <v>2021</v>
      </c>
      <c r="U116" s="37"/>
      <c r="V116" s="38" t="s">
        <v>44</v>
      </c>
    </row>
    <row r="117" spans="1:24" x14ac:dyDescent="0.2">
      <c r="A117" s="231"/>
      <c r="B117" s="232"/>
      <c r="C117" s="229"/>
      <c r="D117" s="233"/>
      <c r="E117" s="234"/>
      <c r="F117" s="232"/>
      <c r="G117" s="237"/>
      <c r="H117" s="236"/>
      <c r="I117" s="236"/>
      <c r="J117" s="227"/>
      <c r="K117" s="227"/>
      <c r="L117" s="228"/>
      <c r="M117" s="229"/>
      <c r="N117" s="207" t="s">
        <v>16</v>
      </c>
      <c r="O117" s="207" t="s">
        <v>17</v>
      </c>
      <c r="P117" s="207" t="s">
        <v>18</v>
      </c>
      <c r="Q117" s="229"/>
      <c r="R117" s="229"/>
      <c r="S117" s="229"/>
      <c r="T117" s="96" t="s">
        <v>231</v>
      </c>
      <c r="U117" s="39" t="s">
        <v>232</v>
      </c>
      <c r="V117" s="40"/>
    </row>
    <row r="118" spans="1:24" ht="12.75" x14ac:dyDescent="0.2">
      <c r="A118" s="154">
        <v>21</v>
      </c>
      <c r="B118" s="155" t="s">
        <v>19</v>
      </c>
      <c r="C118" s="155" t="s">
        <v>211</v>
      </c>
      <c r="D118" s="156">
        <v>44463</v>
      </c>
      <c r="E118" s="154">
        <v>1</v>
      </c>
      <c r="F118" s="155" t="s">
        <v>212</v>
      </c>
      <c r="G118" s="175">
        <v>1</v>
      </c>
      <c r="H118" s="176">
        <v>25237639</v>
      </c>
      <c r="I118" s="176">
        <f>H118*G118</f>
        <v>25237639</v>
      </c>
      <c r="J118" s="205">
        <v>44611</v>
      </c>
      <c r="K118" s="205">
        <v>44895</v>
      </c>
      <c r="L118" s="155">
        <v>9</v>
      </c>
      <c r="M118" s="195">
        <v>5.46</v>
      </c>
      <c r="N118" s="176">
        <f>M118*H118/1000</f>
        <v>137797.50894</v>
      </c>
      <c r="O118" s="176">
        <v>100000</v>
      </c>
      <c r="P118" s="176"/>
      <c r="Q118" s="176">
        <f>N118+O118+P118</f>
        <v>237797.50894</v>
      </c>
      <c r="R118" s="196"/>
      <c r="S118" s="176">
        <f>Q118-R118</f>
        <v>237797.50894</v>
      </c>
      <c r="T118" s="42">
        <f>R118/L118</f>
        <v>0</v>
      </c>
      <c r="U118" s="1">
        <f t="shared" ref="U118" si="160">R118/L118*12</f>
        <v>0</v>
      </c>
      <c r="V118" s="34">
        <f t="shared" ref="V118" si="161">R118-T118-U118</f>
        <v>0</v>
      </c>
      <c r="W118" s="35">
        <f t="shared" ref="W118" si="162">T118+U118+V118</f>
        <v>0</v>
      </c>
      <c r="X118" s="35">
        <f t="shared" ref="X118" si="163">R118-W118</f>
        <v>0</v>
      </c>
    </row>
    <row r="119" spans="1:24" ht="12.75" x14ac:dyDescent="0.2">
      <c r="A119" s="198"/>
      <c r="B119" s="199"/>
      <c r="C119" s="199"/>
      <c r="D119" s="199"/>
      <c r="E119" s="200"/>
      <c r="F119" s="201"/>
      <c r="G119" s="201"/>
      <c r="H119" s="201"/>
      <c r="I119" s="201"/>
      <c r="J119" s="201"/>
      <c r="K119" s="201"/>
      <c r="L119" s="201"/>
      <c r="M119" s="201"/>
      <c r="N119" s="201">
        <f t="shared" ref="N119:X119" si="164">SUM(N118:N118)</f>
        <v>137797.50894</v>
      </c>
      <c r="O119" s="201">
        <f t="shared" si="164"/>
        <v>100000</v>
      </c>
      <c r="P119" s="201">
        <f t="shared" si="164"/>
        <v>0</v>
      </c>
      <c r="Q119" s="201">
        <f t="shared" si="164"/>
        <v>237797.50894</v>
      </c>
      <c r="R119" s="201">
        <f t="shared" si="164"/>
        <v>0</v>
      </c>
      <c r="S119" s="201">
        <f t="shared" si="164"/>
        <v>237797.50894</v>
      </c>
      <c r="T119" s="201">
        <f t="shared" si="164"/>
        <v>0</v>
      </c>
      <c r="U119" s="201">
        <f t="shared" si="164"/>
        <v>0</v>
      </c>
      <c r="V119" s="201">
        <f t="shared" si="164"/>
        <v>0</v>
      </c>
      <c r="W119" s="201">
        <f t="shared" si="164"/>
        <v>0</v>
      </c>
      <c r="X119" s="201">
        <f t="shared" si="164"/>
        <v>0</v>
      </c>
    </row>
    <row r="120" spans="1:24" ht="12.75" x14ac:dyDescent="0.2">
      <c r="A120" s="154">
        <v>22</v>
      </c>
      <c r="B120" s="155" t="s">
        <v>213</v>
      </c>
      <c r="C120" s="155" t="s">
        <v>214</v>
      </c>
      <c r="D120" s="156">
        <v>44468</v>
      </c>
      <c r="E120" s="154">
        <v>1</v>
      </c>
      <c r="F120" s="155" t="s">
        <v>215</v>
      </c>
      <c r="G120" s="175">
        <v>1</v>
      </c>
      <c r="H120" s="176">
        <v>13910250</v>
      </c>
      <c r="I120" s="176">
        <f>H120*G120</f>
        <v>13910250</v>
      </c>
      <c r="J120" s="205">
        <v>44447</v>
      </c>
      <c r="K120" s="205">
        <v>44812</v>
      </c>
      <c r="L120" s="155">
        <v>12</v>
      </c>
      <c r="M120" s="195">
        <v>60.9</v>
      </c>
      <c r="N120" s="176">
        <f>M120*H120/1000</f>
        <v>847134.22499999998</v>
      </c>
      <c r="O120" s="176"/>
      <c r="P120" s="176"/>
      <c r="Q120" s="190">
        <f t="shared" ref="Q120" si="165">N120+O120+P120</f>
        <v>847134.22499999998</v>
      </c>
      <c r="R120" s="81">
        <f t="shared" ref="R120:R130" si="166">10%*N120</f>
        <v>84713.422500000001</v>
      </c>
      <c r="S120" s="190">
        <f t="shared" ref="S120" si="167">Q120-R120</f>
        <v>762420.80249999999</v>
      </c>
      <c r="T120" s="42">
        <f t="shared" ref="T120:T133" si="168">R120/L120</f>
        <v>7059.4518749999997</v>
      </c>
      <c r="U120" s="1">
        <f>R120/L120*11</f>
        <v>77653.970625000002</v>
      </c>
      <c r="V120" s="34">
        <f t="shared" ref="V120:V133" si="169">R120-T120-U120</f>
        <v>0</v>
      </c>
      <c r="W120" s="35">
        <f t="shared" ref="W120:W133" si="170">T120+U120+V120</f>
        <v>84713.422500000001</v>
      </c>
      <c r="X120" s="35">
        <f t="shared" ref="X120:X133" si="171">R120-W120</f>
        <v>0</v>
      </c>
    </row>
    <row r="121" spans="1:24" ht="12.75" x14ac:dyDescent="0.2">
      <c r="A121" s="198"/>
      <c r="B121" s="199"/>
      <c r="C121" s="199"/>
      <c r="D121" s="199"/>
      <c r="E121" s="200">
        <f>SUM(E120:E120)</f>
        <v>1</v>
      </c>
      <c r="F121" s="201"/>
      <c r="G121" s="201"/>
      <c r="H121" s="201">
        <f>SUM(H120:H120)</f>
        <v>13910250</v>
      </c>
      <c r="I121" s="201">
        <f>SUM(I120:I120)</f>
        <v>13910250</v>
      </c>
      <c r="J121" s="201"/>
      <c r="K121" s="201"/>
      <c r="L121" s="201"/>
      <c r="M121" s="201"/>
      <c r="N121" s="201">
        <f t="shared" ref="N121:X121" si="172">SUM(N120:N120)</f>
        <v>847134.22499999998</v>
      </c>
      <c r="O121" s="201">
        <f t="shared" si="172"/>
        <v>0</v>
      </c>
      <c r="P121" s="201">
        <f t="shared" si="172"/>
        <v>0</v>
      </c>
      <c r="Q121" s="201">
        <f t="shared" si="172"/>
        <v>847134.22499999998</v>
      </c>
      <c r="R121" s="201">
        <f t="shared" si="172"/>
        <v>84713.422500000001</v>
      </c>
      <c r="S121" s="201">
        <f t="shared" si="172"/>
        <v>762420.80249999999</v>
      </c>
      <c r="T121" s="201">
        <f t="shared" si="172"/>
        <v>7059.4518749999997</v>
      </c>
      <c r="U121" s="201">
        <f t="shared" si="172"/>
        <v>77653.970625000002</v>
      </c>
      <c r="V121" s="201">
        <f t="shared" si="172"/>
        <v>0</v>
      </c>
      <c r="W121" s="201">
        <f t="shared" si="172"/>
        <v>84713.422500000001</v>
      </c>
      <c r="X121" s="201">
        <f t="shared" si="172"/>
        <v>0</v>
      </c>
    </row>
    <row r="122" spans="1:24" ht="12.75" x14ac:dyDescent="0.2">
      <c r="A122" s="154">
        <v>23</v>
      </c>
      <c r="B122" s="155" t="s">
        <v>49</v>
      </c>
      <c r="C122" s="155" t="s">
        <v>216</v>
      </c>
      <c r="D122" s="156">
        <v>44467</v>
      </c>
      <c r="E122" s="154">
        <v>1</v>
      </c>
      <c r="F122" s="155" t="s">
        <v>217</v>
      </c>
      <c r="G122" s="175">
        <v>1</v>
      </c>
      <c r="H122" s="176">
        <v>22343000</v>
      </c>
      <c r="I122" s="176">
        <f t="shared" ref="I122:I130" si="173">H122*G122</f>
        <v>22343000</v>
      </c>
      <c r="J122" s="205">
        <v>44456</v>
      </c>
      <c r="K122" s="205">
        <v>45552</v>
      </c>
      <c r="L122" s="155">
        <v>36</v>
      </c>
      <c r="M122" s="195">
        <v>11.5</v>
      </c>
      <c r="N122" s="176">
        <f>M122*H122/1000</f>
        <v>256944.5</v>
      </c>
      <c r="O122" s="176"/>
      <c r="P122" s="176"/>
      <c r="Q122" s="176">
        <f>N122+O122+P122</f>
        <v>256944.5</v>
      </c>
      <c r="R122" s="81">
        <f t="shared" si="166"/>
        <v>25694.45</v>
      </c>
      <c r="S122" s="176">
        <f>Q122-R122</f>
        <v>231250.05</v>
      </c>
      <c r="T122" s="42">
        <f t="shared" si="168"/>
        <v>713.73472222222222</v>
      </c>
      <c r="U122" s="1">
        <f t="shared" ref="U122:U133" si="174">R122/L122*12</f>
        <v>8564.8166666666657</v>
      </c>
      <c r="V122" s="34">
        <f t="shared" si="169"/>
        <v>16415.898611111112</v>
      </c>
      <c r="W122" s="35">
        <f t="shared" si="170"/>
        <v>25694.449999999997</v>
      </c>
      <c r="X122" s="35">
        <f t="shared" si="171"/>
        <v>0</v>
      </c>
    </row>
    <row r="123" spans="1:24" ht="12.75" x14ac:dyDescent="0.2">
      <c r="A123" s="154"/>
      <c r="B123" s="155"/>
      <c r="C123" s="155"/>
      <c r="D123" s="156"/>
      <c r="E123" s="154">
        <v>1</v>
      </c>
      <c r="F123" s="155" t="s">
        <v>218</v>
      </c>
      <c r="G123" s="175">
        <v>1</v>
      </c>
      <c r="H123" s="176">
        <v>330000000</v>
      </c>
      <c r="I123" s="176">
        <f t="shared" si="173"/>
        <v>330000000</v>
      </c>
      <c r="J123" s="205">
        <v>44467</v>
      </c>
      <c r="K123" s="205">
        <v>46293</v>
      </c>
      <c r="L123" s="155">
        <v>180</v>
      </c>
      <c r="M123" s="195">
        <v>37.520000000000003</v>
      </c>
      <c r="N123" s="176">
        <f t="shared" ref="N123:N130" si="175">M123*H123/1000</f>
        <v>12381600.000000002</v>
      </c>
      <c r="O123" s="176"/>
      <c r="P123" s="176"/>
      <c r="Q123" s="176">
        <f t="shared" ref="Q123:Q130" si="176">N123+O123+P123</f>
        <v>12381600.000000002</v>
      </c>
      <c r="R123" s="81">
        <f t="shared" si="166"/>
        <v>1238160.0000000002</v>
      </c>
      <c r="S123" s="190">
        <f t="shared" ref="S123:S130" si="177">Q123-R123</f>
        <v>11143440.000000002</v>
      </c>
      <c r="T123" s="42">
        <f t="shared" si="168"/>
        <v>6878.6666666666679</v>
      </c>
      <c r="U123" s="1">
        <f t="shared" si="174"/>
        <v>82544.000000000015</v>
      </c>
      <c r="V123" s="34">
        <f t="shared" si="169"/>
        <v>1148737.3333333335</v>
      </c>
      <c r="W123" s="35">
        <f t="shared" si="170"/>
        <v>1238160.0000000002</v>
      </c>
      <c r="X123" s="35">
        <f t="shared" si="171"/>
        <v>0</v>
      </c>
    </row>
    <row r="124" spans="1:24" ht="12.75" x14ac:dyDescent="0.2">
      <c r="A124" s="154"/>
      <c r="B124" s="155"/>
      <c r="C124" s="155"/>
      <c r="D124" s="156"/>
      <c r="E124" s="154">
        <v>1</v>
      </c>
      <c r="F124" s="155" t="s">
        <v>219</v>
      </c>
      <c r="G124" s="175">
        <v>1</v>
      </c>
      <c r="H124" s="176">
        <v>35000000</v>
      </c>
      <c r="I124" s="176">
        <f t="shared" si="173"/>
        <v>35000000</v>
      </c>
      <c r="J124" s="205">
        <v>44447</v>
      </c>
      <c r="K124" s="205">
        <v>46273</v>
      </c>
      <c r="L124" s="155">
        <v>60</v>
      </c>
      <c r="M124" s="195">
        <v>18.2</v>
      </c>
      <c r="N124" s="176">
        <f t="shared" si="175"/>
        <v>637000</v>
      </c>
      <c r="O124" s="176"/>
      <c r="P124" s="176"/>
      <c r="Q124" s="176">
        <f t="shared" si="176"/>
        <v>637000</v>
      </c>
      <c r="R124" s="81">
        <f t="shared" si="166"/>
        <v>63700</v>
      </c>
      <c r="S124" s="190">
        <f t="shared" si="177"/>
        <v>573300</v>
      </c>
      <c r="T124" s="42">
        <f t="shared" si="168"/>
        <v>1061.6666666666667</v>
      </c>
      <c r="U124" s="1">
        <f t="shared" si="174"/>
        <v>12740</v>
      </c>
      <c r="V124" s="34">
        <f t="shared" si="169"/>
        <v>49898.333333333336</v>
      </c>
      <c r="W124" s="35">
        <f t="shared" si="170"/>
        <v>63700</v>
      </c>
      <c r="X124" s="35">
        <f t="shared" si="171"/>
        <v>0</v>
      </c>
    </row>
    <row r="125" spans="1:24" ht="12.75" x14ac:dyDescent="0.2">
      <c r="A125" s="154"/>
      <c r="B125" s="155"/>
      <c r="C125" s="155"/>
      <c r="D125" s="156"/>
      <c r="E125" s="154">
        <v>1</v>
      </c>
      <c r="F125" s="155" t="s">
        <v>220</v>
      </c>
      <c r="G125" s="175">
        <v>1</v>
      </c>
      <c r="H125" s="176">
        <v>250000000</v>
      </c>
      <c r="I125" s="176">
        <f t="shared" si="173"/>
        <v>250000000</v>
      </c>
      <c r="J125" s="205">
        <v>44446</v>
      </c>
      <c r="K125" s="205">
        <v>49194</v>
      </c>
      <c r="L125" s="155">
        <v>156</v>
      </c>
      <c r="M125" s="195">
        <v>32.94</v>
      </c>
      <c r="N125" s="176">
        <f t="shared" si="175"/>
        <v>8234999.9999999991</v>
      </c>
      <c r="O125" s="176"/>
      <c r="P125" s="176"/>
      <c r="Q125" s="176">
        <f t="shared" si="176"/>
        <v>8234999.9999999991</v>
      </c>
      <c r="R125" s="81">
        <f t="shared" si="166"/>
        <v>823500</v>
      </c>
      <c r="S125" s="190">
        <f t="shared" si="177"/>
        <v>7411499.9999999991</v>
      </c>
      <c r="T125" s="42">
        <f t="shared" si="168"/>
        <v>5278.8461538461543</v>
      </c>
      <c r="U125" s="1">
        <f t="shared" si="174"/>
        <v>63346.153846153851</v>
      </c>
      <c r="V125" s="34">
        <f t="shared" si="169"/>
        <v>754875</v>
      </c>
      <c r="W125" s="35">
        <f t="shared" si="170"/>
        <v>823500</v>
      </c>
      <c r="X125" s="35">
        <f t="shared" si="171"/>
        <v>0</v>
      </c>
    </row>
    <row r="126" spans="1:24" ht="12.75" x14ac:dyDescent="0.2">
      <c r="A126" s="154"/>
      <c r="B126" s="155"/>
      <c r="C126" s="155"/>
      <c r="D126" s="156"/>
      <c r="E126" s="154">
        <v>1</v>
      </c>
      <c r="F126" s="155" t="s">
        <v>221</v>
      </c>
      <c r="G126" s="175">
        <v>1</v>
      </c>
      <c r="H126" s="176">
        <v>270000000</v>
      </c>
      <c r="I126" s="176">
        <f t="shared" si="173"/>
        <v>270000000</v>
      </c>
      <c r="J126" s="205">
        <v>44446</v>
      </c>
      <c r="K126" s="205">
        <v>48098</v>
      </c>
      <c r="L126" s="155">
        <v>120</v>
      </c>
      <c r="M126" s="195">
        <v>25.48</v>
      </c>
      <c r="N126" s="176">
        <f t="shared" si="175"/>
        <v>6879600</v>
      </c>
      <c r="O126" s="176"/>
      <c r="P126" s="176"/>
      <c r="Q126" s="176">
        <f t="shared" si="176"/>
        <v>6879600</v>
      </c>
      <c r="R126" s="81">
        <f t="shared" si="166"/>
        <v>687960</v>
      </c>
      <c r="S126" s="190">
        <f t="shared" si="177"/>
        <v>6191640</v>
      </c>
      <c r="T126" s="42">
        <f t="shared" si="168"/>
        <v>5733</v>
      </c>
      <c r="U126" s="1">
        <f t="shared" si="174"/>
        <v>68796</v>
      </c>
      <c r="V126" s="34">
        <f t="shared" si="169"/>
        <v>613431</v>
      </c>
      <c r="W126" s="35">
        <f t="shared" si="170"/>
        <v>687960</v>
      </c>
      <c r="X126" s="35">
        <f t="shared" si="171"/>
        <v>0</v>
      </c>
    </row>
    <row r="127" spans="1:24" ht="12.75" x14ac:dyDescent="0.2">
      <c r="A127" s="154"/>
      <c r="B127" s="155"/>
      <c r="C127" s="155"/>
      <c r="D127" s="156"/>
      <c r="E127" s="154">
        <v>1</v>
      </c>
      <c r="F127" s="155" t="s">
        <v>222</v>
      </c>
      <c r="G127" s="175">
        <v>1</v>
      </c>
      <c r="H127" s="176">
        <v>310000000</v>
      </c>
      <c r="I127" s="176">
        <f t="shared" si="173"/>
        <v>310000000</v>
      </c>
      <c r="J127" s="205">
        <v>44453</v>
      </c>
      <c r="K127" s="205">
        <v>48105</v>
      </c>
      <c r="L127" s="155">
        <v>120</v>
      </c>
      <c r="M127" s="195">
        <v>25.48</v>
      </c>
      <c r="N127" s="176">
        <f t="shared" si="175"/>
        <v>7898800</v>
      </c>
      <c r="O127" s="176"/>
      <c r="P127" s="176"/>
      <c r="Q127" s="176">
        <f t="shared" si="176"/>
        <v>7898800</v>
      </c>
      <c r="R127" s="81">
        <f t="shared" si="166"/>
        <v>789880</v>
      </c>
      <c r="S127" s="190">
        <f t="shared" si="177"/>
        <v>7108920</v>
      </c>
      <c r="T127" s="42">
        <f t="shared" si="168"/>
        <v>6582.333333333333</v>
      </c>
      <c r="U127" s="1">
        <f t="shared" si="174"/>
        <v>78988</v>
      </c>
      <c r="V127" s="34">
        <f t="shared" si="169"/>
        <v>704309.66666666663</v>
      </c>
      <c r="W127" s="35">
        <f t="shared" si="170"/>
        <v>789880</v>
      </c>
      <c r="X127" s="35">
        <f t="shared" si="171"/>
        <v>0</v>
      </c>
    </row>
    <row r="128" spans="1:24" ht="12.75" x14ac:dyDescent="0.2">
      <c r="A128" s="154"/>
      <c r="B128" s="155"/>
      <c r="C128" s="155"/>
      <c r="D128" s="156"/>
      <c r="E128" s="154">
        <v>1</v>
      </c>
      <c r="F128" s="155" t="s">
        <v>223</v>
      </c>
      <c r="G128" s="175">
        <v>1</v>
      </c>
      <c r="H128" s="176">
        <v>50000000</v>
      </c>
      <c r="I128" s="176">
        <f t="shared" si="173"/>
        <v>50000000</v>
      </c>
      <c r="J128" s="205">
        <v>44460</v>
      </c>
      <c r="K128" s="205">
        <v>48112</v>
      </c>
      <c r="L128" s="155">
        <v>36</v>
      </c>
      <c r="M128" s="195">
        <v>9.1</v>
      </c>
      <c r="N128" s="176">
        <f t="shared" si="175"/>
        <v>455000</v>
      </c>
      <c r="O128" s="176"/>
      <c r="P128" s="176"/>
      <c r="Q128" s="176">
        <f t="shared" si="176"/>
        <v>455000</v>
      </c>
      <c r="R128" s="81">
        <f t="shared" si="166"/>
        <v>45500</v>
      </c>
      <c r="S128" s="190">
        <f t="shared" si="177"/>
        <v>409500</v>
      </c>
      <c r="T128" s="42">
        <f t="shared" si="168"/>
        <v>1263.8888888888889</v>
      </c>
      <c r="U128" s="1">
        <f t="shared" si="174"/>
        <v>15166.666666666668</v>
      </c>
      <c r="V128" s="34">
        <f t="shared" si="169"/>
        <v>29069.444444444442</v>
      </c>
      <c r="W128" s="35">
        <f t="shared" si="170"/>
        <v>45500</v>
      </c>
      <c r="X128" s="35">
        <f t="shared" si="171"/>
        <v>0</v>
      </c>
    </row>
    <row r="129" spans="1:24" ht="12.75" x14ac:dyDescent="0.2">
      <c r="A129" s="154"/>
      <c r="B129" s="155"/>
      <c r="C129" s="155"/>
      <c r="D129" s="156"/>
      <c r="E129" s="154">
        <v>1</v>
      </c>
      <c r="F129" s="155" t="s">
        <v>224</v>
      </c>
      <c r="G129" s="175">
        <v>1</v>
      </c>
      <c r="H129" s="176">
        <v>334000000</v>
      </c>
      <c r="I129" s="176">
        <f t="shared" si="173"/>
        <v>334000000</v>
      </c>
      <c r="J129" s="205">
        <v>44453</v>
      </c>
      <c r="K129" s="205">
        <v>44453</v>
      </c>
      <c r="L129" s="155">
        <v>180</v>
      </c>
      <c r="M129" s="195">
        <v>35.409999999999997</v>
      </c>
      <c r="N129" s="176">
        <f t="shared" si="175"/>
        <v>11826939.999999998</v>
      </c>
      <c r="O129" s="176"/>
      <c r="P129" s="176"/>
      <c r="Q129" s="176">
        <f t="shared" si="176"/>
        <v>11826939.999999998</v>
      </c>
      <c r="R129" s="81">
        <f t="shared" si="166"/>
        <v>1182693.9999999998</v>
      </c>
      <c r="S129" s="190">
        <f t="shared" si="177"/>
        <v>10644245.999999998</v>
      </c>
      <c r="T129" s="42">
        <f t="shared" si="168"/>
        <v>6570.522222222221</v>
      </c>
      <c r="U129" s="1">
        <f t="shared" si="174"/>
        <v>78846.266666666648</v>
      </c>
      <c r="V129" s="34">
        <f t="shared" si="169"/>
        <v>1097277.2111111109</v>
      </c>
      <c r="W129" s="35">
        <f t="shared" si="170"/>
        <v>1182693.9999999998</v>
      </c>
      <c r="X129" s="35">
        <f t="shared" si="171"/>
        <v>0</v>
      </c>
    </row>
    <row r="130" spans="1:24" ht="12.75" x14ac:dyDescent="0.2">
      <c r="A130" s="154"/>
      <c r="B130" s="155"/>
      <c r="C130" s="155"/>
      <c r="D130" s="156"/>
      <c r="E130" s="154">
        <v>1</v>
      </c>
      <c r="F130" s="155" t="s">
        <v>225</v>
      </c>
      <c r="G130" s="175">
        <v>1</v>
      </c>
      <c r="H130" s="176">
        <v>230000000</v>
      </c>
      <c r="I130" s="176">
        <f t="shared" si="173"/>
        <v>230000000</v>
      </c>
      <c r="J130" s="205">
        <v>44436</v>
      </c>
      <c r="K130" s="205">
        <v>44436</v>
      </c>
      <c r="L130" s="155">
        <v>84</v>
      </c>
      <c r="M130" s="195">
        <v>25.48</v>
      </c>
      <c r="N130" s="176">
        <f t="shared" si="175"/>
        <v>5860400</v>
      </c>
      <c r="O130" s="176"/>
      <c r="P130" s="176"/>
      <c r="Q130" s="176">
        <f t="shared" si="176"/>
        <v>5860400</v>
      </c>
      <c r="R130" s="81">
        <f t="shared" si="166"/>
        <v>586040</v>
      </c>
      <c r="S130" s="190">
        <f t="shared" si="177"/>
        <v>5274360</v>
      </c>
      <c r="T130" s="42">
        <f t="shared" si="168"/>
        <v>6976.666666666667</v>
      </c>
      <c r="U130" s="1">
        <f t="shared" si="174"/>
        <v>83720</v>
      </c>
      <c r="V130" s="34">
        <f t="shared" si="169"/>
        <v>495343.33333333337</v>
      </c>
      <c r="W130" s="35">
        <f t="shared" si="170"/>
        <v>586040</v>
      </c>
      <c r="X130" s="35">
        <f t="shared" si="171"/>
        <v>0</v>
      </c>
    </row>
    <row r="131" spans="1:24" ht="12.75" x14ac:dyDescent="0.2">
      <c r="A131" s="198"/>
      <c r="B131" s="199"/>
      <c r="C131" s="199"/>
      <c r="D131" s="199"/>
      <c r="E131" s="201">
        <f t="shared" ref="E131:F131" si="178">SUM(E122:E130)</f>
        <v>9</v>
      </c>
      <c r="F131" s="201">
        <f t="shared" si="178"/>
        <v>0</v>
      </c>
      <c r="G131" s="201"/>
      <c r="H131" s="201">
        <f t="shared" ref="H131:Q131" si="179">SUM(H122:H130)</f>
        <v>1831343000</v>
      </c>
      <c r="I131" s="201">
        <f t="shared" si="179"/>
        <v>1831343000</v>
      </c>
      <c r="J131" s="201">
        <f t="shared" si="179"/>
        <v>400064</v>
      </c>
      <c r="K131" s="201">
        <f t="shared" si="179"/>
        <v>420516</v>
      </c>
      <c r="L131" s="201"/>
      <c r="M131" s="201"/>
      <c r="N131" s="201">
        <f t="shared" si="179"/>
        <v>54431284.5</v>
      </c>
      <c r="O131" s="201">
        <f t="shared" si="179"/>
        <v>0</v>
      </c>
      <c r="P131" s="201">
        <f t="shared" si="179"/>
        <v>0</v>
      </c>
      <c r="Q131" s="201">
        <f t="shared" si="179"/>
        <v>54431284.5</v>
      </c>
      <c r="R131" s="201">
        <f t="shared" ref="R131:X131" si="180">SUM(R122:R130)</f>
        <v>5443128.4500000002</v>
      </c>
      <c r="S131" s="201">
        <f t="shared" si="180"/>
        <v>48988156.049999997</v>
      </c>
      <c r="T131" s="201">
        <f t="shared" si="180"/>
        <v>41059.32532051282</v>
      </c>
      <c r="U131" s="201">
        <f t="shared" si="180"/>
        <v>492711.90384615387</v>
      </c>
      <c r="V131" s="201">
        <f t="shared" si="180"/>
        <v>4909357.2208333323</v>
      </c>
      <c r="W131" s="201">
        <f t="shared" si="180"/>
        <v>5443128.4500000002</v>
      </c>
      <c r="X131" s="201">
        <f t="shared" si="180"/>
        <v>0</v>
      </c>
    </row>
    <row r="132" spans="1:24" ht="12.75" x14ac:dyDescent="0.2">
      <c r="A132" s="154">
        <v>24</v>
      </c>
      <c r="B132" s="155" t="s">
        <v>51</v>
      </c>
      <c r="C132" s="155" t="s">
        <v>226</v>
      </c>
      <c r="D132" s="156">
        <v>44469</v>
      </c>
      <c r="E132" s="154">
        <v>1</v>
      </c>
      <c r="F132" s="155" t="s">
        <v>227</v>
      </c>
      <c r="G132" s="175">
        <v>1</v>
      </c>
      <c r="H132" s="176">
        <v>300000000</v>
      </c>
      <c r="I132" s="176">
        <f t="shared" ref="I132:I133" si="181">H132*G132</f>
        <v>300000000</v>
      </c>
      <c r="J132" s="205">
        <v>44442</v>
      </c>
      <c r="K132" s="205">
        <v>48094</v>
      </c>
      <c r="L132" s="155">
        <v>120</v>
      </c>
      <c r="M132" s="195">
        <v>25.48</v>
      </c>
      <c r="N132" s="176">
        <f t="shared" ref="N132:N133" si="182">M132*H132/1000</f>
        <v>7644000</v>
      </c>
      <c r="O132" s="176"/>
      <c r="P132" s="176"/>
      <c r="Q132" s="176">
        <f t="shared" ref="Q132:Q133" si="183">N132+O132+P132</f>
        <v>7644000</v>
      </c>
      <c r="R132" s="196"/>
      <c r="S132" s="190">
        <f t="shared" ref="S132:S133" si="184">Q132-R132</f>
        <v>7644000</v>
      </c>
      <c r="T132" s="42">
        <f t="shared" si="168"/>
        <v>0</v>
      </c>
      <c r="U132" s="1">
        <f t="shared" si="174"/>
        <v>0</v>
      </c>
      <c r="V132" s="34">
        <f t="shared" si="169"/>
        <v>0</v>
      </c>
      <c r="W132" s="35">
        <f t="shared" si="170"/>
        <v>0</v>
      </c>
      <c r="X132" s="35">
        <f t="shared" si="171"/>
        <v>0</v>
      </c>
    </row>
    <row r="133" spans="1:24" ht="12.75" x14ac:dyDescent="0.2">
      <c r="A133" s="154"/>
      <c r="B133" s="155"/>
      <c r="C133" s="155"/>
      <c r="D133" s="156"/>
      <c r="E133" s="154">
        <v>1</v>
      </c>
      <c r="F133" s="155" t="s">
        <v>228</v>
      </c>
      <c r="G133" s="175">
        <v>1</v>
      </c>
      <c r="H133" s="176">
        <v>260000000</v>
      </c>
      <c r="I133" s="176">
        <f t="shared" si="181"/>
        <v>260000000</v>
      </c>
      <c r="J133" s="205">
        <v>44466</v>
      </c>
      <c r="K133" s="205">
        <v>48118</v>
      </c>
      <c r="L133" s="155">
        <v>120</v>
      </c>
      <c r="M133" s="195">
        <v>36.4</v>
      </c>
      <c r="N133" s="176">
        <f t="shared" si="182"/>
        <v>9464000</v>
      </c>
      <c r="O133" s="176"/>
      <c r="P133" s="176"/>
      <c r="Q133" s="176">
        <f t="shared" si="183"/>
        <v>9464000</v>
      </c>
      <c r="R133" s="196"/>
      <c r="S133" s="190">
        <f t="shared" si="184"/>
        <v>9464000</v>
      </c>
      <c r="T133" s="42">
        <f t="shared" si="168"/>
        <v>0</v>
      </c>
      <c r="U133" s="1">
        <f t="shared" si="174"/>
        <v>0</v>
      </c>
      <c r="V133" s="34">
        <f t="shared" si="169"/>
        <v>0</v>
      </c>
      <c r="W133" s="35">
        <f t="shared" si="170"/>
        <v>0</v>
      </c>
      <c r="X133" s="35">
        <f t="shared" si="171"/>
        <v>0</v>
      </c>
    </row>
    <row r="134" spans="1:24" ht="12.75" x14ac:dyDescent="0.2">
      <c r="A134" s="198"/>
      <c r="B134" s="199"/>
      <c r="C134" s="199"/>
      <c r="D134" s="199"/>
      <c r="E134" s="200">
        <f>SUM(E132:E133)</f>
        <v>2</v>
      </c>
      <c r="F134" s="201"/>
      <c r="G134" s="201"/>
      <c r="H134" s="201">
        <f>SUM(H132:H133)</f>
        <v>560000000</v>
      </c>
      <c r="I134" s="201">
        <f>SUM(I132:I133)</f>
        <v>560000000</v>
      </c>
      <c r="J134" s="201"/>
      <c r="K134" s="201"/>
      <c r="L134" s="201"/>
      <c r="M134" s="201"/>
      <c r="N134" s="201">
        <f t="shared" ref="N134:R134" si="185">SUM(N132:N133)</f>
        <v>17108000</v>
      </c>
      <c r="O134" s="201">
        <f t="shared" si="185"/>
        <v>0</v>
      </c>
      <c r="P134" s="201">
        <f t="shared" si="185"/>
        <v>0</v>
      </c>
      <c r="Q134" s="201">
        <f t="shared" si="185"/>
        <v>17108000</v>
      </c>
      <c r="R134" s="201">
        <f t="shared" si="185"/>
        <v>0</v>
      </c>
      <c r="S134" s="201">
        <f t="shared" ref="S134:X134" si="186">SUM(S132:S133)</f>
        <v>17108000</v>
      </c>
      <c r="T134" s="201">
        <f t="shared" si="186"/>
        <v>0</v>
      </c>
      <c r="U134" s="201">
        <f t="shared" si="186"/>
        <v>0</v>
      </c>
      <c r="V134" s="201">
        <f t="shared" si="186"/>
        <v>0</v>
      </c>
      <c r="W134" s="201">
        <f t="shared" si="186"/>
        <v>0</v>
      </c>
      <c r="X134" s="201">
        <f t="shared" si="186"/>
        <v>0</v>
      </c>
    </row>
    <row r="135" spans="1:24" x14ac:dyDescent="0.2">
      <c r="A135" s="83"/>
      <c r="B135" s="83"/>
      <c r="C135" s="83" t="s">
        <v>52</v>
      </c>
      <c r="D135" s="84"/>
      <c r="E135" s="85">
        <f>E134+E131+E121+E119</f>
        <v>12</v>
      </c>
      <c r="F135" s="87"/>
      <c r="G135" s="87"/>
      <c r="H135" s="87">
        <f t="shared" ref="H135:R135" si="187">H134+H131+H121+H119</f>
        <v>2405253250</v>
      </c>
      <c r="I135" s="87">
        <f t="shared" si="187"/>
        <v>2405253250</v>
      </c>
      <c r="J135" s="87"/>
      <c r="K135" s="87"/>
      <c r="L135" s="87"/>
      <c r="M135" s="87"/>
      <c r="N135" s="87">
        <f t="shared" si="187"/>
        <v>72524216.23393999</v>
      </c>
      <c r="O135" s="87">
        <f t="shared" si="187"/>
        <v>100000</v>
      </c>
      <c r="P135" s="87">
        <f t="shared" si="187"/>
        <v>0</v>
      </c>
      <c r="Q135" s="87">
        <f t="shared" si="187"/>
        <v>72624216.23393999</v>
      </c>
      <c r="R135" s="87">
        <f t="shared" si="187"/>
        <v>5527841.8725000005</v>
      </c>
      <c r="S135" s="87">
        <f t="shared" ref="S135:X135" si="188">S134+S131+S121+S119</f>
        <v>67096374.361439995</v>
      </c>
      <c r="T135" s="87">
        <f t="shared" si="188"/>
        <v>48118.777195512819</v>
      </c>
      <c r="U135" s="87">
        <f t="shared" si="188"/>
        <v>570365.87447115383</v>
      </c>
      <c r="V135" s="87">
        <f t="shared" si="188"/>
        <v>4909357.2208333323</v>
      </c>
      <c r="W135" s="87">
        <f t="shared" si="188"/>
        <v>5527841.8725000005</v>
      </c>
      <c r="X135" s="87">
        <f t="shared" si="188"/>
        <v>0</v>
      </c>
    </row>
    <row r="136" spans="1:24" x14ac:dyDescent="0.2">
      <c r="A136" s="83"/>
      <c r="B136" s="83"/>
      <c r="C136" s="83" t="s">
        <v>229</v>
      </c>
      <c r="D136" s="84"/>
      <c r="E136" s="95">
        <f>E135+E112</f>
        <v>55</v>
      </c>
      <c r="F136" s="95">
        <f t="shared" ref="F136:X136" si="189">F135+F112</f>
        <v>0</v>
      </c>
      <c r="G136" s="95">
        <f t="shared" si="189"/>
        <v>1</v>
      </c>
      <c r="H136" s="95">
        <f t="shared" si="189"/>
        <v>12852837422</v>
      </c>
      <c r="I136" s="95">
        <f t="shared" si="189"/>
        <v>12852837422</v>
      </c>
      <c r="J136" s="95">
        <f t="shared" si="189"/>
        <v>0</v>
      </c>
      <c r="K136" s="95">
        <f t="shared" si="189"/>
        <v>0</v>
      </c>
      <c r="L136" s="95">
        <f t="shared" si="189"/>
        <v>0</v>
      </c>
      <c r="M136" s="95">
        <f t="shared" si="189"/>
        <v>0</v>
      </c>
      <c r="N136" s="95">
        <f t="shared" si="189"/>
        <v>396553724.95282</v>
      </c>
      <c r="O136" s="95">
        <f t="shared" si="189"/>
        <v>400000</v>
      </c>
      <c r="P136" s="95">
        <f t="shared" si="189"/>
        <v>0</v>
      </c>
      <c r="Q136" s="95">
        <f t="shared" si="189"/>
        <v>396953724.95282</v>
      </c>
      <c r="R136" s="95">
        <f t="shared" si="189"/>
        <v>37510885.157900006</v>
      </c>
      <c r="S136" s="95">
        <f t="shared" si="189"/>
        <v>359123059.071814</v>
      </c>
      <c r="T136" s="95">
        <f t="shared" si="189"/>
        <v>2214308.0994374226</v>
      </c>
      <c r="U136" s="95">
        <f t="shared" si="189"/>
        <v>4179325.9399027238</v>
      </c>
      <c r="V136" s="95">
        <f t="shared" si="189"/>
        <v>31117251.118559852</v>
      </c>
      <c r="W136" s="95">
        <f t="shared" si="189"/>
        <v>37510885.157900006</v>
      </c>
      <c r="X136" s="95">
        <f t="shared" si="189"/>
        <v>0</v>
      </c>
    </row>
    <row r="149" spans="28:29" x14ac:dyDescent="0.2">
      <c r="AB149" s="211">
        <v>541148777863</v>
      </c>
      <c r="AC149" s="211">
        <v>224770861283</v>
      </c>
    </row>
    <row r="150" spans="28:29" x14ac:dyDescent="0.2">
      <c r="AB150" s="211">
        <v>29813522485</v>
      </c>
      <c r="AC150" s="211">
        <v>26036783333</v>
      </c>
    </row>
    <row r="151" spans="28:29" x14ac:dyDescent="0.2">
      <c r="AB151" s="211"/>
      <c r="AC151" s="211"/>
    </row>
    <row r="152" spans="28:29" x14ac:dyDescent="0.2">
      <c r="AB152" s="211"/>
      <c r="AC152" s="211"/>
    </row>
    <row r="153" spans="28:29" x14ac:dyDescent="0.2">
      <c r="AB153" s="212">
        <f>AB149-AB150</f>
        <v>511335255378</v>
      </c>
      <c r="AC153" s="212">
        <f>AC149-AC150</f>
        <v>198734077950</v>
      </c>
    </row>
    <row r="155" spans="28:29" x14ac:dyDescent="0.2">
      <c r="AB155" s="211">
        <v>511335255378</v>
      </c>
      <c r="AC155" s="211">
        <v>198734077950</v>
      </c>
    </row>
  </sheetData>
  <mergeCells count="128">
    <mergeCell ref="L88:L89"/>
    <mergeCell ref="M88:M89"/>
    <mergeCell ref="N78:P78"/>
    <mergeCell ref="Q78:Q79"/>
    <mergeCell ref="R78:R79"/>
    <mergeCell ref="S78:S79"/>
    <mergeCell ref="A88:A89"/>
    <mergeCell ref="B88:B89"/>
    <mergeCell ref="C88:C89"/>
    <mergeCell ref="D88:D89"/>
    <mergeCell ref="E88:E89"/>
    <mergeCell ref="F88:F89"/>
    <mergeCell ref="G78:G79"/>
    <mergeCell ref="H78:H79"/>
    <mergeCell ref="I78:I79"/>
    <mergeCell ref="J78:K79"/>
    <mergeCell ref="L78:L79"/>
    <mergeCell ref="M78:M79"/>
    <mergeCell ref="N88:P88"/>
    <mergeCell ref="Q88:Q89"/>
    <mergeCell ref="R88:R89"/>
    <mergeCell ref="S88:S89"/>
    <mergeCell ref="G88:G89"/>
    <mergeCell ref="H88:H89"/>
    <mergeCell ref="I88:I89"/>
    <mergeCell ref="J88:K89"/>
    <mergeCell ref="A78:A79"/>
    <mergeCell ref="B78:B79"/>
    <mergeCell ref="C78:C79"/>
    <mergeCell ref="D78:D79"/>
    <mergeCell ref="E78:E79"/>
    <mergeCell ref="F78:F79"/>
    <mergeCell ref="G47:G48"/>
    <mergeCell ref="H47:H48"/>
    <mergeCell ref="I47:I48"/>
    <mergeCell ref="S27:S28"/>
    <mergeCell ref="A47:A48"/>
    <mergeCell ref="B47:B48"/>
    <mergeCell ref="C47:C48"/>
    <mergeCell ref="D47:D48"/>
    <mergeCell ref="E47:E48"/>
    <mergeCell ref="F47:F48"/>
    <mergeCell ref="G27:G28"/>
    <mergeCell ref="H27:H28"/>
    <mergeCell ref="I27:I28"/>
    <mergeCell ref="J27:K28"/>
    <mergeCell ref="L27:L28"/>
    <mergeCell ref="M27:M28"/>
    <mergeCell ref="N47:P47"/>
    <mergeCell ref="Q47:Q48"/>
    <mergeCell ref="R47:R48"/>
    <mergeCell ref="S47:S48"/>
    <mergeCell ref="J47:K48"/>
    <mergeCell ref="L47:L48"/>
    <mergeCell ref="M47:M48"/>
    <mergeCell ref="A27:A28"/>
    <mergeCell ref="B27:B28"/>
    <mergeCell ref="C27:C28"/>
    <mergeCell ref="D27:D28"/>
    <mergeCell ref="E27:E28"/>
    <mergeCell ref="F27:F28"/>
    <mergeCell ref="G17:G18"/>
    <mergeCell ref="H17:H18"/>
    <mergeCell ref="I17:I18"/>
    <mergeCell ref="R9:R10"/>
    <mergeCell ref="N27:P27"/>
    <mergeCell ref="Q27:Q28"/>
    <mergeCell ref="R27:R28"/>
    <mergeCell ref="S9:S10"/>
    <mergeCell ref="A17:A18"/>
    <mergeCell ref="B17:B18"/>
    <mergeCell ref="C17:C18"/>
    <mergeCell ref="D17:D18"/>
    <mergeCell ref="E17:E18"/>
    <mergeCell ref="F17:F18"/>
    <mergeCell ref="G9:G10"/>
    <mergeCell ref="H9:H10"/>
    <mergeCell ref="I9:I10"/>
    <mergeCell ref="J9:K10"/>
    <mergeCell ref="L9:L10"/>
    <mergeCell ref="M9:M10"/>
    <mergeCell ref="N17:P17"/>
    <mergeCell ref="Q17:Q18"/>
    <mergeCell ref="R17:R18"/>
    <mergeCell ref="S17:S18"/>
    <mergeCell ref="J17:K18"/>
    <mergeCell ref="L17:L18"/>
    <mergeCell ref="M17:M18"/>
    <mergeCell ref="N3:P3"/>
    <mergeCell ref="Q3:Q4"/>
    <mergeCell ref="R3:R4"/>
    <mergeCell ref="S3:S4"/>
    <mergeCell ref="A9:A10"/>
    <mergeCell ref="B9:B10"/>
    <mergeCell ref="C9:C10"/>
    <mergeCell ref="D9:D10"/>
    <mergeCell ref="E9:E10"/>
    <mergeCell ref="F9:F10"/>
    <mergeCell ref="G3:G4"/>
    <mergeCell ref="H3:H4"/>
    <mergeCell ref="I3:I4"/>
    <mergeCell ref="J3:K4"/>
    <mergeCell ref="L3:L4"/>
    <mergeCell ref="M3:M4"/>
    <mergeCell ref="A3:A4"/>
    <mergeCell ref="B3:B4"/>
    <mergeCell ref="C3:C4"/>
    <mergeCell ref="D3:D4"/>
    <mergeCell ref="E3:E4"/>
    <mergeCell ref="F3:F4"/>
    <mergeCell ref="N9:P9"/>
    <mergeCell ref="Q9:Q10"/>
    <mergeCell ref="J116:K117"/>
    <mergeCell ref="L116:L117"/>
    <mergeCell ref="M116:M117"/>
    <mergeCell ref="N116:P116"/>
    <mergeCell ref="Q116:Q117"/>
    <mergeCell ref="R116:R117"/>
    <mergeCell ref="S116:S117"/>
    <mergeCell ref="A116:A117"/>
    <mergeCell ref="B116:B117"/>
    <mergeCell ref="C116:C117"/>
    <mergeCell ref="D116:D117"/>
    <mergeCell ref="E116:E117"/>
    <mergeCell ref="F116:F117"/>
    <mergeCell ref="G116:G117"/>
    <mergeCell ref="H116:H117"/>
    <mergeCell ref="I116:I117"/>
  </mergeCells>
  <pageMargins left="0.43307086614173229" right="0.70866141732283472" top="0.74803149606299213" bottom="0.74803149606299213" header="0.31496062992125984" footer="0.31496062992125984"/>
  <pageSetup paperSize="5" scale="90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12"/>
  <sheetViews>
    <sheetView topLeftCell="A10" workbookViewId="0">
      <selection activeCell="T5" sqref="T5"/>
    </sheetView>
  </sheetViews>
  <sheetFormatPr defaultRowHeight="12" x14ac:dyDescent="0.2"/>
  <cols>
    <col min="1" max="1" width="4.140625" style="3" customWidth="1"/>
    <col min="2" max="2" width="15" style="3" bestFit="1" customWidth="1"/>
    <col min="3" max="3" width="19" style="3" customWidth="1"/>
    <col min="4" max="4" width="10.7109375" style="82" hidden="1" customWidth="1"/>
    <col min="5" max="5" width="9" style="203" customWidth="1"/>
    <col min="6" max="6" width="19.42578125" style="3" customWidth="1"/>
    <col min="7" max="7" width="9" style="143" customWidth="1"/>
    <col min="8" max="8" width="14.140625" style="3" customWidth="1"/>
    <col min="9" max="9" width="16.42578125" style="3" customWidth="1"/>
    <col min="10" max="10" width="11.140625" style="3" customWidth="1"/>
    <col min="11" max="11" width="10.5703125" style="3" customWidth="1"/>
    <col min="12" max="12" width="7.140625" style="3" customWidth="1"/>
    <col min="13" max="13" width="6.42578125" style="3" customWidth="1"/>
    <col min="14" max="14" width="12.5703125" style="3" hidden="1" customWidth="1"/>
    <col min="15" max="16" width="9.140625" style="3" hidden="1" customWidth="1"/>
    <col min="17" max="17" width="12" style="3" customWidth="1"/>
    <col min="18" max="18" width="11.7109375" style="3" hidden="1" customWidth="1"/>
    <col min="19" max="19" width="14.28515625" style="3" hidden="1" customWidth="1"/>
    <col min="20" max="20" width="15.7109375" style="3" customWidth="1"/>
    <col min="21" max="21" width="15.85546875" style="3" customWidth="1"/>
    <col min="22" max="22" width="13.85546875" style="3" customWidth="1"/>
    <col min="23" max="23" width="12.85546875" style="3" customWidth="1"/>
    <col min="24" max="26" width="9.28515625" style="3" bestFit="1" customWidth="1"/>
    <col min="27" max="16384" width="9.140625" style="3"/>
  </cols>
  <sheetData>
    <row r="2" spans="1:26" ht="14.25" customHeight="1" x14ac:dyDescent="0.2">
      <c r="A2" s="86" t="s">
        <v>69</v>
      </c>
      <c r="B2" s="62"/>
      <c r="C2" s="62"/>
      <c r="D2" s="57"/>
      <c r="E2" s="63"/>
      <c r="F2" s="64"/>
      <c r="G2" s="139"/>
      <c r="H2" s="66"/>
      <c r="I2" s="66"/>
      <c r="J2" s="67"/>
      <c r="K2" s="67"/>
      <c r="L2" s="68"/>
      <c r="M2" s="68"/>
      <c r="N2" s="69"/>
      <c r="O2" s="69"/>
      <c r="P2" s="69"/>
      <c r="Q2" s="69"/>
      <c r="R2" s="69"/>
      <c r="S2" s="69"/>
      <c r="T2" s="70"/>
      <c r="U2" s="71"/>
      <c r="V2" s="71"/>
    </row>
    <row r="3" spans="1:26" ht="14.25" customHeight="1" x14ac:dyDescent="0.2">
      <c r="A3" s="231" t="s">
        <v>0</v>
      </c>
      <c r="B3" s="232" t="s">
        <v>1</v>
      </c>
      <c r="C3" s="229" t="s">
        <v>2</v>
      </c>
      <c r="D3" s="233" t="s">
        <v>3</v>
      </c>
      <c r="E3" s="234" t="s">
        <v>4</v>
      </c>
      <c r="F3" s="232" t="s">
        <v>5</v>
      </c>
      <c r="G3" s="237" t="s">
        <v>6</v>
      </c>
      <c r="H3" s="236" t="s">
        <v>7</v>
      </c>
      <c r="I3" s="236" t="s">
        <v>8</v>
      </c>
      <c r="J3" s="227" t="s">
        <v>9</v>
      </c>
      <c r="K3" s="227"/>
      <c r="L3" s="228" t="s">
        <v>10</v>
      </c>
      <c r="M3" s="229" t="s">
        <v>11</v>
      </c>
      <c r="N3" s="230" t="s">
        <v>12</v>
      </c>
      <c r="O3" s="230"/>
      <c r="P3" s="230"/>
      <c r="Q3" s="229" t="s">
        <v>13</v>
      </c>
      <c r="R3" s="229" t="s">
        <v>14</v>
      </c>
      <c r="S3" s="229" t="s">
        <v>15</v>
      </c>
      <c r="T3" s="36">
        <v>2021</v>
      </c>
      <c r="U3" s="37"/>
      <c r="V3" s="38" t="s">
        <v>44</v>
      </c>
    </row>
    <row r="4" spans="1:26" ht="14.25" customHeight="1" x14ac:dyDescent="0.2">
      <c r="A4" s="231"/>
      <c r="B4" s="232"/>
      <c r="C4" s="229"/>
      <c r="D4" s="233"/>
      <c r="E4" s="234"/>
      <c r="F4" s="232"/>
      <c r="G4" s="237"/>
      <c r="H4" s="236"/>
      <c r="I4" s="236"/>
      <c r="J4" s="227"/>
      <c r="K4" s="227"/>
      <c r="L4" s="228"/>
      <c r="M4" s="229"/>
      <c r="N4" s="186" t="s">
        <v>16</v>
      </c>
      <c r="O4" s="186" t="s">
        <v>17</v>
      </c>
      <c r="P4" s="186" t="s">
        <v>18</v>
      </c>
      <c r="Q4" s="229"/>
      <c r="R4" s="229"/>
      <c r="S4" s="229"/>
      <c r="T4" s="96" t="s">
        <v>195</v>
      </c>
      <c r="U4" s="39" t="s">
        <v>196</v>
      </c>
      <c r="V4" s="40"/>
    </row>
    <row r="5" spans="1:26" x14ac:dyDescent="0.2">
      <c r="A5" s="72">
        <v>1</v>
      </c>
      <c r="B5" s="73" t="s">
        <v>49</v>
      </c>
      <c r="C5" s="73" t="s">
        <v>55</v>
      </c>
      <c r="D5" s="58">
        <v>44225</v>
      </c>
      <c r="E5" s="74">
        <v>1</v>
      </c>
      <c r="F5" s="73" t="s">
        <v>56</v>
      </c>
      <c r="G5" s="140">
        <v>1</v>
      </c>
      <c r="H5" s="42">
        <v>200000000</v>
      </c>
      <c r="I5" s="42">
        <f>H5*G5</f>
        <v>200000000</v>
      </c>
      <c r="J5" s="76">
        <v>44207</v>
      </c>
      <c r="K5" s="77">
        <f>IFERROR(VALUE(DAY(J5)&amp;" "&amp;TEXT(EOMONTH(J5,L5)-29,"mmm")&amp;" "&amp;YEAR(EOMONTH(J5,L5)-29)),"-")</f>
        <v>47494</v>
      </c>
      <c r="L5" s="78">
        <v>108</v>
      </c>
      <c r="M5" s="99">
        <v>23.21</v>
      </c>
      <c r="N5" s="81">
        <f t="shared" ref="N5" si="0">M5*H5/1000</f>
        <v>4642000</v>
      </c>
      <c r="O5" s="81"/>
      <c r="P5" s="81"/>
      <c r="Q5" s="81">
        <f t="shared" ref="Q5" si="1">N5+O5+P5</f>
        <v>4642000</v>
      </c>
      <c r="R5" s="81">
        <f t="shared" ref="R5" si="2">10%*N5</f>
        <v>464200</v>
      </c>
      <c r="S5" s="81">
        <f t="shared" ref="S5" si="3">Q5-R5</f>
        <v>4177800</v>
      </c>
      <c r="T5" s="42">
        <f>Q5*10%+(Y5*6)</f>
        <v>698469.15887850465</v>
      </c>
      <c r="U5" s="42">
        <f>Y5*12</f>
        <v>468538.31775700935</v>
      </c>
      <c r="V5" s="108">
        <f t="shared" ref="V5" si="4">Q5-T5-U5</f>
        <v>3474992.5233644857</v>
      </c>
      <c r="W5" s="2">
        <f t="shared" ref="W5" si="5">T5+U5+V5</f>
        <v>4642000</v>
      </c>
      <c r="X5" s="2">
        <f t="shared" ref="X5" si="6">Q5-W5</f>
        <v>0</v>
      </c>
      <c r="Y5" s="2">
        <v>39044.859813084113</v>
      </c>
      <c r="Z5" s="109">
        <f t="shared" ref="Z5" si="7">(Q5-T5)/(L5-1)</f>
        <v>36855.428421696219</v>
      </c>
    </row>
    <row r="6" spans="1:26" x14ac:dyDescent="0.2">
      <c r="A6" s="79"/>
      <c r="B6" s="59"/>
      <c r="C6" s="59"/>
      <c r="D6" s="59"/>
      <c r="E6" s="80">
        <f>SUM(E5:E5)</f>
        <v>1</v>
      </c>
      <c r="F6" s="80"/>
      <c r="G6" s="80"/>
      <c r="H6" s="79">
        <f>SUM(H5:H5)</f>
        <v>200000000</v>
      </c>
      <c r="I6" s="79">
        <f>SUM(I5:I5)</f>
        <v>200000000</v>
      </c>
      <c r="J6" s="79"/>
      <c r="K6" s="79"/>
      <c r="L6" s="79"/>
      <c r="M6" s="79"/>
      <c r="N6" s="79">
        <f t="shared" ref="N6:Z6" si="8">SUM(N5:N5)</f>
        <v>4642000</v>
      </c>
      <c r="O6" s="79">
        <f t="shared" si="8"/>
        <v>0</v>
      </c>
      <c r="P6" s="79">
        <f t="shared" si="8"/>
        <v>0</v>
      </c>
      <c r="Q6" s="79">
        <f t="shared" si="8"/>
        <v>4642000</v>
      </c>
      <c r="R6" s="79">
        <f t="shared" si="8"/>
        <v>464200</v>
      </c>
      <c r="S6" s="79">
        <f t="shared" si="8"/>
        <v>4177800</v>
      </c>
      <c r="T6" s="79">
        <f t="shared" si="8"/>
        <v>698469.15887850465</v>
      </c>
      <c r="U6" s="79">
        <f t="shared" si="8"/>
        <v>468538.31775700935</v>
      </c>
      <c r="V6" s="79">
        <f t="shared" si="8"/>
        <v>3474992.5233644857</v>
      </c>
      <c r="W6" s="79">
        <f t="shared" si="8"/>
        <v>4642000</v>
      </c>
      <c r="X6" s="79">
        <f t="shared" si="8"/>
        <v>0</v>
      </c>
      <c r="Y6" s="79">
        <f t="shared" si="8"/>
        <v>39044.859813084113</v>
      </c>
      <c r="Z6" s="79">
        <f t="shared" si="8"/>
        <v>36855.428421696219</v>
      </c>
    </row>
    <row r="8" spans="1:26" ht="14.25" customHeight="1" x14ac:dyDescent="0.2">
      <c r="A8" s="86" t="s">
        <v>70</v>
      </c>
      <c r="B8" s="62"/>
      <c r="C8" s="62"/>
      <c r="D8" s="57"/>
      <c r="E8" s="63"/>
      <c r="F8" s="64"/>
      <c r="G8" s="139"/>
      <c r="H8" s="66"/>
      <c r="I8" s="66"/>
      <c r="J8" s="67"/>
      <c r="K8" s="67"/>
      <c r="L8" s="68"/>
      <c r="M8" s="68"/>
      <c r="N8" s="69"/>
      <c r="O8" s="69"/>
      <c r="P8" s="69"/>
      <c r="Q8" s="69"/>
      <c r="R8" s="69"/>
      <c r="S8" s="69"/>
      <c r="T8" s="70"/>
      <c r="U8" s="71"/>
      <c r="V8" s="71"/>
    </row>
    <row r="9" spans="1:26" ht="14.25" customHeight="1" x14ac:dyDescent="0.2">
      <c r="A9" s="231" t="s">
        <v>0</v>
      </c>
      <c r="B9" s="232" t="s">
        <v>1</v>
      </c>
      <c r="C9" s="229" t="s">
        <v>2</v>
      </c>
      <c r="D9" s="233" t="s">
        <v>3</v>
      </c>
      <c r="E9" s="234" t="s">
        <v>4</v>
      </c>
      <c r="F9" s="232" t="s">
        <v>5</v>
      </c>
      <c r="G9" s="237" t="s">
        <v>6</v>
      </c>
      <c r="H9" s="236" t="s">
        <v>7</v>
      </c>
      <c r="I9" s="236" t="s">
        <v>8</v>
      </c>
      <c r="J9" s="227" t="s">
        <v>9</v>
      </c>
      <c r="K9" s="227"/>
      <c r="L9" s="228" t="s">
        <v>10</v>
      </c>
      <c r="M9" s="229" t="s">
        <v>11</v>
      </c>
      <c r="N9" s="230" t="s">
        <v>12</v>
      </c>
      <c r="O9" s="230"/>
      <c r="P9" s="230"/>
      <c r="Q9" s="229" t="s">
        <v>13</v>
      </c>
      <c r="R9" s="229" t="s">
        <v>14</v>
      </c>
      <c r="S9" s="229" t="s">
        <v>15</v>
      </c>
      <c r="T9" s="36">
        <v>2021</v>
      </c>
      <c r="U9" s="37"/>
      <c r="V9" s="38" t="s">
        <v>44</v>
      </c>
    </row>
    <row r="10" spans="1:26" ht="14.25" customHeight="1" x14ac:dyDescent="0.2">
      <c r="A10" s="231"/>
      <c r="B10" s="232"/>
      <c r="C10" s="229"/>
      <c r="D10" s="233"/>
      <c r="E10" s="234"/>
      <c r="F10" s="232"/>
      <c r="G10" s="237"/>
      <c r="H10" s="236"/>
      <c r="I10" s="236"/>
      <c r="J10" s="227"/>
      <c r="K10" s="227"/>
      <c r="L10" s="228"/>
      <c r="M10" s="229"/>
      <c r="N10" s="186" t="s">
        <v>16</v>
      </c>
      <c r="O10" s="186" t="s">
        <v>17</v>
      </c>
      <c r="P10" s="186" t="s">
        <v>18</v>
      </c>
      <c r="Q10" s="229"/>
      <c r="R10" s="229"/>
      <c r="S10" s="229"/>
      <c r="T10" s="104" t="s">
        <v>198</v>
      </c>
      <c r="U10" s="39" t="s">
        <v>196</v>
      </c>
      <c r="V10" s="106"/>
    </row>
    <row r="11" spans="1:26" x14ac:dyDescent="0.2">
      <c r="A11" s="72">
        <v>2</v>
      </c>
      <c r="B11" s="107" t="s">
        <v>59</v>
      </c>
      <c r="C11" s="107" t="s">
        <v>60</v>
      </c>
      <c r="D11" s="110">
        <v>44237</v>
      </c>
      <c r="E11" s="74">
        <v>1</v>
      </c>
      <c r="F11" s="107" t="s">
        <v>61</v>
      </c>
      <c r="G11" s="141">
        <v>1</v>
      </c>
      <c r="H11" s="112">
        <v>300000000</v>
      </c>
      <c r="I11" s="112">
        <f>H11*G11</f>
        <v>300000000</v>
      </c>
      <c r="J11" s="110">
        <v>44222</v>
      </c>
      <c r="K11" s="77">
        <f>IFERROR(VALUE(DAY(J11)&amp;" "&amp;TEXT(EOMONTH(J11,L11)-29,"mmm")&amp;" "&amp;YEAR(EOMONTH(J11,L11)-29)),"-")</f>
        <v>49700</v>
      </c>
      <c r="L11" s="107">
        <v>180</v>
      </c>
      <c r="M11" s="99">
        <v>37.520000000000003</v>
      </c>
      <c r="N11" s="81">
        <f t="shared" ref="N11" si="9">M11*H11/1000</f>
        <v>11256000</v>
      </c>
      <c r="O11" s="81"/>
      <c r="P11" s="81"/>
      <c r="Q11" s="81">
        <f t="shared" ref="Q11" si="10">N11+O11+P11</f>
        <v>11256000</v>
      </c>
      <c r="R11" s="81">
        <f t="shared" ref="R11" si="11">10%*N11</f>
        <v>1125600</v>
      </c>
      <c r="S11" s="81">
        <f t="shared" ref="S11" si="12">Q11-R11</f>
        <v>10130400</v>
      </c>
      <c r="T11" s="42">
        <f>Q11*10%+(Y11*5)</f>
        <v>1408572.067039106</v>
      </c>
      <c r="U11" s="42">
        <f t="shared" ref="U11" si="13">Y11*12</f>
        <v>679132.96089385473</v>
      </c>
      <c r="V11" s="108">
        <f t="shared" ref="V11" si="14">Q11-T11-U11</f>
        <v>9168294.9720670395</v>
      </c>
      <c r="W11" s="2">
        <f t="shared" ref="W11" si="15">T11+U11+V11</f>
        <v>11256000</v>
      </c>
      <c r="X11" s="2">
        <f t="shared" ref="X11" si="16">Q11-W11</f>
        <v>0</v>
      </c>
      <c r="Y11" s="2">
        <v>56594.41340782123</v>
      </c>
      <c r="Z11" s="109">
        <f t="shared" ref="Z11" si="17">(Q11-T11)/(L11-1)</f>
        <v>55013.563871289909</v>
      </c>
    </row>
    <row r="12" spans="1:26" x14ac:dyDescent="0.2">
      <c r="A12" s="79"/>
      <c r="B12" s="59"/>
      <c r="C12" s="59" t="s">
        <v>72</v>
      </c>
      <c r="D12" s="59"/>
      <c r="E12" s="80">
        <f>SUM(E11:E11)</f>
        <v>1</v>
      </c>
      <c r="F12" s="80"/>
      <c r="G12" s="80"/>
      <c r="H12" s="79">
        <f>SUM(H11:H11)</f>
        <v>300000000</v>
      </c>
      <c r="I12" s="79">
        <f>SUM(I11:I11)</f>
        <v>300000000</v>
      </c>
      <c r="J12" s="79"/>
      <c r="K12" s="79"/>
      <c r="L12" s="79"/>
      <c r="M12" s="79"/>
      <c r="N12" s="79">
        <f t="shared" ref="N12:Z12" si="18">SUM(N11:N11)</f>
        <v>11256000</v>
      </c>
      <c r="O12" s="79">
        <f t="shared" si="18"/>
        <v>0</v>
      </c>
      <c r="P12" s="79">
        <f t="shared" si="18"/>
        <v>0</v>
      </c>
      <c r="Q12" s="79">
        <f t="shared" si="18"/>
        <v>11256000</v>
      </c>
      <c r="R12" s="79">
        <f t="shared" si="18"/>
        <v>1125600</v>
      </c>
      <c r="S12" s="79">
        <f t="shared" si="18"/>
        <v>10130400</v>
      </c>
      <c r="T12" s="79">
        <f t="shared" si="18"/>
        <v>1408572.067039106</v>
      </c>
      <c r="U12" s="79">
        <f t="shared" si="18"/>
        <v>679132.96089385473</v>
      </c>
      <c r="V12" s="79">
        <f t="shared" si="18"/>
        <v>9168294.9720670395</v>
      </c>
      <c r="W12" s="79">
        <f t="shared" si="18"/>
        <v>11256000</v>
      </c>
      <c r="X12" s="79">
        <f t="shared" si="18"/>
        <v>0</v>
      </c>
      <c r="Y12" s="79">
        <f t="shared" si="18"/>
        <v>56594.41340782123</v>
      </c>
      <c r="Z12" s="79">
        <f t="shared" si="18"/>
        <v>55013.563871289909</v>
      </c>
    </row>
    <row r="13" spans="1:26" s="94" customFormat="1" x14ac:dyDescent="0.2">
      <c r="A13" s="83"/>
      <c r="B13" s="83"/>
      <c r="C13" s="83" t="s">
        <v>73</v>
      </c>
      <c r="D13" s="84"/>
      <c r="E13" s="93">
        <f>E12+E6</f>
        <v>2</v>
      </c>
      <c r="F13" s="83"/>
      <c r="G13" s="142"/>
      <c r="H13" s="87">
        <f>H12+H6</f>
        <v>500000000</v>
      </c>
      <c r="I13" s="87">
        <f>I12+I6</f>
        <v>500000000</v>
      </c>
      <c r="J13" s="83"/>
      <c r="K13" s="83"/>
      <c r="L13" s="83"/>
      <c r="M13" s="83"/>
      <c r="N13" s="83"/>
      <c r="O13" s="83"/>
      <c r="P13" s="83"/>
      <c r="Q13" s="87">
        <f t="shared" ref="Q13:Z13" si="19">Q12+Q6</f>
        <v>15898000</v>
      </c>
      <c r="R13" s="87">
        <f t="shared" si="19"/>
        <v>1589800</v>
      </c>
      <c r="S13" s="87">
        <f t="shared" si="19"/>
        <v>14308200</v>
      </c>
      <c r="T13" s="87">
        <f t="shared" si="19"/>
        <v>2107041.2259176108</v>
      </c>
      <c r="U13" s="87">
        <f t="shared" si="19"/>
        <v>1147671.278650864</v>
      </c>
      <c r="V13" s="87">
        <f t="shared" si="19"/>
        <v>12643287.495431526</v>
      </c>
      <c r="W13" s="87">
        <f t="shared" si="19"/>
        <v>15898000</v>
      </c>
      <c r="X13" s="87">
        <f t="shared" si="19"/>
        <v>0</v>
      </c>
      <c r="Y13" s="87">
        <f t="shared" si="19"/>
        <v>95639.273220905336</v>
      </c>
      <c r="Z13" s="87">
        <f t="shared" si="19"/>
        <v>91868.992292986135</v>
      </c>
    </row>
    <row r="16" spans="1:26" ht="23.25" x14ac:dyDescent="0.2">
      <c r="A16" s="86" t="s">
        <v>87</v>
      </c>
      <c r="B16" s="62"/>
      <c r="C16" s="62"/>
      <c r="D16" s="57"/>
      <c r="E16" s="63"/>
      <c r="F16" s="64"/>
      <c r="G16" s="139"/>
      <c r="H16" s="66"/>
      <c r="I16" s="66"/>
      <c r="J16" s="67"/>
      <c r="K16" s="67"/>
      <c r="L16" s="68"/>
      <c r="M16" s="68"/>
      <c r="N16" s="69"/>
      <c r="O16" s="69"/>
      <c r="P16" s="69"/>
      <c r="Q16" s="69"/>
      <c r="R16" s="69"/>
      <c r="S16" s="69"/>
      <c r="T16" s="70"/>
      <c r="U16" s="71"/>
      <c r="V16" s="71"/>
    </row>
    <row r="17" spans="1:26" x14ac:dyDescent="0.2">
      <c r="A17" s="231" t="s">
        <v>0</v>
      </c>
      <c r="B17" s="232" t="s">
        <v>1</v>
      </c>
      <c r="C17" s="229" t="s">
        <v>2</v>
      </c>
      <c r="D17" s="233" t="s">
        <v>3</v>
      </c>
      <c r="E17" s="234" t="s">
        <v>4</v>
      </c>
      <c r="F17" s="232" t="s">
        <v>5</v>
      </c>
      <c r="G17" s="237" t="s">
        <v>6</v>
      </c>
      <c r="H17" s="236" t="s">
        <v>7</v>
      </c>
      <c r="I17" s="236" t="s">
        <v>8</v>
      </c>
      <c r="J17" s="227" t="s">
        <v>9</v>
      </c>
      <c r="K17" s="227"/>
      <c r="L17" s="228" t="s">
        <v>10</v>
      </c>
      <c r="M17" s="229" t="s">
        <v>11</v>
      </c>
      <c r="N17" s="230" t="s">
        <v>12</v>
      </c>
      <c r="O17" s="230"/>
      <c r="P17" s="230"/>
      <c r="Q17" s="229" t="s">
        <v>13</v>
      </c>
      <c r="R17" s="229" t="s">
        <v>14</v>
      </c>
      <c r="S17" s="229" t="s">
        <v>15</v>
      </c>
      <c r="T17" s="36">
        <v>2021</v>
      </c>
      <c r="U17" s="37"/>
      <c r="V17" s="38" t="s">
        <v>44</v>
      </c>
    </row>
    <row r="18" spans="1:26" x14ac:dyDescent="0.2">
      <c r="A18" s="231"/>
      <c r="B18" s="232"/>
      <c r="C18" s="229"/>
      <c r="D18" s="233"/>
      <c r="E18" s="234"/>
      <c r="F18" s="232"/>
      <c r="G18" s="237"/>
      <c r="H18" s="236"/>
      <c r="I18" s="236"/>
      <c r="J18" s="227"/>
      <c r="K18" s="227"/>
      <c r="L18" s="228"/>
      <c r="M18" s="229"/>
      <c r="N18" s="186" t="s">
        <v>16</v>
      </c>
      <c r="O18" s="186" t="s">
        <v>17</v>
      </c>
      <c r="P18" s="186" t="s">
        <v>18</v>
      </c>
      <c r="Q18" s="229"/>
      <c r="R18" s="229"/>
      <c r="S18" s="229"/>
      <c r="T18" s="96" t="s">
        <v>197</v>
      </c>
      <c r="U18" s="39" t="s">
        <v>196</v>
      </c>
      <c r="V18" s="40"/>
    </row>
    <row r="19" spans="1:26" x14ac:dyDescent="0.2">
      <c r="A19" s="74">
        <v>3</v>
      </c>
      <c r="B19" s="107" t="s">
        <v>49</v>
      </c>
      <c r="C19" s="107" t="s">
        <v>78</v>
      </c>
      <c r="D19" s="110">
        <v>44237</v>
      </c>
      <c r="E19" s="74">
        <v>1</v>
      </c>
      <c r="F19" s="107" t="s">
        <v>79</v>
      </c>
      <c r="G19" s="141">
        <v>1</v>
      </c>
      <c r="H19" s="112">
        <v>40000000</v>
      </c>
      <c r="I19" s="112">
        <f>H19*G19</f>
        <v>40000000</v>
      </c>
      <c r="J19" s="110">
        <v>44245</v>
      </c>
      <c r="K19" s="77">
        <f>IFERROR(VALUE(DAY(J19)&amp;" "&amp;TEXT(EOMONTH(J19,L19)-29,"mmm")&amp;" "&amp;YEAR(EOMONTH(J19,L19)-29)),"-")</f>
        <v>44944</v>
      </c>
      <c r="L19" s="107">
        <v>24</v>
      </c>
      <c r="M19" s="99">
        <v>21.1</v>
      </c>
      <c r="N19" s="81">
        <f t="shared" ref="N19" si="20">M19*H19/1000</f>
        <v>844000</v>
      </c>
      <c r="O19" s="81"/>
      <c r="P19" s="81"/>
      <c r="Q19" s="81">
        <f t="shared" ref="Q19" si="21">N19+O19+P19</f>
        <v>844000</v>
      </c>
      <c r="R19" s="81">
        <f t="shared" ref="R19" si="22">10%*N19</f>
        <v>84400</v>
      </c>
      <c r="S19" s="81">
        <f t="shared" ref="S19" si="23">Q19-R19</f>
        <v>759600</v>
      </c>
      <c r="T19" s="42">
        <f>Q19*10%+(Y19*4)</f>
        <v>216504.3478260868</v>
      </c>
      <c r="U19" s="42">
        <f>Y19*12</f>
        <v>396313.0434782604</v>
      </c>
      <c r="V19" s="108">
        <f t="shared" ref="V19" si="24">Q19-T19-U19</f>
        <v>231182.6086956528</v>
      </c>
      <c r="W19" s="2">
        <f t="shared" ref="W19" si="25">T19+U19+V19</f>
        <v>844000</v>
      </c>
      <c r="X19" s="2">
        <f t="shared" ref="X19" si="26">Q19-W19</f>
        <v>0</v>
      </c>
      <c r="Y19" s="2">
        <v>33026.0869565217</v>
      </c>
      <c r="Z19" s="109">
        <f>(Q19-T19)/(L19-1)</f>
        <v>27282.419659735355</v>
      </c>
    </row>
    <row r="20" spans="1:26" x14ac:dyDescent="0.2">
      <c r="A20" s="88"/>
      <c r="B20" s="84"/>
      <c r="C20" s="84"/>
      <c r="D20" s="84"/>
      <c r="E20" s="88">
        <f>SUM(E19:E19)</f>
        <v>1</v>
      </c>
      <c r="F20" s="84"/>
      <c r="G20" s="40"/>
      <c r="H20" s="59">
        <f>SUM(H19:H19)</f>
        <v>40000000</v>
      </c>
      <c r="I20" s="59">
        <f>SUM(I19:I19)</f>
        <v>40000000</v>
      </c>
      <c r="J20" s="59"/>
      <c r="K20" s="59"/>
      <c r="L20" s="59"/>
      <c r="M20" s="59"/>
      <c r="N20" s="59">
        <f t="shared" ref="N20:Z20" si="27">SUM(N19:N19)</f>
        <v>844000</v>
      </c>
      <c r="O20" s="59">
        <f t="shared" si="27"/>
        <v>0</v>
      </c>
      <c r="P20" s="59">
        <f t="shared" si="27"/>
        <v>0</v>
      </c>
      <c r="Q20" s="59">
        <f t="shared" si="27"/>
        <v>844000</v>
      </c>
      <c r="R20" s="59">
        <f t="shared" si="27"/>
        <v>84400</v>
      </c>
      <c r="S20" s="59">
        <f t="shared" si="27"/>
        <v>759600</v>
      </c>
      <c r="T20" s="59">
        <f t="shared" si="27"/>
        <v>216504.3478260868</v>
      </c>
      <c r="U20" s="59">
        <f t="shared" si="27"/>
        <v>396313.0434782604</v>
      </c>
      <c r="V20" s="59">
        <f t="shared" si="27"/>
        <v>231182.6086956528</v>
      </c>
      <c r="W20" s="59">
        <f t="shared" si="27"/>
        <v>844000</v>
      </c>
      <c r="X20" s="59">
        <f t="shared" si="27"/>
        <v>0</v>
      </c>
      <c r="Y20" s="59">
        <f t="shared" si="27"/>
        <v>33026.0869565217</v>
      </c>
      <c r="Z20" s="59">
        <f t="shared" si="27"/>
        <v>27282.419659735355</v>
      </c>
    </row>
    <row r="21" spans="1:26" x14ac:dyDescent="0.2">
      <c r="A21" s="74">
        <v>4</v>
      </c>
      <c r="B21" s="107" t="s">
        <v>84</v>
      </c>
      <c r="C21" s="107" t="s">
        <v>85</v>
      </c>
      <c r="D21" s="110">
        <v>44286</v>
      </c>
      <c r="E21" s="74">
        <v>1</v>
      </c>
      <c r="F21" s="107" t="s">
        <v>86</v>
      </c>
      <c r="G21" s="141">
        <v>1</v>
      </c>
      <c r="H21" s="112">
        <v>300000000</v>
      </c>
      <c r="I21" s="112">
        <f>H21*G21</f>
        <v>300000000</v>
      </c>
      <c r="J21" s="110">
        <v>44263</v>
      </c>
      <c r="K21" s="77">
        <f t="shared" ref="K21" si="28">IFERROR(VALUE(DAY(J21)&amp;" "&amp;TEXT(EOMONTH(J21,L21)-29,"mmm")&amp;" "&amp;YEAR(EOMONTH(J21,L21)-29)),"-")</f>
        <v>44993</v>
      </c>
      <c r="L21" s="107">
        <v>24</v>
      </c>
      <c r="M21" s="99">
        <v>51.12</v>
      </c>
      <c r="N21" s="81">
        <f t="shared" ref="N21" si="29">M21*H21/1000</f>
        <v>15336000</v>
      </c>
      <c r="O21" s="81"/>
      <c r="P21" s="81"/>
      <c r="Q21" s="81">
        <f t="shared" ref="Q21" si="30">N21+O21+P21</f>
        <v>15336000</v>
      </c>
      <c r="R21" s="81">
        <f t="shared" ref="R21" si="31">10%*N21</f>
        <v>1533600</v>
      </c>
      <c r="S21" s="81">
        <f t="shared" ref="S21" si="32">Q21-R21</f>
        <v>13802400</v>
      </c>
      <c r="T21" s="42">
        <f>Q21*10%+(Y21*4)</f>
        <v>1759977.6536312848</v>
      </c>
      <c r="U21" s="42">
        <f>Y21*12</f>
        <v>679132.96089385473</v>
      </c>
      <c r="V21" s="108">
        <f t="shared" ref="V21" si="33">Q21-T21-U21</f>
        <v>12896889.385474861</v>
      </c>
      <c r="W21" s="2">
        <f t="shared" ref="W21" si="34">T21+U21+V21</f>
        <v>15336000</v>
      </c>
      <c r="X21" s="2">
        <f t="shared" ref="X21" si="35">Q21-W21</f>
        <v>0</v>
      </c>
      <c r="Y21" s="2">
        <v>56594.41340782123</v>
      </c>
      <c r="Z21" s="109">
        <f>(Q21-T21)/(L21-1)</f>
        <v>590261.84114646586</v>
      </c>
    </row>
    <row r="22" spans="1:26" x14ac:dyDescent="0.2">
      <c r="A22" s="88"/>
      <c r="B22" s="84"/>
      <c r="C22" s="84"/>
      <c r="D22" s="84"/>
      <c r="E22" s="88">
        <f>SUM(E21:E21)</f>
        <v>1</v>
      </c>
      <c r="F22" s="84"/>
      <c r="G22" s="40"/>
      <c r="H22" s="59">
        <f>SUM(H21:H21)</f>
        <v>300000000</v>
      </c>
      <c r="I22" s="59">
        <f>SUM(I21:I21)</f>
        <v>300000000</v>
      </c>
      <c r="J22" s="59"/>
      <c r="K22" s="59"/>
      <c r="L22" s="59"/>
      <c r="M22" s="59"/>
      <c r="N22" s="59">
        <f t="shared" ref="N22:Z22" si="36">SUM(N21:N21)</f>
        <v>15336000</v>
      </c>
      <c r="O22" s="59">
        <f t="shared" si="36"/>
        <v>0</v>
      </c>
      <c r="P22" s="59">
        <f t="shared" si="36"/>
        <v>0</v>
      </c>
      <c r="Q22" s="59">
        <f t="shared" si="36"/>
        <v>15336000</v>
      </c>
      <c r="R22" s="59">
        <f t="shared" si="36"/>
        <v>1533600</v>
      </c>
      <c r="S22" s="59">
        <f t="shared" si="36"/>
        <v>13802400</v>
      </c>
      <c r="T22" s="59">
        <f t="shared" si="36"/>
        <v>1759977.6536312848</v>
      </c>
      <c r="U22" s="59">
        <f t="shared" si="36"/>
        <v>679132.96089385473</v>
      </c>
      <c r="V22" s="59">
        <f t="shared" si="36"/>
        <v>12896889.385474861</v>
      </c>
      <c r="W22" s="59">
        <f t="shared" si="36"/>
        <v>15336000</v>
      </c>
      <c r="X22" s="59">
        <f t="shared" si="36"/>
        <v>0</v>
      </c>
      <c r="Y22" s="59">
        <f t="shared" si="36"/>
        <v>56594.41340782123</v>
      </c>
      <c r="Z22" s="59">
        <f t="shared" si="36"/>
        <v>590261.84114646586</v>
      </c>
    </row>
    <row r="23" spans="1:26" x14ac:dyDescent="0.2">
      <c r="A23" s="83"/>
      <c r="B23" s="83"/>
      <c r="C23" s="83" t="s">
        <v>92</v>
      </c>
      <c r="D23" s="84"/>
      <c r="E23" s="93">
        <f>E22+E20</f>
        <v>2</v>
      </c>
      <c r="F23" s="87">
        <f t="shared" ref="F23:Z23" si="37">F22+F20</f>
        <v>0</v>
      </c>
      <c r="G23" s="87">
        <f t="shared" si="37"/>
        <v>0</v>
      </c>
      <c r="H23" s="87">
        <f t="shared" si="37"/>
        <v>340000000</v>
      </c>
      <c r="I23" s="87">
        <f t="shared" si="37"/>
        <v>340000000</v>
      </c>
      <c r="J23" s="87">
        <f t="shared" si="37"/>
        <v>0</v>
      </c>
      <c r="K23" s="87">
        <f t="shared" si="37"/>
        <v>0</v>
      </c>
      <c r="L23" s="87"/>
      <c r="M23" s="87"/>
      <c r="N23" s="87">
        <f t="shared" si="37"/>
        <v>16180000</v>
      </c>
      <c r="O23" s="87">
        <f t="shared" si="37"/>
        <v>0</v>
      </c>
      <c r="P23" s="87">
        <f t="shared" si="37"/>
        <v>0</v>
      </c>
      <c r="Q23" s="87">
        <f t="shared" si="37"/>
        <v>16180000</v>
      </c>
      <c r="R23" s="87">
        <f t="shared" si="37"/>
        <v>1618000</v>
      </c>
      <c r="S23" s="87">
        <f t="shared" si="37"/>
        <v>14562000</v>
      </c>
      <c r="T23" s="87">
        <f t="shared" si="37"/>
        <v>1976482.0014573717</v>
      </c>
      <c r="U23" s="87">
        <f t="shared" si="37"/>
        <v>1075446.0043721152</v>
      </c>
      <c r="V23" s="87">
        <f t="shared" si="37"/>
        <v>13128071.994170513</v>
      </c>
      <c r="W23" s="87">
        <f t="shared" si="37"/>
        <v>16180000</v>
      </c>
      <c r="X23" s="87">
        <f t="shared" si="37"/>
        <v>0</v>
      </c>
      <c r="Y23" s="87">
        <f t="shared" si="37"/>
        <v>89620.500364342937</v>
      </c>
      <c r="Z23" s="87">
        <f t="shared" si="37"/>
        <v>617544.26080620126</v>
      </c>
    </row>
    <row r="24" spans="1:26" x14ac:dyDescent="0.2">
      <c r="A24" s="89"/>
      <c r="B24" s="89"/>
      <c r="C24" s="83" t="s">
        <v>93</v>
      </c>
      <c r="D24" s="89"/>
      <c r="E24" s="85">
        <f>E23+E13</f>
        <v>4</v>
      </c>
      <c r="F24" s="91">
        <f t="shared" ref="F24:Z24" si="38">F23+F13</f>
        <v>0</v>
      </c>
      <c r="G24" s="91">
        <f t="shared" si="38"/>
        <v>0</v>
      </c>
      <c r="H24" s="91">
        <f t="shared" si="38"/>
        <v>840000000</v>
      </c>
      <c r="I24" s="91">
        <f t="shared" si="38"/>
        <v>840000000</v>
      </c>
      <c r="J24" s="91">
        <f t="shared" si="38"/>
        <v>0</v>
      </c>
      <c r="K24" s="91">
        <f t="shared" si="38"/>
        <v>0</v>
      </c>
      <c r="L24" s="91">
        <f t="shared" si="38"/>
        <v>0</v>
      </c>
      <c r="M24" s="91">
        <f t="shared" si="38"/>
        <v>0</v>
      </c>
      <c r="N24" s="91">
        <f t="shared" si="38"/>
        <v>16180000</v>
      </c>
      <c r="O24" s="91">
        <f t="shared" si="38"/>
        <v>0</v>
      </c>
      <c r="P24" s="91">
        <f t="shared" si="38"/>
        <v>0</v>
      </c>
      <c r="Q24" s="91">
        <f t="shared" si="38"/>
        <v>32078000</v>
      </c>
      <c r="R24" s="91">
        <f t="shared" si="38"/>
        <v>3207800</v>
      </c>
      <c r="S24" s="91">
        <f t="shared" si="38"/>
        <v>28870200</v>
      </c>
      <c r="T24" s="91">
        <f t="shared" si="38"/>
        <v>4083523.2273749826</v>
      </c>
      <c r="U24" s="91">
        <f t="shared" si="38"/>
        <v>2223117.2830229793</v>
      </c>
      <c r="V24" s="91">
        <f t="shared" si="38"/>
        <v>25771359.489602037</v>
      </c>
      <c r="W24" s="91">
        <f t="shared" si="38"/>
        <v>32078000</v>
      </c>
      <c r="X24" s="91">
        <f t="shared" si="38"/>
        <v>0</v>
      </c>
      <c r="Y24" s="91">
        <f t="shared" si="38"/>
        <v>185259.77358524827</v>
      </c>
      <c r="Z24" s="91">
        <f t="shared" si="38"/>
        <v>709413.25309918739</v>
      </c>
    </row>
    <row r="25" spans="1:26" x14ac:dyDescent="0.2">
      <c r="D25" s="3"/>
    </row>
    <row r="26" spans="1:26" ht="23.25" x14ac:dyDescent="0.2">
      <c r="A26" s="86" t="s">
        <v>117</v>
      </c>
      <c r="B26" s="62"/>
      <c r="C26" s="62"/>
      <c r="D26" s="57"/>
      <c r="E26" s="63"/>
      <c r="F26" s="64"/>
      <c r="G26" s="139"/>
      <c r="H26" s="66"/>
      <c r="I26" s="66"/>
      <c r="J26" s="67"/>
      <c r="K26" s="67"/>
      <c r="L26" s="68"/>
      <c r="M26" s="68"/>
      <c r="N26" s="69"/>
      <c r="O26" s="69"/>
      <c r="P26" s="69"/>
      <c r="Q26" s="69"/>
      <c r="R26" s="69"/>
      <c r="S26" s="69"/>
      <c r="T26" s="70"/>
      <c r="U26" s="71"/>
      <c r="V26" s="71"/>
    </row>
    <row r="27" spans="1:26" x14ac:dyDescent="0.2">
      <c r="A27" s="231" t="s">
        <v>0</v>
      </c>
      <c r="B27" s="232" t="s">
        <v>1</v>
      </c>
      <c r="C27" s="229" t="s">
        <v>2</v>
      </c>
      <c r="D27" s="233" t="s">
        <v>3</v>
      </c>
      <c r="E27" s="234" t="s">
        <v>4</v>
      </c>
      <c r="F27" s="232" t="s">
        <v>5</v>
      </c>
      <c r="G27" s="237" t="s">
        <v>6</v>
      </c>
      <c r="H27" s="236" t="s">
        <v>7</v>
      </c>
      <c r="I27" s="236" t="s">
        <v>8</v>
      </c>
      <c r="J27" s="227" t="s">
        <v>9</v>
      </c>
      <c r="K27" s="227"/>
      <c r="L27" s="228" t="s">
        <v>10</v>
      </c>
      <c r="M27" s="229" t="s">
        <v>11</v>
      </c>
      <c r="N27" s="230" t="s">
        <v>12</v>
      </c>
      <c r="O27" s="230"/>
      <c r="P27" s="230"/>
      <c r="Q27" s="229" t="s">
        <v>13</v>
      </c>
      <c r="R27" s="229" t="s">
        <v>14</v>
      </c>
      <c r="S27" s="229" t="s">
        <v>15</v>
      </c>
      <c r="T27" s="36">
        <v>2021</v>
      </c>
      <c r="U27" s="37"/>
      <c r="V27" s="38" t="s">
        <v>44</v>
      </c>
    </row>
    <row r="28" spans="1:26" x14ac:dyDescent="0.2">
      <c r="A28" s="231"/>
      <c r="B28" s="232"/>
      <c r="C28" s="229"/>
      <c r="D28" s="233"/>
      <c r="E28" s="234"/>
      <c r="F28" s="232"/>
      <c r="G28" s="237"/>
      <c r="H28" s="236"/>
      <c r="I28" s="236"/>
      <c r="J28" s="227"/>
      <c r="K28" s="227"/>
      <c r="L28" s="228"/>
      <c r="M28" s="229"/>
      <c r="N28" s="186" t="s">
        <v>16</v>
      </c>
      <c r="O28" s="186" t="s">
        <v>17</v>
      </c>
      <c r="P28" s="186" t="s">
        <v>18</v>
      </c>
      <c r="Q28" s="229"/>
      <c r="R28" s="229"/>
      <c r="S28" s="229"/>
      <c r="T28" s="96" t="s">
        <v>199</v>
      </c>
      <c r="U28" s="39" t="s">
        <v>196</v>
      </c>
      <c r="V28" s="40"/>
    </row>
    <row r="29" spans="1:26" x14ac:dyDescent="0.2">
      <c r="A29" s="74">
        <v>5</v>
      </c>
      <c r="B29" s="107" t="s">
        <v>46</v>
      </c>
      <c r="C29" s="107" t="s">
        <v>96</v>
      </c>
      <c r="D29" s="110">
        <v>44313</v>
      </c>
      <c r="E29" s="74">
        <v>1</v>
      </c>
      <c r="F29" s="107" t="s">
        <v>47</v>
      </c>
      <c r="G29" s="111">
        <v>1</v>
      </c>
      <c r="H29" s="112">
        <v>57599206</v>
      </c>
      <c r="I29" s="112">
        <f>H29*G29</f>
        <v>57599206</v>
      </c>
      <c r="J29" s="110">
        <v>46069</v>
      </c>
      <c r="K29" s="77">
        <v>46446</v>
      </c>
      <c r="L29" s="107">
        <v>12</v>
      </c>
      <c r="M29" s="99">
        <v>9.1</v>
      </c>
      <c r="N29" s="81">
        <f t="shared" ref="N29:N30" si="39">M29*H29/1000</f>
        <v>524152.77459999995</v>
      </c>
      <c r="O29" s="81">
        <v>100000</v>
      </c>
      <c r="P29" s="81"/>
      <c r="Q29" s="81">
        <f t="shared" ref="Q29:Q30" si="40">N29+O29+P29</f>
        <v>624152.77459999989</v>
      </c>
      <c r="R29" s="81"/>
      <c r="S29" s="81">
        <f t="shared" ref="S29:S30" si="41">Q29-R29</f>
        <v>624152.77459999989</v>
      </c>
      <c r="T29" s="42">
        <f>Q29*10%+(Y29*3)</f>
        <v>215616.4130436363</v>
      </c>
      <c r="U29" s="42">
        <f>Y29*8</f>
        <v>408536.36155636352</v>
      </c>
      <c r="V29" s="108">
        <f t="shared" ref="V29:V41" si="42">Q29-T29-U29</f>
        <v>0</v>
      </c>
      <c r="W29" s="2">
        <f t="shared" ref="W29:W41" si="43">T29+U29+V29</f>
        <v>624152.77459999989</v>
      </c>
      <c r="X29" s="2">
        <f t="shared" ref="X29:X41" si="44">Q29-W29</f>
        <v>0</v>
      </c>
      <c r="Y29" s="2">
        <v>51067.045194545441</v>
      </c>
      <c r="Z29" s="109">
        <f>(Q29-T29)/(L29-1)</f>
        <v>37139.669232396693</v>
      </c>
    </row>
    <row r="30" spans="1:26" x14ac:dyDescent="0.2">
      <c r="A30" s="74"/>
      <c r="B30" s="107"/>
      <c r="C30" s="107"/>
      <c r="D30" s="110"/>
      <c r="E30" s="74">
        <v>1</v>
      </c>
      <c r="F30" s="107" t="s">
        <v>48</v>
      </c>
      <c r="G30" s="111">
        <v>1</v>
      </c>
      <c r="H30" s="112">
        <v>11844392</v>
      </c>
      <c r="I30" s="112">
        <f>H30*G30</f>
        <v>11844392</v>
      </c>
      <c r="J30" s="110">
        <v>46523</v>
      </c>
      <c r="K30" s="77">
        <v>46768</v>
      </c>
      <c r="L30" s="107">
        <v>8</v>
      </c>
      <c r="M30" s="99">
        <v>5.46</v>
      </c>
      <c r="N30" s="81">
        <f t="shared" si="39"/>
        <v>64670.380320000004</v>
      </c>
      <c r="O30" s="81">
        <v>100000</v>
      </c>
      <c r="P30" s="81"/>
      <c r="Q30" s="81">
        <f t="shared" si="40"/>
        <v>164670.38032</v>
      </c>
      <c r="R30" s="81"/>
      <c r="S30" s="81">
        <f t="shared" si="41"/>
        <v>164670.38032</v>
      </c>
      <c r="T30" s="42">
        <f>Q30*10%+(Y30*3)</f>
        <v>79982.756155428564</v>
      </c>
      <c r="U30" s="42">
        <f>Y30*4</f>
        <v>84687.624164571418</v>
      </c>
      <c r="V30" s="108">
        <f t="shared" si="42"/>
        <v>0</v>
      </c>
      <c r="W30" s="2">
        <f t="shared" si="43"/>
        <v>164670.38032</v>
      </c>
      <c r="X30" s="2">
        <f t="shared" si="44"/>
        <v>0</v>
      </c>
      <c r="Y30" s="2">
        <v>21171.906041142855</v>
      </c>
      <c r="Z30" s="109">
        <f t="shared" ref="Z30:Z41" si="45">(Q30-T30)/(L30-1)</f>
        <v>12098.232023510205</v>
      </c>
    </row>
    <row r="31" spans="1:26" x14ac:dyDescent="0.2">
      <c r="A31" s="88"/>
      <c r="B31" s="84"/>
      <c r="C31" s="84"/>
      <c r="D31" s="84"/>
      <c r="E31" s="88"/>
      <c r="F31" s="84"/>
      <c r="G31" s="115"/>
      <c r="H31" s="59"/>
      <c r="I31" s="59"/>
      <c r="J31" s="59"/>
      <c r="K31" s="59"/>
      <c r="L31" s="59"/>
      <c r="M31" s="59"/>
      <c r="N31" s="59">
        <f t="shared" ref="N31:Z31" si="46">SUM(N29:N30)</f>
        <v>588823.15492</v>
      </c>
      <c r="O31" s="59">
        <f t="shared" si="46"/>
        <v>200000</v>
      </c>
      <c r="P31" s="59">
        <f t="shared" si="46"/>
        <v>0</v>
      </c>
      <c r="Q31" s="59">
        <f t="shared" si="46"/>
        <v>788823.15491999988</v>
      </c>
      <c r="R31" s="59">
        <f t="shared" si="46"/>
        <v>0</v>
      </c>
      <c r="S31" s="59">
        <f t="shared" si="46"/>
        <v>788823.15491999988</v>
      </c>
      <c r="T31" s="59">
        <f t="shared" si="46"/>
        <v>295599.16919906484</v>
      </c>
      <c r="U31" s="59">
        <f t="shared" si="46"/>
        <v>493223.98572093493</v>
      </c>
      <c r="V31" s="59">
        <f t="shared" si="46"/>
        <v>0</v>
      </c>
      <c r="W31" s="59">
        <f t="shared" si="46"/>
        <v>788823.15491999988</v>
      </c>
      <c r="X31" s="59">
        <f t="shared" si="46"/>
        <v>0</v>
      </c>
      <c r="Y31" s="59">
        <f t="shared" si="46"/>
        <v>72238.951235688291</v>
      </c>
      <c r="Z31" s="59">
        <f t="shared" si="46"/>
        <v>49237.901255906894</v>
      </c>
    </row>
    <row r="32" spans="1:26" x14ac:dyDescent="0.2">
      <c r="A32" s="74">
        <v>6</v>
      </c>
      <c r="B32" s="107" t="s">
        <v>49</v>
      </c>
      <c r="C32" s="107" t="s">
        <v>101</v>
      </c>
      <c r="D32" s="110">
        <v>44301</v>
      </c>
      <c r="E32" s="74">
        <v>1</v>
      </c>
      <c r="F32" s="107" t="s">
        <v>102</v>
      </c>
      <c r="G32" s="111">
        <v>1</v>
      </c>
      <c r="H32" s="112">
        <v>35000000</v>
      </c>
      <c r="I32" s="112">
        <f>H32*G32</f>
        <v>35000000</v>
      </c>
      <c r="J32" s="110">
        <v>44278</v>
      </c>
      <c r="K32" s="77">
        <f t="shared" ref="K32" si="47">IFERROR(VALUE(DAY(J32)&amp;" "&amp;TEXT(EOMONTH(J32,L32)-29,"mmm")&amp;" "&amp;YEAR(EOMONTH(J32,L32)-29)),"-")</f>
        <v>45374</v>
      </c>
      <c r="L32" s="107">
        <v>36</v>
      </c>
      <c r="M32" s="99">
        <v>31.16</v>
      </c>
      <c r="N32" s="81">
        <f t="shared" ref="N32" si="48">M32*H32/1000</f>
        <v>1090600</v>
      </c>
      <c r="O32" s="81"/>
      <c r="P32" s="81"/>
      <c r="Q32" s="81">
        <f t="shared" ref="Q32" si="49">N32+O32+P32</f>
        <v>1090600</v>
      </c>
      <c r="R32" s="81">
        <f t="shared" ref="R32" si="50">10%*N32</f>
        <v>109060</v>
      </c>
      <c r="S32" s="81">
        <f t="shared" ref="S32" si="51">Q32-R32</f>
        <v>981540</v>
      </c>
      <c r="T32" s="42">
        <f>Q32*10%+(Y32*3)</f>
        <v>193192</v>
      </c>
      <c r="U32" s="42">
        <f t="shared" ref="U32:U41" si="52">Y32*12</f>
        <v>336528</v>
      </c>
      <c r="V32" s="108">
        <f t="shared" si="42"/>
        <v>560880</v>
      </c>
      <c r="W32" s="2">
        <f t="shared" si="43"/>
        <v>1090600</v>
      </c>
      <c r="X32" s="2">
        <f t="shared" si="44"/>
        <v>0</v>
      </c>
      <c r="Y32" s="2">
        <v>28044</v>
      </c>
      <c r="Z32" s="109">
        <f t="shared" si="45"/>
        <v>25640.228571428572</v>
      </c>
    </row>
    <row r="33" spans="1:26" x14ac:dyDescent="0.2">
      <c r="A33" s="88"/>
      <c r="B33" s="84"/>
      <c r="C33" s="84"/>
      <c r="D33" s="84"/>
      <c r="E33" s="88">
        <f>SUM(E32:E32)</f>
        <v>1</v>
      </c>
      <c r="F33" s="84"/>
      <c r="G33" s="115"/>
      <c r="H33" s="59">
        <f>SUM(H32:H32)</f>
        <v>35000000</v>
      </c>
      <c r="I33" s="59">
        <f>SUM(I32:I32)</f>
        <v>35000000</v>
      </c>
      <c r="J33" s="59"/>
      <c r="K33" s="59"/>
      <c r="L33" s="59"/>
      <c r="M33" s="59"/>
      <c r="N33" s="59">
        <f t="shared" ref="N33:Z33" si="53">SUM(N32:N32)</f>
        <v>1090600</v>
      </c>
      <c r="O33" s="59">
        <f t="shared" si="53"/>
        <v>0</v>
      </c>
      <c r="P33" s="59">
        <f t="shared" si="53"/>
        <v>0</v>
      </c>
      <c r="Q33" s="59">
        <f t="shared" si="53"/>
        <v>1090600</v>
      </c>
      <c r="R33" s="59">
        <f t="shared" si="53"/>
        <v>109060</v>
      </c>
      <c r="S33" s="59">
        <f t="shared" si="53"/>
        <v>981540</v>
      </c>
      <c r="T33" s="59">
        <f t="shared" si="53"/>
        <v>193192</v>
      </c>
      <c r="U33" s="59">
        <f t="shared" si="53"/>
        <v>336528</v>
      </c>
      <c r="V33" s="59">
        <f t="shared" si="53"/>
        <v>560880</v>
      </c>
      <c r="W33" s="59">
        <f t="shared" si="53"/>
        <v>1090600</v>
      </c>
      <c r="X33" s="59">
        <f t="shared" si="53"/>
        <v>0</v>
      </c>
      <c r="Y33" s="59">
        <f t="shared" si="53"/>
        <v>28044</v>
      </c>
      <c r="Z33" s="59">
        <f t="shared" si="53"/>
        <v>25640.228571428572</v>
      </c>
    </row>
    <row r="34" spans="1:26" x14ac:dyDescent="0.2">
      <c r="A34" s="74">
        <v>7</v>
      </c>
      <c r="B34" s="107" t="s">
        <v>49</v>
      </c>
      <c r="C34" s="107" t="s">
        <v>103</v>
      </c>
      <c r="D34" s="110">
        <v>44316</v>
      </c>
      <c r="E34" s="74">
        <v>1</v>
      </c>
      <c r="F34" s="107" t="s">
        <v>104</v>
      </c>
      <c r="G34" s="111">
        <v>1</v>
      </c>
      <c r="H34" s="112">
        <v>83000000</v>
      </c>
      <c r="I34" s="112">
        <f>H34*G34</f>
        <v>83000000</v>
      </c>
      <c r="J34" s="110">
        <v>44315</v>
      </c>
      <c r="K34" s="77">
        <f>IFERROR(VALUE(DAY(J34)&amp;" "&amp;TEXT(EOMONTH(J34,L34)-29,"mmm")&amp;" "&amp;YEAR(EOMONTH(J34,L34)-29)),"-")</f>
        <v>46506</v>
      </c>
      <c r="L34" s="107">
        <v>72</v>
      </c>
      <c r="M34" s="99">
        <v>50.64</v>
      </c>
      <c r="N34" s="81">
        <f t="shared" ref="N34" si="54">M34*H34/1000</f>
        <v>4203120</v>
      </c>
      <c r="O34" s="81"/>
      <c r="P34" s="81"/>
      <c r="Q34" s="81">
        <f t="shared" ref="Q34" si="55">N34+O34+P34</f>
        <v>4203120</v>
      </c>
      <c r="R34" s="81">
        <f t="shared" ref="R34" si="56">10%*N34</f>
        <v>420312</v>
      </c>
      <c r="S34" s="81">
        <f t="shared" ref="S34" si="57">Q34-R34</f>
        <v>3782808</v>
      </c>
      <c r="T34" s="42">
        <f>Q34*10%+(Y34*3)</f>
        <v>580148.95774647885</v>
      </c>
      <c r="U34" s="42">
        <f t="shared" si="52"/>
        <v>639347.8309859155</v>
      </c>
      <c r="V34" s="108">
        <f t="shared" si="42"/>
        <v>2983623.2112676059</v>
      </c>
      <c r="W34" s="2">
        <f t="shared" si="43"/>
        <v>4203120</v>
      </c>
      <c r="X34" s="2">
        <f t="shared" si="44"/>
        <v>0</v>
      </c>
      <c r="Y34" s="2">
        <v>53278.985915492958</v>
      </c>
      <c r="Z34" s="109">
        <f t="shared" si="45"/>
        <v>51027.761158500296</v>
      </c>
    </row>
    <row r="35" spans="1:26" x14ac:dyDescent="0.2">
      <c r="A35" s="150"/>
      <c r="B35" s="90"/>
      <c r="C35" s="90"/>
      <c r="D35" s="90"/>
      <c r="E35" s="150">
        <f>SUM(E34:E34)</f>
        <v>1</v>
      </c>
      <c r="F35" s="90"/>
      <c r="G35" s="151"/>
      <c r="H35" s="152">
        <f>SUM(H34:H34)</f>
        <v>83000000</v>
      </c>
      <c r="I35" s="152">
        <f>SUM(I34:I34)</f>
        <v>83000000</v>
      </c>
      <c r="J35" s="152"/>
      <c r="K35" s="152"/>
      <c r="L35" s="152"/>
      <c r="M35" s="152"/>
      <c r="N35" s="152">
        <f t="shared" ref="N35:Z35" si="58">SUM(N34:N34)</f>
        <v>4203120</v>
      </c>
      <c r="O35" s="152">
        <f t="shared" si="58"/>
        <v>0</v>
      </c>
      <c r="P35" s="152">
        <f t="shared" si="58"/>
        <v>0</v>
      </c>
      <c r="Q35" s="152">
        <f t="shared" si="58"/>
        <v>4203120</v>
      </c>
      <c r="R35" s="152">
        <f t="shared" si="58"/>
        <v>420312</v>
      </c>
      <c r="S35" s="152">
        <f t="shared" si="58"/>
        <v>3782808</v>
      </c>
      <c r="T35" s="152">
        <f t="shared" si="58"/>
        <v>580148.95774647885</v>
      </c>
      <c r="U35" s="152">
        <f t="shared" si="58"/>
        <v>639347.8309859155</v>
      </c>
      <c r="V35" s="152">
        <f t="shared" si="58"/>
        <v>2983623.2112676059</v>
      </c>
      <c r="W35" s="152">
        <f t="shared" si="58"/>
        <v>4203120</v>
      </c>
      <c r="X35" s="152">
        <f t="shared" si="58"/>
        <v>0</v>
      </c>
      <c r="Y35" s="152">
        <f t="shared" si="58"/>
        <v>53278.985915492958</v>
      </c>
      <c r="Z35" s="152">
        <f t="shared" si="58"/>
        <v>51027.761158500296</v>
      </c>
    </row>
    <row r="36" spans="1:26" x14ac:dyDescent="0.2">
      <c r="A36" s="74">
        <v>8</v>
      </c>
      <c r="B36" s="107" t="s">
        <v>49</v>
      </c>
      <c r="C36" s="107" t="s">
        <v>105</v>
      </c>
      <c r="D36" s="110">
        <v>44316</v>
      </c>
      <c r="E36" s="74">
        <v>1</v>
      </c>
      <c r="F36" s="107" t="s">
        <v>106</v>
      </c>
      <c r="G36" s="111">
        <v>1</v>
      </c>
      <c r="H36" s="112">
        <v>35000000</v>
      </c>
      <c r="I36" s="112">
        <f>H36*G36</f>
        <v>35000000</v>
      </c>
      <c r="J36" s="110">
        <v>44313</v>
      </c>
      <c r="K36" s="77">
        <f>IFERROR(VALUE(DAY(J36)&amp;" "&amp;TEXT(EOMONTH(J36,L36)-29,"mmm")&amp;" "&amp;YEAR(EOMONTH(J36,L36)-29)),"-")</f>
        <v>45409</v>
      </c>
      <c r="L36" s="107">
        <v>36</v>
      </c>
      <c r="M36" s="99">
        <v>30.71</v>
      </c>
      <c r="N36" s="81">
        <f t="shared" ref="N36" si="59">M36*H36/1000</f>
        <v>1074850</v>
      </c>
      <c r="O36" s="81"/>
      <c r="P36" s="81"/>
      <c r="Q36" s="81">
        <f t="shared" ref="Q36" si="60">N36+O36+P36</f>
        <v>1074850</v>
      </c>
      <c r="R36" s="81">
        <f t="shared" ref="R36" si="61">10%*N36</f>
        <v>107485</v>
      </c>
      <c r="S36" s="81">
        <f t="shared" ref="S36" si="62">Q36-R36</f>
        <v>967365</v>
      </c>
      <c r="T36" s="42">
        <f>Q36*10%+(Y36*3)</f>
        <v>190402</v>
      </c>
      <c r="U36" s="42">
        <f t="shared" si="52"/>
        <v>331668</v>
      </c>
      <c r="V36" s="108">
        <f t="shared" si="42"/>
        <v>552780</v>
      </c>
      <c r="W36" s="2">
        <f t="shared" si="43"/>
        <v>1074850</v>
      </c>
      <c r="X36" s="2">
        <f t="shared" si="44"/>
        <v>0</v>
      </c>
      <c r="Y36" s="2">
        <v>27639</v>
      </c>
      <c r="Z36" s="109">
        <f t="shared" si="45"/>
        <v>25269.942857142858</v>
      </c>
    </row>
    <row r="37" spans="1:26" x14ac:dyDescent="0.2">
      <c r="A37" s="150"/>
      <c r="B37" s="90"/>
      <c r="C37" s="90"/>
      <c r="D37" s="90"/>
      <c r="E37" s="150">
        <f>SUM(E36:E36)</f>
        <v>1</v>
      </c>
      <c r="F37" s="90"/>
      <c r="G37" s="151"/>
      <c r="H37" s="152">
        <f>SUM(H36:H36)</f>
        <v>35000000</v>
      </c>
      <c r="I37" s="152">
        <f>SUM(I36:I36)</f>
        <v>35000000</v>
      </c>
      <c r="J37" s="152"/>
      <c r="K37" s="152"/>
      <c r="L37" s="152"/>
      <c r="M37" s="152"/>
      <c r="N37" s="152">
        <f t="shared" ref="N37:Z37" si="63">SUM(N36:N36)</f>
        <v>1074850</v>
      </c>
      <c r="O37" s="152">
        <f t="shared" si="63"/>
        <v>0</v>
      </c>
      <c r="P37" s="152">
        <f t="shared" si="63"/>
        <v>0</v>
      </c>
      <c r="Q37" s="152">
        <f t="shared" si="63"/>
        <v>1074850</v>
      </c>
      <c r="R37" s="152">
        <f t="shared" si="63"/>
        <v>107485</v>
      </c>
      <c r="S37" s="152">
        <f t="shared" si="63"/>
        <v>967365</v>
      </c>
      <c r="T37" s="152">
        <f t="shared" si="63"/>
        <v>190402</v>
      </c>
      <c r="U37" s="152">
        <f t="shared" si="63"/>
        <v>331668</v>
      </c>
      <c r="V37" s="152">
        <f t="shared" si="63"/>
        <v>552780</v>
      </c>
      <c r="W37" s="152">
        <f t="shared" si="63"/>
        <v>1074850</v>
      </c>
      <c r="X37" s="152">
        <f t="shared" si="63"/>
        <v>0</v>
      </c>
      <c r="Y37" s="152">
        <f t="shared" si="63"/>
        <v>27639</v>
      </c>
      <c r="Z37" s="152">
        <f t="shared" si="63"/>
        <v>25269.942857142858</v>
      </c>
    </row>
    <row r="38" spans="1:26" x14ac:dyDescent="0.2">
      <c r="A38" s="74">
        <v>9</v>
      </c>
      <c r="B38" s="107" t="s">
        <v>49</v>
      </c>
      <c r="C38" s="107" t="s">
        <v>108</v>
      </c>
      <c r="D38" s="110">
        <v>44316</v>
      </c>
      <c r="E38" s="74">
        <v>1</v>
      </c>
      <c r="F38" s="107" t="s">
        <v>109</v>
      </c>
      <c r="G38" s="111">
        <v>1</v>
      </c>
      <c r="H38" s="112">
        <v>220000000</v>
      </c>
      <c r="I38" s="112">
        <f>H38*G38</f>
        <v>220000000</v>
      </c>
      <c r="J38" s="110">
        <v>44300</v>
      </c>
      <c r="K38" s="77">
        <f>IFERROR(VALUE(DAY(J38)&amp;" "&amp;TEXT(EOMONTH(J38,L38)-29,"mmm")&amp;" "&amp;YEAR(EOMONTH(J38,L38)-29)),"-")</f>
        <v>47952</v>
      </c>
      <c r="L38" s="107">
        <v>120</v>
      </c>
      <c r="M38" s="99">
        <v>25.48</v>
      </c>
      <c r="N38" s="81">
        <f t="shared" ref="N38:N39" si="64">M38*H38/1000</f>
        <v>5605600</v>
      </c>
      <c r="O38" s="81"/>
      <c r="P38" s="81"/>
      <c r="Q38" s="81">
        <f t="shared" ref="Q38:Q39" si="65">N38+O38+P38</f>
        <v>5605600</v>
      </c>
      <c r="R38" s="81">
        <f t="shared" ref="R38:R39" si="66">10%*N38</f>
        <v>560560</v>
      </c>
      <c r="S38" s="81">
        <f t="shared" ref="S38:S39" si="67">Q38-R38</f>
        <v>5045040</v>
      </c>
      <c r="T38" s="42">
        <f t="shared" ref="T38:T39" si="68">Q38*10%+(Y38*3)</f>
        <v>687745.8823529412</v>
      </c>
      <c r="U38" s="42">
        <f t="shared" si="52"/>
        <v>508743.5294117647</v>
      </c>
      <c r="V38" s="108">
        <f t="shared" si="42"/>
        <v>4409110.5882352944</v>
      </c>
      <c r="W38" s="2">
        <f t="shared" si="43"/>
        <v>5605600</v>
      </c>
      <c r="X38" s="2">
        <f t="shared" si="44"/>
        <v>0</v>
      </c>
      <c r="Y38" s="2">
        <v>42395.294117647056</v>
      </c>
      <c r="Z38" s="109">
        <f t="shared" si="45"/>
        <v>41326.505190311422</v>
      </c>
    </row>
    <row r="39" spans="1:26" x14ac:dyDescent="0.2">
      <c r="A39" s="74"/>
      <c r="B39" s="107"/>
      <c r="C39" s="107"/>
      <c r="D39" s="110"/>
      <c r="E39" s="74">
        <v>1</v>
      </c>
      <c r="F39" s="107" t="s">
        <v>110</v>
      </c>
      <c r="G39" s="111">
        <v>1</v>
      </c>
      <c r="H39" s="112">
        <v>160000000</v>
      </c>
      <c r="I39" s="112">
        <f>H39*G39</f>
        <v>160000000</v>
      </c>
      <c r="J39" s="110">
        <v>44305</v>
      </c>
      <c r="K39" s="77">
        <f>IFERROR(VALUE(DAY(J39)&amp;" "&amp;TEXT(EOMONTH(J39,L39)-29,"mmm")&amp;" "&amp;YEAR(EOMONTH(J39,L39)-29)),"-")</f>
        <v>45554</v>
      </c>
      <c r="L39" s="107">
        <v>41</v>
      </c>
      <c r="M39" s="99">
        <v>11.38</v>
      </c>
      <c r="N39" s="81">
        <f t="shared" si="64"/>
        <v>1820800.0000000002</v>
      </c>
      <c r="O39" s="81"/>
      <c r="P39" s="81"/>
      <c r="Q39" s="81">
        <f t="shared" si="65"/>
        <v>1820800.0000000002</v>
      </c>
      <c r="R39" s="81">
        <f t="shared" si="66"/>
        <v>182080.00000000003</v>
      </c>
      <c r="S39" s="81">
        <f t="shared" si="67"/>
        <v>1638720.0000000002</v>
      </c>
      <c r="T39" s="42">
        <f t="shared" si="68"/>
        <v>304984.00000000006</v>
      </c>
      <c r="U39" s="42">
        <f t="shared" si="52"/>
        <v>491616.00000000012</v>
      </c>
      <c r="V39" s="108">
        <f t="shared" si="42"/>
        <v>1024200.0000000001</v>
      </c>
      <c r="W39" s="2">
        <f t="shared" si="43"/>
        <v>1820800.0000000005</v>
      </c>
      <c r="X39" s="2">
        <f t="shared" si="44"/>
        <v>0</v>
      </c>
      <c r="Y39" s="2">
        <v>40968.000000000007</v>
      </c>
      <c r="Z39" s="109">
        <f t="shared" si="45"/>
        <v>37895.400000000009</v>
      </c>
    </row>
    <row r="40" spans="1:26" x14ac:dyDescent="0.2">
      <c r="A40" s="88"/>
      <c r="B40" s="84"/>
      <c r="C40" s="84"/>
      <c r="D40" s="84"/>
      <c r="E40" s="88">
        <f>SUM(E38:E39)</f>
        <v>2</v>
      </c>
      <c r="F40" s="84"/>
      <c r="G40" s="115"/>
      <c r="H40" s="79">
        <f t="shared" ref="H40:I40" si="69">SUM(H38:H39)</f>
        <v>380000000</v>
      </c>
      <c r="I40" s="79">
        <f t="shared" si="69"/>
        <v>380000000</v>
      </c>
      <c r="J40" s="59"/>
      <c r="K40" s="59"/>
      <c r="L40" s="59"/>
      <c r="M40" s="59"/>
      <c r="N40" s="79">
        <f t="shared" ref="N40:Z40" si="70">SUM(N38:N39)</f>
        <v>7426400</v>
      </c>
      <c r="O40" s="79">
        <f t="shared" si="70"/>
        <v>0</v>
      </c>
      <c r="P40" s="79">
        <f t="shared" si="70"/>
        <v>0</v>
      </c>
      <c r="Q40" s="79">
        <f t="shared" si="70"/>
        <v>7426400</v>
      </c>
      <c r="R40" s="79">
        <f t="shared" si="70"/>
        <v>742640</v>
      </c>
      <c r="S40" s="79">
        <f t="shared" si="70"/>
        <v>6683760</v>
      </c>
      <c r="T40" s="79">
        <f t="shared" si="70"/>
        <v>992729.8823529412</v>
      </c>
      <c r="U40" s="79">
        <f t="shared" si="70"/>
        <v>1000359.5294117648</v>
      </c>
      <c r="V40" s="79">
        <f t="shared" si="70"/>
        <v>5433310.5882352944</v>
      </c>
      <c r="W40" s="79">
        <f t="shared" si="70"/>
        <v>7426400</v>
      </c>
      <c r="X40" s="79">
        <f t="shared" si="70"/>
        <v>0</v>
      </c>
      <c r="Y40" s="79">
        <f t="shared" si="70"/>
        <v>83363.294117647063</v>
      </c>
      <c r="Z40" s="79">
        <f t="shared" si="70"/>
        <v>79221.90519031143</v>
      </c>
    </row>
    <row r="41" spans="1:26" x14ac:dyDescent="0.2">
      <c r="A41" s="74">
        <v>10</v>
      </c>
      <c r="B41" s="107" t="s">
        <v>111</v>
      </c>
      <c r="C41" s="107" t="s">
        <v>112</v>
      </c>
      <c r="D41" s="110">
        <v>44316</v>
      </c>
      <c r="E41" s="74">
        <v>1</v>
      </c>
      <c r="F41" s="107" t="s">
        <v>113</v>
      </c>
      <c r="G41" s="111">
        <v>1</v>
      </c>
      <c r="H41" s="112">
        <v>45323679</v>
      </c>
      <c r="I41" s="112">
        <f>H41*G41</f>
        <v>45323679</v>
      </c>
      <c r="J41" s="110">
        <v>45784</v>
      </c>
      <c r="K41" s="77">
        <v>46302</v>
      </c>
      <c r="L41" s="107">
        <v>17</v>
      </c>
      <c r="M41" s="99">
        <v>9.1</v>
      </c>
      <c r="N41" s="81">
        <f t="shared" ref="N41" si="71">M41*H41/1000</f>
        <v>412445.47889999999</v>
      </c>
      <c r="O41" s="81">
        <v>100000</v>
      </c>
      <c r="P41" s="81"/>
      <c r="Q41" s="81">
        <f t="shared" ref="Q41" si="72">N41+O41+P41</f>
        <v>512445.47889999999</v>
      </c>
      <c r="R41" s="81"/>
      <c r="S41" s="81">
        <f t="shared" ref="S41" si="73">Q41-R41</f>
        <v>512445.47889999999</v>
      </c>
      <c r="T41" s="42">
        <f>Q41*10%+(Y41*3)</f>
        <v>137719.72245437501</v>
      </c>
      <c r="U41" s="42">
        <f t="shared" si="52"/>
        <v>345900.69825750001</v>
      </c>
      <c r="V41" s="108">
        <f t="shared" si="42"/>
        <v>28825.058188124967</v>
      </c>
      <c r="W41" s="2">
        <f t="shared" si="43"/>
        <v>512445.47889999999</v>
      </c>
      <c r="X41" s="2">
        <f t="shared" si="44"/>
        <v>0</v>
      </c>
      <c r="Y41" s="2">
        <v>28825.058188125</v>
      </c>
      <c r="Z41" s="109">
        <f t="shared" si="45"/>
        <v>23420.359777851561</v>
      </c>
    </row>
    <row r="42" spans="1:26" x14ac:dyDescent="0.2">
      <c r="A42" s="150"/>
      <c r="B42" s="90"/>
      <c r="C42" s="90"/>
      <c r="D42" s="90"/>
      <c r="E42" s="150"/>
      <c r="F42" s="90"/>
      <c r="G42" s="151"/>
      <c r="H42" s="152"/>
      <c r="I42" s="152"/>
      <c r="J42" s="152"/>
      <c r="K42" s="152"/>
      <c r="L42" s="152"/>
      <c r="M42" s="152"/>
      <c r="N42" s="152">
        <f t="shared" ref="N42:Z42" si="74">SUM(N41:N41)</f>
        <v>412445.47889999999</v>
      </c>
      <c r="O42" s="152">
        <f t="shared" si="74"/>
        <v>100000</v>
      </c>
      <c r="P42" s="152">
        <f t="shared" si="74"/>
        <v>0</v>
      </c>
      <c r="Q42" s="152">
        <f t="shared" si="74"/>
        <v>512445.47889999999</v>
      </c>
      <c r="R42" s="152">
        <f t="shared" si="74"/>
        <v>0</v>
      </c>
      <c r="S42" s="152">
        <f t="shared" si="74"/>
        <v>512445.47889999999</v>
      </c>
      <c r="T42" s="152">
        <f t="shared" si="74"/>
        <v>137719.72245437501</v>
      </c>
      <c r="U42" s="152">
        <f t="shared" si="74"/>
        <v>345900.69825750001</v>
      </c>
      <c r="V42" s="152">
        <f t="shared" si="74"/>
        <v>28825.058188124967</v>
      </c>
      <c r="W42" s="152">
        <f t="shared" si="74"/>
        <v>512445.47889999999</v>
      </c>
      <c r="X42" s="152">
        <f t="shared" si="74"/>
        <v>0</v>
      </c>
      <c r="Y42" s="152">
        <f t="shared" si="74"/>
        <v>28825.058188125</v>
      </c>
      <c r="Z42" s="152">
        <f t="shared" si="74"/>
        <v>23420.359777851561</v>
      </c>
    </row>
    <row r="43" spans="1:26" x14ac:dyDescent="0.2">
      <c r="A43" s="83"/>
      <c r="B43" s="83"/>
      <c r="C43" s="83" t="s">
        <v>115</v>
      </c>
      <c r="D43" s="84"/>
      <c r="E43" s="85">
        <f>E42+E40+E37+E35+E33+E31</f>
        <v>5</v>
      </c>
      <c r="F43" s="87"/>
      <c r="G43" s="87"/>
      <c r="H43" s="87">
        <f t="shared" ref="H43:Z43" si="75">H42+H40+H37+H35+H33+H31</f>
        <v>533000000</v>
      </c>
      <c r="I43" s="87">
        <f t="shared" si="75"/>
        <v>533000000</v>
      </c>
      <c r="J43" s="87">
        <f t="shared" si="75"/>
        <v>0</v>
      </c>
      <c r="K43" s="87">
        <f t="shared" si="75"/>
        <v>0</v>
      </c>
      <c r="L43" s="87">
        <f t="shared" si="75"/>
        <v>0</v>
      </c>
      <c r="M43" s="87">
        <f t="shared" si="75"/>
        <v>0</v>
      </c>
      <c r="N43" s="87">
        <f t="shared" si="75"/>
        <v>14796238.633820001</v>
      </c>
      <c r="O43" s="87">
        <f t="shared" si="75"/>
        <v>300000</v>
      </c>
      <c r="P43" s="87">
        <f t="shared" si="75"/>
        <v>0</v>
      </c>
      <c r="Q43" s="87">
        <f t="shared" si="75"/>
        <v>15096238.633820001</v>
      </c>
      <c r="R43" s="87">
        <f t="shared" si="75"/>
        <v>1379497</v>
      </c>
      <c r="S43" s="87">
        <f t="shared" si="75"/>
        <v>13716741.633820001</v>
      </c>
      <c r="T43" s="87">
        <f t="shared" si="75"/>
        <v>2389791.7317528599</v>
      </c>
      <c r="U43" s="87">
        <f t="shared" si="75"/>
        <v>3147028.0443761153</v>
      </c>
      <c r="V43" s="87">
        <f t="shared" si="75"/>
        <v>9559418.8576910254</v>
      </c>
      <c r="W43" s="87">
        <f t="shared" si="75"/>
        <v>15096238.633820001</v>
      </c>
      <c r="X43" s="87">
        <f t="shared" si="75"/>
        <v>0</v>
      </c>
      <c r="Y43" s="87">
        <f t="shared" si="75"/>
        <v>293389.28945695329</v>
      </c>
      <c r="Z43" s="87">
        <f t="shared" si="75"/>
        <v>253818.09881114162</v>
      </c>
    </row>
    <row r="44" spans="1:26" x14ac:dyDescent="0.2">
      <c r="A44" s="83"/>
      <c r="B44" s="83"/>
      <c r="C44" s="83" t="s">
        <v>116</v>
      </c>
      <c r="D44" s="84"/>
      <c r="E44" s="93">
        <f>E43+E24</f>
        <v>9</v>
      </c>
      <c r="F44" s="95"/>
      <c r="G44" s="95"/>
      <c r="H44" s="95">
        <f t="shared" ref="H44:Z44" si="76">H43+H24</f>
        <v>1373000000</v>
      </c>
      <c r="I44" s="95">
        <f t="shared" si="76"/>
        <v>1373000000</v>
      </c>
      <c r="J44" s="95">
        <f t="shared" si="76"/>
        <v>0</v>
      </c>
      <c r="K44" s="95">
        <f t="shared" si="76"/>
        <v>0</v>
      </c>
      <c r="L44" s="95">
        <f t="shared" si="76"/>
        <v>0</v>
      </c>
      <c r="M44" s="95">
        <f t="shared" si="76"/>
        <v>0</v>
      </c>
      <c r="N44" s="95">
        <f t="shared" si="76"/>
        <v>30976238.633820001</v>
      </c>
      <c r="O44" s="95">
        <f t="shared" si="76"/>
        <v>300000</v>
      </c>
      <c r="P44" s="95">
        <f t="shared" si="76"/>
        <v>0</v>
      </c>
      <c r="Q44" s="95">
        <f t="shared" si="76"/>
        <v>47174238.633819997</v>
      </c>
      <c r="R44" s="95">
        <f t="shared" si="76"/>
        <v>4587297</v>
      </c>
      <c r="S44" s="95">
        <f t="shared" si="76"/>
        <v>42586941.633819997</v>
      </c>
      <c r="T44" s="95">
        <f t="shared" si="76"/>
        <v>6473314.9591278424</v>
      </c>
      <c r="U44" s="95">
        <f t="shared" si="76"/>
        <v>5370145.3273990946</v>
      </c>
      <c r="V44" s="95">
        <f t="shared" si="76"/>
        <v>35330778.347293064</v>
      </c>
      <c r="W44" s="95">
        <f t="shared" si="76"/>
        <v>47174238.633819997</v>
      </c>
      <c r="X44" s="95">
        <f t="shared" si="76"/>
        <v>0</v>
      </c>
      <c r="Y44" s="95">
        <f t="shared" si="76"/>
        <v>478649.06304220157</v>
      </c>
      <c r="Z44" s="95">
        <f t="shared" si="76"/>
        <v>963231.35191032896</v>
      </c>
    </row>
    <row r="46" spans="1:26" ht="23.25" x14ac:dyDescent="0.2">
      <c r="A46" s="86" t="s">
        <v>154</v>
      </c>
      <c r="B46" s="62"/>
      <c r="C46" s="62"/>
      <c r="D46" s="57"/>
      <c r="E46" s="63"/>
      <c r="F46" s="64"/>
      <c r="G46" s="139"/>
      <c r="H46" s="66"/>
      <c r="I46" s="66"/>
      <c r="J46" s="67"/>
      <c r="K46" s="67"/>
      <c r="L46" s="68"/>
      <c r="M46" s="68"/>
      <c r="N46" s="69"/>
      <c r="O46" s="69"/>
      <c r="P46" s="69"/>
      <c r="Q46" s="69"/>
      <c r="R46" s="69"/>
      <c r="S46" s="69"/>
      <c r="T46" s="70"/>
      <c r="U46" s="71"/>
      <c r="V46" s="71"/>
    </row>
    <row r="47" spans="1:26" x14ac:dyDescent="0.2">
      <c r="A47" s="231" t="s">
        <v>0</v>
      </c>
      <c r="B47" s="232" t="s">
        <v>1</v>
      </c>
      <c r="C47" s="229" t="s">
        <v>2</v>
      </c>
      <c r="D47" s="233" t="s">
        <v>3</v>
      </c>
      <c r="E47" s="234" t="s">
        <v>4</v>
      </c>
      <c r="F47" s="232" t="s">
        <v>5</v>
      </c>
      <c r="G47" s="237" t="s">
        <v>6</v>
      </c>
      <c r="H47" s="236" t="s">
        <v>7</v>
      </c>
      <c r="I47" s="236" t="s">
        <v>8</v>
      </c>
      <c r="J47" s="227" t="s">
        <v>9</v>
      </c>
      <c r="K47" s="227"/>
      <c r="L47" s="228" t="s">
        <v>10</v>
      </c>
      <c r="M47" s="229" t="s">
        <v>11</v>
      </c>
      <c r="N47" s="230" t="s">
        <v>12</v>
      </c>
      <c r="O47" s="230"/>
      <c r="P47" s="230"/>
      <c r="Q47" s="229" t="s">
        <v>13</v>
      </c>
      <c r="R47" s="229" t="s">
        <v>14</v>
      </c>
      <c r="S47" s="229" t="s">
        <v>15</v>
      </c>
      <c r="T47" s="36">
        <v>2021</v>
      </c>
      <c r="U47" s="37"/>
      <c r="V47" s="38" t="s">
        <v>44</v>
      </c>
    </row>
    <row r="48" spans="1:26" x14ac:dyDescent="0.2">
      <c r="A48" s="231"/>
      <c r="B48" s="232"/>
      <c r="C48" s="229"/>
      <c r="D48" s="233"/>
      <c r="E48" s="234"/>
      <c r="F48" s="232"/>
      <c r="G48" s="237"/>
      <c r="H48" s="236"/>
      <c r="I48" s="236"/>
      <c r="J48" s="227"/>
      <c r="K48" s="227"/>
      <c r="L48" s="228"/>
      <c r="M48" s="229"/>
      <c r="N48" s="186" t="s">
        <v>16</v>
      </c>
      <c r="O48" s="186" t="s">
        <v>17</v>
      </c>
      <c r="P48" s="186" t="s">
        <v>18</v>
      </c>
      <c r="Q48" s="229"/>
      <c r="R48" s="229"/>
      <c r="S48" s="229"/>
      <c r="T48" s="96" t="s">
        <v>200</v>
      </c>
      <c r="U48" s="39" t="s">
        <v>196</v>
      </c>
      <c r="V48" s="40"/>
    </row>
    <row r="49" spans="1:26" ht="12.75" x14ac:dyDescent="0.2">
      <c r="A49" s="154">
        <v>11</v>
      </c>
      <c r="B49" s="155" t="s">
        <v>122</v>
      </c>
      <c r="C49" s="155" t="s">
        <v>123</v>
      </c>
      <c r="D49" s="156">
        <v>44334</v>
      </c>
      <c r="E49" s="154">
        <v>1</v>
      </c>
      <c r="F49" s="155" t="s">
        <v>124</v>
      </c>
      <c r="G49" s="111">
        <v>1</v>
      </c>
      <c r="H49" s="112">
        <v>30000000</v>
      </c>
      <c r="I49" s="112">
        <f>H49*G49</f>
        <v>30000000</v>
      </c>
      <c r="J49" s="110">
        <v>44257</v>
      </c>
      <c r="K49" s="77">
        <f>IFERROR(VALUE(DAY(J49)&amp;" "&amp;TEXT(EOMONTH(J49,L49)-29,"mmm")&amp;" "&amp;YEAR(EOMONTH(J49,L49)-29)),"-")</f>
        <v>44987</v>
      </c>
      <c r="L49" s="107">
        <v>24</v>
      </c>
      <c r="M49" s="99">
        <v>10.57</v>
      </c>
      <c r="N49" s="81">
        <f t="shared" ref="N49" si="77">M49*H49/1000</f>
        <v>317100</v>
      </c>
      <c r="O49" s="81"/>
      <c r="P49" s="81"/>
      <c r="Q49" s="81">
        <f t="shared" ref="Q49" si="78">N49+O49+P49</f>
        <v>317100</v>
      </c>
      <c r="R49" s="81">
        <f t="shared" ref="R49" si="79">10%*N49</f>
        <v>31710</v>
      </c>
      <c r="S49" s="81">
        <f t="shared" ref="S49" si="80">Q49-R49</f>
        <v>285390</v>
      </c>
      <c r="T49" s="42">
        <f>Q49*10%+(Y49*2)</f>
        <v>56526.521739130432</v>
      </c>
      <c r="U49" s="42">
        <f t="shared" ref="U49" si="81">Y49*12</f>
        <v>148899.13043478262</v>
      </c>
      <c r="V49" s="108">
        <f t="shared" ref="V49" si="82">Q49-T49-U49</f>
        <v>111674.34782608695</v>
      </c>
      <c r="W49" s="2">
        <f t="shared" ref="W49" si="83">T49+U49+V49</f>
        <v>317100</v>
      </c>
      <c r="X49" s="2">
        <f t="shared" ref="X49" si="84">Q49-W49</f>
        <v>0</v>
      </c>
      <c r="Y49" s="2">
        <v>12408.260869565218</v>
      </c>
      <c r="Z49" s="109">
        <f t="shared" ref="Z49" si="85">(Q49-T49)/(L49-1)</f>
        <v>11329.281663516069</v>
      </c>
    </row>
    <row r="50" spans="1:26" ht="12.75" x14ac:dyDescent="0.2">
      <c r="A50" s="159"/>
      <c r="B50" s="160"/>
      <c r="C50" s="160"/>
      <c r="D50" s="160"/>
      <c r="E50" s="159">
        <f>SUM(E49)</f>
        <v>1</v>
      </c>
      <c r="F50" s="160"/>
      <c r="G50" s="161"/>
      <c r="H50" s="162">
        <f>SUM(H49)</f>
        <v>30000000</v>
      </c>
      <c r="I50" s="162">
        <f>SUM(I49)</f>
        <v>30000000</v>
      </c>
      <c r="J50" s="162"/>
      <c r="K50" s="162"/>
      <c r="L50" s="162"/>
      <c r="M50" s="162"/>
      <c r="N50" s="162">
        <f t="shared" ref="N50:Z50" si="86">SUM(N49)</f>
        <v>317100</v>
      </c>
      <c r="O50" s="162">
        <f t="shared" si="86"/>
        <v>0</v>
      </c>
      <c r="P50" s="162">
        <f t="shared" si="86"/>
        <v>0</v>
      </c>
      <c r="Q50" s="162">
        <f t="shared" si="86"/>
        <v>317100</v>
      </c>
      <c r="R50" s="162">
        <f t="shared" si="86"/>
        <v>31710</v>
      </c>
      <c r="S50" s="162">
        <f t="shared" si="86"/>
        <v>285390</v>
      </c>
      <c r="T50" s="162">
        <f t="shared" si="86"/>
        <v>56526.521739130432</v>
      </c>
      <c r="U50" s="162">
        <f t="shared" si="86"/>
        <v>148899.13043478262</v>
      </c>
      <c r="V50" s="162">
        <f t="shared" si="86"/>
        <v>111674.34782608695</v>
      </c>
      <c r="W50" s="162">
        <f t="shared" si="86"/>
        <v>317100</v>
      </c>
      <c r="X50" s="162">
        <f t="shared" si="86"/>
        <v>0</v>
      </c>
      <c r="Y50" s="162">
        <f t="shared" si="86"/>
        <v>12408.260869565218</v>
      </c>
      <c r="Z50" s="162">
        <f t="shared" si="86"/>
        <v>11329.281663516069</v>
      </c>
    </row>
    <row r="51" spans="1:26" x14ac:dyDescent="0.2">
      <c r="A51" s="74">
        <v>12</v>
      </c>
      <c r="B51" s="107" t="s">
        <v>111</v>
      </c>
      <c r="C51" s="107" t="s">
        <v>125</v>
      </c>
      <c r="D51" s="110">
        <v>44336</v>
      </c>
      <c r="E51" s="74">
        <v>1</v>
      </c>
      <c r="F51" s="107" t="s">
        <v>126</v>
      </c>
      <c r="G51" s="111">
        <v>1</v>
      </c>
      <c r="H51" s="112">
        <v>69230850</v>
      </c>
      <c r="I51" s="112">
        <f>H51*G51</f>
        <v>69230850</v>
      </c>
      <c r="J51" s="110">
        <v>44315</v>
      </c>
      <c r="K51" s="77">
        <f>IFERROR(VALUE(DAY(J51)&amp;" "&amp;TEXT(EOMONTH(J51,L51)-29,"mmm")&amp;" "&amp;YEAR(EOMONTH(J51,L51)-29)),"-")</f>
        <v>45686</v>
      </c>
      <c r="L51" s="107">
        <v>45</v>
      </c>
      <c r="M51" s="99">
        <v>15.93</v>
      </c>
      <c r="N51" s="81">
        <f t="shared" ref="N51:N52" si="87">M51*H51/1000</f>
        <v>1102847.4405</v>
      </c>
      <c r="O51" s="81"/>
      <c r="P51" s="81"/>
      <c r="Q51" s="81">
        <f t="shared" ref="Q51:Q52" si="88">N51+O51+P51</f>
        <v>1102847.4405</v>
      </c>
      <c r="R51" s="81">
        <f t="shared" ref="R51:R52" si="89">10%*N51</f>
        <v>110284.74405000001</v>
      </c>
      <c r="S51" s="81">
        <f t="shared" ref="S51:S52" si="90">Q51-R51</f>
        <v>992562.69645000005</v>
      </c>
      <c r="T51" s="42">
        <f t="shared" ref="T51:T52" si="91">Q51*10%+(Y51*2)</f>
        <v>155401.23025227274</v>
      </c>
      <c r="U51" s="42">
        <f t="shared" ref="U51:U69" si="92">Y51*12</f>
        <v>270698.91721363639</v>
      </c>
      <c r="V51" s="108">
        <f t="shared" ref="V51:V69" si="93">Q51-T51-U51</f>
        <v>676747.29303409089</v>
      </c>
      <c r="W51" s="2">
        <f t="shared" ref="W51:W69" si="94">T51+U51+V51</f>
        <v>1102847.4405</v>
      </c>
      <c r="X51" s="2">
        <f t="shared" ref="X51:X69" si="95">Q51-W51</f>
        <v>0</v>
      </c>
      <c r="Y51" s="2">
        <v>22558.243101136366</v>
      </c>
      <c r="Z51" s="109">
        <f t="shared" ref="Z51:Z69" si="96">(Q51-T51)/(L51-1)</f>
        <v>21532.868414721077</v>
      </c>
    </row>
    <row r="52" spans="1:26" x14ac:dyDescent="0.2">
      <c r="A52" s="74"/>
      <c r="B52" s="107"/>
      <c r="C52" s="107"/>
      <c r="D52" s="110"/>
      <c r="E52" s="74">
        <v>1</v>
      </c>
      <c r="F52" s="107" t="s">
        <v>127</v>
      </c>
      <c r="G52" s="111">
        <v>1</v>
      </c>
      <c r="H52" s="112">
        <v>82219772</v>
      </c>
      <c r="I52" s="112">
        <f>H52*G52</f>
        <v>82219772</v>
      </c>
      <c r="J52" s="110">
        <v>44307</v>
      </c>
      <c r="K52" s="77">
        <f>IFERROR(VALUE(DAY(J52)&amp;" "&amp;TEXT(EOMONTH(J52,L52)-29,"mmm")&amp;" "&amp;YEAR(EOMONTH(J52,L52)-29)),"-")</f>
        <v>46742</v>
      </c>
      <c r="L52" s="107">
        <v>80</v>
      </c>
      <c r="M52" s="99">
        <v>25.48</v>
      </c>
      <c r="N52" s="81">
        <f t="shared" si="87"/>
        <v>2094959.7905599999</v>
      </c>
      <c r="O52" s="81"/>
      <c r="P52" s="81"/>
      <c r="Q52" s="81">
        <f t="shared" si="88"/>
        <v>2094959.7905599999</v>
      </c>
      <c r="R52" s="81">
        <f t="shared" si="89"/>
        <v>209495.97905600001</v>
      </c>
      <c r="S52" s="81">
        <f t="shared" si="90"/>
        <v>1885463.8115039999</v>
      </c>
      <c r="T52" s="42">
        <f t="shared" si="91"/>
        <v>257229.24010673419</v>
      </c>
      <c r="U52" s="42">
        <f t="shared" si="92"/>
        <v>286399.56630440505</v>
      </c>
      <c r="V52" s="108">
        <f t="shared" si="93"/>
        <v>1551330.9841488607</v>
      </c>
      <c r="W52" s="2">
        <f t="shared" si="94"/>
        <v>2094959.7905599999</v>
      </c>
      <c r="X52" s="2">
        <f t="shared" si="95"/>
        <v>0</v>
      </c>
      <c r="Y52" s="2">
        <v>23866.630525367087</v>
      </c>
      <c r="Z52" s="109">
        <f t="shared" si="96"/>
        <v>23262.412031053995</v>
      </c>
    </row>
    <row r="53" spans="1:26" x14ac:dyDescent="0.2">
      <c r="A53" s="88"/>
      <c r="B53" s="84"/>
      <c r="C53" s="84"/>
      <c r="D53" s="84"/>
      <c r="E53" s="88">
        <f>SUM(E51:E52)</f>
        <v>2</v>
      </c>
      <c r="F53" s="84"/>
      <c r="G53" s="115"/>
      <c r="H53" s="79">
        <f t="shared" ref="H53:I53" si="97">SUM(H51:H52)</f>
        <v>151450622</v>
      </c>
      <c r="I53" s="79">
        <f t="shared" si="97"/>
        <v>151450622</v>
      </c>
      <c r="J53" s="59"/>
      <c r="K53" s="59"/>
      <c r="L53" s="59"/>
      <c r="M53" s="59"/>
      <c r="N53" s="79">
        <f t="shared" ref="N53:Z53" si="98">SUM(N51:N52)</f>
        <v>3197807.2310600001</v>
      </c>
      <c r="O53" s="79">
        <f t="shared" si="98"/>
        <v>0</v>
      </c>
      <c r="P53" s="79">
        <f t="shared" si="98"/>
        <v>0</v>
      </c>
      <c r="Q53" s="79">
        <f t="shared" si="98"/>
        <v>3197807.2310600001</v>
      </c>
      <c r="R53" s="79">
        <f t="shared" si="98"/>
        <v>319780.72310599999</v>
      </c>
      <c r="S53" s="79">
        <f t="shared" si="98"/>
        <v>2878026.507954</v>
      </c>
      <c r="T53" s="79">
        <f t="shared" si="98"/>
        <v>412630.4703590069</v>
      </c>
      <c r="U53" s="79">
        <f t="shared" si="98"/>
        <v>557098.48351804144</v>
      </c>
      <c r="V53" s="79">
        <f t="shared" si="98"/>
        <v>2228078.2771829516</v>
      </c>
      <c r="W53" s="79">
        <f t="shared" si="98"/>
        <v>3197807.2310600001</v>
      </c>
      <c r="X53" s="79">
        <f t="shared" si="98"/>
        <v>0</v>
      </c>
      <c r="Y53" s="79">
        <f t="shared" si="98"/>
        <v>46424.873626503453</v>
      </c>
      <c r="Z53" s="79">
        <f t="shared" si="98"/>
        <v>44795.280445775075</v>
      </c>
    </row>
    <row r="54" spans="1:26" ht="12.75" x14ac:dyDescent="0.2">
      <c r="A54" s="154">
        <v>13</v>
      </c>
      <c r="B54" s="155" t="s">
        <v>128</v>
      </c>
      <c r="C54" s="155" t="s">
        <v>129</v>
      </c>
      <c r="D54" s="156">
        <v>44347</v>
      </c>
      <c r="E54" s="154">
        <v>1</v>
      </c>
      <c r="F54" s="155" t="s">
        <v>130</v>
      </c>
      <c r="G54" s="111">
        <v>1</v>
      </c>
      <c r="H54" s="112">
        <v>1000000000</v>
      </c>
      <c r="I54" s="112">
        <f>H54*G54</f>
        <v>1000000000</v>
      </c>
      <c r="J54" s="110">
        <v>44327</v>
      </c>
      <c r="K54" s="77">
        <f>IFERROR(VALUE(DAY(J54)&amp;" "&amp;TEXT(EOMONTH(J54,L54)-29,"mmm")&amp;" "&amp;YEAR(EOMONTH(J54,L54)-29)),"-")</f>
        <v>45241</v>
      </c>
      <c r="L54" s="107">
        <v>30</v>
      </c>
      <c r="M54" s="99">
        <v>30.71</v>
      </c>
      <c r="N54" s="81">
        <f t="shared" ref="N54" si="99">M54*H54/1000</f>
        <v>30710000</v>
      </c>
      <c r="O54" s="81"/>
      <c r="P54" s="81"/>
      <c r="Q54" s="81">
        <f t="shared" ref="Q54" si="100">N54+O54+P54</f>
        <v>30710000</v>
      </c>
      <c r="R54" s="81">
        <f t="shared" ref="R54" si="101">10%*N54</f>
        <v>3071000</v>
      </c>
      <c r="S54" s="81">
        <f t="shared" ref="S54" si="102">Q54-R54</f>
        <v>27639000</v>
      </c>
      <c r="T54" s="42">
        <f>Q54*10%+(Y54*2)</f>
        <v>4977137.931034483</v>
      </c>
      <c r="U54" s="42">
        <f t="shared" si="92"/>
        <v>11436827.586206896</v>
      </c>
      <c r="V54" s="108">
        <f t="shared" si="93"/>
        <v>14296034.482758621</v>
      </c>
      <c r="W54" s="2">
        <f t="shared" si="94"/>
        <v>30710000</v>
      </c>
      <c r="X54" s="2">
        <f t="shared" si="95"/>
        <v>0</v>
      </c>
      <c r="Y54" s="2">
        <v>953068.96551724139</v>
      </c>
      <c r="Z54" s="109">
        <f t="shared" si="96"/>
        <v>887340.07134363847</v>
      </c>
    </row>
    <row r="55" spans="1:26" ht="12.75" x14ac:dyDescent="0.2">
      <c r="A55" s="159"/>
      <c r="B55" s="160"/>
      <c r="C55" s="160"/>
      <c r="D55" s="160"/>
      <c r="E55" s="159">
        <f>SUM(E54)</f>
        <v>1</v>
      </c>
      <c r="F55" s="160"/>
      <c r="G55" s="161"/>
      <c r="H55" s="162">
        <f>SUM(H54)</f>
        <v>1000000000</v>
      </c>
      <c r="I55" s="162">
        <f>SUM(I54)</f>
        <v>1000000000</v>
      </c>
      <c r="J55" s="162"/>
      <c r="K55" s="162"/>
      <c r="L55" s="162"/>
      <c r="M55" s="162"/>
      <c r="N55" s="162">
        <f t="shared" ref="N55:Z55" si="103">SUM(N54)</f>
        <v>30710000</v>
      </c>
      <c r="O55" s="162">
        <f t="shared" si="103"/>
        <v>0</v>
      </c>
      <c r="P55" s="162">
        <f t="shared" si="103"/>
        <v>0</v>
      </c>
      <c r="Q55" s="162">
        <f t="shared" si="103"/>
        <v>30710000</v>
      </c>
      <c r="R55" s="162">
        <f t="shared" si="103"/>
        <v>3071000</v>
      </c>
      <c r="S55" s="162">
        <f t="shared" si="103"/>
        <v>27639000</v>
      </c>
      <c r="T55" s="162">
        <f t="shared" si="103"/>
        <v>4977137.931034483</v>
      </c>
      <c r="U55" s="162">
        <f t="shared" si="103"/>
        <v>11436827.586206896</v>
      </c>
      <c r="V55" s="162">
        <f t="shared" si="103"/>
        <v>14296034.482758621</v>
      </c>
      <c r="W55" s="162">
        <f t="shared" si="103"/>
        <v>30710000</v>
      </c>
      <c r="X55" s="162">
        <f t="shared" si="103"/>
        <v>0</v>
      </c>
      <c r="Y55" s="162">
        <f t="shared" si="103"/>
        <v>953068.96551724139</v>
      </c>
      <c r="Z55" s="162">
        <f t="shared" si="103"/>
        <v>887340.07134363847</v>
      </c>
    </row>
    <row r="56" spans="1:26" ht="12.75" x14ac:dyDescent="0.2">
      <c r="A56" s="154">
        <v>14</v>
      </c>
      <c r="B56" s="155" t="s">
        <v>128</v>
      </c>
      <c r="C56" s="155" t="s">
        <v>131</v>
      </c>
      <c r="D56" s="156">
        <v>44347</v>
      </c>
      <c r="E56" s="154">
        <v>1</v>
      </c>
      <c r="F56" s="155" t="s">
        <v>132</v>
      </c>
      <c r="G56" s="111">
        <v>1</v>
      </c>
      <c r="H56" s="112">
        <v>170000000</v>
      </c>
      <c r="I56" s="112">
        <f>H56*G56</f>
        <v>170000000</v>
      </c>
      <c r="J56" s="110">
        <v>44319</v>
      </c>
      <c r="K56" s="77">
        <f>IFERROR(VALUE(DAY(J56)&amp;" "&amp;TEXT(EOMONTH(J56,L56)-29,"mmm")&amp;" "&amp;YEAR(EOMONTH(J56,L56)-29)),"-")</f>
        <v>46145</v>
      </c>
      <c r="L56" s="107">
        <v>60</v>
      </c>
      <c r="M56" s="169">
        <v>13.65</v>
      </c>
      <c r="N56" s="81">
        <f t="shared" ref="N56:N69" si="104">M56*H56/1000</f>
        <v>2320500</v>
      </c>
      <c r="O56" s="81"/>
      <c r="P56" s="81"/>
      <c r="Q56" s="81">
        <f t="shared" ref="Q56:Q69" si="105">N56+O56+P56</f>
        <v>2320500</v>
      </c>
      <c r="R56" s="81">
        <f t="shared" ref="R56:R69" si="106">10%*N56</f>
        <v>232050</v>
      </c>
      <c r="S56" s="81">
        <f t="shared" ref="S56:S69" si="107">Q56-R56</f>
        <v>2088450</v>
      </c>
      <c r="T56" s="42">
        <f t="shared" ref="T56:T69" si="108">Q56*10%+(Y56*2)</f>
        <v>302844.9152542373</v>
      </c>
      <c r="U56" s="42">
        <f t="shared" si="92"/>
        <v>424769.49152542371</v>
      </c>
      <c r="V56" s="108">
        <f t="shared" si="93"/>
        <v>1592885.5932203389</v>
      </c>
      <c r="W56" s="2">
        <f t="shared" si="94"/>
        <v>2320500</v>
      </c>
      <c r="X56" s="2">
        <f t="shared" si="95"/>
        <v>0</v>
      </c>
      <c r="Y56" s="2">
        <v>35397.457627118645</v>
      </c>
      <c r="Z56" s="109">
        <f t="shared" si="96"/>
        <v>34197.543809250215</v>
      </c>
    </row>
    <row r="57" spans="1:26" ht="12.75" x14ac:dyDescent="0.2">
      <c r="A57" s="164"/>
      <c r="B57" s="165"/>
      <c r="C57" s="165"/>
      <c r="D57" s="165"/>
      <c r="E57" s="154">
        <v>1</v>
      </c>
      <c r="F57" s="155" t="s">
        <v>133</v>
      </c>
      <c r="G57" s="111">
        <v>1</v>
      </c>
      <c r="H57" s="112">
        <v>250000000</v>
      </c>
      <c r="I57" s="112">
        <f t="shared" ref="I57:I69" si="109">H57*G57</f>
        <v>250000000</v>
      </c>
      <c r="J57" s="110">
        <v>44320</v>
      </c>
      <c r="K57" s="77">
        <f t="shared" ref="K57:K69" si="110">IFERROR(VALUE(DAY(J57)&amp;" "&amp;TEXT(EOMONTH(J57,L57)-29,"mmm")&amp;" "&amp;YEAR(EOMONTH(J57,L57)-29)),"-")</f>
        <v>45781</v>
      </c>
      <c r="L57" s="107">
        <v>48</v>
      </c>
      <c r="M57" s="169">
        <v>11.38</v>
      </c>
      <c r="N57" s="81">
        <f t="shared" si="104"/>
        <v>2845000</v>
      </c>
      <c r="O57" s="81"/>
      <c r="P57" s="81"/>
      <c r="Q57" s="81">
        <f t="shared" si="105"/>
        <v>2845000</v>
      </c>
      <c r="R57" s="81">
        <f t="shared" si="106"/>
        <v>284500</v>
      </c>
      <c r="S57" s="81">
        <f t="shared" si="107"/>
        <v>2560500</v>
      </c>
      <c r="T57" s="42">
        <f t="shared" si="108"/>
        <v>393457.44680851063</v>
      </c>
      <c r="U57" s="42">
        <f t="shared" si="92"/>
        <v>653744.68085106381</v>
      </c>
      <c r="V57" s="108">
        <f t="shared" si="93"/>
        <v>1797797.8723404258</v>
      </c>
      <c r="W57" s="2">
        <f t="shared" si="94"/>
        <v>2845000</v>
      </c>
      <c r="X57" s="2">
        <f t="shared" si="95"/>
        <v>0</v>
      </c>
      <c r="Y57" s="2">
        <v>54478.723404255317</v>
      </c>
      <c r="Z57" s="109">
        <f t="shared" si="96"/>
        <v>52160.479855138074</v>
      </c>
    </row>
    <row r="58" spans="1:26" ht="12.75" x14ac:dyDescent="0.2">
      <c r="A58" s="166"/>
      <c r="B58" s="166"/>
      <c r="C58" s="166"/>
      <c r="D58" s="167"/>
      <c r="E58" s="154">
        <v>1</v>
      </c>
      <c r="F58" s="155" t="s">
        <v>134</v>
      </c>
      <c r="G58" s="111">
        <v>1</v>
      </c>
      <c r="H58" s="112">
        <v>315000000</v>
      </c>
      <c r="I58" s="112">
        <f t="shared" si="109"/>
        <v>315000000</v>
      </c>
      <c r="J58" s="110">
        <v>44319</v>
      </c>
      <c r="K58" s="77">
        <f t="shared" si="110"/>
        <v>49798</v>
      </c>
      <c r="L58" s="107">
        <v>180</v>
      </c>
      <c r="M58" s="169">
        <v>37.520000000000003</v>
      </c>
      <c r="N58" s="81">
        <f t="shared" si="104"/>
        <v>11818800.000000002</v>
      </c>
      <c r="O58" s="81"/>
      <c r="P58" s="81"/>
      <c r="Q58" s="81">
        <f t="shared" si="105"/>
        <v>11818800.000000002</v>
      </c>
      <c r="R58" s="81">
        <f t="shared" si="106"/>
        <v>1181880.0000000002</v>
      </c>
      <c r="S58" s="81">
        <f t="shared" si="107"/>
        <v>10636920.000000002</v>
      </c>
      <c r="T58" s="42">
        <f t="shared" si="108"/>
        <v>1300728.2681564249</v>
      </c>
      <c r="U58" s="42">
        <f t="shared" si="92"/>
        <v>713089.60893854755</v>
      </c>
      <c r="V58" s="108">
        <f t="shared" si="93"/>
        <v>9804982.1229050308</v>
      </c>
      <c r="W58" s="2">
        <f t="shared" si="94"/>
        <v>11818800.000000004</v>
      </c>
      <c r="X58" s="2">
        <f t="shared" si="95"/>
        <v>0</v>
      </c>
      <c r="Y58" s="2">
        <v>59424.134078212301</v>
      </c>
      <c r="Z58" s="109">
        <f t="shared" si="96"/>
        <v>58760.17727286915</v>
      </c>
    </row>
    <row r="59" spans="1:26" ht="12.75" x14ac:dyDescent="0.2">
      <c r="A59" s="168"/>
      <c r="B59" s="168"/>
      <c r="C59" s="168"/>
      <c r="D59" s="107"/>
      <c r="E59" s="154">
        <v>1</v>
      </c>
      <c r="F59" s="155" t="s">
        <v>135</v>
      </c>
      <c r="G59" s="111">
        <v>1</v>
      </c>
      <c r="H59" s="112">
        <v>315000000</v>
      </c>
      <c r="I59" s="112">
        <f t="shared" si="109"/>
        <v>315000000</v>
      </c>
      <c r="J59" s="110">
        <v>44320</v>
      </c>
      <c r="K59" s="77">
        <f t="shared" si="110"/>
        <v>49799</v>
      </c>
      <c r="L59" s="107">
        <v>180</v>
      </c>
      <c r="M59" s="169">
        <v>37.520000000000003</v>
      </c>
      <c r="N59" s="81">
        <f t="shared" si="104"/>
        <v>11818800.000000002</v>
      </c>
      <c r="O59" s="81"/>
      <c r="P59" s="81"/>
      <c r="Q59" s="81">
        <f t="shared" si="105"/>
        <v>11818800.000000002</v>
      </c>
      <c r="R59" s="81">
        <f t="shared" si="106"/>
        <v>1181880.0000000002</v>
      </c>
      <c r="S59" s="81">
        <f t="shared" si="107"/>
        <v>10636920.000000002</v>
      </c>
      <c r="T59" s="42">
        <f t="shared" si="108"/>
        <v>1300728.2681564249</v>
      </c>
      <c r="U59" s="42">
        <f t="shared" si="92"/>
        <v>713089.60893854755</v>
      </c>
      <c r="V59" s="108">
        <f t="shared" si="93"/>
        <v>9804982.1229050308</v>
      </c>
      <c r="W59" s="2">
        <f t="shared" si="94"/>
        <v>11818800.000000004</v>
      </c>
      <c r="X59" s="2">
        <f t="shared" si="95"/>
        <v>0</v>
      </c>
      <c r="Y59" s="2">
        <v>59424.134078212301</v>
      </c>
      <c r="Z59" s="109">
        <f t="shared" si="96"/>
        <v>58760.17727286915</v>
      </c>
    </row>
    <row r="60" spans="1:26" ht="12.75" x14ac:dyDescent="0.2">
      <c r="A60" s="168"/>
      <c r="B60" s="168"/>
      <c r="C60" s="168"/>
      <c r="D60" s="107"/>
      <c r="E60" s="154">
        <v>1</v>
      </c>
      <c r="F60" s="155" t="s">
        <v>136</v>
      </c>
      <c r="G60" s="111">
        <v>1</v>
      </c>
      <c r="H60" s="112">
        <v>250000000</v>
      </c>
      <c r="I60" s="112">
        <f t="shared" si="109"/>
        <v>250000000</v>
      </c>
      <c r="J60" s="110">
        <v>44320</v>
      </c>
      <c r="K60" s="77">
        <f t="shared" si="110"/>
        <v>47972</v>
      </c>
      <c r="L60" s="107">
        <v>120</v>
      </c>
      <c r="M60" s="169">
        <v>25.48</v>
      </c>
      <c r="N60" s="81">
        <f t="shared" si="104"/>
        <v>6370000</v>
      </c>
      <c r="O60" s="81"/>
      <c r="P60" s="81"/>
      <c r="Q60" s="81">
        <f t="shared" si="105"/>
        <v>6370000</v>
      </c>
      <c r="R60" s="81">
        <f t="shared" si="106"/>
        <v>637000</v>
      </c>
      <c r="S60" s="81">
        <f t="shared" si="107"/>
        <v>5733000</v>
      </c>
      <c r="T60" s="42">
        <f t="shared" si="108"/>
        <v>733352.9411764706</v>
      </c>
      <c r="U60" s="42">
        <f t="shared" si="92"/>
        <v>578117.6470588235</v>
      </c>
      <c r="V60" s="108">
        <f t="shared" si="93"/>
        <v>5058529.4117647065</v>
      </c>
      <c r="W60" s="2">
        <f t="shared" si="94"/>
        <v>6370000</v>
      </c>
      <c r="X60" s="2">
        <f t="shared" si="95"/>
        <v>0</v>
      </c>
      <c r="Y60" s="2">
        <v>48176.470588235294</v>
      </c>
      <c r="Z60" s="109">
        <f t="shared" si="96"/>
        <v>47366.782006920417</v>
      </c>
    </row>
    <row r="61" spans="1:26" ht="12.75" x14ac:dyDescent="0.2">
      <c r="A61" s="168"/>
      <c r="B61" s="168"/>
      <c r="C61" s="168"/>
      <c r="D61" s="107"/>
      <c r="E61" s="154">
        <v>1</v>
      </c>
      <c r="F61" s="155" t="s">
        <v>137</v>
      </c>
      <c r="G61" s="111">
        <v>1</v>
      </c>
      <c r="H61" s="112">
        <v>450000000</v>
      </c>
      <c r="I61" s="112">
        <f t="shared" si="109"/>
        <v>450000000</v>
      </c>
      <c r="J61" s="110">
        <v>44320</v>
      </c>
      <c r="K61" s="77">
        <f t="shared" si="110"/>
        <v>49799</v>
      </c>
      <c r="L61" s="107">
        <v>180</v>
      </c>
      <c r="M61" s="169">
        <v>37.520000000000003</v>
      </c>
      <c r="N61" s="81">
        <f t="shared" si="104"/>
        <v>16884000.000000004</v>
      </c>
      <c r="O61" s="81"/>
      <c r="P61" s="81"/>
      <c r="Q61" s="81">
        <f t="shared" si="105"/>
        <v>16884000.000000004</v>
      </c>
      <c r="R61" s="81">
        <f t="shared" si="106"/>
        <v>1688400.0000000005</v>
      </c>
      <c r="S61" s="81">
        <f t="shared" si="107"/>
        <v>15195600.000000004</v>
      </c>
      <c r="T61" s="42">
        <f t="shared" si="108"/>
        <v>1858183.2402234641</v>
      </c>
      <c r="U61" s="42">
        <f t="shared" si="92"/>
        <v>1018699.4413407824</v>
      </c>
      <c r="V61" s="108">
        <f t="shared" si="93"/>
        <v>14007117.318435758</v>
      </c>
      <c r="W61" s="2">
        <f t="shared" si="94"/>
        <v>16884000.000000004</v>
      </c>
      <c r="X61" s="2">
        <f t="shared" si="95"/>
        <v>0</v>
      </c>
      <c r="Y61" s="2">
        <v>84891.620111731871</v>
      </c>
      <c r="Z61" s="109">
        <f t="shared" si="96"/>
        <v>83943.110389813068</v>
      </c>
    </row>
    <row r="62" spans="1:26" ht="12.75" x14ac:dyDescent="0.2">
      <c r="A62" s="168"/>
      <c r="B62" s="168"/>
      <c r="C62" s="168"/>
      <c r="D62" s="107"/>
      <c r="E62" s="154">
        <v>1</v>
      </c>
      <c r="F62" s="155" t="s">
        <v>138</v>
      </c>
      <c r="G62" s="111">
        <v>1</v>
      </c>
      <c r="H62" s="112">
        <v>340000000</v>
      </c>
      <c r="I62" s="112">
        <f t="shared" si="109"/>
        <v>340000000</v>
      </c>
      <c r="J62" s="110">
        <v>44320</v>
      </c>
      <c r="K62" s="77">
        <f t="shared" si="110"/>
        <v>49799</v>
      </c>
      <c r="L62" s="107">
        <v>180</v>
      </c>
      <c r="M62" s="169">
        <v>37.520000000000003</v>
      </c>
      <c r="N62" s="81">
        <f t="shared" si="104"/>
        <v>12756800.000000002</v>
      </c>
      <c r="O62" s="81"/>
      <c r="P62" s="81"/>
      <c r="Q62" s="81">
        <f t="shared" si="105"/>
        <v>12756800.000000002</v>
      </c>
      <c r="R62" s="81">
        <f t="shared" si="106"/>
        <v>1275680.0000000002</v>
      </c>
      <c r="S62" s="81">
        <f t="shared" si="107"/>
        <v>11481120.000000002</v>
      </c>
      <c r="T62" s="42">
        <f t="shared" si="108"/>
        <v>1403960.6703910618</v>
      </c>
      <c r="U62" s="42">
        <f t="shared" si="92"/>
        <v>769684.02234636887</v>
      </c>
      <c r="V62" s="108">
        <f t="shared" si="93"/>
        <v>10583155.307262572</v>
      </c>
      <c r="W62" s="2">
        <f t="shared" si="94"/>
        <v>12756800.000000002</v>
      </c>
      <c r="X62" s="2">
        <f t="shared" si="95"/>
        <v>0</v>
      </c>
      <c r="Y62" s="2">
        <v>64140.335195530737</v>
      </c>
      <c r="Z62" s="109">
        <f t="shared" si="96"/>
        <v>63423.683405636533</v>
      </c>
    </row>
    <row r="63" spans="1:26" ht="12.75" x14ac:dyDescent="0.2">
      <c r="A63" s="168"/>
      <c r="B63" s="168"/>
      <c r="C63" s="168"/>
      <c r="D63" s="107"/>
      <c r="E63" s="154">
        <v>1</v>
      </c>
      <c r="F63" s="155" t="s">
        <v>139</v>
      </c>
      <c r="G63" s="111">
        <v>1</v>
      </c>
      <c r="H63" s="112">
        <v>30000000</v>
      </c>
      <c r="I63" s="112">
        <f t="shared" si="109"/>
        <v>30000000</v>
      </c>
      <c r="J63" s="110">
        <v>44321</v>
      </c>
      <c r="K63" s="77">
        <f t="shared" si="110"/>
        <v>45417</v>
      </c>
      <c r="L63" s="107">
        <v>36</v>
      </c>
      <c r="M63" s="169">
        <v>17.88</v>
      </c>
      <c r="N63" s="81">
        <f t="shared" si="104"/>
        <v>536399.99999999988</v>
      </c>
      <c r="O63" s="81"/>
      <c r="P63" s="81"/>
      <c r="Q63" s="81">
        <f t="shared" si="105"/>
        <v>536399.99999999988</v>
      </c>
      <c r="R63" s="81">
        <f t="shared" si="106"/>
        <v>53639.999999999993</v>
      </c>
      <c r="S63" s="81">
        <f t="shared" si="107"/>
        <v>482759.99999999988</v>
      </c>
      <c r="T63" s="42">
        <f t="shared" si="108"/>
        <v>81226.285714285696</v>
      </c>
      <c r="U63" s="42">
        <f t="shared" si="92"/>
        <v>165517.71428571423</v>
      </c>
      <c r="V63" s="108">
        <f t="shared" si="93"/>
        <v>289656</v>
      </c>
      <c r="W63" s="2">
        <f t="shared" si="94"/>
        <v>536400</v>
      </c>
      <c r="X63" s="2">
        <f t="shared" si="95"/>
        <v>0</v>
      </c>
      <c r="Y63" s="2">
        <v>13793.142857142853</v>
      </c>
      <c r="Z63" s="109">
        <f t="shared" si="96"/>
        <v>13004.96326530612</v>
      </c>
    </row>
    <row r="64" spans="1:26" ht="12.75" x14ac:dyDescent="0.2">
      <c r="A64" s="168"/>
      <c r="B64" s="168"/>
      <c r="C64" s="168"/>
      <c r="D64" s="107"/>
      <c r="E64" s="154">
        <v>1</v>
      </c>
      <c r="F64" s="155" t="s">
        <v>140</v>
      </c>
      <c r="G64" s="111">
        <v>1</v>
      </c>
      <c r="H64" s="112">
        <v>170000000</v>
      </c>
      <c r="I64" s="112">
        <f t="shared" si="109"/>
        <v>170000000</v>
      </c>
      <c r="J64" s="110">
        <v>44321</v>
      </c>
      <c r="K64" s="77">
        <f t="shared" si="110"/>
        <v>49800</v>
      </c>
      <c r="L64" s="107">
        <v>180</v>
      </c>
      <c r="M64" s="169">
        <v>37.520000000000003</v>
      </c>
      <c r="N64" s="81">
        <f t="shared" si="104"/>
        <v>6378400.0000000009</v>
      </c>
      <c r="O64" s="81"/>
      <c r="P64" s="81"/>
      <c r="Q64" s="81">
        <f t="shared" si="105"/>
        <v>6378400.0000000009</v>
      </c>
      <c r="R64" s="81">
        <f t="shared" si="106"/>
        <v>637840.00000000012</v>
      </c>
      <c r="S64" s="81">
        <f t="shared" si="107"/>
        <v>5740560.0000000009</v>
      </c>
      <c r="T64" s="42">
        <f t="shared" si="108"/>
        <v>701980.3351955309</v>
      </c>
      <c r="U64" s="42">
        <f t="shared" si="92"/>
        <v>384842.01117318444</v>
      </c>
      <c r="V64" s="108">
        <f t="shared" si="93"/>
        <v>5291577.6536312858</v>
      </c>
      <c r="W64" s="2">
        <f t="shared" si="94"/>
        <v>6378400.0000000009</v>
      </c>
      <c r="X64" s="2">
        <f t="shared" si="95"/>
        <v>0</v>
      </c>
      <c r="Y64" s="2">
        <v>32070.167597765369</v>
      </c>
      <c r="Z64" s="109">
        <f t="shared" si="96"/>
        <v>31711.841702818267</v>
      </c>
    </row>
    <row r="65" spans="1:27" ht="12.75" x14ac:dyDescent="0.2">
      <c r="A65" s="168"/>
      <c r="B65" s="168"/>
      <c r="C65" s="168"/>
      <c r="D65" s="107"/>
      <c r="E65" s="154">
        <v>1</v>
      </c>
      <c r="F65" s="155" t="s">
        <v>141</v>
      </c>
      <c r="G65" s="111">
        <v>1</v>
      </c>
      <c r="H65" s="112">
        <v>40000000</v>
      </c>
      <c r="I65" s="112">
        <f t="shared" si="109"/>
        <v>40000000</v>
      </c>
      <c r="J65" s="110">
        <v>44322</v>
      </c>
      <c r="K65" s="77">
        <f t="shared" si="110"/>
        <v>45418</v>
      </c>
      <c r="L65" s="107">
        <v>36</v>
      </c>
      <c r="M65" s="169">
        <v>9.1</v>
      </c>
      <c r="N65" s="81">
        <f t="shared" si="104"/>
        <v>364000</v>
      </c>
      <c r="O65" s="81"/>
      <c r="P65" s="81"/>
      <c r="Q65" s="81">
        <f t="shared" si="105"/>
        <v>364000</v>
      </c>
      <c r="R65" s="81">
        <f t="shared" si="106"/>
        <v>36400</v>
      </c>
      <c r="S65" s="81">
        <f t="shared" si="107"/>
        <v>327600</v>
      </c>
      <c r="T65" s="42">
        <f t="shared" si="108"/>
        <v>55120</v>
      </c>
      <c r="U65" s="42">
        <f t="shared" si="92"/>
        <v>112320</v>
      </c>
      <c r="V65" s="108">
        <f t="shared" si="93"/>
        <v>196560</v>
      </c>
      <c r="W65" s="2">
        <f t="shared" si="94"/>
        <v>364000</v>
      </c>
      <c r="X65" s="2">
        <f t="shared" si="95"/>
        <v>0</v>
      </c>
      <c r="Y65" s="2">
        <v>9360</v>
      </c>
      <c r="Z65" s="109">
        <f t="shared" si="96"/>
        <v>8825.1428571428569</v>
      </c>
    </row>
    <row r="66" spans="1:27" ht="12.75" x14ac:dyDescent="0.2">
      <c r="A66" s="168"/>
      <c r="B66" s="168"/>
      <c r="C66" s="168"/>
      <c r="D66" s="107"/>
      <c r="E66" s="154">
        <v>1</v>
      </c>
      <c r="F66" s="155" t="s">
        <v>142</v>
      </c>
      <c r="G66" s="111">
        <v>1</v>
      </c>
      <c r="H66" s="112">
        <v>440000000</v>
      </c>
      <c r="I66" s="112">
        <f t="shared" si="109"/>
        <v>440000000</v>
      </c>
      <c r="J66" s="110">
        <v>44323</v>
      </c>
      <c r="K66" s="77">
        <f t="shared" si="110"/>
        <v>49802</v>
      </c>
      <c r="L66" s="107">
        <v>180</v>
      </c>
      <c r="M66" s="169">
        <v>37.520000000000003</v>
      </c>
      <c r="N66" s="81">
        <f t="shared" si="104"/>
        <v>16508800.000000002</v>
      </c>
      <c r="O66" s="81"/>
      <c r="P66" s="81"/>
      <c r="Q66" s="81">
        <f t="shared" si="105"/>
        <v>16508800.000000002</v>
      </c>
      <c r="R66" s="81">
        <f t="shared" si="106"/>
        <v>1650880.0000000002</v>
      </c>
      <c r="S66" s="81">
        <f t="shared" si="107"/>
        <v>14857920.000000002</v>
      </c>
      <c r="T66" s="42">
        <f t="shared" si="108"/>
        <v>1816890.2793296091</v>
      </c>
      <c r="U66" s="42">
        <f t="shared" si="92"/>
        <v>996061.67597765371</v>
      </c>
      <c r="V66" s="108">
        <f t="shared" si="93"/>
        <v>13695848.04469274</v>
      </c>
      <c r="W66" s="2">
        <f t="shared" si="94"/>
        <v>16508800.000000004</v>
      </c>
      <c r="X66" s="2">
        <f t="shared" si="95"/>
        <v>0</v>
      </c>
      <c r="Y66" s="2">
        <v>83005.139664804476</v>
      </c>
      <c r="Z66" s="109">
        <f t="shared" si="96"/>
        <v>82077.707936706109</v>
      </c>
    </row>
    <row r="67" spans="1:27" ht="12.75" x14ac:dyDescent="0.2">
      <c r="A67" s="168"/>
      <c r="B67" s="168"/>
      <c r="C67" s="168"/>
      <c r="D67" s="107"/>
      <c r="E67" s="154">
        <v>1</v>
      </c>
      <c r="F67" s="155" t="s">
        <v>144</v>
      </c>
      <c r="G67" s="111">
        <v>1</v>
      </c>
      <c r="H67" s="112">
        <v>30000000</v>
      </c>
      <c r="I67" s="112">
        <f t="shared" si="109"/>
        <v>30000000</v>
      </c>
      <c r="J67" s="110">
        <v>44323</v>
      </c>
      <c r="K67" s="77">
        <f t="shared" si="110"/>
        <v>45053</v>
      </c>
      <c r="L67" s="107">
        <v>24</v>
      </c>
      <c r="M67" s="169">
        <v>9.1</v>
      </c>
      <c r="N67" s="81">
        <f t="shared" si="104"/>
        <v>273000</v>
      </c>
      <c r="O67" s="81"/>
      <c r="P67" s="81"/>
      <c r="Q67" s="81">
        <f t="shared" si="105"/>
        <v>273000</v>
      </c>
      <c r="R67" s="81">
        <f t="shared" si="106"/>
        <v>27300</v>
      </c>
      <c r="S67" s="81">
        <f t="shared" si="107"/>
        <v>245700</v>
      </c>
      <c r="T67" s="42">
        <f t="shared" si="108"/>
        <v>48665.217391304352</v>
      </c>
      <c r="U67" s="42">
        <f t="shared" si="92"/>
        <v>128191.30434782608</v>
      </c>
      <c r="V67" s="108">
        <f t="shared" si="93"/>
        <v>96143.478260869568</v>
      </c>
      <c r="W67" s="2">
        <f t="shared" si="94"/>
        <v>273000</v>
      </c>
      <c r="X67" s="2">
        <f t="shared" si="95"/>
        <v>0</v>
      </c>
      <c r="Y67" s="2">
        <v>10682.608695652174</v>
      </c>
      <c r="Z67" s="109">
        <f t="shared" si="96"/>
        <v>9753.6862003780716</v>
      </c>
    </row>
    <row r="68" spans="1:27" ht="12.75" x14ac:dyDescent="0.2">
      <c r="A68" s="168"/>
      <c r="B68" s="168"/>
      <c r="C68" s="168"/>
      <c r="D68" s="107"/>
      <c r="E68" s="154">
        <v>1</v>
      </c>
      <c r="F68" s="155" t="s">
        <v>143</v>
      </c>
      <c r="G68" s="111">
        <v>1</v>
      </c>
      <c r="H68" s="112">
        <v>200000000</v>
      </c>
      <c r="I68" s="112">
        <f t="shared" si="109"/>
        <v>200000000</v>
      </c>
      <c r="J68" s="110">
        <v>44326</v>
      </c>
      <c r="K68" s="77">
        <f t="shared" si="110"/>
        <v>47978</v>
      </c>
      <c r="L68" s="107">
        <v>120</v>
      </c>
      <c r="M68" s="169">
        <v>25.48</v>
      </c>
      <c r="N68" s="81">
        <f t="shared" si="104"/>
        <v>5096000</v>
      </c>
      <c r="O68" s="81"/>
      <c r="P68" s="81"/>
      <c r="Q68" s="81">
        <f t="shared" si="105"/>
        <v>5096000</v>
      </c>
      <c r="R68" s="81">
        <f t="shared" si="106"/>
        <v>509600</v>
      </c>
      <c r="S68" s="81">
        <f t="shared" si="107"/>
        <v>4586400</v>
      </c>
      <c r="T68" s="42">
        <f t="shared" si="108"/>
        <v>586682.3529411765</v>
      </c>
      <c r="U68" s="42">
        <f t="shared" si="92"/>
        <v>462494.11764705885</v>
      </c>
      <c r="V68" s="108">
        <f t="shared" si="93"/>
        <v>4046823.5294117643</v>
      </c>
      <c r="W68" s="2">
        <f t="shared" si="94"/>
        <v>5096000</v>
      </c>
      <c r="X68" s="2">
        <f t="shared" si="95"/>
        <v>0</v>
      </c>
      <c r="Y68" s="2">
        <v>38541.176470588238</v>
      </c>
      <c r="Z68" s="109">
        <f t="shared" si="96"/>
        <v>37893.425605536329</v>
      </c>
    </row>
    <row r="69" spans="1:27" ht="12.75" x14ac:dyDescent="0.2">
      <c r="A69" s="168"/>
      <c r="B69" s="168"/>
      <c r="C69" s="168"/>
      <c r="D69" s="107"/>
      <c r="E69" s="154">
        <v>1</v>
      </c>
      <c r="F69" s="155" t="s">
        <v>145</v>
      </c>
      <c r="G69" s="111">
        <v>1</v>
      </c>
      <c r="H69" s="112">
        <v>265000000</v>
      </c>
      <c r="I69" s="112">
        <f t="shared" si="109"/>
        <v>265000000</v>
      </c>
      <c r="J69" s="110">
        <v>44326</v>
      </c>
      <c r="K69" s="77">
        <f t="shared" si="110"/>
        <v>48497</v>
      </c>
      <c r="L69" s="107">
        <v>137</v>
      </c>
      <c r="M69" s="169">
        <v>30.46</v>
      </c>
      <c r="N69" s="81">
        <f t="shared" si="104"/>
        <v>8071900</v>
      </c>
      <c r="O69" s="81"/>
      <c r="P69" s="81"/>
      <c r="Q69" s="81">
        <f t="shared" si="105"/>
        <v>8071900</v>
      </c>
      <c r="R69" s="81">
        <f t="shared" si="106"/>
        <v>807190</v>
      </c>
      <c r="S69" s="81">
        <f t="shared" si="107"/>
        <v>7264710</v>
      </c>
      <c r="T69" s="42">
        <f t="shared" si="108"/>
        <v>914023.9705882353</v>
      </c>
      <c r="U69" s="42">
        <f t="shared" si="92"/>
        <v>641003.82352941181</v>
      </c>
      <c r="V69" s="108">
        <f t="shared" si="93"/>
        <v>6516872.2058823528</v>
      </c>
      <c r="W69" s="2">
        <f t="shared" si="94"/>
        <v>8071900</v>
      </c>
      <c r="X69" s="2">
        <f t="shared" si="95"/>
        <v>0</v>
      </c>
      <c r="Y69" s="2">
        <v>53416.98529411765</v>
      </c>
      <c r="Z69" s="109">
        <f t="shared" si="96"/>
        <v>52631.441392733563</v>
      </c>
    </row>
    <row r="70" spans="1:27" x14ac:dyDescent="0.2">
      <c r="A70" s="83"/>
      <c r="B70" s="83"/>
      <c r="C70" s="83"/>
      <c r="D70" s="84"/>
      <c r="E70" s="93">
        <f>SUM(E56:E69)</f>
        <v>14</v>
      </c>
      <c r="F70" s="83"/>
      <c r="G70" s="83"/>
      <c r="H70" s="92">
        <f>SUM(H56:H69)</f>
        <v>3265000000</v>
      </c>
      <c r="I70" s="92">
        <f t="shared" ref="I70:Z70" si="111">SUM(I56:I69)</f>
        <v>3265000000</v>
      </c>
      <c r="J70" s="92"/>
      <c r="K70" s="92"/>
      <c r="L70" s="92"/>
      <c r="M70" s="92"/>
      <c r="N70" s="92">
        <f t="shared" si="111"/>
        <v>102042400</v>
      </c>
      <c r="O70" s="92">
        <f t="shared" si="111"/>
        <v>0</v>
      </c>
      <c r="P70" s="92">
        <f t="shared" si="111"/>
        <v>0</v>
      </c>
      <c r="Q70" s="92">
        <f t="shared" si="111"/>
        <v>102042400</v>
      </c>
      <c r="R70" s="92">
        <f t="shared" si="111"/>
        <v>10204240.000000002</v>
      </c>
      <c r="S70" s="92">
        <f t="shared" si="111"/>
        <v>91838160.000000015</v>
      </c>
      <c r="T70" s="92">
        <f t="shared" si="111"/>
        <v>11497844.191326737</v>
      </c>
      <c r="U70" s="92">
        <f t="shared" si="111"/>
        <v>7761625.1479604077</v>
      </c>
      <c r="V70" s="92">
        <f t="shared" si="111"/>
        <v>82782930.660712883</v>
      </c>
      <c r="W70" s="92">
        <f t="shared" si="111"/>
        <v>102042400.00000001</v>
      </c>
      <c r="X70" s="92">
        <f t="shared" si="111"/>
        <v>0</v>
      </c>
      <c r="Y70" s="92">
        <f t="shared" si="111"/>
        <v>646802.0956633673</v>
      </c>
      <c r="Z70" s="92">
        <f t="shared" si="111"/>
        <v>634510.16297311801</v>
      </c>
    </row>
    <row r="71" spans="1:27" x14ac:dyDescent="0.2">
      <c r="A71" s="74">
        <v>15</v>
      </c>
      <c r="B71" s="107" t="s">
        <v>49</v>
      </c>
      <c r="C71" s="107" t="s">
        <v>156</v>
      </c>
      <c r="D71" s="110">
        <v>44347</v>
      </c>
      <c r="E71" s="74">
        <v>1</v>
      </c>
      <c r="F71" s="107" t="s">
        <v>157</v>
      </c>
      <c r="G71" s="111">
        <v>1</v>
      </c>
      <c r="H71" s="112">
        <v>250000000</v>
      </c>
      <c r="I71" s="112">
        <f>H71*G71</f>
        <v>250000000</v>
      </c>
      <c r="J71" s="110">
        <v>44320</v>
      </c>
      <c r="K71" s="77">
        <f>IFERROR(VALUE(DAY(J71)&amp;" "&amp;TEXT(EOMONTH(J71,L71)-29,"mmm")&amp;" "&amp;YEAR(EOMONTH(J71,L71)-29)),"-")</f>
        <v>48338</v>
      </c>
      <c r="L71" s="107">
        <v>132</v>
      </c>
      <c r="M71" s="99">
        <v>27.98</v>
      </c>
      <c r="N71" s="81">
        <f t="shared" ref="N71:N72" si="112">M71*H71/1000</f>
        <v>6995000</v>
      </c>
      <c r="O71" s="81"/>
      <c r="P71" s="81"/>
      <c r="Q71" s="81">
        <f t="shared" ref="Q71:Q72" si="113">N71+O71+P71</f>
        <v>6995000</v>
      </c>
      <c r="R71" s="81">
        <f t="shared" ref="R71:R72" si="114">10%*N71</f>
        <v>699500</v>
      </c>
      <c r="S71" s="81">
        <f t="shared" ref="S71:S72" si="115">Q71-R71</f>
        <v>6295500</v>
      </c>
      <c r="T71" s="42">
        <f t="shared" ref="T71:T72" si="116">Q71*10%+(Y71*2)</f>
        <v>795614.50381679391</v>
      </c>
      <c r="U71" s="42">
        <f t="shared" ref="U71:U72" si="117">Y71*12</f>
        <v>576687.02290076332</v>
      </c>
      <c r="V71" s="108">
        <f t="shared" ref="V71:V72" si="118">Q71-T71-U71</f>
        <v>5622698.4732824434</v>
      </c>
      <c r="W71" s="2">
        <f t="shared" ref="W71:W72" si="119">T71+U71+V71</f>
        <v>6995000</v>
      </c>
      <c r="X71" s="2">
        <f t="shared" ref="X71:X72" si="120">Q71-W71</f>
        <v>0</v>
      </c>
      <c r="Y71" s="2">
        <v>48057.251908396946</v>
      </c>
      <c r="Z71" s="109">
        <f t="shared" ref="Z71:Z72" si="121">(Q71-T71)/(L71-1)</f>
        <v>47323.553405978673</v>
      </c>
    </row>
    <row r="72" spans="1:27" x14ac:dyDescent="0.2">
      <c r="A72" s="74"/>
      <c r="B72" s="107"/>
      <c r="C72" s="107"/>
      <c r="D72" s="110"/>
      <c r="E72" s="74">
        <v>1</v>
      </c>
      <c r="F72" s="107" t="s">
        <v>158</v>
      </c>
      <c r="G72" s="111">
        <v>1</v>
      </c>
      <c r="H72" s="112">
        <v>60000000</v>
      </c>
      <c r="I72" s="112">
        <f>H72*G72</f>
        <v>60000000</v>
      </c>
      <c r="J72" s="110">
        <v>44320</v>
      </c>
      <c r="K72" s="77">
        <f>IFERROR(VALUE(DAY(J72)&amp;" "&amp;TEXT(EOMONTH(J72,L72)-29,"mmm")&amp;" "&amp;YEAR(EOMONTH(J72,L72)-29)),"-")</f>
        <v>46146</v>
      </c>
      <c r="L72" s="107">
        <v>60</v>
      </c>
      <c r="M72" s="99">
        <v>13.65</v>
      </c>
      <c r="N72" s="81">
        <f t="shared" si="112"/>
        <v>819000</v>
      </c>
      <c r="O72" s="81"/>
      <c r="P72" s="81"/>
      <c r="Q72" s="81">
        <f t="shared" si="113"/>
        <v>819000</v>
      </c>
      <c r="R72" s="81">
        <f t="shared" si="114"/>
        <v>81900</v>
      </c>
      <c r="S72" s="81">
        <f t="shared" si="115"/>
        <v>737100</v>
      </c>
      <c r="T72" s="42">
        <f t="shared" si="116"/>
        <v>106886.44067796611</v>
      </c>
      <c r="U72" s="42">
        <f t="shared" si="117"/>
        <v>149918.64406779659</v>
      </c>
      <c r="V72" s="108">
        <f t="shared" si="118"/>
        <v>562194.91525423736</v>
      </c>
      <c r="W72" s="2">
        <f t="shared" si="119"/>
        <v>819000</v>
      </c>
      <c r="X72" s="2">
        <f t="shared" si="120"/>
        <v>0</v>
      </c>
      <c r="Y72" s="2">
        <v>12493.22033898305</v>
      </c>
      <c r="Z72" s="109">
        <f t="shared" si="121"/>
        <v>12069.721344441252</v>
      </c>
    </row>
    <row r="73" spans="1:27" s="94" customFormat="1" x14ac:dyDescent="0.2">
      <c r="A73" s="88"/>
      <c r="B73" s="84"/>
      <c r="C73" s="84"/>
      <c r="D73" s="84"/>
      <c r="E73" s="88">
        <f>SUM(E71:E72)</f>
        <v>2</v>
      </c>
      <c r="F73" s="84"/>
      <c r="G73" s="115"/>
      <c r="H73" s="79">
        <f t="shared" ref="H73:I73" si="122">SUM(H71:H72)</f>
        <v>310000000</v>
      </c>
      <c r="I73" s="79">
        <f t="shared" si="122"/>
        <v>310000000</v>
      </c>
      <c r="J73" s="59"/>
      <c r="K73" s="59"/>
      <c r="L73" s="59"/>
      <c r="M73" s="59"/>
      <c r="N73" s="79">
        <f t="shared" ref="N73:Z73" si="123">SUM(N71:N72)</f>
        <v>7814000</v>
      </c>
      <c r="O73" s="79">
        <f t="shared" si="123"/>
        <v>0</v>
      </c>
      <c r="P73" s="79">
        <f t="shared" si="123"/>
        <v>0</v>
      </c>
      <c r="Q73" s="79">
        <f t="shared" si="123"/>
        <v>7814000</v>
      </c>
      <c r="R73" s="79">
        <f t="shared" si="123"/>
        <v>781400</v>
      </c>
      <c r="S73" s="79">
        <f t="shared" si="123"/>
        <v>7032600</v>
      </c>
      <c r="T73" s="79">
        <f t="shared" si="123"/>
        <v>902500.94449476001</v>
      </c>
      <c r="U73" s="79">
        <f t="shared" si="123"/>
        <v>726605.66696855985</v>
      </c>
      <c r="V73" s="79">
        <f t="shared" si="123"/>
        <v>6184893.3885366805</v>
      </c>
      <c r="W73" s="79">
        <f t="shared" si="123"/>
        <v>7814000</v>
      </c>
      <c r="X73" s="79">
        <f t="shared" si="123"/>
        <v>0</v>
      </c>
      <c r="Y73" s="79">
        <f t="shared" si="123"/>
        <v>60550.472247379992</v>
      </c>
      <c r="Z73" s="79">
        <f t="shared" si="123"/>
        <v>59393.274750419921</v>
      </c>
    </row>
    <row r="74" spans="1:27" x14ac:dyDescent="0.2">
      <c r="A74" s="83"/>
      <c r="B74" s="83"/>
      <c r="C74" s="83" t="s">
        <v>147</v>
      </c>
      <c r="D74" s="84"/>
      <c r="E74" s="85">
        <f>E70+E55+E53+E50+E73</f>
        <v>20</v>
      </c>
      <c r="F74" s="87">
        <f t="shared" ref="F74:Z74" si="124">F70+F55+F53+F50+F73</f>
        <v>0</v>
      </c>
      <c r="G74" s="87">
        <f t="shared" si="124"/>
        <v>0</v>
      </c>
      <c r="H74" s="87">
        <f>H70+H55+H53+H50+H73</f>
        <v>4756450622</v>
      </c>
      <c r="I74" s="87">
        <f t="shared" si="124"/>
        <v>4756450622</v>
      </c>
      <c r="J74" s="87">
        <f t="shared" si="124"/>
        <v>0</v>
      </c>
      <c r="K74" s="87">
        <f t="shared" si="124"/>
        <v>0</v>
      </c>
      <c r="L74" s="87">
        <f t="shared" si="124"/>
        <v>0</v>
      </c>
      <c r="M74" s="87">
        <f t="shared" si="124"/>
        <v>0</v>
      </c>
      <c r="N74" s="87">
        <f t="shared" si="124"/>
        <v>144081307.23106</v>
      </c>
      <c r="O74" s="87">
        <f t="shared" si="124"/>
        <v>0</v>
      </c>
      <c r="P74" s="87">
        <f t="shared" si="124"/>
        <v>0</v>
      </c>
      <c r="Q74" s="87">
        <f t="shared" si="124"/>
        <v>144081307.23106</v>
      </c>
      <c r="R74" s="87">
        <f t="shared" si="124"/>
        <v>14408130.723106002</v>
      </c>
      <c r="S74" s="87">
        <f t="shared" si="124"/>
        <v>129673176.50795402</v>
      </c>
      <c r="T74" s="87">
        <f t="shared" si="124"/>
        <v>17846640.058954116</v>
      </c>
      <c r="U74" s="87">
        <f t="shared" si="124"/>
        <v>20631056.015088685</v>
      </c>
      <c r="V74" s="87">
        <f t="shared" si="124"/>
        <v>105603611.15701723</v>
      </c>
      <c r="W74" s="87">
        <f t="shared" si="124"/>
        <v>144081307.23106003</v>
      </c>
      <c r="X74" s="87">
        <f t="shared" si="124"/>
        <v>0</v>
      </c>
      <c r="Y74" s="87">
        <f t="shared" si="124"/>
        <v>1719254.6679240575</v>
      </c>
      <c r="Z74" s="87">
        <f t="shared" si="124"/>
        <v>1637368.0711764675</v>
      </c>
    </row>
    <row r="75" spans="1:27" s="94" customFormat="1" x14ac:dyDescent="0.2">
      <c r="A75" s="83"/>
      <c r="B75" s="83"/>
      <c r="C75" s="83" t="s">
        <v>148</v>
      </c>
      <c r="D75" s="84"/>
      <c r="E75" s="93">
        <f t="shared" ref="E75:G75" si="125">E74+E44</f>
        <v>29</v>
      </c>
      <c r="F75" s="95">
        <f t="shared" si="125"/>
        <v>0</v>
      </c>
      <c r="G75" s="95">
        <f t="shared" si="125"/>
        <v>0</v>
      </c>
      <c r="H75" s="95">
        <f>H74+H44</f>
        <v>6129450622</v>
      </c>
      <c r="I75" s="95">
        <f t="shared" ref="I75:AA75" si="126">I74+I44</f>
        <v>6129450622</v>
      </c>
      <c r="J75" s="95">
        <f t="shared" si="126"/>
        <v>0</v>
      </c>
      <c r="K75" s="95">
        <f t="shared" si="126"/>
        <v>0</v>
      </c>
      <c r="L75" s="95">
        <f t="shared" si="126"/>
        <v>0</v>
      </c>
      <c r="M75" s="95">
        <f t="shared" si="126"/>
        <v>0</v>
      </c>
      <c r="N75" s="95">
        <f t="shared" si="126"/>
        <v>175057545.86488</v>
      </c>
      <c r="O75" s="95">
        <f t="shared" si="126"/>
        <v>300000</v>
      </c>
      <c r="P75" s="95">
        <f t="shared" si="126"/>
        <v>0</v>
      </c>
      <c r="Q75" s="95">
        <f t="shared" si="126"/>
        <v>191255545.86488</v>
      </c>
      <c r="R75" s="95">
        <f t="shared" si="126"/>
        <v>18995427.723106004</v>
      </c>
      <c r="S75" s="95">
        <f t="shared" si="126"/>
        <v>172260118.141774</v>
      </c>
      <c r="T75" s="95">
        <f t="shared" si="126"/>
        <v>24319955.018081959</v>
      </c>
      <c r="U75" s="95">
        <f t="shared" si="126"/>
        <v>26001201.342487779</v>
      </c>
      <c r="V75" s="95">
        <f t="shared" si="126"/>
        <v>140934389.50431031</v>
      </c>
      <c r="W75" s="95">
        <f t="shared" si="126"/>
        <v>191255545.86488003</v>
      </c>
      <c r="X75" s="95">
        <f t="shared" si="126"/>
        <v>0</v>
      </c>
      <c r="Y75" s="95">
        <f t="shared" si="126"/>
        <v>2197903.7309662588</v>
      </c>
      <c r="Z75" s="95">
        <f t="shared" si="126"/>
        <v>2600599.4230867964</v>
      </c>
      <c r="AA75" s="95">
        <f t="shared" si="126"/>
        <v>0</v>
      </c>
    </row>
    <row r="77" spans="1:27" ht="23.25" x14ac:dyDescent="0.2">
      <c r="A77" s="86" t="s">
        <v>172</v>
      </c>
      <c r="B77" s="62"/>
      <c r="C77" s="62"/>
      <c r="D77" s="57"/>
      <c r="E77" s="63"/>
      <c r="F77" s="64"/>
      <c r="G77" s="139"/>
      <c r="H77" s="66"/>
      <c r="I77" s="66"/>
      <c r="J77" s="67"/>
      <c r="K77" s="67"/>
      <c r="L77" s="68"/>
      <c r="M77" s="68"/>
      <c r="N77" s="69"/>
      <c r="O77" s="69"/>
      <c r="P77" s="69"/>
      <c r="Q77" s="69"/>
      <c r="R77" s="69"/>
      <c r="S77" s="69"/>
      <c r="T77" s="70"/>
      <c r="U77" s="71"/>
      <c r="V77" s="71"/>
    </row>
    <row r="78" spans="1:27" x14ac:dyDescent="0.2">
      <c r="A78" s="231" t="s">
        <v>0</v>
      </c>
      <c r="B78" s="232" t="s">
        <v>1</v>
      </c>
      <c r="C78" s="229" t="s">
        <v>2</v>
      </c>
      <c r="D78" s="233" t="s">
        <v>3</v>
      </c>
      <c r="E78" s="234" t="s">
        <v>4</v>
      </c>
      <c r="F78" s="232" t="s">
        <v>5</v>
      </c>
      <c r="G78" s="237" t="s">
        <v>6</v>
      </c>
      <c r="H78" s="236" t="s">
        <v>7</v>
      </c>
      <c r="I78" s="236" t="s">
        <v>8</v>
      </c>
      <c r="J78" s="227" t="s">
        <v>9</v>
      </c>
      <c r="K78" s="227"/>
      <c r="L78" s="228" t="s">
        <v>10</v>
      </c>
      <c r="M78" s="229" t="s">
        <v>11</v>
      </c>
      <c r="N78" s="230" t="s">
        <v>12</v>
      </c>
      <c r="O78" s="230"/>
      <c r="P78" s="230"/>
      <c r="Q78" s="229" t="s">
        <v>13</v>
      </c>
      <c r="R78" s="229" t="s">
        <v>14</v>
      </c>
      <c r="S78" s="229" t="s">
        <v>15</v>
      </c>
      <c r="T78" s="36">
        <v>2021</v>
      </c>
      <c r="U78" s="37"/>
      <c r="V78" s="38" t="s">
        <v>44</v>
      </c>
    </row>
    <row r="79" spans="1:27" x14ac:dyDescent="0.2">
      <c r="A79" s="231"/>
      <c r="B79" s="232"/>
      <c r="C79" s="229"/>
      <c r="D79" s="233"/>
      <c r="E79" s="234"/>
      <c r="F79" s="232"/>
      <c r="G79" s="237"/>
      <c r="H79" s="236"/>
      <c r="I79" s="236"/>
      <c r="J79" s="227"/>
      <c r="K79" s="227"/>
      <c r="L79" s="228"/>
      <c r="M79" s="229"/>
      <c r="N79" s="186" t="s">
        <v>16</v>
      </c>
      <c r="O79" s="186" t="s">
        <v>17</v>
      </c>
      <c r="P79" s="186" t="s">
        <v>18</v>
      </c>
      <c r="Q79" s="229"/>
      <c r="R79" s="229"/>
      <c r="S79" s="229"/>
      <c r="T79" s="96" t="s">
        <v>203</v>
      </c>
      <c r="U79" s="39" t="s">
        <v>196</v>
      </c>
      <c r="V79" s="40"/>
    </row>
    <row r="80" spans="1:27" ht="12.75" x14ac:dyDescent="0.2">
      <c r="A80" s="154">
        <v>16</v>
      </c>
      <c r="B80" s="155" t="s">
        <v>111</v>
      </c>
      <c r="C80" s="155" t="s">
        <v>160</v>
      </c>
      <c r="D80" s="156">
        <v>44361</v>
      </c>
      <c r="E80" s="154">
        <v>1</v>
      </c>
      <c r="F80" s="155" t="s">
        <v>161</v>
      </c>
      <c r="G80" s="175">
        <v>1</v>
      </c>
      <c r="H80" s="176">
        <v>64397514</v>
      </c>
      <c r="I80" s="176">
        <f>H80*G80</f>
        <v>64397514</v>
      </c>
      <c r="J80" s="156">
        <v>44822</v>
      </c>
      <c r="K80" s="177">
        <v>44990</v>
      </c>
      <c r="L80" s="155">
        <v>6</v>
      </c>
      <c r="M80" s="99">
        <v>5.46</v>
      </c>
      <c r="N80" s="81">
        <f t="shared" ref="N80" si="127">M80*H80/1000</f>
        <v>351610.42644000001</v>
      </c>
      <c r="O80" s="81">
        <v>100000</v>
      </c>
      <c r="P80" s="81"/>
      <c r="Q80" s="81">
        <f t="shared" ref="Q80" si="128">N80+O80+P80</f>
        <v>451610.42644000001</v>
      </c>
      <c r="R80" s="81"/>
      <c r="S80" s="81">
        <f t="shared" ref="S80" si="129">Q80-R80</f>
        <v>451610.42644000001</v>
      </c>
      <c r="T80" s="182">
        <f>Q80/L80*2</f>
        <v>150536.80881333334</v>
      </c>
      <c r="U80" s="182">
        <f>Q80/L80*4</f>
        <v>301073.61762666667</v>
      </c>
      <c r="V80" s="182">
        <f>Q80-T80-U80</f>
        <v>0</v>
      </c>
    </row>
    <row r="81" spans="1:24" ht="12.75" x14ac:dyDescent="0.2">
      <c r="A81" s="159"/>
      <c r="B81" s="160"/>
      <c r="C81" s="160"/>
      <c r="D81" s="160"/>
      <c r="E81" s="178"/>
      <c r="F81" s="179"/>
      <c r="G81" s="179"/>
      <c r="H81" s="179"/>
      <c r="I81" s="179"/>
      <c r="J81" s="179"/>
      <c r="K81" s="179"/>
      <c r="L81" s="179"/>
      <c r="M81" s="179"/>
      <c r="N81" s="179">
        <f t="shared" ref="N81:V81" si="130">SUM(N80)</f>
        <v>351610.42644000001</v>
      </c>
      <c r="O81" s="179">
        <f t="shared" si="130"/>
        <v>100000</v>
      </c>
      <c r="P81" s="179">
        <f t="shared" si="130"/>
        <v>0</v>
      </c>
      <c r="Q81" s="179">
        <f t="shared" si="130"/>
        <v>451610.42644000001</v>
      </c>
      <c r="R81" s="179">
        <f t="shared" si="130"/>
        <v>0</v>
      </c>
      <c r="S81" s="179">
        <f t="shared" si="130"/>
        <v>451610.42644000001</v>
      </c>
      <c r="T81" s="179">
        <f t="shared" si="130"/>
        <v>150536.80881333334</v>
      </c>
      <c r="U81" s="179">
        <f t="shared" si="130"/>
        <v>301073.61762666667</v>
      </c>
      <c r="V81" s="179">
        <f t="shared" si="130"/>
        <v>0</v>
      </c>
    </row>
    <row r="82" spans="1:24" ht="12.75" x14ac:dyDescent="0.2">
      <c r="A82" s="154">
        <v>17</v>
      </c>
      <c r="B82" s="155" t="s">
        <v>49</v>
      </c>
      <c r="C82" s="155" t="s">
        <v>163</v>
      </c>
      <c r="D82" s="156">
        <v>44377</v>
      </c>
      <c r="E82" s="154">
        <v>1</v>
      </c>
      <c r="F82" s="155" t="s">
        <v>164</v>
      </c>
      <c r="G82" s="175">
        <v>1</v>
      </c>
      <c r="H82" s="176">
        <v>179133550</v>
      </c>
      <c r="I82" s="176">
        <f>H82*G82</f>
        <v>179133550</v>
      </c>
      <c r="J82" s="156">
        <v>44373</v>
      </c>
      <c r="K82" s="177">
        <v>46280</v>
      </c>
      <c r="L82" s="155">
        <v>63</v>
      </c>
      <c r="M82" s="99">
        <v>25.48</v>
      </c>
      <c r="N82" s="81">
        <f t="shared" ref="N82" si="131">M82*H82/1000</f>
        <v>4564322.8540000003</v>
      </c>
      <c r="O82" s="81"/>
      <c r="P82" s="81"/>
      <c r="Q82" s="81">
        <f t="shared" ref="Q82" si="132">N82+O82+P82</f>
        <v>4564322.8540000003</v>
      </c>
      <c r="R82" s="81">
        <f t="shared" ref="R82" si="133">10%*N82</f>
        <v>456432.28540000005</v>
      </c>
      <c r="S82" s="81">
        <f t="shared" ref="S82" si="134">Q82-R82</f>
        <v>4107890.5686000003</v>
      </c>
      <c r="T82" s="182">
        <f>Q82/L82*2</f>
        <v>144899.13822222225</v>
      </c>
      <c r="U82" s="182">
        <f t="shared" ref="U82" si="135">Q82/L82*12</f>
        <v>869394.82933333353</v>
      </c>
      <c r="V82" s="182">
        <f t="shared" ref="V82" si="136">Q82-T82-U82</f>
        <v>3550028.8864444448</v>
      </c>
    </row>
    <row r="83" spans="1:24" ht="12.75" x14ac:dyDescent="0.2">
      <c r="A83" s="159"/>
      <c r="B83" s="160"/>
      <c r="C83" s="160"/>
      <c r="D83" s="160"/>
      <c r="E83" s="178">
        <f>SUM(E82)</f>
        <v>1</v>
      </c>
      <c r="F83" s="179"/>
      <c r="G83" s="179"/>
      <c r="H83" s="179">
        <f>SUM(H82)</f>
        <v>179133550</v>
      </c>
      <c r="I83" s="179">
        <f>SUM(I82)</f>
        <v>179133550</v>
      </c>
      <c r="J83" s="179"/>
      <c r="K83" s="179"/>
      <c r="L83" s="179"/>
      <c r="M83" s="179"/>
      <c r="N83" s="179">
        <f t="shared" ref="N83:V83" si="137">SUM(N82)</f>
        <v>4564322.8540000003</v>
      </c>
      <c r="O83" s="179">
        <f t="shared" si="137"/>
        <v>0</v>
      </c>
      <c r="P83" s="179">
        <f t="shared" si="137"/>
        <v>0</v>
      </c>
      <c r="Q83" s="179">
        <f t="shared" si="137"/>
        <v>4564322.8540000003</v>
      </c>
      <c r="R83" s="179">
        <f t="shared" si="137"/>
        <v>456432.28540000005</v>
      </c>
      <c r="S83" s="179">
        <f t="shared" si="137"/>
        <v>4107890.5686000003</v>
      </c>
      <c r="T83" s="179">
        <f t="shared" si="137"/>
        <v>144899.13822222225</v>
      </c>
      <c r="U83" s="179">
        <f t="shared" si="137"/>
        <v>869394.82933333353</v>
      </c>
      <c r="V83" s="179">
        <f t="shared" si="137"/>
        <v>3550028.8864444448</v>
      </c>
    </row>
    <row r="84" spans="1:24" x14ac:dyDescent="0.2">
      <c r="A84" s="83"/>
      <c r="B84" s="83"/>
      <c r="C84" s="83" t="s">
        <v>147</v>
      </c>
      <c r="D84" s="84"/>
      <c r="E84" s="85">
        <f>E81+E83</f>
        <v>1</v>
      </c>
      <c r="F84" s="87"/>
      <c r="G84" s="87"/>
      <c r="H84" s="87">
        <f t="shared" ref="H84:V84" si="138">H81+H83</f>
        <v>179133550</v>
      </c>
      <c r="I84" s="87">
        <f t="shared" si="138"/>
        <v>179133550</v>
      </c>
      <c r="J84" s="87"/>
      <c r="K84" s="87"/>
      <c r="L84" s="87"/>
      <c r="M84" s="87"/>
      <c r="N84" s="87">
        <f t="shared" si="138"/>
        <v>4915933.2804399999</v>
      </c>
      <c r="O84" s="87">
        <f t="shared" si="138"/>
        <v>100000</v>
      </c>
      <c r="P84" s="87">
        <f t="shared" si="138"/>
        <v>0</v>
      </c>
      <c r="Q84" s="87">
        <f t="shared" si="138"/>
        <v>5015933.2804399999</v>
      </c>
      <c r="R84" s="87">
        <f t="shared" si="138"/>
        <v>456432.28540000005</v>
      </c>
      <c r="S84" s="87">
        <f t="shared" si="138"/>
        <v>4559500.9950400004</v>
      </c>
      <c r="T84" s="87">
        <f t="shared" si="138"/>
        <v>295435.94703555561</v>
      </c>
      <c r="U84" s="87">
        <f t="shared" si="138"/>
        <v>1170468.4469600003</v>
      </c>
      <c r="V84" s="87">
        <f t="shared" si="138"/>
        <v>3550028.8864444448</v>
      </c>
    </row>
    <row r="85" spans="1:24" x14ac:dyDescent="0.2">
      <c r="A85" s="83"/>
      <c r="B85" s="83"/>
      <c r="C85" s="83" t="s">
        <v>148</v>
      </c>
      <c r="D85" s="84"/>
      <c r="E85" s="93">
        <f>E84+E74</f>
        <v>21</v>
      </c>
      <c r="F85" s="95"/>
      <c r="G85" s="95"/>
      <c r="H85" s="95">
        <f t="shared" ref="H85:V85" si="139">H84+H74</f>
        <v>4935584172</v>
      </c>
      <c r="I85" s="95">
        <f t="shared" si="139"/>
        <v>4935584172</v>
      </c>
      <c r="J85" s="95"/>
      <c r="K85" s="95"/>
      <c r="L85" s="95"/>
      <c r="M85" s="95"/>
      <c r="N85" s="95">
        <f t="shared" si="139"/>
        <v>148997240.5115</v>
      </c>
      <c r="O85" s="95">
        <f t="shared" si="139"/>
        <v>100000</v>
      </c>
      <c r="P85" s="95">
        <f t="shared" si="139"/>
        <v>0</v>
      </c>
      <c r="Q85" s="95">
        <f t="shared" si="139"/>
        <v>149097240.5115</v>
      </c>
      <c r="R85" s="95">
        <f t="shared" si="139"/>
        <v>14864563.008506002</v>
      </c>
      <c r="S85" s="95">
        <f t="shared" si="139"/>
        <v>134232677.50299403</v>
      </c>
      <c r="T85" s="95">
        <f t="shared" si="139"/>
        <v>18142076.005989671</v>
      </c>
      <c r="U85" s="95">
        <f t="shared" si="139"/>
        <v>21801524.462048687</v>
      </c>
      <c r="V85" s="95">
        <f t="shared" si="139"/>
        <v>109153640.04346168</v>
      </c>
    </row>
    <row r="86" spans="1:24" x14ac:dyDescent="0.2">
      <c r="T86" s="181"/>
      <c r="U86" s="181"/>
      <c r="V86" s="181"/>
    </row>
    <row r="87" spans="1:24" ht="23.25" x14ac:dyDescent="0.2">
      <c r="A87" s="86" t="s">
        <v>201</v>
      </c>
      <c r="B87" s="62"/>
      <c r="C87" s="62"/>
      <c r="D87" s="57"/>
      <c r="E87" s="63"/>
      <c r="F87" s="64"/>
      <c r="G87" s="139"/>
      <c r="H87" s="66"/>
      <c r="I87" s="66"/>
      <c r="J87" s="67"/>
      <c r="K87" s="67"/>
      <c r="L87" s="68"/>
      <c r="M87" s="68"/>
      <c r="N87" s="69"/>
      <c r="O87" s="69"/>
      <c r="P87" s="69"/>
      <c r="Q87" s="69"/>
      <c r="R87" s="69"/>
      <c r="S87" s="69"/>
      <c r="T87" s="70"/>
      <c r="U87" s="71"/>
      <c r="V87" s="71"/>
    </row>
    <row r="88" spans="1:24" x14ac:dyDescent="0.2">
      <c r="A88" s="231" t="s">
        <v>0</v>
      </c>
      <c r="B88" s="232" t="s">
        <v>1</v>
      </c>
      <c r="C88" s="229" t="s">
        <v>2</v>
      </c>
      <c r="D88" s="233" t="s">
        <v>3</v>
      </c>
      <c r="E88" s="234" t="s">
        <v>4</v>
      </c>
      <c r="F88" s="232" t="s">
        <v>5</v>
      </c>
      <c r="G88" s="237" t="s">
        <v>6</v>
      </c>
      <c r="H88" s="236" t="s">
        <v>7</v>
      </c>
      <c r="I88" s="236" t="s">
        <v>8</v>
      </c>
      <c r="J88" s="227" t="s">
        <v>9</v>
      </c>
      <c r="K88" s="227"/>
      <c r="L88" s="228" t="s">
        <v>10</v>
      </c>
      <c r="M88" s="229" t="s">
        <v>11</v>
      </c>
      <c r="N88" s="230" t="s">
        <v>12</v>
      </c>
      <c r="O88" s="230"/>
      <c r="P88" s="230"/>
      <c r="Q88" s="229" t="s">
        <v>13</v>
      </c>
      <c r="R88" s="229" t="s">
        <v>14</v>
      </c>
      <c r="S88" s="229" t="s">
        <v>15</v>
      </c>
      <c r="T88" s="36">
        <v>2021</v>
      </c>
      <c r="U88" s="37"/>
      <c r="V88" s="38" t="s">
        <v>44</v>
      </c>
    </row>
    <row r="89" spans="1:24" x14ac:dyDescent="0.2">
      <c r="A89" s="231"/>
      <c r="B89" s="232"/>
      <c r="C89" s="229"/>
      <c r="D89" s="233"/>
      <c r="E89" s="234"/>
      <c r="F89" s="232"/>
      <c r="G89" s="237"/>
      <c r="H89" s="236"/>
      <c r="I89" s="236"/>
      <c r="J89" s="227"/>
      <c r="K89" s="227"/>
      <c r="L89" s="228"/>
      <c r="M89" s="229"/>
      <c r="N89" s="186" t="s">
        <v>16</v>
      </c>
      <c r="O89" s="186" t="s">
        <v>17</v>
      </c>
      <c r="P89" s="186" t="s">
        <v>18</v>
      </c>
      <c r="Q89" s="229"/>
      <c r="R89" s="229"/>
      <c r="S89" s="229"/>
      <c r="T89" s="96" t="s">
        <v>202</v>
      </c>
      <c r="U89" s="39" t="s">
        <v>196</v>
      </c>
      <c r="V89" s="40"/>
    </row>
    <row r="90" spans="1:24" ht="12.75" x14ac:dyDescent="0.2">
      <c r="A90" s="154">
        <v>18</v>
      </c>
      <c r="B90" s="155" t="s">
        <v>128</v>
      </c>
      <c r="C90" s="155" t="s">
        <v>178</v>
      </c>
      <c r="D90" s="156">
        <v>44391</v>
      </c>
      <c r="E90" s="154">
        <v>1</v>
      </c>
      <c r="F90" s="155" t="s">
        <v>179</v>
      </c>
      <c r="G90" s="175">
        <v>1</v>
      </c>
      <c r="H90" s="176">
        <v>380000000</v>
      </c>
      <c r="I90" s="176">
        <f>H90*G90</f>
        <v>380000000</v>
      </c>
      <c r="J90" s="156">
        <v>44350</v>
      </c>
      <c r="K90" s="77">
        <f t="shared" ref="K90:K105" si="140">IFERROR(VALUE(DAY(J90)&amp;" "&amp;TEXT(EOMONTH(J90,L90)-29,"mmm")&amp;" "&amp;YEAR(EOMONTH(J90,L90)-29)),"-")</f>
        <v>48002</v>
      </c>
      <c r="L90" s="155">
        <v>120</v>
      </c>
      <c r="M90" s="99">
        <v>25.48</v>
      </c>
      <c r="N90" s="81">
        <f t="shared" ref="N90:N105" si="141">M90*H90/1000</f>
        <v>9682400</v>
      </c>
      <c r="O90" s="81"/>
      <c r="P90" s="81"/>
      <c r="Q90" s="81">
        <f t="shared" ref="Q90:Q105" si="142">N90+O90+P90</f>
        <v>9682400</v>
      </c>
      <c r="R90" s="81">
        <f t="shared" ref="R90:R105" si="143">10%*N90</f>
        <v>968240</v>
      </c>
      <c r="S90" s="81">
        <f t="shared" ref="S90:S105" si="144">Q90-R90</f>
        <v>8714160</v>
      </c>
      <c r="T90" s="182">
        <f>Q90/L90*2</f>
        <v>161373.33333333334</v>
      </c>
      <c r="U90" s="182">
        <f>Q90/L90*12</f>
        <v>968240</v>
      </c>
      <c r="V90" s="182">
        <f>Q90-T90-U90</f>
        <v>8552786.666666666</v>
      </c>
      <c r="W90" s="181">
        <f>T90+U90+V90</f>
        <v>9682400</v>
      </c>
      <c r="X90" s="181">
        <f>Q90-W90</f>
        <v>0</v>
      </c>
    </row>
    <row r="91" spans="1:24" ht="12.75" x14ac:dyDescent="0.2">
      <c r="A91" s="168"/>
      <c r="B91" s="168"/>
      <c r="C91" s="168"/>
      <c r="D91" s="107"/>
      <c r="E91" s="154">
        <v>1</v>
      </c>
      <c r="F91" s="155" t="s">
        <v>180</v>
      </c>
      <c r="G91" s="175">
        <v>1</v>
      </c>
      <c r="H91" s="176">
        <v>445000000</v>
      </c>
      <c r="I91" s="176">
        <f t="shared" ref="I91:I105" si="145">H91*G91</f>
        <v>445000000</v>
      </c>
      <c r="J91" s="156">
        <v>44350</v>
      </c>
      <c r="K91" s="77">
        <f t="shared" si="140"/>
        <v>49312</v>
      </c>
      <c r="L91" s="155">
        <v>164</v>
      </c>
      <c r="M91" s="99">
        <v>35.409999999999997</v>
      </c>
      <c r="N91" s="81">
        <f t="shared" si="141"/>
        <v>15757449.999999998</v>
      </c>
      <c r="O91" s="81"/>
      <c r="P91" s="81"/>
      <c r="Q91" s="81">
        <f t="shared" si="142"/>
        <v>15757449.999999998</v>
      </c>
      <c r="R91" s="81">
        <f t="shared" si="143"/>
        <v>1575745</v>
      </c>
      <c r="S91" s="81">
        <f t="shared" si="144"/>
        <v>14181704.999999998</v>
      </c>
      <c r="T91" s="182">
        <f t="shared" ref="T91:T105" si="146">Q91/L91*2</f>
        <v>192164.02439024387</v>
      </c>
      <c r="U91" s="182">
        <f t="shared" ref="U91:U109" si="147">Q91/L91*12</f>
        <v>1152984.1463414631</v>
      </c>
      <c r="V91" s="182">
        <f t="shared" ref="V91:V105" si="148">Q91-T91-U91</f>
        <v>14412301.829268292</v>
      </c>
      <c r="W91" s="181">
        <f t="shared" ref="W91:W105" si="149">T91+U91+V91</f>
        <v>15757449.999999998</v>
      </c>
      <c r="X91" s="181">
        <f t="shared" ref="X91:X105" si="150">Q91-W91</f>
        <v>0</v>
      </c>
    </row>
    <row r="92" spans="1:24" ht="12.75" x14ac:dyDescent="0.2">
      <c r="A92" s="168"/>
      <c r="B92" s="168"/>
      <c r="C92" s="168"/>
      <c r="D92" s="107"/>
      <c r="E92" s="154">
        <v>1</v>
      </c>
      <c r="F92" s="155" t="s">
        <v>181</v>
      </c>
      <c r="G92" s="175">
        <v>1</v>
      </c>
      <c r="H92" s="176">
        <v>500000000</v>
      </c>
      <c r="I92" s="176">
        <f t="shared" si="145"/>
        <v>500000000</v>
      </c>
      <c r="J92" s="156">
        <v>44350</v>
      </c>
      <c r="K92" s="77">
        <f t="shared" si="140"/>
        <v>49463</v>
      </c>
      <c r="L92" s="155">
        <v>168</v>
      </c>
      <c r="M92" s="99">
        <v>35.409999999999997</v>
      </c>
      <c r="N92" s="81">
        <f t="shared" si="141"/>
        <v>17705000</v>
      </c>
      <c r="O92" s="81"/>
      <c r="P92" s="81"/>
      <c r="Q92" s="81">
        <f t="shared" si="142"/>
        <v>17705000</v>
      </c>
      <c r="R92" s="81">
        <f t="shared" si="143"/>
        <v>1770500</v>
      </c>
      <c r="S92" s="81">
        <f t="shared" si="144"/>
        <v>15934500</v>
      </c>
      <c r="T92" s="182">
        <f t="shared" si="146"/>
        <v>210773.80952380953</v>
      </c>
      <c r="U92" s="182">
        <f t="shared" si="147"/>
        <v>1264642.8571428573</v>
      </c>
      <c r="V92" s="182">
        <f t="shared" si="148"/>
        <v>16229583.333333332</v>
      </c>
      <c r="W92" s="181">
        <f t="shared" si="149"/>
        <v>17705000</v>
      </c>
      <c r="X92" s="181">
        <f t="shared" si="150"/>
        <v>0</v>
      </c>
    </row>
    <row r="93" spans="1:24" ht="12.75" x14ac:dyDescent="0.2">
      <c r="A93" s="168"/>
      <c r="B93" s="168"/>
      <c r="C93" s="168"/>
      <c r="D93" s="107"/>
      <c r="E93" s="154">
        <v>1</v>
      </c>
      <c r="F93" s="155" t="s">
        <v>182</v>
      </c>
      <c r="G93" s="175">
        <v>1</v>
      </c>
      <c r="H93" s="176">
        <v>330000000</v>
      </c>
      <c r="I93" s="176">
        <f t="shared" si="145"/>
        <v>330000000</v>
      </c>
      <c r="J93" s="156">
        <v>44350</v>
      </c>
      <c r="K93" s="77">
        <f t="shared" si="140"/>
        <v>49829</v>
      </c>
      <c r="L93" s="155">
        <v>180</v>
      </c>
      <c r="M93" s="99">
        <v>37.520000000000003</v>
      </c>
      <c r="N93" s="81">
        <f t="shared" si="141"/>
        <v>12381600.000000002</v>
      </c>
      <c r="O93" s="81"/>
      <c r="P93" s="81"/>
      <c r="Q93" s="81">
        <f t="shared" si="142"/>
        <v>12381600.000000002</v>
      </c>
      <c r="R93" s="81">
        <f t="shared" si="143"/>
        <v>1238160.0000000002</v>
      </c>
      <c r="S93" s="81">
        <f t="shared" si="144"/>
        <v>11143440.000000002</v>
      </c>
      <c r="T93" s="182">
        <f t="shared" si="146"/>
        <v>137573.33333333334</v>
      </c>
      <c r="U93" s="182">
        <f t="shared" si="147"/>
        <v>825440</v>
      </c>
      <c r="V93" s="182">
        <f t="shared" si="148"/>
        <v>11418586.666666668</v>
      </c>
      <c r="W93" s="181">
        <f t="shared" si="149"/>
        <v>12381600.000000002</v>
      </c>
      <c r="X93" s="181">
        <f t="shared" si="150"/>
        <v>0</v>
      </c>
    </row>
    <row r="94" spans="1:24" ht="12.75" x14ac:dyDescent="0.2">
      <c r="A94" s="168"/>
      <c r="B94" s="168"/>
      <c r="C94" s="168"/>
      <c r="D94" s="107"/>
      <c r="E94" s="154">
        <v>1</v>
      </c>
      <c r="F94" s="155" t="s">
        <v>193</v>
      </c>
      <c r="G94" s="175">
        <v>1</v>
      </c>
      <c r="H94" s="176">
        <v>331000000</v>
      </c>
      <c r="I94" s="176">
        <f t="shared" si="145"/>
        <v>331000000</v>
      </c>
      <c r="J94" s="156">
        <v>44350</v>
      </c>
      <c r="K94" s="77">
        <f t="shared" si="140"/>
        <v>49281</v>
      </c>
      <c r="L94" s="155">
        <v>162</v>
      </c>
      <c r="M94" s="99">
        <v>35.409999999999997</v>
      </c>
      <c r="N94" s="81">
        <f t="shared" si="141"/>
        <v>11720709.999999998</v>
      </c>
      <c r="O94" s="81"/>
      <c r="P94" s="81"/>
      <c r="Q94" s="81">
        <f t="shared" si="142"/>
        <v>11720709.999999998</v>
      </c>
      <c r="R94" s="81">
        <f t="shared" si="143"/>
        <v>1172070.9999999998</v>
      </c>
      <c r="S94" s="81">
        <f t="shared" si="144"/>
        <v>10548638.999999998</v>
      </c>
      <c r="T94" s="182">
        <f t="shared" si="146"/>
        <v>144700.12345679011</v>
      </c>
      <c r="U94" s="182">
        <f t="shared" si="147"/>
        <v>868200.74074074067</v>
      </c>
      <c r="V94" s="182">
        <f t="shared" si="148"/>
        <v>10707809.135802468</v>
      </c>
      <c r="W94" s="181">
        <f t="shared" si="149"/>
        <v>11720710</v>
      </c>
      <c r="X94" s="181">
        <f t="shared" si="150"/>
        <v>0</v>
      </c>
    </row>
    <row r="95" spans="1:24" ht="12.75" x14ac:dyDescent="0.2">
      <c r="A95" s="168"/>
      <c r="B95" s="168"/>
      <c r="C95" s="168"/>
      <c r="D95" s="107"/>
      <c r="E95" s="154">
        <v>1</v>
      </c>
      <c r="F95" s="155" t="s">
        <v>183</v>
      </c>
      <c r="G95" s="175">
        <v>1</v>
      </c>
      <c r="H95" s="176">
        <v>230000000</v>
      </c>
      <c r="I95" s="176">
        <f t="shared" si="145"/>
        <v>230000000</v>
      </c>
      <c r="J95" s="156">
        <v>44350</v>
      </c>
      <c r="K95" s="77">
        <f t="shared" si="140"/>
        <v>48002</v>
      </c>
      <c r="L95" s="155">
        <v>120</v>
      </c>
      <c r="M95" s="99">
        <v>25.48</v>
      </c>
      <c r="N95" s="81">
        <f t="shared" si="141"/>
        <v>5860400</v>
      </c>
      <c r="O95" s="81"/>
      <c r="P95" s="81"/>
      <c r="Q95" s="81">
        <f t="shared" si="142"/>
        <v>5860400</v>
      </c>
      <c r="R95" s="81">
        <f t="shared" si="143"/>
        <v>586040</v>
      </c>
      <c r="S95" s="81">
        <f t="shared" si="144"/>
        <v>5274360</v>
      </c>
      <c r="T95" s="182">
        <f t="shared" si="146"/>
        <v>97673.333333333328</v>
      </c>
      <c r="U95" s="182">
        <f t="shared" si="147"/>
        <v>586040</v>
      </c>
      <c r="V95" s="182">
        <f t="shared" si="148"/>
        <v>5176686.666666667</v>
      </c>
      <c r="W95" s="181">
        <f t="shared" si="149"/>
        <v>5860400</v>
      </c>
      <c r="X95" s="181">
        <f t="shared" si="150"/>
        <v>0</v>
      </c>
    </row>
    <row r="96" spans="1:24" ht="12.75" x14ac:dyDescent="0.2">
      <c r="A96" s="168"/>
      <c r="B96" s="168"/>
      <c r="C96" s="168"/>
      <c r="D96" s="107"/>
      <c r="E96" s="154">
        <v>1</v>
      </c>
      <c r="F96" s="155" t="s">
        <v>184</v>
      </c>
      <c r="G96" s="175">
        <v>1</v>
      </c>
      <c r="H96" s="176">
        <v>360000000</v>
      </c>
      <c r="I96" s="176">
        <f t="shared" si="145"/>
        <v>360000000</v>
      </c>
      <c r="J96" s="156">
        <v>44351</v>
      </c>
      <c r="K96" s="77">
        <f t="shared" si="140"/>
        <v>49647</v>
      </c>
      <c r="L96" s="155">
        <v>174</v>
      </c>
      <c r="M96" s="99">
        <v>37.520000000000003</v>
      </c>
      <c r="N96" s="81">
        <f t="shared" si="141"/>
        <v>13507200.000000002</v>
      </c>
      <c r="O96" s="81"/>
      <c r="P96" s="81"/>
      <c r="Q96" s="81">
        <f t="shared" si="142"/>
        <v>13507200.000000002</v>
      </c>
      <c r="R96" s="81">
        <f t="shared" si="143"/>
        <v>1350720.0000000002</v>
      </c>
      <c r="S96" s="81">
        <f t="shared" si="144"/>
        <v>12156480.000000002</v>
      </c>
      <c r="T96" s="182">
        <f t="shared" si="146"/>
        <v>155255.17241379313</v>
      </c>
      <c r="U96" s="182">
        <f t="shared" si="147"/>
        <v>931531.03448275873</v>
      </c>
      <c r="V96" s="182">
        <f t="shared" si="148"/>
        <v>12420413.793103451</v>
      </c>
      <c r="W96" s="181">
        <f t="shared" si="149"/>
        <v>13507200.000000004</v>
      </c>
      <c r="X96" s="181">
        <f t="shared" si="150"/>
        <v>0</v>
      </c>
    </row>
    <row r="97" spans="1:24" ht="12.75" x14ac:dyDescent="0.2">
      <c r="A97" s="168"/>
      <c r="B97" s="168"/>
      <c r="C97" s="168"/>
      <c r="D97" s="107"/>
      <c r="E97" s="154">
        <v>1</v>
      </c>
      <c r="F97" s="155" t="s">
        <v>185</v>
      </c>
      <c r="G97" s="175">
        <v>1</v>
      </c>
      <c r="H97" s="176">
        <v>310000000</v>
      </c>
      <c r="I97" s="176">
        <f t="shared" si="145"/>
        <v>310000000</v>
      </c>
      <c r="J97" s="156">
        <v>44354</v>
      </c>
      <c r="K97" s="77">
        <f t="shared" si="140"/>
        <v>48372</v>
      </c>
      <c r="L97" s="155">
        <v>132</v>
      </c>
      <c r="M97" s="169">
        <v>27.98</v>
      </c>
      <c r="N97" s="81">
        <f t="shared" si="141"/>
        <v>8673800</v>
      </c>
      <c r="O97" s="81"/>
      <c r="P97" s="81"/>
      <c r="Q97" s="81">
        <f t="shared" si="142"/>
        <v>8673800</v>
      </c>
      <c r="R97" s="81">
        <f t="shared" si="143"/>
        <v>867380</v>
      </c>
      <c r="S97" s="81">
        <f t="shared" si="144"/>
        <v>7806420</v>
      </c>
      <c r="T97" s="182">
        <f t="shared" si="146"/>
        <v>131421.21212121213</v>
      </c>
      <c r="U97" s="182">
        <f t="shared" si="147"/>
        <v>788527.27272727271</v>
      </c>
      <c r="V97" s="182">
        <f t="shared" si="148"/>
        <v>7753851.5151515147</v>
      </c>
      <c r="W97" s="181">
        <f t="shared" si="149"/>
        <v>8673800</v>
      </c>
      <c r="X97" s="181">
        <f t="shared" si="150"/>
        <v>0</v>
      </c>
    </row>
    <row r="98" spans="1:24" ht="12.75" x14ac:dyDescent="0.2">
      <c r="A98" s="168"/>
      <c r="B98" s="168"/>
      <c r="C98" s="168"/>
      <c r="D98" s="107"/>
      <c r="E98" s="154">
        <v>1</v>
      </c>
      <c r="F98" s="155" t="s">
        <v>186</v>
      </c>
      <c r="G98" s="175">
        <v>1</v>
      </c>
      <c r="H98" s="176">
        <v>350000000</v>
      </c>
      <c r="I98" s="176">
        <f t="shared" si="145"/>
        <v>350000000</v>
      </c>
      <c r="J98" s="156">
        <v>44354</v>
      </c>
      <c r="K98" s="77">
        <f t="shared" si="140"/>
        <v>48737</v>
      </c>
      <c r="L98" s="155">
        <v>144</v>
      </c>
      <c r="M98" s="99">
        <v>30.46</v>
      </c>
      <c r="N98" s="81">
        <f t="shared" si="141"/>
        <v>10661000</v>
      </c>
      <c r="O98" s="81"/>
      <c r="P98" s="81"/>
      <c r="Q98" s="81">
        <f t="shared" si="142"/>
        <v>10661000</v>
      </c>
      <c r="R98" s="81">
        <f t="shared" si="143"/>
        <v>1066100</v>
      </c>
      <c r="S98" s="81">
        <f t="shared" si="144"/>
        <v>9594900</v>
      </c>
      <c r="T98" s="182">
        <f t="shared" si="146"/>
        <v>148069.44444444444</v>
      </c>
      <c r="U98" s="182">
        <f t="shared" si="147"/>
        <v>888416.66666666663</v>
      </c>
      <c r="V98" s="182">
        <f t="shared" si="148"/>
        <v>9624513.8888888899</v>
      </c>
      <c r="W98" s="181">
        <f t="shared" si="149"/>
        <v>10661000</v>
      </c>
      <c r="X98" s="181">
        <f t="shared" si="150"/>
        <v>0</v>
      </c>
    </row>
    <row r="99" spans="1:24" ht="12.75" x14ac:dyDescent="0.2">
      <c r="A99" s="168"/>
      <c r="B99" s="168"/>
      <c r="C99" s="168"/>
      <c r="D99" s="107"/>
      <c r="E99" s="154">
        <v>1</v>
      </c>
      <c r="F99" s="155" t="s">
        <v>187</v>
      </c>
      <c r="G99" s="175">
        <v>1</v>
      </c>
      <c r="H99" s="176">
        <v>400000000</v>
      </c>
      <c r="I99" s="176">
        <f t="shared" si="145"/>
        <v>400000000</v>
      </c>
      <c r="J99" s="156">
        <v>44354</v>
      </c>
      <c r="K99" s="77">
        <f t="shared" si="140"/>
        <v>49833</v>
      </c>
      <c r="L99" s="155">
        <v>180</v>
      </c>
      <c r="M99" s="99">
        <v>37.520000000000003</v>
      </c>
      <c r="N99" s="81">
        <f t="shared" si="141"/>
        <v>15008000.000000002</v>
      </c>
      <c r="O99" s="81"/>
      <c r="P99" s="81"/>
      <c r="Q99" s="81">
        <f t="shared" si="142"/>
        <v>15008000.000000002</v>
      </c>
      <c r="R99" s="81">
        <f t="shared" si="143"/>
        <v>1500800.0000000002</v>
      </c>
      <c r="S99" s="81">
        <f t="shared" si="144"/>
        <v>13507200.000000002</v>
      </c>
      <c r="T99" s="182">
        <f t="shared" si="146"/>
        <v>166755.55555555556</v>
      </c>
      <c r="U99" s="182">
        <f t="shared" si="147"/>
        <v>1000533.3333333334</v>
      </c>
      <c r="V99" s="182">
        <f t="shared" si="148"/>
        <v>13840711.111111112</v>
      </c>
      <c r="W99" s="181">
        <f t="shared" si="149"/>
        <v>15008000</v>
      </c>
      <c r="X99" s="181">
        <f t="shared" si="150"/>
        <v>0</v>
      </c>
    </row>
    <row r="100" spans="1:24" ht="12.75" x14ac:dyDescent="0.2">
      <c r="A100" s="168"/>
      <c r="B100" s="168"/>
      <c r="C100" s="168"/>
      <c r="D100" s="107"/>
      <c r="E100" s="154">
        <v>1</v>
      </c>
      <c r="F100" s="155" t="s">
        <v>188</v>
      </c>
      <c r="G100" s="175">
        <v>1</v>
      </c>
      <c r="H100" s="176">
        <v>310000000</v>
      </c>
      <c r="I100" s="176">
        <f t="shared" si="145"/>
        <v>310000000</v>
      </c>
      <c r="J100" s="156">
        <v>44355</v>
      </c>
      <c r="K100" s="77">
        <f t="shared" si="140"/>
        <v>47825</v>
      </c>
      <c r="L100" s="155">
        <v>114</v>
      </c>
      <c r="M100" s="99">
        <v>25.48</v>
      </c>
      <c r="N100" s="81">
        <f t="shared" si="141"/>
        <v>7898800</v>
      </c>
      <c r="O100" s="81"/>
      <c r="P100" s="81"/>
      <c r="Q100" s="81">
        <f t="shared" si="142"/>
        <v>7898800</v>
      </c>
      <c r="R100" s="81">
        <f t="shared" si="143"/>
        <v>789880</v>
      </c>
      <c r="S100" s="81">
        <f t="shared" si="144"/>
        <v>7108920</v>
      </c>
      <c r="T100" s="182">
        <f t="shared" si="146"/>
        <v>138575.43859649124</v>
      </c>
      <c r="U100" s="182">
        <f t="shared" si="147"/>
        <v>831452.63157894742</v>
      </c>
      <c r="V100" s="182">
        <f t="shared" si="148"/>
        <v>6928771.9298245618</v>
      </c>
      <c r="W100" s="181">
        <f t="shared" si="149"/>
        <v>7898800</v>
      </c>
      <c r="X100" s="181">
        <f t="shared" si="150"/>
        <v>0</v>
      </c>
    </row>
    <row r="101" spans="1:24" ht="12.75" x14ac:dyDescent="0.2">
      <c r="A101" s="168"/>
      <c r="B101" s="168"/>
      <c r="C101" s="168"/>
      <c r="D101" s="107"/>
      <c r="E101" s="154">
        <v>1</v>
      </c>
      <c r="F101" s="155" t="s">
        <v>189</v>
      </c>
      <c r="G101" s="175">
        <v>1</v>
      </c>
      <c r="H101" s="176">
        <v>165000000</v>
      </c>
      <c r="I101" s="176">
        <f t="shared" si="145"/>
        <v>165000000</v>
      </c>
      <c r="J101" s="156">
        <v>44355</v>
      </c>
      <c r="K101" s="77">
        <f t="shared" si="140"/>
        <v>47277</v>
      </c>
      <c r="L101" s="155">
        <v>96</v>
      </c>
      <c r="M101" s="99">
        <v>20.93</v>
      </c>
      <c r="N101" s="81">
        <f t="shared" si="141"/>
        <v>3453450</v>
      </c>
      <c r="O101" s="81"/>
      <c r="P101" s="81"/>
      <c r="Q101" s="81">
        <f t="shared" si="142"/>
        <v>3453450</v>
      </c>
      <c r="R101" s="81">
        <f t="shared" si="143"/>
        <v>345345</v>
      </c>
      <c r="S101" s="81">
        <f t="shared" si="144"/>
        <v>3108105</v>
      </c>
      <c r="T101" s="182">
        <f t="shared" si="146"/>
        <v>71946.875</v>
      </c>
      <c r="U101" s="182">
        <f t="shared" si="147"/>
        <v>431681.25</v>
      </c>
      <c r="V101" s="182">
        <f t="shared" si="148"/>
        <v>2949821.875</v>
      </c>
      <c r="W101" s="181">
        <f t="shared" si="149"/>
        <v>3453450</v>
      </c>
      <c r="X101" s="181">
        <f t="shared" si="150"/>
        <v>0</v>
      </c>
    </row>
    <row r="102" spans="1:24" ht="12.75" x14ac:dyDescent="0.2">
      <c r="A102" s="168"/>
      <c r="B102" s="168"/>
      <c r="C102" s="168"/>
      <c r="D102" s="107"/>
      <c r="E102" s="154">
        <v>1</v>
      </c>
      <c r="F102" s="155" t="s">
        <v>190</v>
      </c>
      <c r="G102" s="175">
        <v>1</v>
      </c>
      <c r="H102" s="176">
        <v>300000000</v>
      </c>
      <c r="I102" s="176">
        <f t="shared" si="145"/>
        <v>300000000</v>
      </c>
      <c r="J102" s="156">
        <v>44355</v>
      </c>
      <c r="K102" s="77">
        <f t="shared" si="140"/>
        <v>49834</v>
      </c>
      <c r="L102" s="155">
        <v>180</v>
      </c>
      <c r="M102" s="99">
        <v>37.520000000000003</v>
      </c>
      <c r="N102" s="81">
        <f t="shared" si="141"/>
        <v>11256000</v>
      </c>
      <c r="O102" s="81"/>
      <c r="P102" s="81"/>
      <c r="Q102" s="81">
        <f t="shared" si="142"/>
        <v>11256000</v>
      </c>
      <c r="R102" s="81">
        <f t="shared" si="143"/>
        <v>1125600</v>
      </c>
      <c r="S102" s="81">
        <f t="shared" si="144"/>
        <v>10130400</v>
      </c>
      <c r="T102" s="182">
        <f t="shared" si="146"/>
        <v>125066.66666666667</v>
      </c>
      <c r="U102" s="182">
        <f t="shared" si="147"/>
        <v>750400</v>
      </c>
      <c r="V102" s="182">
        <f t="shared" si="148"/>
        <v>10380533.333333334</v>
      </c>
      <c r="W102" s="181">
        <f t="shared" si="149"/>
        <v>11256000</v>
      </c>
      <c r="X102" s="181">
        <f t="shared" si="150"/>
        <v>0</v>
      </c>
    </row>
    <row r="103" spans="1:24" ht="12.75" x14ac:dyDescent="0.2">
      <c r="A103" s="168"/>
      <c r="B103" s="168"/>
      <c r="C103" s="168"/>
      <c r="D103" s="107"/>
      <c r="E103" s="154">
        <v>1</v>
      </c>
      <c r="F103" s="155" t="s">
        <v>191</v>
      </c>
      <c r="G103" s="175">
        <v>1</v>
      </c>
      <c r="H103" s="176">
        <v>25000000</v>
      </c>
      <c r="I103" s="176">
        <f t="shared" si="145"/>
        <v>25000000</v>
      </c>
      <c r="J103" s="156">
        <v>44361</v>
      </c>
      <c r="K103" s="77">
        <f t="shared" si="140"/>
        <v>45274</v>
      </c>
      <c r="L103" s="155">
        <v>30</v>
      </c>
      <c r="M103" s="99">
        <v>9.1</v>
      </c>
      <c r="N103" s="81">
        <f t="shared" si="141"/>
        <v>227500</v>
      </c>
      <c r="O103" s="81"/>
      <c r="P103" s="81"/>
      <c r="Q103" s="81">
        <f t="shared" si="142"/>
        <v>227500</v>
      </c>
      <c r="R103" s="81">
        <f t="shared" si="143"/>
        <v>22750</v>
      </c>
      <c r="S103" s="81">
        <f t="shared" si="144"/>
        <v>204750</v>
      </c>
      <c r="T103" s="182">
        <f t="shared" si="146"/>
        <v>15166.666666666666</v>
      </c>
      <c r="U103" s="182">
        <f t="shared" si="147"/>
        <v>91000</v>
      </c>
      <c r="V103" s="182">
        <f t="shared" si="148"/>
        <v>121333.33333333334</v>
      </c>
      <c r="W103" s="181">
        <f t="shared" si="149"/>
        <v>227500</v>
      </c>
      <c r="X103" s="181">
        <f t="shared" si="150"/>
        <v>0</v>
      </c>
    </row>
    <row r="104" spans="1:24" ht="12.75" x14ac:dyDescent="0.2">
      <c r="A104" s="168"/>
      <c r="B104" s="168"/>
      <c r="C104" s="168"/>
      <c r="D104" s="107"/>
      <c r="E104" s="154">
        <v>1</v>
      </c>
      <c r="F104" s="155" t="s">
        <v>192</v>
      </c>
      <c r="G104" s="175">
        <v>1</v>
      </c>
      <c r="H104" s="176">
        <v>170000000</v>
      </c>
      <c r="I104" s="176">
        <f t="shared" si="145"/>
        <v>170000000</v>
      </c>
      <c r="J104" s="156">
        <v>44362</v>
      </c>
      <c r="K104" s="77">
        <f t="shared" si="140"/>
        <v>48014</v>
      </c>
      <c r="L104" s="155">
        <v>120</v>
      </c>
      <c r="M104" s="99">
        <v>25.48</v>
      </c>
      <c r="N104" s="81">
        <f t="shared" si="141"/>
        <v>4331600</v>
      </c>
      <c r="O104" s="81"/>
      <c r="P104" s="81"/>
      <c r="Q104" s="81">
        <f t="shared" si="142"/>
        <v>4331600</v>
      </c>
      <c r="R104" s="81">
        <f t="shared" si="143"/>
        <v>433160</v>
      </c>
      <c r="S104" s="81">
        <f t="shared" si="144"/>
        <v>3898440</v>
      </c>
      <c r="T104" s="182">
        <f t="shared" si="146"/>
        <v>72193.333333333328</v>
      </c>
      <c r="U104" s="182">
        <f t="shared" si="147"/>
        <v>433160</v>
      </c>
      <c r="V104" s="182">
        <f t="shared" si="148"/>
        <v>3826246.666666667</v>
      </c>
      <c r="W104" s="181">
        <f t="shared" si="149"/>
        <v>4331600</v>
      </c>
      <c r="X104" s="181">
        <f t="shared" si="150"/>
        <v>0</v>
      </c>
    </row>
    <row r="105" spans="1:24" ht="12.75" x14ac:dyDescent="0.2">
      <c r="A105" s="168"/>
      <c r="B105" s="168"/>
      <c r="C105" s="168"/>
      <c r="D105" s="107"/>
      <c r="E105" s="154">
        <v>1</v>
      </c>
      <c r="F105" s="155" t="s">
        <v>194</v>
      </c>
      <c r="G105" s="175">
        <v>1</v>
      </c>
      <c r="H105" s="188">
        <v>343000000</v>
      </c>
      <c r="I105" s="188">
        <f t="shared" si="145"/>
        <v>343000000</v>
      </c>
      <c r="J105" s="189">
        <v>44363</v>
      </c>
      <c r="K105" s="77">
        <f t="shared" si="140"/>
        <v>49476</v>
      </c>
      <c r="L105" s="187">
        <v>168</v>
      </c>
      <c r="M105" s="99">
        <v>35.409999999999997</v>
      </c>
      <c r="N105" s="190">
        <f t="shared" si="141"/>
        <v>12145629.999999998</v>
      </c>
      <c r="O105" s="190"/>
      <c r="P105" s="190"/>
      <c r="Q105" s="190">
        <f t="shared" si="142"/>
        <v>12145629.999999998</v>
      </c>
      <c r="R105" s="81">
        <f t="shared" si="143"/>
        <v>1214562.9999999998</v>
      </c>
      <c r="S105" s="190">
        <f t="shared" si="144"/>
        <v>10931066.999999998</v>
      </c>
      <c r="T105" s="182">
        <f t="shared" si="146"/>
        <v>144590.83333333331</v>
      </c>
      <c r="U105" s="182">
        <f t="shared" si="147"/>
        <v>867544.99999999988</v>
      </c>
      <c r="V105" s="182">
        <f t="shared" si="148"/>
        <v>11133494.166666664</v>
      </c>
      <c r="W105" s="181">
        <f t="shared" si="149"/>
        <v>12145629.999999998</v>
      </c>
      <c r="X105" s="181">
        <f t="shared" si="150"/>
        <v>0</v>
      </c>
    </row>
    <row r="106" spans="1:24" x14ac:dyDescent="0.2">
      <c r="A106" s="91"/>
      <c r="B106" s="91"/>
      <c r="C106" s="91"/>
      <c r="D106" s="59"/>
      <c r="E106" s="85">
        <f>SUM(E90:E105)</f>
        <v>16</v>
      </c>
      <c r="F106" s="91"/>
      <c r="G106" s="91"/>
      <c r="H106" s="91">
        <f>SUM(H90:H105)</f>
        <v>4949000000</v>
      </c>
      <c r="I106" s="91">
        <f>SUM(I90:I105)</f>
        <v>4949000000</v>
      </c>
      <c r="J106" s="91"/>
      <c r="K106" s="91"/>
      <c r="L106" s="91"/>
      <c r="M106" s="91"/>
      <c r="N106" s="91">
        <f t="shared" ref="N106:S106" si="151">SUM(N90:N105)</f>
        <v>160270540</v>
      </c>
      <c r="O106" s="91">
        <f t="shared" si="151"/>
        <v>0</v>
      </c>
      <c r="P106" s="91">
        <f t="shared" si="151"/>
        <v>0</v>
      </c>
      <c r="Q106" s="91">
        <f t="shared" si="151"/>
        <v>160270540</v>
      </c>
      <c r="R106" s="91">
        <f t="shared" si="151"/>
        <v>16027054</v>
      </c>
      <c r="S106" s="91">
        <f t="shared" si="151"/>
        <v>144243486</v>
      </c>
      <c r="T106" s="91">
        <f t="shared" ref="T106" si="152">SUM(T90:T105)</f>
        <v>2113299.1555023403</v>
      </c>
      <c r="U106" s="91">
        <f t="shared" ref="U106" si="153">SUM(U90:U105)</f>
        <v>12679794.933014039</v>
      </c>
      <c r="V106" s="91">
        <f t="shared" ref="V106" si="154">SUM(V90:V105)</f>
        <v>145477445.91148362</v>
      </c>
      <c r="W106" s="91">
        <f t="shared" ref="W106" si="155">SUM(W90:W105)</f>
        <v>160270540</v>
      </c>
      <c r="X106" s="91">
        <f t="shared" ref="X106" si="156">SUM(X90:X105)</f>
        <v>0</v>
      </c>
    </row>
    <row r="107" spans="1:24" ht="12.75" x14ac:dyDescent="0.2">
      <c r="A107" s="154"/>
      <c r="B107" s="155" t="s">
        <v>46</v>
      </c>
      <c r="C107" s="155" t="s">
        <v>206</v>
      </c>
      <c r="D107" s="156">
        <v>44407</v>
      </c>
      <c r="E107" s="154">
        <v>1</v>
      </c>
      <c r="F107" s="155" t="s">
        <v>53</v>
      </c>
      <c r="G107" s="175">
        <v>1</v>
      </c>
      <c r="H107" s="176">
        <v>70717947</v>
      </c>
      <c r="I107" s="176">
        <f>H107*G107</f>
        <v>70717947</v>
      </c>
      <c r="J107" s="156">
        <v>46914</v>
      </c>
      <c r="K107" s="156">
        <v>47279</v>
      </c>
      <c r="L107" s="155">
        <v>12</v>
      </c>
      <c r="M107" s="195">
        <v>5.46</v>
      </c>
      <c r="N107" s="176">
        <f>M107*H107/1000</f>
        <v>386119.99062</v>
      </c>
      <c r="O107" s="176">
        <v>100000</v>
      </c>
      <c r="P107" s="176"/>
      <c r="Q107" s="176">
        <f>N107+O107+P107</f>
        <v>486119.99062</v>
      </c>
      <c r="R107" s="196"/>
      <c r="S107" s="176">
        <f>Q107-R107</f>
        <v>486119.99062</v>
      </c>
      <c r="T107" s="182">
        <f>Q107/L107</f>
        <v>40509.999218333331</v>
      </c>
      <c r="U107" s="182">
        <f>Q107/L107*11</f>
        <v>445609.99140166666</v>
      </c>
      <c r="V107" s="182">
        <f t="shared" ref="V107" si="157">Q107-T107-U107</f>
        <v>0</v>
      </c>
      <c r="W107" s="181">
        <f t="shared" ref="W107" si="158">T107+U107+V107</f>
        <v>486119.99062</v>
      </c>
      <c r="X107" s="181">
        <f t="shared" ref="X107" si="159">Q107-W107</f>
        <v>0</v>
      </c>
    </row>
    <row r="108" spans="1:24" ht="12.75" x14ac:dyDescent="0.2">
      <c r="A108" s="198"/>
      <c r="B108" s="199"/>
      <c r="C108" s="199"/>
      <c r="D108" s="199"/>
      <c r="E108" s="200"/>
      <c r="F108" s="201"/>
      <c r="G108" s="201"/>
      <c r="H108" s="201"/>
      <c r="I108" s="201"/>
      <c r="J108" s="201"/>
      <c r="K108" s="201"/>
      <c r="L108" s="201"/>
      <c r="M108" s="201"/>
      <c r="N108" s="201">
        <f t="shared" ref="N108:X108" si="160">SUM(N107:N107)</f>
        <v>386119.99062</v>
      </c>
      <c r="O108" s="201">
        <f t="shared" si="160"/>
        <v>100000</v>
      </c>
      <c r="P108" s="201">
        <f t="shared" si="160"/>
        <v>0</v>
      </c>
      <c r="Q108" s="201">
        <f t="shared" si="160"/>
        <v>486119.99062</v>
      </c>
      <c r="R108" s="201">
        <f t="shared" si="160"/>
        <v>0</v>
      </c>
      <c r="S108" s="201">
        <f t="shared" si="160"/>
        <v>486119.99062</v>
      </c>
      <c r="T108" s="201">
        <f t="shared" si="160"/>
        <v>40509.999218333331</v>
      </c>
      <c r="U108" s="201">
        <f t="shared" si="160"/>
        <v>445609.99140166666</v>
      </c>
      <c r="V108" s="201">
        <f t="shared" si="160"/>
        <v>0</v>
      </c>
      <c r="W108" s="201">
        <f t="shared" si="160"/>
        <v>486119.99062</v>
      </c>
      <c r="X108" s="201">
        <f t="shared" si="160"/>
        <v>0</v>
      </c>
    </row>
    <row r="109" spans="1:24" ht="12.75" x14ac:dyDescent="0.2">
      <c r="A109" s="154"/>
      <c r="B109" s="155" t="s">
        <v>122</v>
      </c>
      <c r="C109" s="155" t="s">
        <v>207</v>
      </c>
      <c r="D109" s="156">
        <v>44407</v>
      </c>
      <c r="E109" s="154">
        <v>1</v>
      </c>
      <c r="F109" s="155" t="s">
        <v>208</v>
      </c>
      <c r="G109" s="175">
        <v>1</v>
      </c>
      <c r="H109" s="176">
        <v>30000000</v>
      </c>
      <c r="I109" s="176">
        <f>H109*G109</f>
        <v>30000000</v>
      </c>
      <c r="J109" s="156">
        <v>44406</v>
      </c>
      <c r="K109" s="156">
        <v>45136</v>
      </c>
      <c r="L109" s="155">
        <v>24</v>
      </c>
      <c r="M109" s="195">
        <v>10.57</v>
      </c>
      <c r="N109" s="176">
        <f>M109*H109/1000</f>
        <v>317100</v>
      </c>
      <c r="O109" s="176"/>
      <c r="P109" s="176"/>
      <c r="Q109" s="190">
        <f t="shared" ref="Q109" si="161">N109+O109+P109</f>
        <v>317100</v>
      </c>
      <c r="R109" s="81">
        <f t="shared" ref="R109" si="162">10%*N109</f>
        <v>31710</v>
      </c>
      <c r="S109" s="190">
        <f t="shared" ref="S109" si="163">Q109-R109</f>
        <v>285390</v>
      </c>
      <c r="T109" s="182">
        <f>Q109/L109</f>
        <v>13212.5</v>
      </c>
      <c r="U109" s="182">
        <f t="shared" si="147"/>
        <v>158550</v>
      </c>
      <c r="V109" s="182">
        <f t="shared" ref="V109" si="164">Q109-T109-U109</f>
        <v>145337.5</v>
      </c>
      <c r="W109" s="181">
        <f t="shared" ref="W109" si="165">T109+U109+V109</f>
        <v>317100</v>
      </c>
      <c r="X109" s="181">
        <f t="shared" ref="X109" si="166">Q109-W109</f>
        <v>0</v>
      </c>
    </row>
    <row r="110" spans="1:24" ht="12.75" x14ac:dyDescent="0.2">
      <c r="A110" s="198"/>
      <c r="B110" s="199"/>
      <c r="C110" s="199"/>
      <c r="D110" s="199"/>
      <c r="E110" s="200">
        <f>SUM(E109:E109)</f>
        <v>1</v>
      </c>
      <c r="F110" s="201">
        <f>SUM(F109:F109)</f>
        <v>0</v>
      </c>
      <c r="G110" s="201"/>
      <c r="H110" s="201">
        <f>SUM(H109:H109)</f>
        <v>30000000</v>
      </c>
      <c r="I110" s="201">
        <f>SUM(I109:I109)</f>
        <v>30000000</v>
      </c>
      <c r="J110" s="201"/>
      <c r="K110" s="201"/>
      <c r="L110" s="201"/>
      <c r="M110" s="201"/>
      <c r="N110" s="201">
        <f t="shared" ref="N110:Q110" si="167">SUM(N109:N109)</f>
        <v>317100</v>
      </c>
      <c r="O110" s="201">
        <f t="shared" si="167"/>
        <v>0</v>
      </c>
      <c r="P110" s="201">
        <f t="shared" si="167"/>
        <v>0</v>
      </c>
      <c r="Q110" s="201">
        <f t="shared" si="167"/>
        <v>317100</v>
      </c>
      <c r="R110" s="201">
        <f t="shared" ref="R110" si="168">SUM(R109:R109)</f>
        <v>31710</v>
      </c>
      <c r="S110" s="201">
        <f t="shared" ref="S110" si="169">SUM(S109:S109)</f>
        <v>285390</v>
      </c>
      <c r="T110" s="201">
        <f t="shared" ref="T110" si="170">SUM(T109:T109)</f>
        <v>13212.5</v>
      </c>
      <c r="U110" s="201">
        <f t="shared" ref="U110" si="171">SUM(U109:U109)</f>
        <v>158550</v>
      </c>
      <c r="V110" s="201">
        <f t="shared" ref="V110" si="172">SUM(V109:V109)</f>
        <v>145337.5</v>
      </c>
      <c r="W110" s="201">
        <f t="shared" ref="W110" si="173">SUM(W109:W109)</f>
        <v>317100</v>
      </c>
      <c r="X110" s="201">
        <f t="shared" ref="X110" si="174">SUM(X109:X109)</f>
        <v>0</v>
      </c>
    </row>
    <row r="111" spans="1:24" x14ac:dyDescent="0.2">
      <c r="A111" s="83"/>
      <c r="B111" s="83"/>
      <c r="C111" s="83" t="s">
        <v>50</v>
      </c>
      <c r="D111" s="84"/>
      <c r="E111" s="185">
        <f t="shared" ref="E111" si="175">E110+E106+E108</f>
        <v>17</v>
      </c>
      <c r="F111" s="185">
        <f t="shared" ref="F111" si="176">F110+F106+F108</f>
        <v>0</v>
      </c>
      <c r="G111" s="185">
        <f t="shared" ref="G111" si="177">G110+G106+G108</f>
        <v>0</v>
      </c>
      <c r="H111" s="185">
        <f t="shared" ref="H111" si="178">H110+H106+H108</f>
        <v>4979000000</v>
      </c>
      <c r="I111" s="185">
        <f t="shared" ref="I111" si="179">I110+I106+I108</f>
        <v>4979000000</v>
      </c>
      <c r="J111" s="185">
        <f t="shared" ref="J111" si="180">J110+J106+J108</f>
        <v>0</v>
      </c>
      <c r="K111" s="185">
        <f t="shared" ref="K111" si="181">K110+K106+K108</f>
        <v>0</v>
      </c>
      <c r="L111" s="185">
        <f t="shared" ref="L111" si="182">L110+L106+L108</f>
        <v>0</v>
      </c>
      <c r="M111" s="185">
        <f t="shared" ref="M111" si="183">M110+M106+M108</f>
        <v>0</v>
      </c>
      <c r="N111" s="185">
        <f t="shared" ref="N111" si="184">N110+N106+N108</f>
        <v>160973759.99061999</v>
      </c>
      <c r="O111" s="185">
        <f t="shared" ref="O111" si="185">O110+O106+O108</f>
        <v>100000</v>
      </c>
      <c r="P111" s="185">
        <f t="shared" ref="P111" si="186">P110+P106+P108</f>
        <v>0</v>
      </c>
      <c r="Q111" s="185">
        <f>Q110+Q106+Q108</f>
        <v>161073759.99061999</v>
      </c>
      <c r="R111" s="185">
        <f t="shared" ref="R111:S111" si="187">R110+R106+R108</f>
        <v>16058764</v>
      </c>
      <c r="S111" s="185">
        <f t="shared" si="187"/>
        <v>145014995.99061999</v>
      </c>
      <c r="T111" s="185">
        <f>T110+T106+T108</f>
        <v>2167021.6547206738</v>
      </c>
      <c r="U111" s="185">
        <f t="shared" ref="U111:W111" si="188">U110+U106+U108</f>
        <v>13283954.924415706</v>
      </c>
      <c r="V111" s="185">
        <f t="shared" si="188"/>
        <v>145622783.41148362</v>
      </c>
      <c r="W111" s="185">
        <f t="shared" si="188"/>
        <v>161073759.99061999</v>
      </c>
      <c r="X111" s="185">
        <f t="shared" ref="X111" si="189">X110+X106</f>
        <v>0</v>
      </c>
    </row>
    <row r="112" spans="1:24" x14ac:dyDescent="0.2">
      <c r="A112" s="83"/>
      <c r="B112" s="83"/>
      <c r="C112" s="83" t="s">
        <v>209</v>
      </c>
      <c r="D112" s="84"/>
      <c r="E112" s="93">
        <f>E111+E85</f>
        <v>38</v>
      </c>
      <c r="F112" s="95">
        <f t="shared" ref="F112:Q112" si="190">F111+F85</f>
        <v>0</v>
      </c>
      <c r="G112" s="95">
        <f t="shared" si="190"/>
        <v>0</v>
      </c>
      <c r="H112" s="95">
        <f t="shared" si="190"/>
        <v>9914584172</v>
      </c>
      <c r="I112" s="95">
        <f t="shared" si="190"/>
        <v>9914584172</v>
      </c>
      <c r="J112" s="95"/>
      <c r="K112" s="95"/>
      <c r="L112" s="95"/>
      <c r="M112" s="95"/>
      <c r="N112" s="95">
        <f t="shared" si="190"/>
        <v>309971000.50212002</v>
      </c>
      <c r="O112" s="95">
        <f t="shared" si="190"/>
        <v>200000</v>
      </c>
      <c r="P112" s="95">
        <f t="shared" si="190"/>
        <v>0</v>
      </c>
      <c r="Q112" s="95">
        <f t="shared" si="190"/>
        <v>310171000.50212002</v>
      </c>
      <c r="R112" s="95">
        <f t="shared" ref="R112" si="191">R111+R85</f>
        <v>30923327.008506</v>
      </c>
      <c r="S112" s="95">
        <f t="shared" ref="S112" si="192">S111+S85</f>
        <v>279247673.49361402</v>
      </c>
      <c r="T112" s="95">
        <f t="shared" ref="T112" si="193">T111+T85</f>
        <v>20309097.660710346</v>
      </c>
      <c r="U112" s="95">
        <f t="shared" ref="U112" si="194">U111+U85</f>
        <v>35085479.386464395</v>
      </c>
      <c r="V112" s="95">
        <f t="shared" ref="V112" si="195">V111+V85</f>
        <v>254776423.4549453</v>
      </c>
      <c r="W112" s="95">
        <f t="shared" ref="W112" si="196">W111+W85</f>
        <v>161073759.99061999</v>
      </c>
      <c r="X112" s="95">
        <f t="shared" ref="X112" si="197">X111+X85</f>
        <v>0</v>
      </c>
    </row>
  </sheetData>
  <mergeCells count="112">
    <mergeCell ref="R3:R4"/>
    <mergeCell ref="S3:S4"/>
    <mergeCell ref="G3:G4"/>
    <mergeCell ref="H3:H4"/>
    <mergeCell ref="I3:I4"/>
    <mergeCell ref="J3:K4"/>
    <mergeCell ref="L3:L4"/>
    <mergeCell ref="M3:M4"/>
    <mergeCell ref="F3:F4"/>
    <mergeCell ref="I9:I10"/>
    <mergeCell ref="J9:K10"/>
    <mergeCell ref="A9:A10"/>
    <mergeCell ref="B9:B10"/>
    <mergeCell ref="C9:C10"/>
    <mergeCell ref="D9:D10"/>
    <mergeCell ref="E9:E10"/>
    <mergeCell ref="N3:P3"/>
    <mergeCell ref="Q3:Q4"/>
    <mergeCell ref="A3:A4"/>
    <mergeCell ref="B3:B4"/>
    <mergeCell ref="C3:C4"/>
    <mergeCell ref="D3:D4"/>
    <mergeCell ref="E3:E4"/>
    <mergeCell ref="S9:S10"/>
    <mergeCell ref="A17:A18"/>
    <mergeCell ref="B17:B18"/>
    <mergeCell ref="C17:C18"/>
    <mergeCell ref="D17:D18"/>
    <mergeCell ref="E17:E18"/>
    <mergeCell ref="F17:F18"/>
    <mergeCell ref="G17:G18"/>
    <mergeCell ref="H17:H18"/>
    <mergeCell ref="I17:I18"/>
    <mergeCell ref="J17:K18"/>
    <mergeCell ref="L17:L18"/>
    <mergeCell ref="M17:M18"/>
    <mergeCell ref="N17:P17"/>
    <mergeCell ref="Q17:Q18"/>
    <mergeCell ref="R17:R18"/>
    <mergeCell ref="L9:L10"/>
    <mergeCell ref="M9:M10"/>
    <mergeCell ref="N9:P9"/>
    <mergeCell ref="Q9:Q10"/>
    <mergeCell ref="R9:R10"/>
    <mergeCell ref="F9:F10"/>
    <mergeCell ref="G9:G10"/>
    <mergeCell ref="H9:H10"/>
    <mergeCell ref="C47:C48"/>
    <mergeCell ref="D47:D48"/>
    <mergeCell ref="E47:E48"/>
    <mergeCell ref="F47:F48"/>
    <mergeCell ref="G47:G48"/>
    <mergeCell ref="H47:H48"/>
    <mergeCell ref="I47:I48"/>
    <mergeCell ref="S17:S18"/>
    <mergeCell ref="A27:A28"/>
    <mergeCell ref="B27:B28"/>
    <mergeCell ref="C27:C28"/>
    <mergeCell ref="D27:D28"/>
    <mergeCell ref="E27:E28"/>
    <mergeCell ref="F27:F28"/>
    <mergeCell ref="G27:G28"/>
    <mergeCell ref="H27:H28"/>
    <mergeCell ref="I27:I28"/>
    <mergeCell ref="J27:K28"/>
    <mergeCell ref="L27:L28"/>
    <mergeCell ref="M27:M28"/>
    <mergeCell ref="N27:P27"/>
    <mergeCell ref="Q27:Q28"/>
    <mergeCell ref="R27:R28"/>
    <mergeCell ref="S27:S28"/>
    <mergeCell ref="J47:K48"/>
    <mergeCell ref="L47:L48"/>
    <mergeCell ref="M47:M48"/>
    <mergeCell ref="N47:P47"/>
    <mergeCell ref="Q47:Q48"/>
    <mergeCell ref="R47:R48"/>
    <mergeCell ref="S47:S48"/>
    <mergeCell ref="A78:A79"/>
    <mergeCell ref="B78:B79"/>
    <mergeCell ref="C78:C79"/>
    <mergeCell ref="D78:D79"/>
    <mergeCell ref="E78:E79"/>
    <mergeCell ref="F78:F79"/>
    <mergeCell ref="G78:G79"/>
    <mergeCell ref="H78:H79"/>
    <mergeCell ref="I78:I79"/>
    <mergeCell ref="J78:K79"/>
    <mergeCell ref="L78:L79"/>
    <mergeCell ref="M78:M79"/>
    <mergeCell ref="N78:P78"/>
    <mergeCell ref="Q78:Q79"/>
    <mergeCell ref="R78:R79"/>
    <mergeCell ref="A47:A48"/>
    <mergeCell ref="B47:B48"/>
    <mergeCell ref="S88:S89"/>
    <mergeCell ref="S78:S79"/>
    <mergeCell ref="A88:A89"/>
    <mergeCell ref="B88:B89"/>
    <mergeCell ref="C88:C89"/>
    <mergeCell ref="D88:D89"/>
    <mergeCell ref="E88:E89"/>
    <mergeCell ref="F88:F89"/>
    <mergeCell ref="G88:G89"/>
    <mergeCell ref="H88:H89"/>
    <mergeCell ref="I88:I89"/>
    <mergeCell ref="J88:K89"/>
    <mergeCell ref="L88:L89"/>
    <mergeCell ref="M88:M89"/>
    <mergeCell ref="N88:P88"/>
    <mergeCell ref="Q88:Q89"/>
    <mergeCell ref="R88:R89"/>
  </mergeCells>
  <pageMargins left="0.19685039370078741" right="0.70866141732283472" top="0.27559055118110237" bottom="0.74803149606299213" header="0.31496062992125984" footer="0.31496062992125984"/>
  <pageSetup paperSize="5" scale="8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KONSUMTIF</vt:lpstr>
      <vt:lpstr>IJP DESEMBER</vt:lpstr>
      <vt:lpstr>FEE DESEMBER</vt:lpstr>
      <vt:lpstr>ijp oktober</vt:lpstr>
      <vt:lpstr>fee oktober</vt:lpstr>
      <vt:lpstr>OUTSTANDING</vt:lpstr>
      <vt:lpstr>ijp sept</vt:lpstr>
      <vt:lpstr>fee sept</vt:lpstr>
      <vt:lpstr>IJP JULI</vt:lpstr>
      <vt:lpstr>FEE JULI</vt:lpstr>
      <vt:lpstr>IJP JUNI</vt:lpstr>
      <vt:lpstr>FEE JUNI</vt:lpstr>
      <vt:lpstr>IJP JANUARI</vt:lpstr>
      <vt:lpstr>FEE JANUARI</vt:lpstr>
      <vt:lpstr>IJP FEBRUARI</vt:lpstr>
      <vt:lpstr>FEE FEBRUARI</vt:lpstr>
      <vt:lpstr>IJP MARET</vt:lpstr>
      <vt:lpstr>FEE MARET</vt:lpstr>
      <vt:lpstr>IJP APRIL</vt:lpstr>
      <vt:lpstr>FEE APRIL</vt:lpstr>
      <vt:lpstr>FEE MEI</vt:lpstr>
      <vt:lpstr>IJP MEI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2022-01-05T04:07:18Z</cp:lastPrinted>
  <dcterms:created xsi:type="dcterms:W3CDTF">2020-06-30T01:00:10Z</dcterms:created>
  <dcterms:modified xsi:type="dcterms:W3CDTF">2022-02-10T01:52:30Z</dcterms:modified>
</cp:coreProperties>
</file>