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2.xml" ContentType="application/vnd.openxmlformats-officedocument.drawing+xml"/>
  <Override PartName="/xl/slicers/slicer2.xml" ContentType="application/vnd.ms-excel.slicer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tables/table2.xml" ContentType="application/vnd.openxmlformats-officedocument.spreadsheetml.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drawings/drawing4.xml" ContentType="application/vnd.openxmlformats-officedocument.drawing+xml"/>
  <Override PartName="/xl/slicers/slicer4.xml" ContentType="application/vnd.ms-excel.slicer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xavivelasco/Downloads/PORTFOLIO XV/GITHUB/excel-scrum-master/"/>
    </mc:Choice>
  </mc:AlternateContent>
  <xr:revisionPtr revIDLastSave="0" documentId="13_ncr:1_{5883D037-DF2F-BB4F-9D97-B50CE47EBCD5}" xr6:coauthVersionLast="47" xr6:coauthVersionMax="47" xr10:uidLastSave="{00000000-0000-0000-0000-000000000000}"/>
  <bookViews>
    <workbookView xWindow="0" yWindow="460" windowWidth="38400" windowHeight="21140" activeTab="5" xr2:uid="{00000000-000D-0000-FFFF-FFFF00000000}"/>
  </bookViews>
  <sheets>
    <sheet name="Data Backup" sheetId="33" state="hidden" r:id="rId1"/>
    <sheet name="PivotTables Backup" sheetId="36" state="hidden" r:id="rId2"/>
    <sheet name="Dashboard Backup" sheetId="18" state="hidden" r:id="rId3"/>
    <sheet name="Data" sheetId="17" r:id="rId4"/>
    <sheet name="PivotTables" sheetId="31" r:id="rId5"/>
    <sheet name="Dashboard" sheetId="35" r:id="rId6"/>
  </sheets>
  <definedNames>
    <definedName name="SegmentaciónDeDatos_Sprint">#N/A</definedName>
    <definedName name="SegmentaciónDeDatos_Sprint1">#N/A</definedName>
  </definedNames>
  <calcPr calcId="191029"/>
  <pivotCaches>
    <pivotCache cacheId="0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64" i="35" l="1" a="1"/>
  <c r="AR64" i="35" s="1"/>
  <c r="AK64" i="35" a="1"/>
  <c r="AK64" i="35" s="1"/>
  <c r="AD64" i="35" a="1"/>
  <c r="AD64" i="35" s="1"/>
  <c r="W64" i="35" a="1"/>
  <c r="W64" i="35" s="1"/>
  <c r="P64" i="35" a="1"/>
  <c r="P64" i="35" s="1"/>
  <c r="I64" i="35" a="1"/>
  <c r="I64" i="35" s="1"/>
  <c r="S56" i="33" l="1"/>
  <c r="P56" i="33"/>
  <c r="O56" i="33"/>
  <c r="R56" i="33" s="1"/>
  <c r="I56" i="33"/>
  <c r="H56" i="33"/>
  <c r="K56" i="33" s="1"/>
  <c r="B56" i="33"/>
  <c r="U55" i="33"/>
  <c r="T55" i="33"/>
  <c r="S55" i="33"/>
  <c r="Q55" i="33"/>
  <c r="P55" i="33"/>
  <c r="O55" i="33"/>
  <c r="R55" i="33" s="1"/>
  <c r="J55" i="33"/>
  <c r="I55" i="33"/>
  <c r="H55" i="33"/>
  <c r="K55" i="33" s="1"/>
  <c r="B55" i="33"/>
  <c r="T54" i="33"/>
  <c r="S54" i="33"/>
  <c r="R54" i="33"/>
  <c r="Q54" i="33"/>
  <c r="P54" i="33"/>
  <c r="O54" i="33"/>
  <c r="K54" i="33"/>
  <c r="J54" i="33"/>
  <c r="I54" i="33"/>
  <c r="H54" i="33"/>
  <c r="B54" i="33"/>
  <c r="U54" i="33" s="1"/>
  <c r="S53" i="33"/>
  <c r="AA52" i="33" s="1"/>
  <c r="P53" i="33"/>
  <c r="O53" i="33"/>
  <c r="U53" i="33" s="1"/>
  <c r="I53" i="33"/>
  <c r="H53" i="33"/>
  <c r="J53" i="33" s="1"/>
  <c r="B53" i="33"/>
  <c r="S52" i="33"/>
  <c r="P52" i="33"/>
  <c r="O52" i="33"/>
  <c r="R52" i="33" s="1"/>
  <c r="I52" i="33"/>
  <c r="H52" i="33"/>
  <c r="K52" i="33" s="1"/>
  <c r="B52" i="33"/>
  <c r="U51" i="33"/>
  <c r="T51" i="33"/>
  <c r="S51" i="33"/>
  <c r="Z56" i="33" s="1"/>
  <c r="AA56" i="33" s="1"/>
  <c r="Q51" i="33"/>
  <c r="P51" i="33"/>
  <c r="O51" i="33"/>
  <c r="R51" i="33" s="1"/>
  <c r="J51" i="33"/>
  <c r="I51" i="33"/>
  <c r="H51" i="33"/>
  <c r="K51" i="33" s="1"/>
  <c r="B51" i="33"/>
  <c r="T50" i="33"/>
  <c r="S50" i="33"/>
  <c r="Z55" i="33" s="1"/>
  <c r="R50" i="33"/>
  <c r="Q50" i="33"/>
  <c r="P50" i="33"/>
  <c r="O50" i="33"/>
  <c r="K50" i="33"/>
  <c r="J50" i="33"/>
  <c r="I50" i="33"/>
  <c r="H50" i="33"/>
  <c r="B50" i="33"/>
  <c r="U50" i="33" s="1"/>
  <c r="S49" i="33"/>
  <c r="P49" i="33"/>
  <c r="O49" i="33"/>
  <c r="U49" i="33" s="1"/>
  <c r="I49" i="33"/>
  <c r="H49" i="33"/>
  <c r="J49" i="33" s="1"/>
  <c r="B49" i="33"/>
  <c r="T48" i="33"/>
  <c r="S48" i="33"/>
  <c r="Z53" i="33" s="1"/>
  <c r="AA53" i="33" s="1"/>
  <c r="P48" i="33"/>
  <c r="O48" i="33"/>
  <c r="R48" i="33" s="1"/>
  <c r="I48" i="33"/>
  <c r="H48" i="33"/>
  <c r="K48" i="33" s="1"/>
  <c r="B48" i="33"/>
  <c r="Z47" i="33"/>
  <c r="U47" i="33"/>
  <c r="T47" i="33"/>
  <c r="S47" i="33"/>
  <c r="Z52" i="33" s="1"/>
  <c r="Q47" i="33"/>
  <c r="P47" i="33"/>
  <c r="O47" i="33"/>
  <c r="R47" i="33" s="1"/>
  <c r="J47" i="33"/>
  <c r="I47" i="33"/>
  <c r="H47" i="33"/>
  <c r="K47" i="33" s="1"/>
  <c r="B47" i="33"/>
  <c r="AA46" i="33"/>
  <c r="Z46" i="33"/>
  <c r="S46" i="33"/>
  <c r="Z49" i="33" s="1"/>
  <c r="AA49" i="33" s="1"/>
  <c r="R46" i="33"/>
  <c r="Q46" i="33"/>
  <c r="P46" i="33"/>
  <c r="O46" i="33"/>
  <c r="T46" i="33" s="1"/>
  <c r="K46" i="33"/>
  <c r="J46" i="33"/>
  <c r="I46" i="33"/>
  <c r="H46" i="33"/>
  <c r="B46" i="33"/>
  <c r="U46" i="33" s="1"/>
  <c r="S45" i="33"/>
  <c r="P45" i="33"/>
  <c r="O45" i="33"/>
  <c r="U45" i="33" s="1"/>
  <c r="I45" i="33"/>
  <c r="H45" i="33"/>
  <c r="J45" i="33" s="1"/>
  <c r="B45" i="33"/>
  <c r="T44" i="33"/>
  <c r="S44" i="33"/>
  <c r="P44" i="33"/>
  <c r="O44" i="33"/>
  <c r="R44" i="33" s="1"/>
  <c r="I44" i="33"/>
  <c r="H44" i="33"/>
  <c r="K44" i="33" s="1"/>
  <c r="B44" i="33"/>
  <c r="U43" i="33"/>
  <c r="T43" i="33"/>
  <c r="S43" i="33"/>
  <c r="Q43" i="33"/>
  <c r="P43" i="33"/>
  <c r="O43" i="33"/>
  <c r="R43" i="33" s="1"/>
  <c r="J43" i="33"/>
  <c r="I43" i="33"/>
  <c r="H43" i="33"/>
  <c r="K43" i="33" s="1"/>
  <c r="B43" i="33"/>
  <c r="T42" i="33"/>
  <c r="S42" i="33"/>
  <c r="R42" i="33"/>
  <c r="Q42" i="33"/>
  <c r="P42" i="33"/>
  <c r="O42" i="33"/>
  <c r="K42" i="33"/>
  <c r="J42" i="33"/>
  <c r="I42" i="33"/>
  <c r="H42" i="33"/>
  <c r="B42" i="33"/>
  <c r="U42" i="33" s="1"/>
  <c r="S41" i="33"/>
  <c r="Z45" i="33" s="1"/>
  <c r="AA45" i="33" s="1"/>
  <c r="P41" i="33"/>
  <c r="O41" i="33"/>
  <c r="U41" i="33" s="1"/>
  <c r="I41" i="33"/>
  <c r="H41" i="33"/>
  <c r="J41" i="33" s="1"/>
  <c r="B41" i="33"/>
  <c r="T40" i="33"/>
  <c r="S40" i="33"/>
  <c r="Z44" i="33" s="1"/>
  <c r="P40" i="33"/>
  <c r="O40" i="33"/>
  <c r="R40" i="33" s="1"/>
  <c r="I40" i="33"/>
  <c r="H40" i="33"/>
  <c r="K40" i="33" s="1"/>
  <c r="B40" i="33"/>
  <c r="U39" i="33"/>
  <c r="T39" i="33"/>
  <c r="S39" i="33"/>
  <c r="Q39" i="33"/>
  <c r="P39" i="33"/>
  <c r="O39" i="33"/>
  <c r="R39" i="33" s="1"/>
  <c r="J39" i="33"/>
  <c r="I39" i="33"/>
  <c r="H39" i="33"/>
  <c r="K39" i="33" s="1"/>
  <c r="B39" i="33"/>
  <c r="T38" i="33"/>
  <c r="S38" i="33"/>
  <c r="R38" i="33"/>
  <c r="Q38" i="33"/>
  <c r="P38" i="33"/>
  <c r="O38" i="33"/>
  <c r="K38" i="33"/>
  <c r="J38" i="33"/>
  <c r="I38" i="33"/>
  <c r="H38" i="33"/>
  <c r="B38" i="33"/>
  <c r="U38" i="33" s="1"/>
  <c r="S37" i="33"/>
  <c r="Z41" i="33" s="1"/>
  <c r="AA41" i="33" s="1"/>
  <c r="P37" i="33"/>
  <c r="O37" i="33"/>
  <c r="U37" i="33" s="1"/>
  <c r="I37" i="33"/>
  <c r="H37" i="33"/>
  <c r="J37" i="33" s="1"/>
  <c r="B37" i="33"/>
  <c r="T36" i="33"/>
  <c r="S36" i="33"/>
  <c r="Z40" i="33" s="1"/>
  <c r="P36" i="33"/>
  <c r="O36" i="33"/>
  <c r="R36" i="33" s="1"/>
  <c r="I36" i="33"/>
  <c r="H36" i="33"/>
  <c r="K36" i="33" s="1"/>
  <c r="B36" i="33"/>
  <c r="U35" i="33"/>
  <c r="T35" i="33"/>
  <c r="S35" i="33"/>
  <c r="Q35" i="33"/>
  <c r="P35" i="33"/>
  <c r="O35" i="33"/>
  <c r="R35" i="33" s="1"/>
  <c r="J35" i="33"/>
  <c r="I35" i="33"/>
  <c r="H35" i="33"/>
  <c r="K35" i="33" s="1"/>
  <c r="B35" i="33"/>
  <c r="T34" i="33"/>
  <c r="S34" i="33"/>
  <c r="R34" i="33"/>
  <c r="Q34" i="33"/>
  <c r="P34" i="33"/>
  <c r="O34" i="33"/>
  <c r="K34" i="33"/>
  <c r="J34" i="33"/>
  <c r="I34" i="33"/>
  <c r="H34" i="33"/>
  <c r="B34" i="33"/>
  <c r="U34" i="33" s="1"/>
  <c r="S33" i="33"/>
  <c r="P33" i="33"/>
  <c r="O33" i="33"/>
  <c r="U33" i="33" s="1"/>
  <c r="I33" i="33"/>
  <c r="H33" i="33"/>
  <c r="J33" i="33" s="1"/>
  <c r="B33" i="33"/>
  <c r="T32" i="33"/>
  <c r="S32" i="33"/>
  <c r="AA31" i="33" s="1"/>
  <c r="P32" i="33"/>
  <c r="O32" i="33"/>
  <c r="R32" i="33" s="1"/>
  <c r="I32" i="33"/>
  <c r="H32" i="33"/>
  <c r="K32" i="33" s="1"/>
  <c r="B32" i="33"/>
  <c r="Z31" i="33"/>
  <c r="U31" i="33"/>
  <c r="T31" i="33"/>
  <c r="S31" i="33"/>
  <c r="Z37" i="33" s="1"/>
  <c r="AA37" i="33" s="1"/>
  <c r="Q31" i="33"/>
  <c r="P31" i="33"/>
  <c r="O31" i="33"/>
  <c r="R31" i="33" s="1"/>
  <c r="J31" i="33"/>
  <c r="I31" i="33"/>
  <c r="H31" i="33"/>
  <c r="K31" i="33" s="1"/>
  <c r="P67" i="18" a="1"/>
  <c r="P67" i="18" s="1"/>
  <c r="I67" i="18" a="1"/>
  <c r="I67" i="18" s="1"/>
  <c r="O3" i="17"/>
  <c r="O4" i="17"/>
  <c r="O5" i="17"/>
  <c r="Q5" i="17" s="1"/>
  <c r="O6" i="17"/>
  <c r="O7" i="17"/>
  <c r="R7" i="17" s="1"/>
  <c r="O8" i="17"/>
  <c r="Q8" i="17" s="1"/>
  <c r="O9" i="17"/>
  <c r="O10" i="17"/>
  <c r="O11" i="17"/>
  <c r="Q11" i="17" s="1"/>
  <c r="O12" i="17"/>
  <c r="Q12" i="17" s="1"/>
  <c r="O13" i="17"/>
  <c r="O14" i="17"/>
  <c r="O15" i="17"/>
  <c r="O16" i="17"/>
  <c r="R16" i="17" s="1"/>
  <c r="O17" i="17"/>
  <c r="O18" i="17"/>
  <c r="O19" i="17"/>
  <c r="Q19" i="17" s="1"/>
  <c r="O20" i="17"/>
  <c r="O21" i="17"/>
  <c r="Q21" i="17" s="1"/>
  <c r="O22" i="17"/>
  <c r="O23" i="17"/>
  <c r="O24" i="17"/>
  <c r="Q24" i="17" s="1"/>
  <c r="O25" i="17"/>
  <c r="O26" i="17"/>
  <c r="Q26" i="17" s="1"/>
  <c r="O27" i="17"/>
  <c r="O2" i="17"/>
  <c r="Q2" i="17" s="1"/>
  <c r="Q13" i="17"/>
  <c r="Q20" i="17"/>
  <c r="P2" i="17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B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8" i="17"/>
  <c r="B19" i="17"/>
  <c r="B20" i="17"/>
  <c r="B21" i="17"/>
  <c r="B22" i="17"/>
  <c r="B23" i="17"/>
  <c r="B24" i="17"/>
  <c r="B25" i="17"/>
  <c r="B26" i="17"/>
  <c r="B27" i="17"/>
  <c r="B17" i="17"/>
  <c r="R15" i="17"/>
  <c r="H4" i="17"/>
  <c r="K4" i="17" s="1"/>
  <c r="H5" i="17"/>
  <c r="K5" i="17" s="1"/>
  <c r="H6" i="17"/>
  <c r="K6" i="17" s="1"/>
  <c r="I4" i="17"/>
  <c r="I5" i="17"/>
  <c r="I6" i="17"/>
  <c r="S4" i="17"/>
  <c r="S5" i="17"/>
  <c r="S6" i="17"/>
  <c r="H3" i="17"/>
  <c r="K3" i="17" s="1"/>
  <c r="H7" i="17"/>
  <c r="K7" i="17" s="1"/>
  <c r="H8" i="17"/>
  <c r="K8" i="17" s="1"/>
  <c r="H9" i="17"/>
  <c r="K9" i="17" s="1"/>
  <c r="H10" i="17"/>
  <c r="J10" i="17" s="1"/>
  <c r="H11" i="17"/>
  <c r="K11" i="17" s="1"/>
  <c r="H12" i="17"/>
  <c r="K12" i="17" s="1"/>
  <c r="H13" i="17"/>
  <c r="K13" i="17" s="1"/>
  <c r="H14" i="17"/>
  <c r="J14" i="17" s="1"/>
  <c r="H15" i="17"/>
  <c r="K15" i="17" s="1"/>
  <c r="H16" i="17"/>
  <c r="K16" i="17" s="1"/>
  <c r="I3" i="17"/>
  <c r="I7" i="17"/>
  <c r="I8" i="17"/>
  <c r="I9" i="17"/>
  <c r="I10" i="17"/>
  <c r="I11" i="17"/>
  <c r="I12" i="17"/>
  <c r="I13" i="17"/>
  <c r="I14" i="17"/>
  <c r="I15" i="17"/>
  <c r="I16" i="17"/>
  <c r="S3" i="17"/>
  <c r="S7" i="17"/>
  <c r="S8" i="17"/>
  <c r="S9" i="17"/>
  <c r="S10" i="17"/>
  <c r="S11" i="17"/>
  <c r="S12" i="17"/>
  <c r="S13" i="17"/>
  <c r="S14" i="17"/>
  <c r="S15" i="17"/>
  <c r="S16" i="17"/>
  <c r="H2" i="17"/>
  <c r="K2" i="17" s="1"/>
  <c r="I2" i="17"/>
  <c r="S2" i="17"/>
  <c r="S17" i="17"/>
  <c r="S18" i="17"/>
  <c r="S19" i="17"/>
  <c r="S20" i="17"/>
  <c r="S21" i="17"/>
  <c r="S22" i="17"/>
  <c r="S23" i="17"/>
  <c r="S24" i="17"/>
  <c r="S25" i="17"/>
  <c r="S26" i="17"/>
  <c r="S27" i="17"/>
  <c r="P19" i="17"/>
  <c r="P20" i="17"/>
  <c r="P21" i="17"/>
  <c r="P22" i="17"/>
  <c r="P23" i="17"/>
  <c r="P24" i="17"/>
  <c r="P25" i="17"/>
  <c r="P26" i="17"/>
  <c r="P27" i="17"/>
  <c r="R11" i="17" l="1"/>
  <c r="U4" i="17"/>
  <c r="W47" i="33"/>
  <c r="W46" i="33"/>
  <c r="W45" i="33"/>
  <c r="AA44" i="33"/>
  <c r="AA48" i="33"/>
  <c r="AA55" i="33"/>
  <c r="K33" i="33"/>
  <c r="R33" i="33"/>
  <c r="W33" i="33"/>
  <c r="Z34" i="33"/>
  <c r="AA34" i="33" s="1"/>
  <c r="K37" i="33"/>
  <c r="R37" i="33"/>
  <c r="Z38" i="33"/>
  <c r="AA38" i="33" s="1"/>
  <c r="K41" i="33"/>
  <c r="R41" i="33"/>
  <c r="Z42" i="33"/>
  <c r="AA42" i="33" s="1"/>
  <c r="K45" i="33"/>
  <c r="R45" i="33"/>
  <c r="K49" i="33"/>
  <c r="R49" i="33"/>
  <c r="Z50" i="33"/>
  <c r="AA50" i="33" s="1"/>
  <c r="K53" i="33"/>
  <c r="R53" i="33"/>
  <c r="Z54" i="33"/>
  <c r="AA54" i="33" s="1"/>
  <c r="W34" i="33"/>
  <c r="Z35" i="33"/>
  <c r="Z39" i="33"/>
  <c r="Z43" i="33"/>
  <c r="AA43" i="33" s="1"/>
  <c r="Z51" i="33"/>
  <c r="AA51" i="33" s="1"/>
  <c r="T52" i="33"/>
  <c r="T56" i="33"/>
  <c r="W31" i="33"/>
  <c r="J32" i="33"/>
  <c r="Q32" i="33"/>
  <c r="U32" i="33"/>
  <c r="W36" i="33" s="1"/>
  <c r="Z32" i="33"/>
  <c r="AA32" i="33" s="1"/>
  <c r="T33" i="33"/>
  <c r="AA35" i="33"/>
  <c r="J36" i="33"/>
  <c r="Q36" i="33"/>
  <c r="U36" i="33"/>
  <c r="Z36" i="33"/>
  <c r="AA36" i="33" s="1"/>
  <c r="T37" i="33"/>
  <c r="AA39" i="33"/>
  <c r="J40" i="33"/>
  <c r="Q40" i="33"/>
  <c r="U40" i="33"/>
  <c r="W37" i="33" s="1"/>
  <c r="T41" i="33"/>
  <c r="J44" i="33"/>
  <c r="Q44" i="33"/>
  <c r="U44" i="33"/>
  <c r="W44" i="33" s="1"/>
  <c r="T45" i="33"/>
  <c r="AA47" i="33"/>
  <c r="J48" i="33"/>
  <c r="Q48" i="33"/>
  <c r="U48" i="33"/>
  <c r="W55" i="33" s="1"/>
  <c r="Z48" i="33"/>
  <c r="T49" i="33"/>
  <c r="J52" i="33"/>
  <c r="Q52" i="33"/>
  <c r="U52" i="33"/>
  <c r="T53" i="33"/>
  <c r="J56" i="33"/>
  <c r="Q56" i="33"/>
  <c r="U56" i="33"/>
  <c r="W32" i="33"/>
  <c r="Q33" i="33"/>
  <c r="Z33" i="33"/>
  <c r="AA33" i="33" s="1"/>
  <c r="Q37" i="33"/>
  <c r="AA40" i="33"/>
  <c r="Q41" i="33"/>
  <c r="Q45" i="33"/>
  <c r="Q49" i="33"/>
  <c r="Q53" i="33"/>
  <c r="Z8" i="17"/>
  <c r="AA8" i="17" s="1"/>
  <c r="Z16" i="17"/>
  <c r="AA16" i="17" s="1"/>
  <c r="Z15" i="17"/>
  <c r="AA15" i="17" s="1"/>
  <c r="Z14" i="17"/>
  <c r="AA14" i="17" s="1"/>
  <c r="Z10" i="17"/>
  <c r="AA10" i="17" s="1"/>
  <c r="Z13" i="17"/>
  <c r="AA13" i="17" s="1"/>
  <c r="Z12" i="17"/>
  <c r="AA12" i="17" s="1"/>
  <c r="Z11" i="17"/>
  <c r="AA11" i="17" s="1"/>
  <c r="Q23" i="17"/>
  <c r="T9" i="17"/>
  <c r="Q18" i="17"/>
  <c r="Q22" i="17"/>
  <c r="U3" i="17"/>
  <c r="R5" i="17"/>
  <c r="R10" i="17"/>
  <c r="Q17" i="17"/>
  <c r="U13" i="17"/>
  <c r="R13" i="17"/>
  <c r="R9" i="17"/>
  <c r="R14" i="17"/>
  <c r="R6" i="17"/>
  <c r="Q25" i="17"/>
  <c r="Q9" i="17"/>
  <c r="Q27" i="17"/>
  <c r="Q7" i="17"/>
  <c r="R3" i="17"/>
  <c r="T13" i="17"/>
  <c r="T5" i="17"/>
  <c r="U11" i="17"/>
  <c r="T16" i="17"/>
  <c r="T12" i="17"/>
  <c r="T8" i="17"/>
  <c r="T4" i="17"/>
  <c r="T15" i="17"/>
  <c r="T11" i="17"/>
  <c r="T7" i="17"/>
  <c r="T3" i="17"/>
  <c r="T14" i="17"/>
  <c r="T10" i="17"/>
  <c r="T6" i="17"/>
  <c r="T2" i="17"/>
  <c r="U9" i="17"/>
  <c r="U5" i="17"/>
  <c r="U15" i="17"/>
  <c r="U7" i="17"/>
  <c r="Q15" i="17"/>
  <c r="Q3" i="17"/>
  <c r="U14" i="17"/>
  <c r="U2" i="17"/>
  <c r="R2" i="17"/>
  <c r="J12" i="17"/>
  <c r="R4" i="17"/>
  <c r="U10" i="17"/>
  <c r="Q16" i="17"/>
  <c r="U16" i="17"/>
  <c r="U12" i="17"/>
  <c r="U8" i="17"/>
  <c r="R8" i="17"/>
  <c r="J9" i="17"/>
  <c r="Q4" i="17"/>
  <c r="R12" i="17"/>
  <c r="J16" i="17"/>
  <c r="J8" i="17"/>
  <c r="K14" i="17"/>
  <c r="J13" i="17"/>
  <c r="U6" i="17"/>
  <c r="Q14" i="17"/>
  <c r="Q10" i="17"/>
  <c r="Q6" i="17"/>
  <c r="J4" i="17"/>
  <c r="J5" i="17"/>
  <c r="K10" i="17"/>
  <c r="J15" i="17"/>
  <c r="J11" i="17"/>
  <c r="J7" i="17"/>
  <c r="J3" i="17"/>
  <c r="J6" i="17"/>
  <c r="J2" i="17"/>
  <c r="Z5" i="17"/>
  <c r="AA5" i="17" s="1"/>
  <c r="Z7" i="17"/>
  <c r="AA7" i="17" s="1"/>
  <c r="Z4" i="17"/>
  <c r="AA4" i="17" s="1"/>
  <c r="Z6" i="17"/>
  <c r="AA6" i="17" s="1"/>
  <c r="Z3" i="17"/>
  <c r="Z9" i="17"/>
  <c r="AA9" i="17" s="1"/>
  <c r="Z2" i="17"/>
  <c r="AA2" i="17" l="1"/>
  <c r="AA3" i="17"/>
  <c r="Y36" i="33"/>
  <c r="X36" i="33"/>
  <c r="Y55" i="33"/>
  <c r="X55" i="33" s="1"/>
  <c r="Y37" i="33"/>
  <c r="X37" i="33"/>
  <c r="Y33" i="33"/>
  <c r="X33" i="33"/>
  <c r="W49" i="33"/>
  <c r="W54" i="33"/>
  <c r="W48" i="33"/>
  <c r="Y44" i="33"/>
  <c r="X44" i="33" s="1"/>
  <c r="W43" i="33"/>
  <c r="W52" i="33"/>
  <c r="W56" i="33"/>
  <c r="Y34" i="33"/>
  <c r="X34" i="33"/>
  <c r="W40" i="33"/>
  <c r="X31" i="33"/>
  <c r="Y31" i="33"/>
  <c r="W53" i="33"/>
  <c r="Y47" i="33"/>
  <c r="X47" i="33" s="1"/>
  <c r="Y32" i="33"/>
  <c r="X32" i="33"/>
  <c r="W41" i="33"/>
  <c r="W42" i="33"/>
  <c r="W38" i="33"/>
  <c r="Y46" i="33"/>
  <c r="X46" i="33"/>
  <c r="W51" i="33"/>
  <c r="W35" i="33"/>
  <c r="Y45" i="33"/>
  <c r="X45" i="33"/>
  <c r="W39" i="33"/>
  <c r="W50" i="33"/>
  <c r="W6" i="17"/>
  <c r="Y6" i="17" s="1"/>
  <c r="X6" i="17" s="1"/>
  <c r="W5" i="17"/>
  <c r="Y5" i="17" s="1"/>
  <c r="X5" i="17" s="1"/>
  <c r="W7" i="17"/>
  <c r="Y7" i="17" s="1"/>
  <c r="X7" i="17" s="1"/>
  <c r="W4" i="17"/>
  <c r="Y4" i="17" s="1"/>
  <c r="X4" i="17" s="1"/>
  <c r="W2" i="17"/>
  <c r="W3" i="17"/>
  <c r="Y3" i="17" s="1"/>
  <c r="Y2" i="17" l="1"/>
  <c r="X3" i="17"/>
  <c r="Y39" i="33"/>
  <c r="X39" i="33" s="1"/>
  <c r="Y56" i="33"/>
  <c r="X56" i="33"/>
  <c r="Y51" i="33"/>
  <c r="X51" i="33" s="1"/>
  <c r="Y40" i="33"/>
  <c r="X40" i="33"/>
  <c r="Y48" i="33"/>
  <c r="X48" i="33"/>
  <c r="Y41" i="33"/>
  <c r="X41" i="33"/>
  <c r="Y54" i="33"/>
  <c r="X54" i="33"/>
  <c r="Y42" i="33"/>
  <c r="X42" i="33"/>
  <c r="Y52" i="33"/>
  <c r="X52" i="33"/>
  <c r="Y53" i="33"/>
  <c r="X53" i="33"/>
  <c r="Y43" i="33"/>
  <c r="X43" i="33" s="1"/>
  <c r="Y50" i="33"/>
  <c r="X50" i="33"/>
  <c r="Y35" i="33"/>
  <c r="X35" i="33" s="1"/>
  <c r="Y38" i="33"/>
  <c r="X38" i="33"/>
  <c r="Y49" i="33"/>
  <c r="X49" i="33"/>
  <c r="R27" i="17"/>
  <c r="I27" i="17"/>
  <c r="H27" i="17"/>
  <c r="R26" i="17"/>
  <c r="I26" i="17"/>
  <c r="H26" i="17"/>
  <c r="R25" i="17"/>
  <c r="I25" i="17"/>
  <c r="H25" i="17"/>
  <c r="R24" i="17"/>
  <c r="I24" i="17"/>
  <c r="H24" i="17"/>
  <c r="R23" i="17"/>
  <c r="I23" i="17"/>
  <c r="H23" i="17"/>
  <c r="R22" i="17"/>
  <c r="I22" i="17"/>
  <c r="H22" i="17"/>
  <c r="R21" i="17"/>
  <c r="I21" i="17"/>
  <c r="H21" i="17"/>
  <c r="R20" i="17"/>
  <c r="I20" i="17"/>
  <c r="H20" i="17"/>
  <c r="R19" i="17"/>
  <c r="I19" i="17"/>
  <c r="H19" i="17"/>
  <c r="R18" i="17"/>
  <c r="I18" i="17"/>
  <c r="H18" i="17"/>
  <c r="R17" i="17"/>
  <c r="I17" i="17"/>
  <c r="H17" i="17"/>
  <c r="X2" i="17" l="1"/>
  <c r="T19" i="17"/>
  <c r="T20" i="17"/>
  <c r="T24" i="17"/>
  <c r="T23" i="17"/>
  <c r="T27" i="17"/>
  <c r="T18" i="17"/>
  <c r="T22" i="17"/>
  <c r="T26" i="17"/>
  <c r="T17" i="17"/>
  <c r="T21" i="17"/>
  <c r="T25" i="17"/>
  <c r="K24" i="17"/>
  <c r="J24" i="17"/>
  <c r="K20" i="17"/>
  <c r="J20" i="17"/>
  <c r="K19" i="17"/>
  <c r="J19" i="17"/>
  <c r="K23" i="17"/>
  <c r="J23" i="17"/>
  <c r="K27" i="17"/>
  <c r="J27" i="17"/>
  <c r="K18" i="17"/>
  <c r="J18" i="17"/>
  <c r="K22" i="17"/>
  <c r="J22" i="17"/>
  <c r="K26" i="17"/>
  <c r="J26" i="17"/>
  <c r="K17" i="17"/>
  <c r="J17" i="17"/>
  <c r="K21" i="17"/>
  <c r="J21" i="17"/>
  <c r="K25" i="17"/>
  <c r="J25" i="17"/>
  <c r="Z24" i="17"/>
  <c r="AA24" i="17" s="1"/>
  <c r="Z26" i="17"/>
  <c r="AA26" i="17" s="1"/>
  <c r="U27" i="17"/>
  <c r="U25" i="17"/>
  <c r="U21" i="17"/>
  <c r="U19" i="17"/>
  <c r="U26" i="17"/>
  <c r="U24" i="17"/>
  <c r="U22" i="17"/>
  <c r="U20" i="17"/>
  <c r="U18" i="17"/>
  <c r="Z23" i="17"/>
  <c r="AA23" i="17" s="1"/>
  <c r="Z27" i="17"/>
  <c r="AA27" i="17" s="1"/>
  <c r="Z25" i="17"/>
  <c r="AA25" i="17" s="1"/>
  <c r="Z22" i="17"/>
  <c r="AA22" i="17" s="1"/>
  <c r="Z21" i="17"/>
  <c r="AA21" i="17" s="1"/>
  <c r="Z20" i="17"/>
  <c r="AA20" i="17" s="1"/>
  <c r="Z19" i="17"/>
  <c r="AA19" i="17" s="1"/>
  <c r="Z18" i="17"/>
  <c r="Z17" i="17"/>
  <c r="AA18" i="17" l="1"/>
  <c r="AR67" i="18" a="1"/>
  <c r="AR67" i="18" s="1"/>
  <c r="AA17" i="17"/>
  <c r="U17" i="17"/>
  <c r="W17" i="17" l="1"/>
  <c r="Y17" i="17" s="1"/>
  <c r="X17" i="17" s="1"/>
  <c r="W22" i="17"/>
  <c r="Y22" i="17" s="1"/>
  <c r="X22" i="17" s="1"/>
  <c r="W18" i="17"/>
  <c r="W19" i="17"/>
  <c r="Y19" i="17" s="1"/>
  <c r="X19" i="17" s="1"/>
  <c r="W21" i="17"/>
  <c r="Y21" i="17" s="1"/>
  <c r="X21" i="17" s="1"/>
  <c r="W20" i="17"/>
  <c r="Y20" i="17" s="1"/>
  <c r="X20" i="17" s="1"/>
  <c r="W13" i="17"/>
  <c r="Y13" i="17" s="1"/>
  <c r="X13" i="17" s="1"/>
  <c r="W10" i="17"/>
  <c r="W11" i="17"/>
  <c r="Y11" i="17" s="1"/>
  <c r="X11" i="17" s="1"/>
  <c r="W14" i="17"/>
  <c r="Y14" i="17" s="1"/>
  <c r="X14" i="17" s="1"/>
  <c r="W9" i="17"/>
  <c r="Y9" i="17" s="1"/>
  <c r="X9" i="17" s="1"/>
  <c r="W8" i="17"/>
  <c r="Y8" i="17" s="1"/>
  <c r="X8" i="17" s="1"/>
  <c r="W12" i="17"/>
  <c r="Y12" i="17" s="1"/>
  <c r="X12" i="17" s="1"/>
  <c r="W15" i="17"/>
  <c r="Y15" i="17" s="1"/>
  <c r="X15" i="17" s="1"/>
  <c r="W16" i="17"/>
  <c r="Y16" i="17" s="1"/>
  <c r="X16" i="17" s="1"/>
  <c r="U23" i="17"/>
  <c r="W23" i="17" s="1"/>
  <c r="Y18" i="17" l="1"/>
  <c r="W24" i="17"/>
  <c r="Y24" i="17" s="1"/>
  <c r="X24" i="17" s="1"/>
  <c r="W25" i="17"/>
  <c r="Y25" i="17" s="1"/>
  <c r="X25" i="17" s="1"/>
  <c r="W26" i="17"/>
  <c r="Y26" i="17" s="1"/>
  <c r="X26" i="17" s="1"/>
  <c r="W27" i="17"/>
  <c r="Y27" i="17" s="1"/>
  <c r="Y10" i="17"/>
  <c r="X10" i="17" s="1"/>
  <c r="Y23" i="17"/>
  <c r="X23" i="17" s="1"/>
  <c r="W67" i="18" l="1" a="1"/>
  <c r="W67" i="18" s="1"/>
  <c r="X18" i="17"/>
  <c r="AD67" i="18" a="1"/>
  <c r="AD67" i="18" s="1"/>
  <c r="X27" i="17"/>
  <c r="AK67" i="18" l="1" a="1"/>
  <c r="AK67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<sst xmlns="http://schemas.openxmlformats.org/spreadsheetml/2006/main" count="219" uniqueCount="87">
  <si>
    <t>Bugs (SP)</t>
  </si>
  <si>
    <t>Sprint</t>
  </si>
  <si>
    <t>Sprint Number</t>
  </si>
  <si>
    <t>Hours</t>
  </si>
  <si>
    <t>Hours that the team is available to develop in this sprint</t>
  </si>
  <si>
    <t>Planned Issues</t>
  </si>
  <si>
    <t>Number of Issues or tasks that the team has planned to do in this sprint</t>
  </si>
  <si>
    <t>Planned SP</t>
  </si>
  <si>
    <t xml:space="preserve">Total of the Story Points the team has commited to do in this sprint. </t>
  </si>
  <si>
    <t>Planned Issues Done</t>
  </si>
  <si>
    <t>Number of issues done that were planned</t>
  </si>
  <si>
    <t>Unplanned Issues Done</t>
  </si>
  <si>
    <t>Number of issues done that were NOT planned</t>
  </si>
  <si>
    <t>Total Issues Done</t>
  </si>
  <si>
    <t>Total amount of issues done during this sprint</t>
  </si>
  <si>
    <t>Planned Issues NOT Done</t>
  </si>
  <si>
    <t>Total amount of issues planned that were NOT done</t>
  </si>
  <si>
    <t>% Unplanned Issues</t>
  </si>
  <si>
    <t>% of unplanned issues done in this sprint</t>
  </si>
  <si>
    <t>Planned SP Done</t>
  </si>
  <si>
    <t>Number of Story Points Done that were planned</t>
  </si>
  <si>
    <t>Unplanned SP Done</t>
  </si>
  <si>
    <t>Number of Story Points Done that were NOT planned</t>
  </si>
  <si>
    <t>Total SP Done</t>
  </si>
  <si>
    <t>Total amount of Story Points done during this sprint</t>
  </si>
  <si>
    <t>Planned SP NOT Done</t>
  </si>
  <si>
    <t>Total amount of Story Points planned that were NOT done</t>
  </si>
  <si>
    <t>% Unplanned SP</t>
  </si>
  <si>
    <t>% of unplanned story points done in this sprint</t>
  </si>
  <si>
    <t>% Compliance</t>
  </si>
  <si>
    <t>% compliance with what was planned: SP Done / Sp Planned</t>
  </si>
  <si>
    <t>SP / Hours</t>
  </si>
  <si>
    <t>Team effectiveness in terms of value delivery per hour worked</t>
  </si>
  <si>
    <t>Estimated Total SP</t>
  </si>
  <si>
    <t>Used to plan next sprint. SP that should be for next sprint regarding average delivery of the previous 5 sprints and team capacity</t>
  </si>
  <si>
    <t>Estimated SP Planned</t>
  </si>
  <si>
    <t>Used to plan next sprint. SP that should be planned for next sprint regarding estimated total SP minus possible unplanned work</t>
  </si>
  <si>
    <t>Estimated SP Unplanned</t>
  </si>
  <si>
    <t>Used to plan next sprint. Unplanned SP that the team would have next sprint regarding average of unplanned SP for the previous 5 sprints</t>
  </si>
  <si>
    <t>Estimated % Compliance</t>
  </si>
  <si>
    <t>% of estimated team compliance taking in account the average of the previous 5 sprints</t>
  </si>
  <si>
    <t>Compliance final % var</t>
  </si>
  <si>
    <t>% of compliance final variation on what was predicted and what finally was</t>
  </si>
  <si>
    <t>Completed</t>
  </si>
  <si>
    <t>Etiquetas de fila</t>
  </si>
  <si>
    <t>Total general</t>
  </si>
  <si>
    <t>Bugs (Issues)</t>
  </si>
  <si>
    <t>Suma de Bugs (Issues)</t>
  </si>
  <si>
    <t>Promedio de % Compliance</t>
  </si>
  <si>
    <t>Commited</t>
  </si>
  <si>
    <t>Promedio de Bugs (Issues)</t>
  </si>
  <si>
    <t>Planned</t>
  </si>
  <si>
    <t>Unplanned</t>
  </si>
  <si>
    <t>Promedio de % Unplanned Issues</t>
  </si>
  <si>
    <t>Promedio de % Unplanned SP</t>
  </si>
  <si>
    <t>Promedio de Hours</t>
  </si>
  <si>
    <t>Promedio de Planned Issues</t>
  </si>
  <si>
    <t>Promedio de Planned SP</t>
  </si>
  <si>
    <t>Promedio de Total Issues Done</t>
  </si>
  <si>
    <t>Promedio de Total SP Done</t>
  </si>
  <si>
    <t>Promedio de Unplanned Issues Done</t>
  </si>
  <si>
    <t>Promedio de Unplanned SP Done</t>
  </si>
  <si>
    <t>% Planned Issues</t>
  </si>
  <si>
    <t>Valores</t>
  </si>
  <si>
    <t>% Planned SP</t>
  </si>
  <si>
    <t>Total SP</t>
  </si>
  <si>
    <t>SP Planned</t>
  </si>
  <si>
    <t>% Estimated Compliance</t>
  </si>
  <si>
    <t>Promedio de Estimated SP Unplanned</t>
  </si>
  <si>
    <t>Hours Next Sprint</t>
  </si>
  <si>
    <t>Suma de Hours Next Sprint</t>
  </si>
  <si>
    <t>Team Availability (hours)</t>
  </si>
  <si>
    <t>Estimated Story Points</t>
  </si>
  <si>
    <t>Estimated Unplanned SP</t>
  </si>
  <si>
    <t>SP that should be planned</t>
  </si>
  <si>
    <t>Estimated compliance</t>
  </si>
  <si>
    <t>Ratio SP / issue</t>
  </si>
  <si>
    <t>Promedio de Ratio SP / issue</t>
  </si>
  <si>
    <t>Suma de % Compliance</t>
  </si>
  <si>
    <t>Bugs</t>
  </si>
  <si>
    <t>% of planned issues done in this sprint</t>
  </si>
  <si>
    <t>Total Amount of bug issues done during this sprint (planned or unplanned)</t>
  </si>
  <si>
    <t>SP of bugs done during this sprint (planned or unplanned)</t>
  </si>
  <si>
    <t>% of planned story points done in this sprint</t>
  </si>
  <si>
    <t>Story Points per issue ratio</t>
  </si>
  <si>
    <t>Estimation of team avaliability hours for next sprint</t>
  </si>
  <si>
    <t>FIELD'S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</si>
</sst>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rgb="FF595959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color theme="9"/>
      <name val="Calibri"/>
      <family val="2"/>
      <scheme val="minor"/>
    </font>
    <font>
      <sz val="24"/>
      <color theme="8" tint="-0.499984740745262"/>
      <name val="Calibri"/>
      <family val="2"/>
      <scheme val="minor"/>
    </font>
    <font>
      <sz val="24"/>
      <color theme="4"/>
      <name val="Calibri"/>
      <family val="2"/>
      <scheme val="minor"/>
    </font>
    <font>
      <sz val="24"/>
      <color theme="1" tint="0.499984740745262"/>
      <name val="Calibri"/>
      <family val="2"/>
      <scheme val="minor"/>
    </font>
    <font>
      <sz val="2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" fontId="6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/>
    </xf>
    <xf numFmtId="0" fontId="7" fillId="0" borderId="0" xfId="0" applyFont="1"/>
    <xf numFmtId="0" fontId="2" fillId="0" borderId="0" xfId="0" applyFont="1"/>
    <xf numFmtId="0" fontId="8" fillId="0" borderId="0" xfId="0" quotePrefix="1" applyFont="1"/>
    <xf numFmtId="0" fontId="6" fillId="0" borderId="0" xfId="0" applyFont="1" applyAlignment="1">
      <alignment vertical="top"/>
    </xf>
    <xf numFmtId="1" fontId="6" fillId="0" borderId="0" xfId="0" applyNumberFormat="1" applyFont="1" applyAlignment="1">
      <alignment horizontal="left" vertical="top" wrapText="1"/>
    </xf>
    <xf numFmtId="1" fontId="5" fillId="7" borderId="2" xfId="0" applyNumberFormat="1" applyFont="1" applyFill="1" applyBorder="1" applyAlignment="1">
      <alignment horizontal="center" vertical="center" wrapText="1"/>
    </xf>
    <xf numFmtId="1" fontId="5" fillId="7" borderId="3" xfId="0" applyNumberFormat="1" applyFont="1" applyFill="1" applyBorder="1" applyAlignment="1">
      <alignment horizontal="center" vertical="center" wrapText="1"/>
    </xf>
    <xf numFmtId="1" fontId="5" fillId="7" borderId="4" xfId="0" applyNumberFormat="1" applyFont="1" applyFill="1" applyBorder="1" applyAlignment="1">
      <alignment horizontal="center" vertical="center" wrapText="1"/>
    </xf>
    <xf numFmtId="1" fontId="5" fillId="5" borderId="3" xfId="0" applyNumberFormat="1" applyFont="1" applyFill="1" applyBorder="1" applyAlignment="1">
      <alignment horizontal="center" vertical="center" wrapText="1"/>
    </xf>
    <xf numFmtId="1" fontId="5" fillId="4" borderId="3" xfId="0" applyNumberFormat="1" applyFont="1" applyFill="1" applyBorder="1" applyAlignment="1">
      <alignment horizontal="center" vertical="center" wrapText="1"/>
    </xf>
    <xf numFmtId="1" fontId="5" fillId="3" borderId="4" xfId="0" applyNumberFormat="1" applyFont="1" applyFill="1" applyBorder="1" applyAlignment="1">
      <alignment horizontal="center" vertical="center" wrapText="1"/>
    </xf>
    <xf numFmtId="1" fontId="5" fillId="6" borderId="3" xfId="0" applyNumberFormat="1" applyFont="1" applyFill="1" applyBorder="1" applyAlignment="1">
      <alignment horizontal="center" vertical="center" wrapText="1"/>
    </xf>
    <xf numFmtId="1" fontId="5" fillId="6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" fontId="6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9" fontId="7" fillId="0" borderId="1" xfId="0" applyNumberFormat="1" applyFont="1" applyBorder="1" applyAlignment="1">
      <alignment horizontal="center"/>
    </xf>
    <xf numFmtId="165" fontId="7" fillId="0" borderId="0" xfId="0" applyNumberFormat="1" applyFont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5" fillId="0" borderId="0" xfId="0" applyFont="1" applyAlignment="1">
      <alignment vertical="top" wrapText="1"/>
    </xf>
    <xf numFmtId="1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left"/>
    </xf>
    <xf numFmtId="9" fontId="0" fillId="0" borderId="0" xfId="0" applyNumberFormat="1"/>
    <xf numFmtId="0" fontId="3" fillId="0" borderId="0" xfId="0" applyFont="1" applyAlignment="1">
      <alignment horizontal="center"/>
    </xf>
    <xf numFmtId="9" fontId="4" fillId="0" borderId="1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2" borderId="0" xfId="0" applyFill="1"/>
    <xf numFmtId="0" fontId="10" fillId="2" borderId="0" xfId="0" applyFont="1" applyFill="1"/>
    <xf numFmtId="9" fontId="7" fillId="0" borderId="0" xfId="1" applyFont="1" applyAlignment="1">
      <alignment horizontal="center"/>
    </xf>
    <xf numFmtId="9" fontId="4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8" borderId="0" xfId="0" applyFill="1"/>
    <xf numFmtId="0" fontId="11" fillId="8" borderId="0" xfId="0" applyFont="1" applyFill="1" applyAlignment="1">
      <alignment vertical="center"/>
    </xf>
    <xf numFmtId="2" fontId="7" fillId="0" borderId="0" xfId="0" applyNumberFormat="1" applyFont="1" applyAlignment="1">
      <alignment horizontal="center"/>
    </xf>
    <xf numFmtId="2" fontId="0" fillId="0" borderId="0" xfId="0" applyNumberFormat="1"/>
    <xf numFmtId="1" fontId="6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9" fontId="7" fillId="0" borderId="0" xfId="1" applyFont="1" applyFill="1" applyAlignment="1">
      <alignment horizontal="center"/>
    </xf>
    <xf numFmtId="1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/>
    </xf>
    <xf numFmtId="0" fontId="5" fillId="10" borderId="0" xfId="0" applyFont="1" applyFill="1" applyAlignment="1">
      <alignment horizontal="center"/>
    </xf>
    <xf numFmtId="0" fontId="11" fillId="8" borderId="0" xfId="0" applyFont="1" applyFill="1" applyAlignment="1">
      <alignment vertical="center" wrapText="1"/>
    </xf>
    <xf numFmtId="0" fontId="0" fillId="0" borderId="0" xfId="0" pivotButton="1" applyAlignment="1">
      <alignment vertical="center" wrapText="1"/>
    </xf>
    <xf numFmtId="0" fontId="0" fillId="0" borderId="0" xfId="0" applyAlignment="1">
      <alignment vertical="center" wrapText="1"/>
    </xf>
    <xf numFmtId="0" fontId="0" fillId="9" borderId="0" xfId="0" applyFill="1" applyAlignment="1">
      <alignment vertical="center" wrapText="1"/>
    </xf>
    <xf numFmtId="9" fontId="0" fillId="9" borderId="0" xfId="0" applyNumberForma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0" fillId="11" borderId="0" xfId="0" applyFill="1"/>
    <xf numFmtId="0" fontId="10" fillId="11" borderId="0" xfId="0" applyFont="1" applyFill="1"/>
    <xf numFmtId="0" fontId="11" fillId="8" borderId="0" xfId="0" applyFont="1" applyFill="1" applyAlignment="1">
      <alignment horizontal="center" vertical="center" wrapText="1"/>
    </xf>
    <xf numFmtId="1" fontId="17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9" fontId="14" fillId="0" borderId="0" xfId="1" applyFont="1" applyAlignment="1">
      <alignment horizontal="center" vertical="center"/>
    </xf>
    <xf numFmtId="9" fontId="14" fillId="0" borderId="0" xfId="1" applyFont="1" applyFill="1" applyAlignment="1">
      <alignment horizontal="center" vertical="center"/>
    </xf>
  </cellXfs>
  <cellStyles count="2">
    <cellStyle name="Normal" xfId="0" builtinId="0"/>
    <cellStyle name="Porcentaje" xfId="1" builtinId="5"/>
  </cellStyles>
  <dxfs count="252">
    <dxf>
      <alignment vertical="center"/>
    </dxf>
    <dxf>
      <alignment wrapText="1"/>
    </dxf>
    <dxf>
      <alignment vertical="center"/>
    </dxf>
    <dxf>
      <alignment vertical="center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alignment wrapText="1"/>
    </dxf>
    <dxf>
      <alignment wrapText="1"/>
    </dxf>
    <dxf>
      <numFmt numFmtId="13" formatCode="0%"/>
    </dxf>
    <dxf>
      <alignment vertical="center"/>
    </dxf>
    <dxf>
      <alignment vertical="center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vertical="center"/>
    </dxf>
    <dxf>
      <fill>
        <patternFill patternType="solid">
          <bgColor theme="8"/>
        </patternFill>
      </fill>
    </dxf>
    <dxf>
      <alignment wrapText="1"/>
    </dxf>
    <dxf>
      <numFmt numFmtId="1" formatCode="0"/>
    </dxf>
    <dxf>
      <numFmt numFmtId="2" formatCode="0.00"/>
    </dxf>
    <dxf>
      <alignment vertical="center"/>
    </dxf>
    <dxf>
      <alignment wrapText="1"/>
    </dxf>
    <dxf>
      <numFmt numFmtId="13" formatCode="0%"/>
    </dxf>
    <dxf>
      <alignment vertical="center"/>
    </dxf>
    <dxf>
      <alignment wrapText="1"/>
    </dxf>
    <dxf>
      <numFmt numFmtId="1" formatCode="0"/>
    </dxf>
    <dxf>
      <alignment vertical="center"/>
    </dxf>
    <dxf>
      <fill>
        <patternFill patternType="solid">
          <bgColor theme="8"/>
        </patternFill>
      </fill>
    </dxf>
    <dxf>
      <alignment wrapText="1"/>
    </dxf>
    <dxf>
      <numFmt numFmtId="1" formatCode="0"/>
    </dxf>
    <dxf>
      <alignment vertical="center"/>
    </dxf>
    <dxf>
      <alignment wrapText="1"/>
    </dxf>
    <dxf>
      <numFmt numFmtId="1" formatCode="0"/>
    </dxf>
    <dxf>
      <alignment vertical="center"/>
    </dxf>
    <dxf>
      <alignment vertical="center"/>
    </dxf>
    <dxf>
      <alignment wrapText="1"/>
    </dxf>
    <dxf>
      <alignment wrapText="1"/>
    </dxf>
    <dxf>
      <alignment vertical="center"/>
    </dxf>
    <dxf>
      <alignment vertical="center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alignment wrapText="1"/>
    </dxf>
    <dxf>
      <alignment wrapText="1"/>
    </dxf>
    <dxf>
      <alignment vertical="center"/>
    </dxf>
    <dxf>
      <alignment vertical="center"/>
    </dxf>
    <dxf>
      <alignment wrapText="1"/>
    </dxf>
    <dxf>
      <alignment wrapText="1"/>
    </dxf>
    <dxf>
      <alignment vertical="center"/>
    </dxf>
    <dxf>
      <fill>
        <patternFill patternType="solid">
          <bgColor theme="8"/>
        </patternFill>
      </fill>
    </dxf>
    <dxf>
      <alignment wrapText="1"/>
    </dxf>
    <dxf>
      <numFmt numFmtId="1" formatCode="0"/>
    </dxf>
    <dxf>
      <alignment vertical="center"/>
    </dxf>
    <dxf>
      <fill>
        <patternFill patternType="solid">
          <bgColor theme="8"/>
        </patternFill>
      </fill>
    </dxf>
    <dxf>
      <numFmt numFmtId="1" formatCode="0"/>
    </dxf>
    <dxf>
      <alignment vertical="center"/>
    </dxf>
    <dxf>
      <fill>
        <patternFill patternType="solid">
          <bgColor theme="8"/>
        </patternFill>
      </fill>
    </dxf>
    <dxf>
      <alignment wrapText="1"/>
    </dxf>
    <dxf>
      <numFmt numFmtId="13" formatCode="0%"/>
    </dxf>
    <dxf>
      <numFmt numFmtId="13" formatCode="0%"/>
    </dxf>
    <dxf>
      <alignment vertical="center"/>
    </dxf>
    <dxf>
      <fill>
        <patternFill patternType="solid">
          <bgColor theme="8"/>
        </patternFill>
      </fill>
    </dxf>
    <dxf>
      <alignment wrapText="1"/>
    </dxf>
    <dxf>
      <numFmt numFmtId="2" formatCode="0.00"/>
    </dxf>
    <dxf>
      <alignment vertical="center"/>
    </dxf>
    <dxf>
      <alignment wrapText="1"/>
    </dxf>
    <dxf>
      <numFmt numFmtId="1" formatCode="0"/>
    </dxf>
    <dxf>
      <alignment vertical="center"/>
    </dxf>
    <dxf>
      <alignment wrapText="1"/>
    </dxf>
    <dxf>
      <numFmt numFmtId="13" formatCode="0%"/>
    </dxf>
    <dxf>
      <numFmt numFmtId="14" formatCode="0.00%"/>
    </dxf>
    <dxf>
      <alignment vertical="center"/>
    </dxf>
    <dxf>
      <alignment wrapText="1"/>
    </dxf>
    <dxf>
      <numFmt numFmtId="1" formatCode="0"/>
    </dxf>
    <dxf>
      <alignment vertical="center"/>
    </dxf>
    <dxf>
      <alignment vertical="center"/>
    </dxf>
    <dxf>
      <numFmt numFmtId="13" formatCode="0%"/>
    </dxf>
    <dxf>
      <alignment vertical="center"/>
    </dxf>
    <dxf>
      <alignment vertical="center"/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 patternType="solid">
          <bgColor theme="8"/>
        </patternFill>
      </fill>
    </dxf>
    <dxf>
      <numFmt numFmtId="13" formatCode="0%"/>
    </dxf>
    <dxf>
      <alignment vertical="center"/>
    </dxf>
    <dxf>
      <alignment vertical="center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alignment wrapText="1"/>
    </dxf>
    <dxf>
      <alignment wrapText="1"/>
    </dxf>
    <dxf>
      <alignment vertical="center"/>
    </dxf>
    <dxf>
      <alignment vertical="center"/>
    </dxf>
    <dxf>
      <alignment wrapText="1"/>
    </dxf>
    <dxf>
      <alignment wrapText="1"/>
    </dxf>
    <dxf>
      <font>
        <color rgb="FF000000"/>
        <name val="Calibri"/>
        <scheme val="minor"/>
      </font>
      <numFmt numFmtId="165" formatCode="0.0%"/>
      <fill>
        <patternFill patternType="none"/>
      </fill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65" formatCode="0.0%"/>
      <fill>
        <patternFill patternType="none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fill>
        <patternFill patternType="none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" formatCode="0"/>
      <fill>
        <patternFill patternType="none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64" formatCode="0.000"/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65" formatCode="0.0%"/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3" formatCode="0%"/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" formatCode="0"/>
      <fill>
        <patternFill patternType="none"/>
      </fill>
      <alignment horizontal="center" vertical="bottom" textRotation="0" wrapText="0" indent="0" justifyLastLine="0" shrinkToFit="0" readingOrder="0"/>
    </dxf>
    <dxf>
      <font>
        <b/>
        <color rgb="FF000000"/>
        <name val="Calibri"/>
        <scheme val="minor"/>
      </font>
      <fill>
        <patternFill patternType="none"/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fill>
        <patternFill patternType="none"/>
      </fill>
      <alignment horizontal="center"/>
    </dxf>
    <dxf>
      <font>
        <color rgb="FF000000"/>
        <name val="Calibri"/>
        <scheme val="minor"/>
      </font>
      <fill>
        <patternFill patternType="none"/>
      </fill>
      <alignment horizontal="center"/>
    </dxf>
    <dxf>
      <font>
        <color rgb="FF000000"/>
        <name val="Calibri"/>
        <scheme val="minor"/>
      </font>
      <numFmt numFmtId="13" formatCode="0%"/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" formatCode="0"/>
      <fill>
        <patternFill patternType="none"/>
      </fill>
      <alignment horizontal="center" vertical="bottom" textRotation="0" wrapText="0" indent="0" justifyLastLine="0" shrinkToFit="0" readingOrder="0"/>
    </dxf>
    <dxf>
      <font>
        <b/>
        <color rgb="FF000000"/>
        <name val="Calibri"/>
        <scheme val="minor"/>
      </font>
      <fill>
        <patternFill patternType="none"/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fill>
        <patternFill patternType="none"/>
      </fill>
      <alignment horizontal="center"/>
    </dxf>
    <dxf>
      <font>
        <color rgb="FF000000"/>
        <name val="Calibri"/>
        <scheme val="minor"/>
      </font>
      <fill>
        <patternFill patternType="none"/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  <fill>
        <patternFill patternType="none">
          <fgColor indexed="64"/>
          <bgColor theme="2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border outline="0">
        <right style="medium">
          <color rgb="FF000000"/>
        </right>
      </border>
    </dxf>
    <dxf>
      <font>
        <color rgb="FF000000"/>
        <name val="Calibri"/>
        <scheme val="minor"/>
      </font>
      <numFmt numFmtId="1" formatCode="0"/>
      <fill>
        <patternFill patternType="none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</dxf>
    <dxf>
      <alignment vertical="center"/>
    </dxf>
    <dxf>
      <fill>
        <patternFill patternType="solid">
          <bgColor theme="8"/>
        </patternFill>
      </fill>
    </dxf>
    <dxf>
      <alignment wrapText="1"/>
    </dxf>
    <dxf>
      <numFmt numFmtId="1" formatCode="0"/>
    </dxf>
    <dxf>
      <numFmt numFmtId="2" formatCode="0.00"/>
    </dxf>
    <dxf>
      <alignment vertical="center"/>
    </dxf>
    <dxf>
      <alignment vertical="center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vertical="center"/>
    </dxf>
    <dxf>
      <alignment vertical="center"/>
    </dxf>
    <dxf>
      <alignment wrapText="1"/>
    </dxf>
    <dxf>
      <alignment wrapText="1"/>
    </dxf>
    <dxf>
      <alignment vertical="center"/>
    </dxf>
    <dxf>
      <fill>
        <patternFill patternType="solid">
          <bgColor theme="8"/>
        </patternFill>
      </fill>
    </dxf>
    <dxf>
      <alignment wrapText="1"/>
    </dxf>
    <dxf>
      <numFmt numFmtId="1" formatCode="0"/>
    </dxf>
    <dxf>
      <alignment vertical="center"/>
    </dxf>
    <dxf>
      <alignment wrapText="1"/>
    </dxf>
    <dxf>
      <numFmt numFmtId="13" formatCode="0%"/>
    </dxf>
    <dxf>
      <alignment vertical="center"/>
    </dxf>
    <dxf>
      <alignment wrapText="1"/>
    </dxf>
    <dxf>
      <numFmt numFmtId="1" formatCode="0"/>
    </dxf>
    <dxf>
      <alignment vertical="center"/>
    </dxf>
    <dxf>
      <alignment vertical="center"/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 patternType="solid">
          <bgColor theme="8"/>
        </patternFill>
      </fill>
    </dxf>
    <dxf>
      <numFmt numFmtId="13" formatCode="0%"/>
    </dxf>
    <dxf>
      <alignment vertical="center"/>
    </dxf>
    <dxf>
      <alignment vertical="center"/>
    </dxf>
    <dxf>
      <numFmt numFmtId="13" formatCode="0%"/>
    </dxf>
    <dxf>
      <alignment vertical="center"/>
    </dxf>
    <dxf>
      <alignment wrapText="1"/>
    </dxf>
    <dxf>
      <alignment vertical="center"/>
    </dxf>
    <dxf>
      <alignment vertical="center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alignment wrapText="1"/>
    </dxf>
    <dxf>
      <alignment wrapText="1"/>
    </dxf>
    <dxf>
      <numFmt numFmtId="13" formatCode="0%"/>
    </dxf>
    <dxf>
      <alignment vertical="center"/>
    </dxf>
    <dxf>
      <alignment vertical="center"/>
    </dxf>
    <dxf>
      <alignment wrapText="1"/>
    </dxf>
    <dxf>
      <alignment wrapText="1"/>
    </dxf>
    <dxf>
      <alignment vertical="center"/>
    </dxf>
    <dxf>
      <alignment wrapText="1"/>
    </dxf>
    <dxf>
      <numFmt numFmtId="1" formatCode="0"/>
    </dxf>
    <dxf>
      <alignment vertical="center"/>
    </dxf>
    <dxf>
      <alignment wrapText="1"/>
    </dxf>
    <dxf>
      <numFmt numFmtId="1" formatCode="0"/>
    </dxf>
    <dxf>
      <alignment vertical="center"/>
    </dxf>
    <dxf>
      <alignment wrapText="1"/>
    </dxf>
    <dxf>
      <numFmt numFmtId="13" formatCode="0%"/>
    </dxf>
    <dxf>
      <numFmt numFmtId="14" formatCode="0.00%"/>
    </dxf>
    <dxf>
      <alignment vertical="center"/>
    </dxf>
    <dxf>
      <alignment vertical="center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alignment wrapText="1"/>
    </dxf>
    <dxf>
      <alignment wrapText="1"/>
    </dxf>
    <dxf>
      <alignment vertical="center"/>
    </dxf>
    <dxf>
      <fill>
        <patternFill patternType="solid">
          <bgColor theme="8"/>
        </patternFill>
      </fill>
    </dxf>
    <dxf>
      <numFmt numFmtId="1" formatCode="0"/>
    </dxf>
    <dxf>
      <alignment vertical="center"/>
    </dxf>
    <dxf>
      <fill>
        <patternFill patternType="solid">
          <bgColor theme="8"/>
        </patternFill>
      </fill>
    </dxf>
    <dxf>
      <alignment wrapText="1"/>
    </dxf>
    <dxf>
      <numFmt numFmtId="1" formatCode="0"/>
    </dxf>
    <dxf>
      <alignment vertical="center"/>
    </dxf>
    <dxf>
      <fill>
        <patternFill patternType="solid">
          <bgColor theme="8"/>
        </patternFill>
      </fill>
    </dxf>
    <dxf>
      <alignment wrapText="1"/>
    </dxf>
    <dxf>
      <numFmt numFmtId="2" formatCode="0.00"/>
    </dxf>
    <dxf>
      <alignment vertical="center"/>
    </dxf>
    <dxf>
      <fill>
        <patternFill patternType="solid">
          <bgColor theme="8"/>
        </patternFill>
      </fill>
    </dxf>
    <dxf>
      <alignment wrapText="1"/>
    </dxf>
    <dxf>
      <numFmt numFmtId="13" formatCode="0%"/>
    </dxf>
    <dxf>
      <numFmt numFmtId="13" formatCode="0%"/>
    </dxf>
    <dxf>
      <alignment vertical="center"/>
    </dxf>
    <dxf>
      <alignment vertical="center"/>
    </dxf>
    <dxf>
      <alignment wrapText="1"/>
    </dxf>
    <dxf>
      <alignment wrapText="1"/>
    </dxf>
    <dxf>
      <alignment vertical="center"/>
    </dxf>
    <dxf>
      <alignment vertical="center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alignment wrapText="1"/>
    </dxf>
    <dxf>
      <alignment wrapText="1"/>
    </dxf>
    <dxf>
      <alignment vertical="center"/>
    </dxf>
    <dxf>
      <alignment wrapText="1"/>
    </dxf>
    <dxf>
      <numFmt numFmtId="1" formatCode="0"/>
    </dxf>
    <dxf>
      <font>
        <color rgb="FF000000"/>
        <name val="Calibri"/>
        <scheme val="minor"/>
      </font>
      <numFmt numFmtId="165" formatCode="0.0%"/>
      <fill>
        <patternFill patternType="none"/>
      </fill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65" formatCode="0.0%"/>
      <fill>
        <patternFill patternType="none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fill>
        <patternFill patternType="none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" formatCode="0"/>
      <fill>
        <patternFill patternType="none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64" formatCode="0.000"/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65" formatCode="0.0%"/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3" formatCode="0%"/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" formatCode="0"/>
      <fill>
        <patternFill patternType="none"/>
      </fill>
      <alignment horizontal="center" vertical="bottom" textRotation="0" wrapText="0" indent="0" justifyLastLine="0" shrinkToFit="0" readingOrder="0"/>
    </dxf>
    <dxf>
      <font>
        <b/>
        <color rgb="FF000000"/>
        <name val="Calibri"/>
        <scheme val="minor"/>
      </font>
      <fill>
        <patternFill patternType="none"/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fill>
        <patternFill patternType="none"/>
      </fill>
      <alignment horizontal="center"/>
    </dxf>
    <dxf>
      <font>
        <color rgb="FF000000"/>
        <name val="Calibri"/>
        <scheme val="minor"/>
      </font>
      <fill>
        <patternFill patternType="none"/>
      </fill>
      <alignment horizontal="center"/>
    </dxf>
    <dxf>
      <font>
        <color rgb="FF000000"/>
        <name val="Calibri"/>
        <scheme val="minor"/>
      </font>
      <numFmt numFmtId="13" formatCode="0%"/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" formatCode="0"/>
      <fill>
        <patternFill patternType="none"/>
      </fill>
      <alignment horizontal="center" vertical="bottom" textRotation="0" wrapText="0" indent="0" justifyLastLine="0" shrinkToFit="0" readingOrder="0"/>
    </dxf>
    <dxf>
      <font>
        <b/>
        <color rgb="FF000000"/>
        <name val="Calibri"/>
        <scheme val="minor"/>
      </font>
      <fill>
        <patternFill patternType="none"/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fill>
        <patternFill patternType="none"/>
      </fill>
      <alignment horizontal="center"/>
    </dxf>
    <dxf>
      <font>
        <color rgb="FF000000"/>
        <name val="Calibri"/>
        <scheme val="minor"/>
      </font>
      <fill>
        <patternFill patternType="none"/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  <fill>
        <patternFill patternType="none">
          <fgColor indexed="64"/>
          <bgColor theme="2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border outline="0">
        <right style="medium">
          <color rgb="FF000000"/>
        </right>
      </border>
    </dxf>
    <dxf>
      <font>
        <color rgb="FF000000"/>
        <name val="Calibri"/>
        <scheme val="none"/>
      </font>
      <numFmt numFmtId="1" formatCode="0"/>
      <fill>
        <patternFill patternType="none">
          <fgColor rgb="FF000000"/>
          <bgColor rgb="FFFFF2CC"/>
        </patternFill>
      </fill>
      <alignment horizontal="center" vertical="bottom" textRotation="0" wrapText="0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colors>
    <mruColors>
      <color rgb="FFA847F5"/>
      <color rgb="FFFFA52E"/>
      <color rgb="FFFF7D41"/>
      <color rgb="FFFF4C00"/>
      <color rgb="FF595959"/>
      <color rgb="FFFFD6A9"/>
      <color rgb="FF424242"/>
      <color rgb="FFFFFED6"/>
      <color rgb="FFF2F2F2"/>
      <color rgb="FFEDF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calcChain" Target="calcChain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Backup!Velocity_Issues</c:name>
    <c:fmtId val="3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Velocity (Issues)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'PivotTables Backup'!$B$1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Backup'!$A$2:$A$19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'PivotTables Backup'!$B$2:$B$19</c:f>
              <c:numCache>
                <c:formatCode>General</c:formatCode>
                <c:ptCount val="17"/>
                <c:pt idx="0">
                  <c:v>12</c:v>
                </c:pt>
                <c:pt idx="1">
                  <c:v>14</c:v>
                </c:pt>
                <c:pt idx="2">
                  <c:v>14</c:v>
                </c:pt>
                <c:pt idx="3">
                  <c:v>16</c:v>
                </c:pt>
                <c:pt idx="4">
                  <c:v>17</c:v>
                </c:pt>
                <c:pt idx="5">
                  <c:v>14</c:v>
                </c:pt>
                <c:pt idx="6">
                  <c:v>19</c:v>
                </c:pt>
                <c:pt idx="7">
                  <c:v>23</c:v>
                </c:pt>
                <c:pt idx="8">
                  <c:v>16</c:v>
                </c:pt>
                <c:pt idx="9">
                  <c:v>19</c:v>
                </c:pt>
                <c:pt idx="10">
                  <c:v>20</c:v>
                </c:pt>
                <c:pt idx="11">
                  <c:v>16</c:v>
                </c:pt>
                <c:pt idx="12">
                  <c:v>21</c:v>
                </c:pt>
                <c:pt idx="13">
                  <c:v>23</c:v>
                </c:pt>
                <c:pt idx="14">
                  <c:v>19</c:v>
                </c:pt>
                <c:pt idx="15">
                  <c:v>14</c:v>
                </c:pt>
                <c:pt idx="16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56-894E-9935-EB4FBC204D41}"/>
            </c:ext>
          </c:extLst>
        </c:ser>
        <c:ser>
          <c:idx val="1"/>
          <c:order val="1"/>
          <c:tx>
            <c:strRef>
              <c:f>'PivotTables Backup'!$C$1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Backup'!$A$2:$A$19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'PivotTables Backup'!$C$2:$C$19</c:f>
              <c:numCache>
                <c:formatCode>General</c:formatCode>
                <c:ptCount val="17"/>
                <c:pt idx="0">
                  <c:v>17</c:v>
                </c:pt>
                <c:pt idx="1">
                  <c:v>19</c:v>
                </c:pt>
                <c:pt idx="2">
                  <c:v>17</c:v>
                </c:pt>
                <c:pt idx="3">
                  <c:v>12</c:v>
                </c:pt>
                <c:pt idx="4">
                  <c:v>16</c:v>
                </c:pt>
                <c:pt idx="5">
                  <c:v>19</c:v>
                </c:pt>
                <c:pt idx="6">
                  <c:v>16</c:v>
                </c:pt>
                <c:pt idx="7">
                  <c:v>20</c:v>
                </c:pt>
                <c:pt idx="8">
                  <c:v>15</c:v>
                </c:pt>
                <c:pt idx="9">
                  <c:v>18</c:v>
                </c:pt>
                <c:pt idx="10">
                  <c:v>20</c:v>
                </c:pt>
                <c:pt idx="11">
                  <c:v>18</c:v>
                </c:pt>
                <c:pt idx="12">
                  <c:v>21</c:v>
                </c:pt>
                <c:pt idx="13">
                  <c:v>24</c:v>
                </c:pt>
                <c:pt idx="14">
                  <c:v>18</c:v>
                </c:pt>
                <c:pt idx="15">
                  <c:v>11</c:v>
                </c:pt>
                <c:pt idx="16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656-894E-9935-EB4FBC204D41}"/>
            </c:ext>
          </c:extLst>
        </c:ser>
        <c:ser>
          <c:idx val="2"/>
          <c:order val="2"/>
          <c:tx>
            <c:strRef>
              <c:f>'PivotTables Backup'!$D$1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Backup'!$A$2:$A$19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'PivotTables Backup'!$D$2:$D$19</c:f>
              <c:numCache>
                <c:formatCode>General</c:formatCode>
                <c:ptCount val="17"/>
                <c:pt idx="0">
                  <c:v>6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656-894E-9935-EB4FBC204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solidFill>
        <a:schemeClr val="accent2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Backup!Velocity_SP</c:name>
    <c:fmtId val="3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Velocity (Story Points)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'PivotTables Backup'!$F$1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Backup'!$E$2:$E$19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'PivotTables Backup'!$F$2:$F$19</c:f>
              <c:numCache>
                <c:formatCode>General</c:formatCode>
                <c:ptCount val="17"/>
                <c:pt idx="0">
                  <c:v>80</c:v>
                </c:pt>
                <c:pt idx="1">
                  <c:v>89</c:v>
                </c:pt>
                <c:pt idx="2">
                  <c:v>95</c:v>
                </c:pt>
                <c:pt idx="3">
                  <c:v>98</c:v>
                </c:pt>
                <c:pt idx="4">
                  <c:v>112</c:v>
                </c:pt>
                <c:pt idx="5">
                  <c:v>82</c:v>
                </c:pt>
                <c:pt idx="6">
                  <c:v>105</c:v>
                </c:pt>
                <c:pt idx="7">
                  <c:v>123</c:v>
                </c:pt>
                <c:pt idx="8">
                  <c:v>98</c:v>
                </c:pt>
                <c:pt idx="9">
                  <c:v>120</c:v>
                </c:pt>
                <c:pt idx="10">
                  <c:v>115</c:v>
                </c:pt>
                <c:pt idx="11">
                  <c:v>83</c:v>
                </c:pt>
                <c:pt idx="12">
                  <c:v>107</c:v>
                </c:pt>
                <c:pt idx="13">
                  <c:v>102</c:v>
                </c:pt>
                <c:pt idx="14">
                  <c:v>79</c:v>
                </c:pt>
                <c:pt idx="15">
                  <c:v>77</c:v>
                </c:pt>
                <c:pt idx="16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B0-7741-8653-FB9A23030AB0}"/>
            </c:ext>
          </c:extLst>
        </c:ser>
        <c:ser>
          <c:idx val="1"/>
          <c:order val="1"/>
          <c:tx>
            <c:strRef>
              <c:f>'PivotTables Backup'!$G$1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Backup'!$E$2:$E$19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'PivotTables Backup'!$G$2:$G$19</c:f>
              <c:numCache>
                <c:formatCode>General</c:formatCode>
                <c:ptCount val="17"/>
                <c:pt idx="0">
                  <c:v>67</c:v>
                </c:pt>
                <c:pt idx="1">
                  <c:v>75</c:v>
                </c:pt>
                <c:pt idx="2">
                  <c:v>74</c:v>
                </c:pt>
                <c:pt idx="3">
                  <c:v>84</c:v>
                </c:pt>
                <c:pt idx="4">
                  <c:v>85</c:v>
                </c:pt>
                <c:pt idx="5">
                  <c:v>67</c:v>
                </c:pt>
                <c:pt idx="6">
                  <c:v>92</c:v>
                </c:pt>
                <c:pt idx="7">
                  <c:v>110</c:v>
                </c:pt>
                <c:pt idx="8">
                  <c:v>73</c:v>
                </c:pt>
                <c:pt idx="9">
                  <c:v>86</c:v>
                </c:pt>
                <c:pt idx="10">
                  <c:v>89</c:v>
                </c:pt>
                <c:pt idx="11">
                  <c:v>71</c:v>
                </c:pt>
                <c:pt idx="12">
                  <c:v>119</c:v>
                </c:pt>
                <c:pt idx="13">
                  <c:v>119</c:v>
                </c:pt>
                <c:pt idx="14">
                  <c:v>101</c:v>
                </c:pt>
                <c:pt idx="15">
                  <c:v>92</c:v>
                </c:pt>
                <c:pt idx="16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CB0-7741-8653-FB9A23030AB0}"/>
            </c:ext>
          </c:extLst>
        </c:ser>
        <c:ser>
          <c:idx val="2"/>
          <c:order val="2"/>
          <c:tx>
            <c:strRef>
              <c:f>'PivotTables Backup'!$H$1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Backup'!$E$2:$E$19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'PivotTables Backup'!$H$2:$H$19</c:f>
              <c:numCache>
                <c:formatCode>General</c:formatCode>
                <c:ptCount val="17"/>
                <c:pt idx="0">
                  <c:v>22</c:v>
                </c:pt>
                <c:pt idx="1">
                  <c:v>27</c:v>
                </c:pt>
                <c:pt idx="2">
                  <c:v>15</c:v>
                </c:pt>
                <c:pt idx="3">
                  <c:v>19</c:v>
                </c:pt>
                <c:pt idx="4">
                  <c:v>14</c:v>
                </c:pt>
                <c:pt idx="5">
                  <c:v>9</c:v>
                </c:pt>
                <c:pt idx="6">
                  <c:v>17</c:v>
                </c:pt>
                <c:pt idx="7">
                  <c:v>29</c:v>
                </c:pt>
                <c:pt idx="8">
                  <c:v>25</c:v>
                </c:pt>
                <c:pt idx="9">
                  <c:v>6</c:v>
                </c:pt>
                <c:pt idx="10">
                  <c:v>13</c:v>
                </c:pt>
                <c:pt idx="11">
                  <c:v>12</c:v>
                </c:pt>
                <c:pt idx="12">
                  <c:v>17</c:v>
                </c:pt>
                <c:pt idx="13">
                  <c:v>23</c:v>
                </c:pt>
                <c:pt idx="14">
                  <c:v>23</c:v>
                </c:pt>
                <c:pt idx="15">
                  <c:v>28</c:v>
                </c:pt>
                <c:pt idx="1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CB0-7741-8653-FB9A23030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solidFill>
        <a:schemeClr val="accent4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Backup!Bugs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Bugs Resolved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Backup'!$I$1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3979-684A-B367-2E760D52F4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Backup'!$I$2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Backup'!$I$2</c:f>
              <c:numCache>
                <c:formatCode>General</c:formatCode>
                <c:ptCount val="1"/>
                <c:pt idx="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D4-E740-9C3D-3DF99AFB0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Backup!Compliance</c:name>
    <c:fmtId val="3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% Compliance</a:t>
            </a:r>
            <a:br>
              <a:rPr lang="es-ES_tradnl" sz="1000">
                <a:solidFill>
                  <a:schemeClr val="tx2"/>
                </a:solidFill>
              </a:rPr>
            </a:br>
            <a:r>
              <a:rPr lang="es-ES_tradnl" sz="1000">
                <a:solidFill>
                  <a:schemeClr val="tx2"/>
                </a:solidFill>
              </a:rPr>
              <a:t>(SP Commited vs Completed)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46F6-5C45-A2CE-A8F5BF3425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Backup'!$K$2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Backup'!$K$2</c:f>
              <c:numCache>
                <c:formatCode>0%</c:formatCode>
                <c:ptCount val="1"/>
                <c:pt idx="0">
                  <c:v>0.72139267337811785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CE-DD4E-9312-B315D2075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Backup!BugsRatio</c:name>
    <c:fmtId val="4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Average Bugs per Sprint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Backup'!$J$1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732F-9740-BD16-8E544A5FC1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Backup'!$J$2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Backup'!$J$2</c:f>
              <c:numCache>
                <c:formatCode>0</c:formatCode>
                <c:ptCount val="1"/>
                <c:pt idx="0">
                  <c:v>3.1176470588235294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A3-9D42-B0FE-C0FB77827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Backup!Unplanned_SP_Ratio</c:name>
    <c:fmtId val="2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Backup'!$S$1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'PivotTables Backup'!$S$2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Backup'!$S$2</c:f>
              <c:numCache>
                <c:formatCode>0%</c:formatCode>
                <c:ptCount val="1"/>
                <c:pt idx="0">
                  <c:v>0.21500821192045896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79-4B42-B07C-F6241EDB7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8420320"/>
        <c:axId val="2008415936"/>
      </c:barChart>
      <c:catAx>
        <c:axId val="200842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415936"/>
        <c:crosses val="autoZero"/>
        <c:auto val="1"/>
        <c:lblAlgn val="ctr"/>
        <c:lblOffset val="100"/>
        <c:noMultiLvlLbl val="0"/>
      </c:catAx>
      <c:valAx>
        <c:axId val="200841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42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Backup!Hours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Average Team Availability (hours)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Backup'!$U$1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83D1-EF46-804A-4AA1B092B1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Backup'!$U$2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Backup'!$U$2</c:f>
              <c:numCache>
                <c:formatCode>0</c:formatCode>
                <c:ptCount val="1"/>
                <c:pt idx="0">
                  <c:v>418.76470588235293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BB-0C4B-BAA1-2395526FF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Backup!Commited_Issues</c:name>
    <c:fmtId val="3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Commited Issues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Backup'!$W$1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E994-3845-8191-8778F5F801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Backup'!$W$2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Backup'!$W$2</c:f>
              <c:numCache>
                <c:formatCode>0</c:formatCode>
                <c:ptCount val="1"/>
                <c:pt idx="0">
                  <c:v>17.529411764705884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35-B749-97D5-845BB6191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Backup!Commited_SP</c:name>
    <c:fmtId val="3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Commited Story Points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Backup'!$X$1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2366-E548-AD28-3964B3B9CE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Backup'!$X$2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Backup'!$X$2</c:f>
              <c:numCache>
                <c:formatCode>0</c:formatCode>
                <c:ptCount val="1"/>
                <c:pt idx="0">
                  <c:v>98.117647058823536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10-F446-87ED-223E8AE43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Backup!Issues_Done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Issues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Backup'!$V$1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B8D7-AE4A-93E7-6F1B114E2C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Backup'!$V$2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Backup'!$V$2</c:f>
              <c:numCache>
                <c:formatCode>0</c:formatCode>
                <c:ptCount val="1"/>
                <c:pt idx="0">
                  <c:v>17.823529411764707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4E-1D43-8385-B2E25DAA0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Backup!Sp_Done</c:name>
    <c:fmtId val="3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Total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Backup'!$Z$1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ACF1-3644-852B-5DB8346FA1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Backup'!$Z$2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Backup'!$Z$2</c:f>
              <c:numCache>
                <c:formatCode>0</c:formatCode>
                <c:ptCount val="1"/>
                <c:pt idx="0">
                  <c:v>89.529411764705884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55-FC47-8182-AB9ECBA1D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Backup!Avg_Unpl_Issues_Done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Issues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Backup'!$Y$1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AAF0-9E40-A1F3-4FB39A5427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Backup'!$Y$2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Backup'!$Y$2</c:f>
              <c:numCache>
                <c:formatCode>0</c:formatCode>
                <c:ptCount val="1"/>
                <c:pt idx="0">
                  <c:v>4.5294117647058822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CB-2D4A-9BE4-22793B753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Backup!Avg_Unpl_SP_Done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SP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Backup'!$AA$1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5FB1-6649-BAE3-54D54750DC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Backup'!$AA$2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Backup'!$AA$2</c:f>
              <c:numCache>
                <c:formatCode>0</c:formatCode>
                <c:ptCount val="1"/>
                <c:pt idx="0">
                  <c:v>18.941176470588236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7F-5B4B-848A-3A597FA15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Backup!Perc_Issues_pl_vs_unp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24242"/>
                </a:solidFill>
              </a:rPr>
              <a:t>Issues</a:t>
            </a:r>
            <a:r>
              <a:rPr lang="en-US" baseline="0">
                <a:solidFill>
                  <a:srgbClr val="424242"/>
                </a:solidFill>
              </a:rPr>
              <a:t> Done: Planned vs Unplanned</a:t>
            </a:r>
            <a:endParaRPr lang="en-US">
              <a:solidFill>
                <a:srgbClr val="424242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rgbClr val="424242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1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4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17"/>
        <c:spPr>
          <a:solidFill>
            <a:srgbClr val="FF4C00"/>
          </a:solidFill>
          <a:ln>
            <a:noFill/>
          </a:ln>
          <a:effectLst/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'PivotTables Backup'!$AC$1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56B7-B44C-9EE5-5CD98E4EB287}"/>
              </c:ext>
            </c:extLst>
          </c:dPt>
          <c:dPt>
            <c:idx val="1"/>
            <c:bubble3D val="0"/>
            <c:spPr>
              <a:solidFill>
                <a:srgbClr val="FF4C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56B7-B44C-9EE5-5CD98E4EB287}"/>
              </c:ext>
            </c:extLst>
          </c:dPt>
          <c:cat>
            <c:strRef>
              <c:f>'PivotTables Backup'!$AB$2:$AB$3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'PivotTables Backup'!$AC$2:$AC$3</c:f>
              <c:numCache>
                <c:formatCode>0%</c:formatCode>
                <c:ptCount val="2"/>
                <c:pt idx="0">
                  <c:v>0.7409096559160302</c:v>
                </c:pt>
                <c:pt idx="1">
                  <c:v>0.25909034408397008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20-7343-9D99-003EC341D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Backup!SP_Plan_Unpl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24242"/>
                </a:solidFill>
              </a:rPr>
              <a:t>Total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marker>
          <c:symbol val="circle"/>
          <c:size val="4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1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4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17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20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'PivotTables Backup'!$AE$1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'PivotTables Backup'!$AD$2:$AD$3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'PivotTables Backup'!$AE$2:$AE$3</c:f>
              <c:numCache>
                <c:formatCode>0%</c:formatCode>
                <c:ptCount val="2"/>
                <c:pt idx="0">
                  <c:v>0.78499178807954118</c:v>
                </c:pt>
                <c:pt idx="1">
                  <c:v>0.21500821192045896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62-E843-9DD3-9EB566503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Backup!Ratio_SPIssue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Ratio SP / Issue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Backup'!$T$1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3210-D645-A259-11A3903E20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Backup'!$T$2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Backup'!$T$2</c:f>
              <c:numCache>
                <c:formatCode>0.00</c:formatCode>
                <c:ptCount val="1"/>
                <c:pt idx="0">
                  <c:v>5.1372102696975217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54-4744-93B1-9E38D14C7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Max 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AA41-1648-9264-290904D768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1-AA41-1648-9264-290904D76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Backup!Bugs_xsprint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'PivotTables Backup'!$AM$1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Backup'!$AL$2:$AL$19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'PivotTables Backup'!$AM$2:$AM$19</c:f>
              <c:numCache>
                <c:formatCode>General</c:formatCode>
                <c:ptCount val="17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6</c:v>
                </c:pt>
                <c:pt idx="12">
                  <c:v>4</c:v>
                </c:pt>
                <c:pt idx="13">
                  <c:v>1</c:v>
                </c:pt>
                <c:pt idx="14">
                  <c:v>4</c:v>
                </c:pt>
                <c:pt idx="15">
                  <c:v>1</c:v>
                </c:pt>
                <c:pt idx="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37-3D46-AA39-184D7C92806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ISSUES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Backup!Compliance_sprint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% Compliance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'PivotTables Backup'!$AO$1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Backup'!$AN$2:$AN$19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'PivotTables Backup'!$AO$2:$AO$19</c:f>
              <c:numCache>
                <c:formatCode>0%</c:formatCode>
                <c:ptCount val="17"/>
                <c:pt idx="0">
                  <c:v>0.5625</c:v>
                </c:pt>
                <c:pt idx="1">
                  <c:v>0.5393258426966292</c:v>
                </c:pt>
                <c:pt idx="2">
                  <c:v>0.62105263157894741</c:v>
                </c:pt>
                <c:pt idx="3">
                  <c:v>0.66326530612244894</c:v>
                </c:pt>
                <c:pt idx="4">
                  <c:v>0.6339285714285714</c:v>
                </c:pt>
                <c:pt idx="5">
                  <c:v>0.70731707317073167</c:v>
                </c:pt>
                <c:pt idx="6">
                  <c:v>0.7142857142857143</c:v>
                </c:pt>
                <c:pt idx="7">
                  <c:v>0.65853658536585369</c:v>
                </c:pt>
                <c:pt idx="8">
                  <c:v>0.48979591836734693</c:v>
                </c:pt>
                <c:pt idx="9">
                  <c:v>0.66666666666666663</c:v>
                </c:pt>
                <c:pt idx="10">
                  <c:v>0.66086956521739126</c:v>
                </c:pt>
                <c:pt idx="11">
                  <c:v>0.71084337349397586</c:v>
                </c:pt>
                <c:pt idx="12">
                  <c:v>0.95327102803738317</c:v>
                </c:pt>
                <c:pt idx="13">
                  <c:v>0.94117647058823528</c:v>
                </c:pt>
                <c:pt idx="14">
                  <c:v>0.98734177215189878</c:v>
                </c:pt>
                <c:pt idx="15">
                  <c:v>0.83116883116883122</c:v>
                </c:pt>
                <c:pt idx="16">
                  <c:v>0.92233009708737868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55-AE40-B7A6-ECC50062FF8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sz="1050" b="0" i="0" baseline="0">
                    <a:effectLst/>
                  </a:rPr>
                  <a:t>% SP Done / Commited</a:t>
                </a:r>
                <a:endParaRPr lang="es-ES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0.2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Backup!Bugs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Bugs Resolved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Backup'!$I$1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1318-BD4C-9A4E-CE2618D934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Backup'!$I$2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Backup'!$I$2</c:f>
              <c:numCache>
                <c:formatCode>General</c:formatCode>
                <c:ptCount val="1"/>
                <c:pt idx="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FA-D74E-A0DE-5CC0DDD0B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Dashboard.xlsx]PivotTables!Perc_Issues_pl_vs_unp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424242"/>
                </a:solidFill>
              </a:rPr>
              <a:t>Issues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1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4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7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20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2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23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2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PivotTables!$AC$1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F030-D54C-AC1F-92E78AC6CA9E}"/>
              </c:ext>
            </c:extLst>
          </c:dPt>
          <c:dPt>
            <c:idx val="1"/>
            <c:bubble3D val="0"/>
            <c:spPr>
              <a:solidFill>
                <a:srgbClr val="FF4C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8-F030-D54C-AC1F-92E78AC6CA9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F030-D54C-AC1F-92E78AC6CA9E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rgbClr val="FF4C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F030-D54C-AC1F-92E78AC6CA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PivotTables!$AB$2:$AB$3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PivotTables!$AC$2:$AC$3</c:f>
              <c:numCache>
                <c:formatCode>0%</c:formatCode>
                <c:ptCount val="2"/>
                <c:pt idx="0">
                  <c:v>0.7409096559160302</c:v>
                </c:pt>
                <c:pt idx="1">
                  <c:v>0.25909034408397008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30-D54C-AC1F-92E78AC6CA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ln w="12700">
      <a:solidFill>
        <a:schemeClr val="accent2"/>
      </a:solidFill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Dashboard.xlsx]PivotTables!Velocity_Issues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PivotTables!$B$1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PivotTables!$A$2:$A$19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PivotTables!$B$2:$B$19</c:f>
              <c:numCache>
                <c:formatCode>General</c:formatCode>
                <c:ptCount val="17"/>
                <c:pt idx="0">
                  <c:v>12</c:v>
                </c:pt>
                <c:pt idx="1">
                  <c:v>14</c:v>
                </c:pt>
                <c:pt idx="2">
                  <c:v>14</c:v>
                </c:pt>
                <c:pt idx="3">
                  <c:v>16</c:v>
                </c:pt>
                <c:pt idx="4">
                  <c:v>17</c:v>
                </c:pt>
                <c:pt idx="5">
                  <c:v>14</c:v>
                </c:pt>
                <c:pt idx="6">
                  <c:v>19</c:v>
                </c:pt>
                <c:pt idx="7">
                  <c:v>23</c:v>
                </c:pt>
                <c:pt idx="8">
                  <c:v>16</c:v>
                </c:pt>
                <c:pt idx="9">
                  <c:v>19</c:v>
                </c:pt>
                <c:pt idx="10">
                  <c:v>20</c:v>
                </c:pt>
                <c:pt idx="11">
                  <c:v>16</c:v>
                </c:pt>
                <c:pt idx="12">
                  <c:v>21</c:v>
                </c:pt>
                <c:pt idx="13">
                  <c:v>23</c:v>
                </c:pt>
                <c:pt idx="14">
                  <c:v>19</c:v>
                </c:pt>
                <c:pt idx="15">
                  <c:v>14</c:v>
                </c:pt>
                <c:pt idx="16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7A9-A24F-880B-BA916836B6A9}"/>
            </c:ext>
          </c:extLst>
        </c:ser>
        <c:ser>
          <c:idx val="1"/>
          <c:order val="1"/>
          <c:tx>
            <c:strRef>
              <c:f>PivotTables!$C$1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(Done)</c:name>
            <c:spPr>
              <a:ln w="25400">
                <a:solidFill>
                  <a:schemeClr val="accent2"/>
                </a:solidFill>
                <a:prstDash val="sysDot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PivotTables!$A$2:$A$19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PivotTables!$C$2:$C$19</c:f>
              <c:numCache>
                <c:formatCode>General</c:formatCode>
                <c:ptCount val="17"/>
                <c:pt idx="0">
                  <c:v>17</c:v>
                </c:pt>
                <c:pt idx="1">
                  <c:v>19</c:v>
                </c:pt>
                <c:pt idx="2">
                  <c:v>17</c:v>
                </c:pt>
                <c:pt idx="3">
                  <c:v>12</c:v>
                </c:pt>
                <c:pt idx="4">
                  <c:v>16</c:v>
                </c:pt>
                <c:pt idx="5">
                  <c:v>19</c:v>
                </c:pt>
                <c:pt idx="6">
                  <c:v>16</c:v>
                </c:pt>
                <c:pt idx="7">
                  <c:v>20</c:v>
                </c:pt>
                <c:pt idx="8">
                  <c:v>15</c:v>
                </c:pt>
                <c:pt idx="9">
                  <c:v>18</c:v>
                </c:pt>
                <c:pt idx="10">
                  <c:v>20</c:v>
                </c:pt>
                <c:pt idx="11">
                  <c:v>18</c:v>
                </c:pt>
                <c:pt idx="12">
                  <c:v>21</c:v>
                </c:pt>
                <c:pt idx="13">
                  <c:v>24</c:v>
                </c:pt>
                <c:pt idx="14">
                  <c:v>18</c:v>
                </c:pt>
                <c:pt idx="15">
                  <c:v>11</c:v>
                </c:pt>
                <c:pt idx="16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7A9-A24F-880B-BA916836B6A9}"/>
            </c:ext>
          </c:extLst>
        </c:ser>
        <c:ser>
          <c:idx val="2"/>
          <c:order val="2"/>
          <c:tx>
            <c:strRef>
              <c:f>PivotTables!$D$1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PivotTables!$A$2:$A$19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PivotTables!$D$2:$D$19</c:f>
              <c:numCache>
                <c:formatCode>General</c:formatCode>
                <c:ptCount val="17"/>
                <c:pt idx="0">
                  <c:v>6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7A9-A24F-880B-BA916836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solidFill>
        <a:schemeClr val="accent2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Dashboard.xlsx]PivotTables!SP_Plan_Unpl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424242"/>
                </a:solidFill>
              </a:rPr>
              <a:t>SP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1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4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7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20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2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23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2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PivotTables!$AE$1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5E9F-0C48-8FBE-782AECDC84EB}"/>
              </c:ext>
            </c:extLst>
          </c:dPt>
          <c:dPt>
            <c:idx val="1"/>
            <c:bubble3D val="0"/>
            <c:spPr>
              <a:solidFill>
                <a:srgbClr val="FF4C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8-5E9F-0C48-8FBE-782AECDC84E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5E9F-0C48-8FBE-782AECDC84EB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rgbClr val="FF4C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5E9F-0C48-8FBE-782AECDC84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PivotTables!$AD$2:$AD$3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PivotTables!$AE$2:$AE$3</c:f>
              <c:numCache>
                <c:formatCode>0%</c:formatCode>
                <c:ptCount val="2"/>
                <c:pt idx="0">
                  <c:v>0.78499178807954118</c:v>
                </c:pt>
                <c:pt idx="1">
                  <c:v>0.21500821192045896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E9F-0C48-8FBE-782AECDC84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ln w="12700">
      <a:solidFill>
        <a:schemeClr val="accent4"/>
      </a:solidFill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Dashboard.xlsx]PivotTables!Velocity_SP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Velocity (SP)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PivotTables!$F$1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PivotTables!$E$2:$E$19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PivotTables!$F$2:$F$19</c:f>
              <c:numCache>
                <c:formatCode>General</c:formatCode>
                <c:ptCount val="17"/>
                <c:pt idx="0">
                  <c:v>80</c:v>
                </c:pt>
                <c:pt idx="1">
                  <c:v>89</c:v>
                </c:pt>
                <c:pt idx="2">
                  <c:v>95</c:v>
                </c:pt>
                <c:pt idx="3">
                  <c:v>98</c:v>
                </c:pt>
                <c:pt idx="4">
                  <c:v>112</c:v>
                </c:pt>
                <c:pt idx="5">
                  <c:v>82</c:v>
                </c:pt>
                <c:pt idx="6">
                  <c:v>105</c:v>
                </c:pt>
                <c:pt idx="7">
                  <c:v>123</c:v>
                </c:pt>
                <c:pt idx="8">
                  <c:v>98</c:v>
                </c:pt>
                <c:pt idx="9">
                  <c:v>120</c:v>
                </c:pt>
                <c:pt idx="10">
                  <c:v>115</c:v>
                </c:pt>
                <c:pt idx="11">
                  <c:v>83</c:v>
                </c:pt>
                <c:pt idx="12">
                  <c:v>107</c:v>
                </c:pt>
                <c:pt idx="13">
                  <c:v>102</c:v>
                </c:pt>
                <c:pt idx="14">
                  <c:v>79</c:v>
                </c:pt>
                <c:pt idx="15">
                  <c:v>77</c:v>
                </c:pt>
                <c:pt idx="16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D-0349-971B-08E49AA1AD98}"/>
            </c:ext>
          </c:extLst>
        </c:ser>
        <c:ser>
          <c:idx val="1"/>
          <c:order val="1"/>
          <c:tx>
            <c:strRef>
              <c:f>PivotTables!$G$1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(Done)</c:name>
            <c:spPr>
              <a:ln w="25400" cap="rnd">
                <a:solidFill>
                  <a:schemeClr val="accent4"/>
                </a:solidFill>
                <a:prstDash val="sysDot"/>
                <a:headEnd type="oval"/>
                <a:tailEnd type="triangle" w="med" len="lg"/>
              </a:ln>
              <a:effectLst/>
            </c:spPr>
            <c:trendlineType val="linear"/>
            <c:dispRSqr val="0"/>
            <c:dispEq val="0"/>
          </c:trendline>
          <c:cat>
            <c:strRef>
              <c:f>PivotTables!$E$2:$E$19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PivotTables!$G$2:$G$19</c:f>
              <c:numCache>
                <c:formatCode>General</c:formatCode>
                <c:ptCount val="17"/>
                <c:pt idx="0">
                  <c:v>67</c:v>
                </c:pt>
                <c:pt idx="1">
                  <c:v>75</c:v>
                </c:pt>
                <c:pt idx="2">
                  <c:v>74</c:v>
                </c:pt>
                <c:pt idx="3">
                  <c:v>84</c:v>
                </c:pt>
                <c:pt idx="4">
                  <c:v>85</c:v>
                </c:pt>
                <c:pt idx="5">
                  <c:v>67</c:v>
                </c:pt>
                <c:pt idx="6">
                  <c:v>92</c:v>
                </c:pt>
                <c:pt idx="7">
                  <c:v>110</c:v>
                </c:pt>
                <c:pt idx="8">
                  <c:v>73</c:v>
                </c:pt>
                <c:pt idx="9">
                  <c:v>86</c:v>
                </c:pt>
                <c:pt idx="10">
                  <c:v>89</c:v>
                </c:pt>
                <c:pt idx="11">
                  <c:v>71</c:v>
                </c:pt>
                <c:pt idx="12">
                  <c:v>119</c:v>
                </c:pt>
                <c:pt idx="13">
                  <c:v>119</c:v>
                </c:pt>
                <c:pt idx="14">
                  <c:v>101</c:v>
                </c:pt>
                <c:pt idx="15">
                  <c:v>92</c:v>
                </c:pt>
                <c:pt idx="16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4D-0349-971B-08E49AA1AD98}"/>
            </c:ext>
          </c:extLst>
        </c:ser>
        <c:ser>
          <c:idx val="2"/>
          <c:order val="2"/>
          <c:tx>
            <c:strRef>
              <c:f>PivotTables!$H$1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PivotTables!$E$2:$E$19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PivotTables!$H$2:$H$19</c:f>
              <c:numCache>
                <c:formatCode>General</c:formatCode>
                <c:ptCount val="17"/>
                <c:pt idx="0">
                  <c:v>22</c:v>
                </c:pt>
                <c:pt idx="1">
                  <c:v>27</c:v>
                </c:pt>
                <c:pt idx="2">
                  <c:v>15</c:v>
                </c:pt>
                <c:pt idx="3">
                  <c:v>19</c:v>
                </c:pt>
                <c:pt idx="4">
                  <c:v>14</c:v>
                </c:pt>
                <c:pt idx="5">
                  <c:v>9</c:v>
                </c:pt>
                <c:pt idx="6">
                  <c:v>17</c:v>
                </c:pt>
                <c:pt idx="7">
                  <c:v>29</c:v>
                </c:pt>
                <c:pt idx="8">
                  <c:v>25</c:v>
                </c:pt>
                <c:pt idx="9">
                  <c:v>6</c:v>
                </c:pt>
                <c:pt idx="10">
                  <c:v>13</c:v>
                </c:pt>
                <c:pt idx="11">
                  <c:v>12</c:v>
                </c:pt>
                <c:pt idx="12">
                  <c:v>17</c:v>
                </c:pt>
                <c:pt idx="13">
                  <c:v>23</c:v>
                </c:pt>
                <c:pt idx="14">
                  <c:v>23</c:v>
                </c:pt>
                <c:pt idx="15">
                  <c:v>28</c:v>
                </c:pt>
                <c:pt idx="1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2C-1D4E-AACE-E785331AD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accent4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Dashboard.xlsx]PivotTables!Bugs_xsprint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PivotTables!$AM$1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</c:name>
            <c:spPr>
              <a:ln w="19050">
                <a:solidFill>
                  <a:srgbClr val="A847F5"/>
                </a:solidFill>
                <a:prstDash val="sysDot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PivotTables!$AL$2:$AL$19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PivotTables!$AM$2:$AM$19</c:f>
              <c:numCache>
                <c:formatCode>General</c:formatCode>
                <c:ptCount val="17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6</c:v>
                </c:pt>
                <c:pt idx="12">
                  <c:v>4</c:v>
                </c:pt>
                <c:pt idx="13">
                  <c:v>1</c:v>
                </c:pt>
                <c:pt idx="14">
                  <c:v>4</c:v>
                </c:pt>
                <c:pt idx="15">
                  <c:v>1</c:v>
                </c:pt>
                <c:pt idx="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829-724E-9135-305B1342939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ISSUES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rgbClr val="7030A0"/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Dashboard.xlsx]PivotTables!BugsRatio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A847F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PivotTables!$J$1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rgbClr val="A847F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232-3246-8FC3-0AE82897B8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PivotTables!$J$2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PivotTables!$J$2</c:f>
              <c:numCache>
                <c:formatCode>0</c:formatCode>
                <c:ptCount val="1"/>
                <c:pt idx="0">
                  <c:v>3.1176470588235294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32-3246-8FC3-0AE82897B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rgbClr val="7030A0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Dashboard.xlsx]PivotTables!Compliance_sprint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% Team Compliance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PivotTables!$AO$1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</c:name>
            <c:spPr>
              <a:ln w="19050">
                <a:solidFill>
                  <a:schemeClr val="accent1">
                    <a:lumMod val="60000"/>
                    <a:lumOff val="40000"/>
                  </a:schemeClr>
                </a:solidFill>
                <a:prstDash val="sysDot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PivotTables!$AN$2:$AN$19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PivotTables!$AO$2:$AO$19</c:f>
              <c:numCache>
                <c:formatCode>0%</c:formatCode>
                <c:ptCount val="17"/>
                <c:pt idx="0">
                  <c:v>0.5625</c:v>
                </c:pt>
                <c:pt idx="1">
                  <c:v>0.5393258426966292</c:v>
                </c:pt>
                <c:pt idx="2">
                  <c:v>0.62105263157894741</c:v>
                </c:pt>
                <c:pt idx="3">
                  <c:v>0.66326530612244894</c:v>
                </c:pt>
                <c:pt idx="4">
                  <c:v>0.6339285714285714</c:v>
                </c:pt>
                <c:pt idx="5">
                  <c:v>0.70731707317073167</c:v>
                </c:pt>
                <c:pt idx="6">
                  <c:v>0.7142857142857143</c:v>
                </c:pt>
                <c:pt idx="7">
                  <c:v>0.65853658536585369</c:v>
                </c:pt>
                <c:pt idx="8">
                  <c:v>0.48979591836734693</c:v>
                </c:pt>
                <c:pt idx="9">
                  <c:v>0.66666666666666663</c:v>
                </c:pt>
                <c:pt idx="10">
                  <c:v>0.66086956521739126</c:v>
                </c:pt>
                <c:pt idx="11">
                  <c:v>0.71084337349397586</c:v>
                </c:pt>
                <c:pt idx="12">
                  <c:v>0.95327102803738317</c:v>
                </c:pt>
                <c:pt idx="13">
                  <c:v>0.94117647058823528</c:v>
                </c:pt>
                <c:pt idx="14">
                  <c:v>0.98734177215189878</c:v>
                </c:pt>
                <c:pt idx="15">
                  <c:v>0.83116883116883122</c:v>
                </c:pt>
                <c:pt idx="16">
                  <c:v>0.92233009708737868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51-B841-A143-607E04DBA74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sz="1050" b="0" i="0" baseline="0">
                    <a:effectLst/>
                  </a:rPr>
                  <a:t>% SP Done / Commited</a:t>
                </a:r>
                <a:endParaRPr lang="es-ES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0.2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Dashboard.xlsx]PivotTables!Compliance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comp.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9E69-1C40-AA47-D6D6898928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PivotTables!$K$2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PivotTables!$K$2</c:f>
              <c:numCache>
                <c:formatCode>0%</c:formatCode>
                <c:ptCount val="1"/>
                <c:pt idx="0">
                  <c:v>0.72139267337811785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69-1C40-AA47-D6D689892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Dashboard.xlsx]PivotTables!Avg_Unpl_Issues_Done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Unplanned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PivotTables!$Y$1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87E3-4A4C-9A03-12923E9F21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PivotTables!$Y$2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PivotTables!$Y$2</c:f>
              <c:numCache>
                <c:formatCode>0</c:formatCode>
                <c:ptCount val="1"/>
                <c:pt idx="0">
                  <c:v>4.5294117647058822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E3-4A4C-9A03-12923E9F2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Dashboard.xlsx]PivotTables!Commited_Issues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</a:t>
            </a:r>
            <a:r>
              <a:rPr lang="es-ES_tradnl" sz="1200" baseline="0">
                <a:solidFill>
                  <a:schemeClr val="tx2"/>
                </a:solidFill>
              </a:rPr>
              <a:t> </a:t>
            </a:r>
            <a:r>
              <a:rPr lang="es-ES_tradnl" sz="1200">
                <a:solidFill>
                  <a:schemeClr val="tx2"/>
                </a:solidFill>
              </a:rPr>
              <a:t>Planned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PivotTables!$W$1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5115-3845-8FD8-CAD6331520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PivotTables!$W$2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PivotTables!$W$2</c:f>
              <c:numCache>
                <c:formatCode>0</c:formatCode>
                <c:ptCount val="1"/>
                <c:pt idx="0">
                  <c:v>17.529411764705884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D1F-224F-9F3C-CD5A08DFC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Dashboard.xlsx]PivotTables!Issues_Done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Total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PivotTables!$V$1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DE1-6046-84BA-1C9282FA0F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PivotTables!$V$2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PivotTables!$V$2</c:f>
              <c:numCache>
                <c:formatCode>0</c:formatCode>
                <c:ptCount val="1"/>
                <c:pt idx="0">
                  <c:v>17.823529411764707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E1-6046-84BA-1C9282FA0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Dashboard.xlsx]PivotTables!Avg_Unpl_SP_Done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</a:t>
            </a:r>
            <a:r>
              <a:rPr lang="es-ES_tradnl" sz="1200" baseline="0">
                <a:solidFill>
                  <a:schemeClr val="tx2"/>
                </a:solidFill>
              </a:rPr>
              <a:t> Unplanned</a:t>
            </a:r>
            <a:endParaRPr lang="es-ES_tradnl" sz="1200">
              <a:solidFill>
                <a:schemeClr val="tx2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PivotTables!$AA$1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1782-9045-AC48-0811703652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PivotTables!$AA$2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PivotTables!$AA$2</c:f>
              <c:numCache>
                <c:formatCode>0</c:formatCode>
                <c:ptCount val="1"/>
                <c:pt idx="0">
                  <c:v>18.941176470588236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82-9045-AC48-081170365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Dashboard.xlsx]PivotTables!Commited_SP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Planned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PivotTables!$X$1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8D1F-224F-9F3C-CD5A08DFC2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PivotTables!$X$2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PivotTables!$X$2</c:f>
              <c:numCache>
                <c:formatCode>0</c:formatCode>
                <c:ptCount val="1"/>
                <c:pt idx="0">
                  <c:v>98.117647058823536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D1F-224F-9F3C-CD5A08DFC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Dashboard.xlsx]PivotTables!Sp_Done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Total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PivotTables!$Z$1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B8E3-7D41-8A07-4B1A9E855E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PivotTables!$Z$2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PivotTables!$Z$2</c:f>
              <c:numCache>
                <c:formatCode>0</c:formatCode>
                <c:ptCount val="1"/>
                <c:pt idx="0">
                  <c:v>89.529411764705884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8E3-7D41-8A07-4B1A9E855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Dashboard.xlsx]PivotTables!Ratio_SPIssue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Ratio SP / Issue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PivotTables!$T$1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E9C8-E74C-A09D-865E072605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PivotTables!$T$2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PivotTables!$T$2</c:f>
              <c:numCache>
                <c:formatCode>0.00</c:formatCode>
                <c:ptCount val="1"/>
                <c:pt idx="0">
                  <c:v>5.1372102696975217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9C8-E74C-A09D-865E07260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Dashboard.xlsx]PivotTables!Hours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</a:t>
            </a:r>
            <a:r>
              <a:rPr lang="es-ES_tradnl" sz="1200" baseline="0">
                <a:solidFill>
                  <a:schemeClr val="tx2"/>
                </a:solidFill>
              </a:rPr>
              <a:t> </a:t>
            </a:r>
            <a:r>
              <a:rPr lang="es-ES_tradnl" sz="1200">
                <a:solidFill>
                  <a:schemeClr val="tx2"/>
                </a:solidFill>
              </a:rPr>
              <a:t>hours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PivotTables!$U$1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0048-C94F-AE5E-4AF1ACC3CA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PivotTables!$U$2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PivotTables!$U$2</c:f>
              <c:numCache>
                <c:formatCode>0</c:formatCode>
                <c:ptCount val="1"/>
                <c:pt idx="0">
                  <c:v>418.76470588235293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48-C94F-AE5E-4AF1ACC3C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Dashboard.xlsx]PivotTables!Velocity_Issues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Velocity (Issues)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PivotTables!$B$1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PivotTables!$A$2:$A$19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PivotTables!$B$2:$B$19</c:f>
              <c:numCache>
                <c:formatCode>General</c:formatCode>
                <c:ptCount val="17"/>
                <c:pt idx="0">
                  <c:v>12</c:v>
                </c:pt>
                <c:pt idx="1">
                  <c:v>14</c:v>
                </c:pt>
                <c:pt idx="2">
                  <c:v>14</c:v>
                </c:pt>
                <c:pt idx="3">
                  <c:v>16</c:v>
                </c:pt>
                <c:pt idx="4">
                  <c:v>17</c:v>
                </c:pt>
                <c:pt idx="5">
                  <c:v>14</c:v>
                </c:pt>
                <c:pt idx="6">
                  <c:v>19</c:v>
                </c:pt>
                <c:pt idx="7">
                  <c:v>23</c:v>
                </c:pt>
                <c:pt idx="8">
                  <c:v>16</c:v>
                </c:pt>
                <c:pt idx="9">
                  <c:v>19</c:v>
                </c:pt>
                <c:pt idx="10">
                  <c:v>20</c:v>
                </c:pt>
                <c:pt idx="11">
                  <c:v>16</c:v>
                </c:pt>
                <c:pt idx="12">
                  <c:v>21</c:v>
                </c:pt>
                <c:pt idx="13">
                  <c:v>23</c:v>
                </c:pt>
                <c:pt idx="14">
                  <c:v>19</c:v>
                </c:pt>
                <c:pt idx="15">
                  <c:v>14</c:v>
                </c:pt>
                <c:pt idx="16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38-9C47-8D3E-AD22BBE5615A}"/>
            </c:ext>
          </c:extLst>
        </c:ser>
        <c:ser>
          <c:idx val="1"/>
          <c:order val="1"/>
          <c:tx>
            <c:strRef>
              <c:f>PivotTables!$C$1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(Done)</c:name>
            <c:spPr>
              <a:ln w="25400">
                <a:solidFill>
                  <a:schemeClr val="accent2"/>
                </a:solidFill>
                <a:prstDash val="sysDot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PivotTables!$A$2:$A$19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PivotTables!$C$2:$C$19</c:f>
              <c:numCache>
                <c:formatCode>General</c:formatCode>
                <c:ptCount val="17"/>
                <c:pt idx="0">
                  <c:v>17</c:v>
                </c:pt>
                <c:pt idx="1">
                  <c:v>19</c:v>
                </c:pt>
                <c:pt idx="2">
                  <c:v>17</c:v>
                </c:pt>
                <c:pt idx="3">
                  <c:v>12</c:v>
                </c:pt>
                <c:pt idx="4">
                  <c:v>16</c:v>
                </c:pt>
                <c:pt idx="5">
                  <c:v>19</c:v>
                </c:pt>
                <c:pt idx="6">
                  <c:v>16</c:v>
                </c:pt>
                <c:pt idx="7">
                  <c:v>20</c:v>
                </c:pt>
                <c:pt idx="8">
                  <c:v>15</c:v>
                </c:pt>
                <c:pt idx="9">
                  <c:v>18</c:v>
                </c:pt>
                <c:pt idx="10">
                  <c:v>20</c:v>
                </c:pt>
                <c:pt idx="11">
                  <c:v>18</c:v>
                </c:pt>
                <c:pt idx="12">
                  <c:v>21</c:v>
                </c:pt>
                <c:pt idx="13">
                  <c:v>24</c:v>
                </c:pt>
                <c:pt idx="14">
                  <c:v>18</c:v>
                </c:pt>
                <c:pt idx="15">
                  <c:v>11</c:v>
                </c:pt>
                <c:pt idx="16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538-9C47-8D3E-AD22BBE5615A}"/>
            </c:ext>
          </c:extLst>
        </c:ser>
        <c:ser>
          <c:idx val="2"/>
          <c:order val="2"/>
          <c:tx>
            <c:strRef>
              <c:f>PivotTables!$D$1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PivotTables!$A$2:$A$19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PivotTables!$D$2:$D$19</c:f>
              <c:numCache>
                <c:formatCode>General</c:formatCode>
                <c:ptCount val="17"/>
                <c:pt idx="0">
                  <c:v>6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538-9C47-8D3E-AD22BBE56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solidFill>
        <a:schemeClr val="accent2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Dashboard.xlsx]PivotTables!Velocity_SP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Velocity (Story Points)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PivotTables!$F$1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PivotTables!$E$2:$E$19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PivotTables!$F$2:$F$19</c:f>
              <c:numCache>
                <c:formatCode>General</c:formatCode>
                <c:ptCount val="17"/>
                <c:pt idx="0">
                  <c:v>80</c:v>
                </c:pt>
                <c:pt idx="1">
                  <c:v>89</c:v>
                </c:pt>
                <c:pt idx="2">
                  <c:v>95</c:v>
                </c:pt>
                <c:pt idx="3">
                  <c:v>98</c:v>
                </c:pt>
                <c:pt idx="4">
                  <c:v>112</c:v>
                </c:pt>
                <c:pt idx="5">
                  <c:v>82</c:v>
                </c:pt>
                <c:pt idx="6">
                  <c:v>105</c:v>
                </c:pt>
                <c:pt idx="7">
                  <c:v>123</c:v>
                </c:pt>
                <c:pt idx="8">
                  <c:v>98</c:v>
                </c:pt>
                <c:pt idx="9">
                  <c:v>120</c:v>
                </c:pt>
                <c:pt idx="10">
                  <c:v>115</c:v>
                </c:pt>
                <c:pt idx="11">
                  <c:v>83</c:v>
                </c:pt>
                <c:pt idx="12">
                  <c:v>107</c:v>
                </c:pt>
                <c:pt idx="13">
                  <c:v>102</c:v>
                </c:pt>
                <c:pt idx="14">
                  <c:v>79</c:v>
                </c:pt>
                <c:pt idx="15">
                  <c:v>77</c:v>
                </c:pt>
                <c:pt idx="16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A5-5149-861D-575A1531FE98}"/>
            </c:ext>
          </c:extLst>
        </c:ser>
        <c:ser>
          <c:idx val="1"/>
          <c:order val="1"/>
          <c:tx>
            <c:strRef>
              <c:f>PivotTables!$G$1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(Done)</c:name>
            <c:spPr>
              <a:ln w="25400" cap="rnd">
                <a:solidFill>
                  <a:schemeClr val="accent4"/>
                </a:solidFill>
                <a:prstDash val="sysDot"/>
                <a:headEnd type="oval"/>
                <a:tailEnd type="triangle" w="med" len="lg"/>
              </a:ln>
              <a:effectLst/>
            </c:spPr>
            <c:trendlineType val="linear"/>
            <c:dispRSqr val="0"/>
            <c:dispEq val="0"/>
          </c:trendline>
          <c:cat>
            <c:strRef>
              <c:f>PivotTables!$E$2:$E$19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PivotTables!$G$2:$G$19</c:f>
              <c:numCache>
                <c:formatCode>General</c:formatCode>
                <c:ptCount val="17"/>
                <c:pt idx="0">
                  <c:v>67</c:v>
                </c:pt>
                <c:pt idx="1">
                  <c:v>75</c:v>
                </c:pt>
                <c:pt idx="2">
                  <c:v>74</c:v>
                </c:pt>
                <c:pt idx="3">
                  <c:v>84</c:v>
                </c:pt>
                <c:pt idx="4">
                  <c:v>85</c:v>
                </c:pt>
                <c:pt idx="5">
                  <c:v>67</c:v>
                </c:pt>
                <c:pt idx="6">
                  <c:v>92</c:v>
                </c:pt>
                <c:pt idx="7">
                  <c:v>110</c:v>
                </c:pt>
                <c:pt idx="8">
                  <c:v>73</c:v>
                </c:pt>
                <c:pt idx="9">
                  <c:v>86</c:v>
                </c:pt>
                <c:pt idx="10">
                  <c:v>89</c:v>
                </c:pt>
                <c:pt idx="11">
                  <c:v>71</c:v>
                </c:pt>
                <c:pt idx="12">
                  <c:v>119</c:v>
                </c:pt>
                <c:pt idx="13">
                  <c:v>119</c:v>
                </c:pt>
                <c:pt idx="14">
                  <c:v>101</c:v>
                </c:pt>
                <c:pt idx="15">
                  <c:v>92</c:v>
                </c:pt>
                <c:pt idx="16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A5-5149-861D-575A1531FE98}"/>
            </c:ext>
          </c:extLst>
        </c:ser>
        <c:ser>
          <c:idx val="2"/>
          <c:order val="2"/>
          <c:tx>
            <c:strRef>
              <c:f>PivotTables!$H$1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PivotTables!$E$2:$E$19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PivotTables!$H$2:$H$19</c:f>
              <c:numCache>
                <c:formatCode>General</c:formatCode>
                <c:ptCount val="17"/>
                <c:pt idx="0">
                  <c:v>22</c:v>
                </c:pt>
                <c:pt idx="1">
                  <c:v>27</c:v>
                </c:pt>
                <c:pt idx="2">
                  <c:v>15</c:v>
                </c:pt>
                <c:pt idx="3">
                  <c:v>19</c:v>
                </c:pt>
                <c:pt idx="4">
                  <c:v>14</c:v>
                </c:pt>
                <c:pt idx="5">
                  <c:v>9</c:v>
                </c:pt>
                <c:pt idx="6">
                  <c:v>17</c:v>
                </c:pt>
                <c:pt idx="7">
                  <c:v>29</c:v>
                </c:pt>
                <c:pt idx="8">
                  <c:v>25</c:v>
                </c:pt>
                <c:pt idx="9">
                  <c:v>6</c:v>
                </c:pt>
                <c:pt idx="10">
                  <c:v>13</c:v>
                </c:pt>
                <c:pt idx="11">
                  <c:v>12</c:v>
                </c:pt>
                <c:pt idx="12">
                  <c:v>17</c:v>
                </c:pt>
                <c:pt idx="13">
                  <c:v>23</c:v>
                </c:pt>
                <c:pt idx="14">
                  <c:v>23</c:v>
                </c:pt>
                <c:pt idx="15">
                  <c:v>28</c:v>
                </c:pt>
                <c:pt idx="1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EA5-5149-861D-575A1531F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solidFill>
        <a:schemeClr val="accent4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Bugs Resolved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PivotTables!$I$1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79C0-D347-8FEF-F64C4A915B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PivotTables!$I$2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PivotTables!$I$2</c:f>
              <c:numCache>
                <c:formatCode>General</c:formatCode>
                <c:ptCount val="1"/>
                <c:pt idx="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C0-D347-8FEF-F64C4A915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Dashboard.xlsx]PivotTables!Compliance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% Compliance</a:t>
            </a:r>
            <a:br>
              <a:rPr lang="es-ES_tradnl" sz="1000">
                <a:solidFill>
                  <a:schemeClr val="tx2"/>
                </a:solidFill>
              </a:rPr>
            </a:br>
            <a:r>
              <a:rPr lang="es-ES_tradnl" sz="1000">
                <a:solidFill>
                  <a:schemeClr val="tx2"/>
                </a:solidFill>
              </a:rPr>
              <a:t>(SP Commited vs Completed)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0C38-4849-B7F1-7E73B86431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PivotTables!$K$2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PivotTables!$K$2</c:f>
              <c:numCache>
                <c:formatCode>0%</c:formatCode>
                <c:ptCount val="1"/>
                <c:pt idx="0">
                  <c:v>0.72139267337811785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C38-4849-B7F1-7E73B8643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Dashboard.xlsx]PivotTables!BugsRatio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Average Bugs per Sprint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PivotTables!$J$1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7B05-7748-87AB-370FBBA069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PivotTables!$J$2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PivotTables!$J$2</c:f>
              <c:numCache>
                <c:formatCode>0</c:formatCode>
                <c:ptCount val="1"/>
                <c:pt idx="0">
                  <c:v>3.1176470588235294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B05-7748-87AB-370FBBA06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Dashboard.xlsx]PivotTables!Unplanned_SP_Ratio</c:name>
    <c:fmtId val="1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PivotTables!$S$1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PivotTables!$S$2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PivotTables!$S$2</c:f>
              <c:numCache>
                <c:formatCode>0%</c:formatCode>
                <c:ptCount val="1"/>
                <c:pt idx="0">
                  <c:v>0.21500821192045896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D0-694C-B105-772FDAA97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8420320"/>
        <c:axId val="2008415936"/>
      </c:barChart>
      <c:catAx>
        <c:axId val="200842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415936"/>
        <c:crosses val="autoZero"/>
        <c:auto val="1"/>
        <c:lblAlgn val="ctr"/>
        <c:lblOffset val="100"/>
        <c:noMultiLvlLbl val="0"/>
      </c:catAx>
      <c:valAx>
        <c:axId val="200841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42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Dashboard.xlsx]PivotTables!Hours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Average Team Availability (hours)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PivotTables!$U$1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F9FC-8C4C-9A83-17D8F0FE79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PivotTables!$U$2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PivotTables!$U$2</c:f>
              <c:numCache>
                <c:formatCode>0</c:formatCode>
                <c:ptCount val="1"/>
                <c:pt idx="0">
                  <c:v>418.76470588235293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FC-8C4C-9A83-17D8F0FE7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Dashboard.xlsx]PivotTables!Commited_Issues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Commited Issues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PivotTables!$W$1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417B-9942-886F-5F8ABA763B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PivotTables!$W$2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PivotTables!$W$2</c:f>
              <c:numCache>
                <c:formatCode>0</c:formatCode>
                <c:ptCount val="1"/>
                <c:pt idx="0">
                  <c:v>17.529411764705884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7B-9942-886F-5F8ABA763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Dashboard.xlsx]PivotTables!Commited_SP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Commited Story Points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PivotTables!$X$1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6144-2540-8885-42C5768FDD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PivotTables!$X$2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PivotTables!$X$2</c:f>
              <c:numCache>
                <c:formatCode>0</c:formatCode>
                <c:ptCount val="1"/>
                <c:pt idx="0">
                  <c:v>98.117647058823536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144-2540-8885-42C5768FD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Dashboard.xlsx]PivotTables!Issues_Done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Issues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PivotTables!$V$1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D557-0440-87D0-EE83FD8493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PivotTables!$V$2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PivotTables!$V$2</c:f>
              <c:numCache>
                <c:formatCode>0</c:formatCode>
                <c:ptCount val="1"/>
                <c:pt idx="0">
                  <c:v>17.823529411764707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57-0440-87D0-EE83FD849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Dashboard.xlsx]PivotTables!Sp_Done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Total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PivotTables!$Z$1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85E9-574B-B140-74D209FE71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PivotTables!$Z$2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PivotTables!$Z$2</c:f>
              <c:numCache>
                <c:formatCode>0</c:formatCode>
                <c:ptCount val="1"/>
                <c:pt idx="0">
                  <c:v>89.529411764705884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E9-574B-B140-74D209FE7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Dashboard.xlsx]PivotTables!Avg_Unpl_Issues_Done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Issues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PivotTables!$Y$1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7F21-2748-94F5-FCB8913B92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PivotTables!$Y$2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PivotTables!$Y$2</c:f>
              <c:numCache>
                <c:formatCode>0</c:formatCode>
                <c:ptCount val="1"/>
                <c:pt idx="0">
                  <c:v>4.5294117647058822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21-2748-94F5-FCB8913B9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Dashboard.xlsx]PivotTables!Avg_Unpl_SP_Done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SP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PivotTables!$AA$1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824F-DD4D-9224-603AD2404C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PivotTables!$AA$2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PivotTables!$AA$2</c:f>
              <c:numCache>
                <c:formatCode>0</c:formatCode>
                <c:ptCount val="1"/>
                <c:pt idx="0">
                  <c:v>18.941176470588236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4F-DD4D-9224-603AD2404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Dashboard.xlsx]PivotTables!Perc_Issues_pl_vs_unp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24242"/>
                </a:solidFill>
              </a:rPr>
              <a:t>Issues</a:t>
            </a:r>
            <a:r>
              <a:rPr lang="en-US" baseline="0">
                <a:solidFill>
                  <a:srgbClr val="424242"/>
                </a:solidFill>
              </a:rPr>
              <a:t> Done: Planned vs Unplanned</a:t>
            </a:r>
            <a:endParaRPr lang="en-US">
              <a:solidFill>
                <a:srgbClr val="424242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rgbClr val="424242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11"/>
        <c:spPr>
          <a:solidFill>
            <a:srgbClr val="FF4C00"/>
          </a:solidFill>
          <a:ln>
            <a:noFill/>
          </a:ln>
          <a:effectLst/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PivotTables!$AC$1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C-18FC-4247-9B3D-81B86B0D7045}"/>
              </c:ext>
            </c:extLst>
          </c:dPt>
          <c:dPt>
            <c:idx val="1"/>
            <c:bubble3D val="0"/>
            <c:spPr>
              <a:solidFill>
                <a:srgbClr val="FF4C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18FC-4247-9B3D-81B86B0D7045}"/>
              </c:ext>
            </c:extLst>
          </c:dPt>
          <c:cat>
            <c:strRef>
              <c:f>PivotTables!$AB$2:$AB$3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PivotTables!$AC$2:$AC$3</c:f>
              <c:numCache>
                <c:formatCode>0%</c:formatCode>
                <c:ptCount val="2"/>
                <c:pt idx="0">
                  <c:v>0.7409096559160302</c:v>
                </c:pt>
                <c:pt idx="1">
                  <c:v>0.25909034408397008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8FC-4247-9B3D-81B86B0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Dashboard.xlsx]PivotTables!SP_Plan_Unpl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24242"/>
                </a:solidFill>
              </a:rPr>
              <a:t>Total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marker>
          <c:symbol val="circle"/>
          <c:size val="4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1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4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17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20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PivotTables!$AE$1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PivotTables!$AD$2:$AD$3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PivotTables!$AE$2:$AE$3</c:f>
              <c:numCache>
                <c:formatCode>0%</c:formatCode>
                <c:ptCount val="2"/>
                <c:pt idx="0">
                  <c:v>0.78499178807954118</c:v>
                </c:pt>
                <c:pt idx="1">
                  <c:v>0.21500821192045896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78-2342-AF8B-29E5B18CE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Dashboard.xlsx]PivotTables!Ratio_SPIssue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Ratio SP / Issue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PivotTables!$T$1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140-D648-9E5D-00CB18D735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PivotTables!$T$2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PivotTables!$T$2</c:f>
              <c:numCache>
                <c:formatCode>0.00</c:formatCode>
                <c:ptCount val="1"/>
                <c:pt idx="0">
                  <c:v>5.1372102696975217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40-D648-9E5D-00CB18D73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Max 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4D4-7343-BD6E-7D9B9878DC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2-94D4-7343-BD6E-7D9B9878D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Dashboard.xlsx]PivotTables!Bugs_xsprint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PivotTables!$AM$1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</c:name>
            <c:spPr>
              <a:ln w="19050">
                <a:solidFill>
                  <a:schemeClr val="accent6"/>
                </a:solidFill>
                <a:prstDash val="dash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PivotTables!$AL$2:$AL$19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PivotTables!$AM$2:$AM$19</c:f>
              <c:numCache>
                <c:formatCode>General</c:formatCode>
                <c:ptCount val="17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6</c:v>
                </c:pt>
                <c:pt idx="12">
                  <c:v>4</c:v>
                </c:pt>
                <c:pt idx="13">
                  <c:v>1</c:v>
                </c:pt>
                <c:pt idx="14">
                  <c:v>4</c:v>
                </c:pt>
                <c:pt idx="15">
                  <c:v>1</c:v>
                </c:pt>
                <c:pt idx="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E5-A34C-AA5E-8867CDA5960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ISSUES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Dashboard.xlsx]PivotTables!Compliance_sprint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% Compliance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PivotTables!$AO$1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</c:name>
            <c:spPr>
              <a:ln w="19050">
                <a:solidFill>
                  <a:schemeClr val="accent1">
                    <a:lumMod val="60000"/>
                    <a:lumOff val="40000"/>
                  </a:schemeClr>
                </a:solidFill>
                <a:prstDash val="sysDot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PivotTables!$AN$2:$AN$19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PivotTables!$AO$2:$AO$19</c:f>
              <c:numCache>
                <c:formatCode>0%</c:formatCode>
                <c:ptCount val="17"/>
                <c:pt idx="0">
                  <c:v>0.5625</c:v>
                </c:pt>
                <c:pt idx="1">
                  <c:v>0.5393258426966292</c:v>
                </c:pt>
                <c:pt idx="2">
                  <c:v>0.62105263157894741</c:v>
                </c:pt>
                <c:pt idx="3">
                  <c:v>0.66326530612244894</c:v>
                </c:pt>
                <c:pt idx="4">
                  <c:v>0.6339285714285714</c:v>
                </c:pt>
                <c:pt idx="5">
                  <c:v>0.70731707317073167</c:v>
                </c:pt>
                <c:pt idx="6">
                  <c:v>0.7142857142857143</c:v>
                </c:pt>
                <c:pt idx="7">
                  <c:v>0.65853658536585369</c:v>
                </c:pt>
                <c:pt idx="8">
                  <c:v>0.48979591836734693</c:v>
                </c:pt>
                <c:pt idx="9">
                  <c:v>0.66666666666666663</c:v>
                </c:pt>
                <c:pt idx="10">
                  <c:v>0.66086956521739126</c:v>
                </c:pt>
                <c:pt idx="11">
                  <c:v>0.71084337349397586</c:v>
                </c:pt>
                <c:pt idx="12">
                  <c:v>0.95327102803738317</c:v>
                </c:pt>
                <c:pt idx="13">
                  <c:v>0.94117647058823528</c:v>
                </c:pt>
                <c:pt idx="14">
                  <c:v>0.98734177215189878</c:v>
                </c:pt>
                <c:pt idx="15">
                  <c:v>0.83116883116883122</c:v>
                </c:pt>
                <c:pt idx="16">
                  <c:v>0.92233009708737868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DF-524D-B187-8C9C33F3B0D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sz="1050" b="0" i="0" baseline="0">
                    <a:effectLst/>
                  </a:rPr>
                  <a:t>% SP Done / Commited</a:t>
                </a:r>
                <a:endParaRPr lang="es-ES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0.2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Bugs Resolved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PivotTables!$I$1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7FDE-2B44-97D2-21757ECBD3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PivotTables!$I$2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PivotTables!$I$2</c:f>
              <c:numCache>
                <c:formatCode>General</c:formatCode>
                <c:ptCount val="1"/>
                <c:pt idx="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DE-2B44-97D2-21757ECBD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Dashboard.xlsx]PivotTables!Bugs_xsprint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PivotTables!$AM$1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</c:name>
            <c:spPr>
              <a:ln w="19050">
                <a:solidFill>
                  <a:srgbClr val="A847F5"/>
                </a:solidFill>
                <a:prstDash val="sysDot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PivotTables!$AL$2:$AL$19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PivotTables!$AM$2:$AM$19</c:f>
              <c:numCache>
                <c:formatCode>General</c:formatCode>
                <c:ptCount val="17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6</c:v>
                </c:pt>
                <c:pt idx="12">
                  <c:v>4</c:v>
                </c:pt>
                <c:pt idx="13">
                  <c:v>1</c:v>
                </c:pt>
                <c:pt idx="14">
                  <c:v>4</c:v>
                </c:pt>
                <c:pt idx="15">
                  <c:v>1</c:v>
                </c:pt>
                <c:pt idx="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63-8E4E-B9D3-55150CFE2E8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ISSUES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rgbClr val="7030A0"/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Dashboard.xlsx]PivotTables!BugsRatio</c:name>
    <c:fmtId val="4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A847F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A847F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A847F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PivotTables!$J$1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rgbClr val="A847F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F9B4-BA43-A936-AFDCF6DBEA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PivotTables!$J$2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PivotTables!$J$2</c:f>
              <c:numCache>
                <c:formatCode>0</c:formatCode>
                <c:ptCount val="1"/>
                <c:pt idx="0">
                  <c:v>3.1176470588235294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B4-BA43-A936-AFDCF6DBE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rgbClr val="7030A0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Dashboard.xlsx]PivotTables!Compliance_sprint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% Team Compliance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PivotTables!$AO$1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</c:name>
            <c:spPr>
              <a:ln w="19050">
                <a:solidFill>
                  <a:schemeClr val="accent1">
                    <a:lumMod val="60000"/>
                    <a:lumOff val="40000"/>
                  </a:schemeClr>
                </a:solidFill>
                <a:prstDash val="sysDot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PivotTables!$AN$2:$AN$19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PivotTables!$AO$2:$AO$19</c:f>
              <c:numCache>
                <c:formatCode>0%</c:formatCode>
                <c:ptCount val="17"/>
                <c:pt idx="0">
                  <c:v>0.5625</c:v>
                </c:pt>
                <c:pt idx="1">
                  <c:v>0.5393258426966292</c:v>
                </c:pt>
                <c:pt idx="2">
                  <c:v>0.62105263157894741</c:v>
                </c:pt>
                <c:pt idx="3">
                  <c:v>0.66326530612244894</c:v>
                </c:pt>
                <c:pt idx="4">
                  <c:v>0.6339285714285714</c:v>
                </c:pt>
                <c:pt idx="5">
                  <c:v>0.70731707317073167</c:v>
                </c:pt>
                <c:pt idx="6">
                  <c:v>0.7142857142857143</c:v>
                </c:pt>
                <c:pt idx="7">
                  <c:v>0.65853658536585369</c:v>
                </c:pt>
                <c:pt idx="8">
                  <c:v>0.48979591836734693</c:v>
                </c:pt>
                <c:pt idx="9">
                  <c:v>0.66666666666666663</c:v>
                </c:pt>
                <c:pt idx="10">
                  <c:v>0.66086956521739126</c:v>
                </c:pt>
                <c:pt idx="11">
                  <c:v>0.71084337349397586</c:v>
                </c:pt>
                <c:pt idx="12">
                  <c:v>0.95327102803738317</c:v>
                </c:pt>
                <c:pt idx="13">
                  <c:v>0.94117647058823528</c:v>
                </c:pt>
                <c:pt idx="14">
                  <c:v>0.98734177215189878</c:v>
                </c:pt>
                <c:pt idx="15">
                  <c:v>0.83116883116883122</c:v>
                </c:pt>
                <c:pt idx="16">
                  <c:v>0.92233009708737868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08-7B41-8D00-6852A4B341F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sz="1050" b="0" i="0" baseline="0">
                    <a:effectLst/>
                  </a:rPr>
                  <a:t>% SP Done / Commited</a:t>
                </a:r>
                <a:endParaRPr lang="es-ES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0.2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Dashboard.xlsx]PivotTables!Compliance</c:name>
    <c:fmtId val="3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comp.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E5C0-E44A-BE9D-B41F291154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PivotTables!$K$2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PivotTables!$K$2</c:f>
              <c:numCache>
                <c:formatCode>0%</c:formatCode>
                <c:ptCount val="1"/>
                <c:pt idx="0">
                  <c:v>0.72139267337811785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C0-E44A-BE9D-B41F29115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Dashboard.xlsx]PivotTables!Hours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</a:t>
            </a:r>
            <a:r>
              <a:rPr lang="es-ES_tradnl" sz="1200" baseline="0">
                <a:solidFill>
                  <a:schemeClr val="tx2"/>
                </a:solidFill>
              </a:rPr>
              <a:t> </a:t>
            </a:r>
            <a:r>
              <a:rPr lang="es-ES_tradnl" sz="1200">
                <a:solidFill>
                  <a:schemeClr val="tx2"/>
                </a:solidFill>
              </a:rPr>
              <a:t>hours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PivotTables!$U$1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2E13-D541-8799-92D7E8C8E1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PivotTables!$U$2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PivotTables!$U$2</c:f>
              <c:numCache>
                <c:formatCode>0</c:formatCode>
                <c:ptCount val="1"/>
                <c:pt idx="0">
                  <c:v>418.76470588235293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D541-8799-92D7E8C8E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Dashboard.xlsx]PivotTables!SP_Plan_Unpl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424242"/>
                </a:solidFill>
              </a:rPr>
              <a:t>SP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1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4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7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20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2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23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2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PivotTables!$AE$1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DEBF-1347-B7CA-C5BD0E92E0B4}"/>
              </c:ext>
            </c:extLst>
          </c:dPt>
          <c:dPt>
            <c:idx val="1"/>
            <c:bubble3D val="0"/>
            <c:spPr>
              <a:solidFill>
                <a:srgbClr val="FF4C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DEBF-1347-B7CA-C5BD0E92E0B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DEBF-1347-B7CA-C5BD0E92E0B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rgbClr val="FF4C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EBF-1347-B7CA-C5BD0E92E0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PivotTables!$AD$2:$AD$3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PivotTables!$AE$2:$AE$3</c:f>
              <c:numCache>
                <c:formatCode>0%</c:formatCode>
                <c:ptCount val="2"/>
                <c:pt idx="0">
                  <c:v>0.78499178807954118</c:v>
                </c:pt>
                <c:pt idx="1">
                  <c:v>0.21500821192045896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BF-1347-B7CA-C5BD0E92E0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ln w="12700">
      <a:solidFill>
        <a:schemeClr val="accent4"/>
      </a:solidFill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Dashboard.xlsx]PivotTables!Velocity_SP</c:name>
    <c:fmtId val="3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Velocity (SP)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PivotTables!$F$1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PivotTables!$E$2:$E$19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PivotTables!$F$2:$F$19</c:f>
              <c:numCache>
                <c:formatCode>General</c:formatCode>
                <c:ptCount val="17"/>
                <c:pt idx="0">
                  <c:v>80</c:v>
                </c:pt>
                <c:pt idx="1">
                  <c:v>89</c:v>
                </c:pt>
                <c:pt idx="2">
                  <c:v>95</c:v>
                </c:pt>
                <c:pt idx="3">
                  <c:v>98</c:v>
                </c:pt>
                <c:pt idx="4">
                  <c:v>112</c:v>
                </c:pt>
                <c:pt idx="5">
                  <c:v>82</c:v>
                </c:pt>
                <c:pt idx="6">
                  <c:v>105</c:v>
                </c:pt>
                <c:pt idx="7">
                  <c:v>123</c:v>
                </c:pt>
                <c:pt idx="8">
                  <c:v>98</c:v>
                </c:pt>
                <c:pt idx="9">
                  <c:v>120</c:v>
                </c:pt>
                <c:pt idx="10">
                  <c:v>115</c:v>
                </c:pt>
                <c:pt idx="11">
                  <c:v>83</c:v>
                </c:pt>
                <c:pt idx="12">
                  <c:v>107</c:v>
                </c:pt>
                <c:pt idx="13">
                  <c:v>102</c:v>
                </c:pt>
                <c:pt idx="14">
                  <c:v>79</c:v>
                </c:pt>
                <c:pt idx="15">
                  <c:v>77</c:v>
                </c:pt>
                <c:pt idx="16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97-AD4A-9B7D-5B6EAC5E7B94}"/>
            </c:ext>
          </c:extLst>
        </c:ser>
        <c:ser>
          <c:idx val="1"/>
          <c:order val="1"/>
          <c:tx>
            <c:strRef>
              <c:f>PivotTables!$G$1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(Done)</c:name>
            <c:spPr>
              <a:ln w="25400" cap="rnd">
                <a:solidFill>
                  <a:schemeClr val="accent4"/>
                </a:solidFill>
                <a:prstDash val="sysDot"/>
                <a:headEnd type="oval"/>
                <a:tailEnd type="triangle" w="med" len="lg"/>
              </a:ln>
              <a:effectLst/>
            </c:spPr>
            <c:trendlineType val="linear"/>
            <c:dispRSqr val="0"/>
            <c:dispEq val="0"/>
          </c:trendline>
          <c:cat>
            <c:strRef>
              <c:f>PivotTables!$E$2:$E$19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PivotTables!$G$2:$G$19</c:f>
              <c:numCache>
                <c:formatCode>General</c:formatCode>
                <c:ptCount val="17"/>
                <c:pt idx="0">
                  <c:v>67</c:v>
                </c:pt>
                <c:pt idx="1">
                  <c:v>75</c:v>
                </c:pt>
                <c:pt idx="2">
                  <c:v>74</c:v>
                </c:pt>
                <c:pt idx="3">
                  <c:v>84</c:v>
                </c:pt>
                <c:pt idx="4">
                  <c:v>85</c:v>
                </c:pt>
                <c:pt idx="5">
                  <c:v>67</c:v>
                </c:pt>
                <c:pt idx="6">
                  <c:v>92</c:v>
                </c:pt>
                <c:pt idx="7">
                  <c:v>110</c:v>
                </c:pt>
                <c:pt idx="8">
                  <c:v>73</c:v>
                </c:pt>
                <c:pt idx="9">
                  <c:v>86</c:v>
                </c:pt>
                <c:pt idx="10">
                  <c:v>89</c:v>
                </c:pt>
                <c:pt idx="11">
                  <c:v>71</c:v>
                </c:pt>
                <c:pt idx="12">
                  <c:v>119</c:v>
                </c:pt>
                <c:pt idx="13">
                  <c:v>119</c:v>
                </c:pt>
                <c:pt idx="14">
                  <c:v>101</c:v>
                </c:pt>
                <c:pt idx="15">
                  <c:v>92</c:v>
                </c:pt>
                <c:pt idx="16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97-AD4A-9B7D-5B6EAC5E7B94}"/>
            </c:ext>
          </c:extLst>
        </c:ser>
        <c:ser>
          <c:idx val="2"/>
          <c:order val="2"/>
          <c:tx>
            <c:strRef>
              <c:f>PivotTables!$H$1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PivotTables!$E$2:$E$19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PivotTables!$H$2:$H$19</c:f>
              <c:numCache>
                <c:formatCode>General</c:formatCode>
                <c:ptCount val="17"/>
                <c:pt idx="0">
                  <c:v>22</c:v>
                </c:pt>
                <c:pt idx="1">
                  <c:v>27</c:v>
                </c:pt>
                <c:pt idx="2">
                  <c:v>15</c:v>
                </c:pt>
                <c:pt idx="3">
                  <c:v>19</c:v>
                </c:pt>
                <c:pt idx="4">
                  <c:v>14</c:v>
                </c:pt>
                <c:pt idx="5">
                  <c:v>9</c:v>
                </c:pt>
                <c:pt idx="6">
                  <c:v>17</c:v>
                </c:pt>
                <c:pt idx="7">
                  <c:v>29</c:v>
                </c:pt>
                <c:pt idx="8">
                  <c:v>25</c:v>
                </c:pt>
                <c:pt idx="9">
                  <c:v>6</c:v>
                </c:pt>
                <c:pt idx="10">
                  <c:v>13</c:v>
                </c:pt>
                <c:pt idx="11">
                  <c:v>12</c:v>
                </c:pt>
                <c:pt idx="12">
                  <c:v>17</c:v>
                </c:pt>
                <c:pt idx="13">
                  <c:v>23</c:v>
                </c:pt>
                <c:pt idx="14">
                  <c:v>23</c:v>
                </c:pt>
                <c:pt idx="15">
                  <c:v>28</c:v>
                </c:pt>
                <c:pt idx="1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97-AD4A-9B7D-5B6EAC5E7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accent4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Dashboard.xlsx]PivotTables!Velocity_Issues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Velocity (Issues)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PivotTables!$B$1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PivotTables!$A$2:$A$19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PivotTables!$B$2:$B$19</c:f>
              <c:numCache>
                <c:formatCode>General</c:formatCode>
                <c:ptCount val="17"/>
                <c:pt idx="0">
                  <c:v>12</c:v>
                </c:pt>
                <c:pt idx="1">
                  <c:v>14</c:v>
                </c:pt>
                <c:pt idx="2">
                  <c:v>14</c:v>
                </c:pt>
                <c:pt idx="3">
                  <c:v>16</c:v>
                </c:pt>
                <c:pt idx="4">
                  <c:v>17</c:v>
                </c:pt>
                <c:pt idx="5">
                  <c:v>14</c:v>
                </c:pt>
                <c:pt idx="6">
                  <c:v>19</c:v>
                </c:pt>
                <c:pt idx="7">
                  <c:v>23</c:v>
                </c:pt>
                <c:pt idx="8">
                  <c:v>16</c:v>
                </c:pt>
                <c:pt idx="9">
                  <c:v>19</c:v>
                </c:pt>
                <c:pt idx="10">
                  <c:v>20</c:v>
                </c:pt>
                <c:pt idx="11">
                  <c:v>16</c:v>
                </c:pt>
                <c:pt idx="12">
                  <c:v>21</c:v>
                </c:pt>
                <c:pt idx="13">
                  <c:v>23</c:v>
                </c:pt>
                <c:pt idx="14">
                  <c:v>19</c:v>
                </c:pt>
                <c:pt idx="15">
                  <c:v>14</c:v>
                </c:pt>
                <c:pt idx="16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E1-3D4B-83B5-5A3CA85BFF5F}"/>
            </c:ext>
          </c:extLst>
        </c:ser>
        <c:ser>
          <c:idx val="1"/>
          <c:order val="1"/>
          <c:tx>
            <c:strRef>
              <c:f>PivotTables!$C$1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(Done)</c:name>
            <c:spPr>
              <a:ln w="25400" cap="rnd">
                <a:solidFill>
                  <a:schemeClr val="accent4"/>
                </a:solidFill>
                <a:prstDash val="sysDot"/>
                <a:headEnd type="oval"/>
                <a:tailEnd type="triangle" w="med" len="lg"/>
              </a:ln>
              <a:effectLst/>
            </c:spPr>
            <c:trendlineType val="linear"/>
            <c:dispRSqr val="0"/>
            <c:dispEq val="0"/>
          </c:trendline>
          <c:cat>
            <c:strRef>
              <c:f>PivotTables!$A$2:$A$19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PivotTables!$C$2:$C$19</c:f>
              <c:numCache>
                <c:formatCode>General</c:formatCode>
                <c:ptCount val="17"/>
                <c:pt idx="0">
                  <c:v>17</c:v>
                </c:pt>
                <c:pt idx="1">
                  <c:v>19</c:v>
                </c:pt>
                <c:pt idx="2">
                  <c:v>17</c:v>
                </c:pt>
                <c:pt idx="3">
                  <c:v>12</c:v>
                </c:pt>
                <c:pt idx="4">
                  <c:v>16</c:v>
                </c:pt>
                <c:pt idx="5">
                  <c:v>19</c:v>
                </c:pt>
                <c:pt idx="6">
                  <c:v>16</c:v>
                </c:pt>
                <c:pt idx="7">
                  <c:v>20</c:v>
                </c:pt>
                <c:pt idx="8">
                  <c:v>15</c:v>
                </c:pt>
                <c:pt idx="9">
                  <c:v>18</c:v>
                </c:pt>
                <c:pt idx="10">
                  <c:v>20</c:v>
                </c:pt>
                <c:pt idx="11">
                  <c:v>18</c:v>
                </c:pt>
                <c:pt idx="12">
                  <c:v>21</c:v>
                </c:pt>
                <c:pt idx="13">
                  <c:v>24</c:v>
                </c:pt>
                <c:pt idx="14">
                  <c:v>18</c:v>
                </c:pt>
                <c:pt idx="15">
                  <c:v>11</c:v>
                </c:pt>
                <c:pt idx="16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7E1-3D4B-83B5-5A3CA85BFF5F}"/>
            </c:ext>
          </c:extLst>
        </c:ser>
        <c:ser>
          <c:idx val="2"/>
          <c:order val="2"/>
          <c:tx>
            <c:strRef>
              <c:f>PivotTables!$D$1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PivotTables!$A$2:$A$19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PivotTables!$D$2:$D$19</c:f>
              <c:numCache>
                <c:formatCode>General</c:formatCode>
                <c:ptCount val="17"/>
                <c:pt idx="0">
                  <c:v>6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7E1-3D4B-83B5-5A3CA85BF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solidFill>
        <a:schemeClr val="accent4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Dashboard.xlsx]PivotTables!Perc_Issues_pl_vs_unp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424242"/>
                </a:solidFill>
              </a:rPr>
              <a:t>Issues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1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4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7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20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2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23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2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PivotTables!$AC$1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7F6C-7B43-9FA7-10F335FBEF0B}"/>
              </c:ext>
            </c:extLst>
          </c:dPt>
          <c:dPt>
            <c:idx val="1"/>
            <c:bubble3D val="0"/>
            <c:spPr>
              <a:solidFill>
                <a:srgbClr val="FF4C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7F6C-7B43-9FA7-10F335FBEF0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F6C-7B43-9FA7-10F335FBEF0B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rgbClr val="FF4C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F6C-7B43-9FA7-10F335FBEF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PivotTables!$AB$2:$AB$3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PivotTables!$AC$2:$AC$3</c:f>
              <c:numCache>
                <c:formatCode>0%</c:formatCode>
                <c:ptCount val="2"/>
                <c:pt idx="0">
                  <c:v>0.7409096559160302</c:v>
                </c:pt>
                <c:pt idx="1">
                  <c:v>0.25909034408397008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6C-7B43-9FA7-10F335FBEF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ln w="12700">
      <a:solidFill>
        <a:schemeClr val="accent2"/>
      </a:solidFill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Dashboard.xlsx]PivotTables!Avg_Unpl_Issues_Done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Issues Unplanned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3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PivotTables!$Y$1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5BAC-3548-838B-81A5B1A0B9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PivotTables!$Y$2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PivotTables!$Y$2</c:f>
              <c:numCache>
                <c:formatCode>0</c:formatCode>
                <c:ptCount val="1"/>
                <c:pt idx="0">
                  <c:v>4.5294117647058822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AC-3548-838B-81A5B1A0B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Dashboard.xlsx]PivotTables!Commited_Issues</c:name>
    <c:fmtId val="3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Issues</a:t>
            </a:r>
            <a:r>
              <a:rPr lang="es-ES_tradnl" sz="1200" baseline="0">
                <a:solidFill>
                  <a:schemeClr val="tx2"/>
                </a:solidFill>
              </a:rPr>
              <a:t> </a:t>
            </a:r>
            <a:r>
              <a:rPr lang="es-ES_tradnl" sz="1200">
                <a:solidFill>
                  <a:schemeClr val="tx2"/>
                </a:solidFill>
              </a:rPr>
              <a:t>Planned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PivotTables!$W$1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0B09-5243-A8B8-C8773CD75E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PivotTables!$W$2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PivotTables!$W$2</c:f>
              <c:numCache>
                <c:formatCode>0</c:formatCode>
                <c:ptCount val="1"/>
                <c:pt idx="0">
                  <c:v>17.529411764705884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09-5243-A8B8-C8773CD75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Dashboard.xlsx]PivotTables!Issues_Done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Issues Total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PivotTables!$V$1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CE63-8B4F-BE3F-831CEC994C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PivotTables!$V$2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PivotTables!$V$2</c:f>
              <c:numCache>
                <c:formatCode>0</c:formatCode>
                <c:ptCount val="1"/>
                <c:pt idx="0">
                  <c:v>17.823529411764707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63-8B4F-BE3F-831CEC994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Dashboard.xlsx]PivotTables!Avg_Unpl_SP_Done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</a:t>
            </a:r>
            <a:r>
              <a:rPr lang="es-ES_tradnl" sz="1200" baseline="0">
                <a:solidFill>
                  <a:schemeClr val="tx2"/>
                </a:solidFill>
              </a:rPr>
              <a:t> SP Unplanned</a:t>
            </a:r>
            <a:endParaRPr lang="es-ES_tradnl" sz="1200">
              <a:solidFill>
                <a:schemeClr val="tx2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PivotTables!$AA$1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C242-D34E-A17C-852726BABB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PivotTables!$AA$2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PivotTables!$AA$2</c:f>
              <c:numCache>
                <c:formatCode>0</c:formatCode>
                <c:ptCount val="1"/>
                <c:pt idx="0">
                  <c:v>18.941176470588236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42-D34E-A17C-852726BAB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Dashboard.xlsx]PivotTables!Commited_SP</c:name>
    <c:fmtId val="3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SP</a:t>
            </a:r>
            <a:r>
              <a:rPr lang="es-ES_tradnl" sz="1200" baseline="0">
                <a:solidFill>
                  <a:schemeClr val="tx2"/>
                </a:solidFill>
              </a:rPr>
              <a:t> </a:t>
            </a:r>
            <a:r>
              <a:rPr lang="es-ES_tradnl" sz="1200">
                <a:solidFill>
                  <a:schemeClr val="tx2"/>
                </a:solidFill>
              </a:rPr>
              <a:t>Planned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PivotTables!$X$1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39DE-494A-9823-7D9C3FDE21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PivotTables!$X$2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PivotTables!$X$2</c:f>
              <c:numCache>
                <c:formatCode>0</c:formatCode>
                <c:ptCount val="1"/>
                <c:pt idx="0">
                  <c:v>98.117647058823536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DE-494A-9823-7D9C3FDE2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Dashboard.xlsx]PivotTables!Sp_Done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SP Total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PivotTables!$Z$1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D858-AE48-AE66-F345FBC5BA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PivotTables!$Z$2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PivotTables!$Z$2</c:f>
              <c:numCache>
                <c:formatCode>0</c:formatCode>
                <c:ptCount val="1"/>
                <c:pt idx="0">
                  <c:v>89.529411764705884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58-AE48-AE66-F345FBC5B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Dashboard.xlsx]PivotTables!Ratio_SPIssue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Ratio SP / Issue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PivotTables!$T$1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D169-9C45-B2A8-42ADB85B0C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PivotTables!$T$2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PivotTables!$T$2</c:f>
              <c:numCache>
                <c:formatCode>0.00</c:formatCode>
                <c:ptCount val="1"/>
                <c:pt idx="0">
                  <c:v>5.1372102696975217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69-9C45-B2A8-42ADB85B0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3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12" Type="http://schemas.openxmlformats.org/officeDocument/2006/relationships/chart" Target="../charts/chart32.xml"/><Relationship Id="rId17" Type="http://schemas.openxmlformats.org/officeDocument/2006/relationships/image" Target="../media/image1.png"/><Relationship Id="rId2" Type="http://schemas.openxmlformats.org/officeDocument/2006/relationships/chart" Target="../charts/chart22.xml"/><Relationship Id="rId16" Type="http://schemas.openxmlformats.org/officeDocument/2006/relationships/chart" Target="../charts/chart36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5" Type="http://schemas.openxmlformats.org/officeDocument/2006/relationships/chart" Target="../charts/chart35.xml"/><Relationship Id="rId10" Type="http://schemas.openxmlformats.org/officeDocument/2006/relationships/chart" Target="../charts/chart30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Relationship Id="rId14" Type="http://schemas.openxmlformats.org/officeDocument/2006/relationships/chart" Target="../charts/chart3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13" Type="http://schemas.openxmlformats.org/officeDocument/2006/relationships/chart" Target="../charts/chart49.xml"/><Relationship Id="rId18" Type="http://schemas.openxmlformats.org/officeDocument/2006/relationships/chart" Target="../charts/chart54.xml"/><Relationship Id="rId3" Type="http://schemas.openxmlformats.org/officeDocument/2006/relationships/chart" Target="../charts/chart39.xml"/><Relationship Id="rId7" Type="http://schemas.openxmlformats.org/officeDocument/2006/relationships/chart" Target="../charts/chart43.xml"/><Relationship Id="rId12" Type="http://schemas.openxmlformats.org/officeDocument/2006/relationships/chart" Target="../charts/chart48.xml"/><Relationship Id="rId17" Type="http://schemas.openxmlformats.org/officeDocument/2006/relationships/chart" Target="../charts/chart53.xml"/><Relationship Id="rId2" Type="http://schemas.openxmlformats.org/officeDocument/2006/relationships/chart" Target="../charts/chart38.xml"/><Relationship Id="rId16" Type="http://schemas.openxmlformats.org/officeDocument/2006/relationships/chart" Target="../charts/chart52.xml"/><Relationship Id="rId20" Type="http://schemas.openxmlformats.org/officeDocument/2006/relationships/chart" Target="../charts/chart56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11" Type="http://schemas.openxmlformats.org/officeDocument/2006/relationships/chart" Target="../charts/chart47.xml"/><Relationship Id="rId5" Type="http://schemas.openxmlformats.org/officeDocument/2006/relationships/chart" Target="../charts/chart41.xml"/><Relationship Id="rId15" Type="http://schemas.openxmlformats.org/officeDocument/2006/relationships/chart" Target="../charts/chart51.xml"/><Relationship Id="rId10" Type="http://schemas.openxmlformats.org/officeDocument/2006/relationships/chart" Target="../charts/chart46.xml"/><Relationship Id="rId19" Type="http://schemas.openxmlformats.org/officeDocument/2006/relationships/chart" Target="../charts/chart55.xml"/><Relationship Id="rId4" Type="http://schemas.openxmlformats.org/officeDocument/2006/relationships/chart" Target="../charts/chart40.xml"/><Relationship Id="rId9" Type="http://schemas.openxmlformats.org/officeDocument/2006/relationships/chart" Target="../charts/chart45.xml"/><Relationship Id="rId14" Type="http://schemas.openxmlformats.org/officeDocument/2006/relationships/chart" Target="../charts/chart5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3.xml"/><Relationship Id="rId13" Type="http://schemas.openxmlformats.org/officeDocument/2006/relationships/chart" Target="../charts/chart68.xml"/><Relationship Id="rId3" Type="http://schemas.openxmlformats.org/officeDocument/2006/relationships/chart" Target="../charts/chart59.xml"/><Relationship Id="rId7" Type="http://schemas.openxmlformats.org/officeDocument/2006/relationships/chart" Target="../charts/chart62.xml"/><Relationship Id="rId12" Type="http://schemas.openxmlformats.org/officeDocument/2006/relationships/chart" Target="../charts/chart67.xml"/><Relationship Id="rId17" Type="http://schemas.openxmlformats.org/officeDocument/2006/relationships/chart" Target="../charts/chart72.xml"/><Relationship Id="rId2" Type="http://schemas.openxmlformats.org/officeDocument/2006/relationships/chart" Target="../charts/chart58.xml"/><Relationship Id="rId16" Type="http://schemas.openxmlformats.org/officeDocument/2006/relationships/chart" Target="../charts/chart71.xml"/><Relationship Id="rId1" Type="http://schemas.openxmlformats.org/officeDocument/2006/relationships/chart" Target="../charts/chart57.xml"/><Relationship Id="rId6" Type="http://schemas.openxmlformats.org/officeDocument/2006/relationships/image" Target="../media/image1.png"/><Relationship Id="rId11" Type="http://schemas.openxmlformats.org/officeDocument/2006/relationships/chart" Target="../charts/chart66.xml"/><Relationship Id="rId5" Type="http://schemas.openxmlformats.org/officeDocument/2006/relationships/chart" Target="../charts/chart61.xml"/><Relationship Id="rId15" Type="http://schemas.openxmlformats.org/officeDocument/2006/relationships/chart" Target="../charts/chart70.xml"/><Relationship Id="rId10" Type="http://schemas.openxmlformats.org/officeDocument/2006/relationships/chart" Target="../charts/chart65.xml"/><Relationship Id="rId4" Type="http://schemas.openxmlformats.org/officeDocument/2006/relationships/chart" Target="../charts/chart60.xml"/><Relationship Id="rId9" Type="http://schemas.openxmlformats.org/officeDocument/2006/relationships/chart" Target="../charts/chart64.xml"/><Relationship Id="rId14" Type="http://schemas.openxmlformats.org/officeDocument/2006/relationships/chart" Target="../charts/chart6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341923</xdr:colOff>
      <xdr:row>6</xdr:row>
      <xdr:rowOff>29307</xdr:rowOff>
    </xdr:from>
    <xdr:to>
      <xdr:col>3</xdr:col>
      <xdr:colOff>185154</xdr:colOff>
      <xdr:row>19</xdr:row>
      <xdr:rowOff>9307</xdr:rowOff>
    </xdr:to>
    <xdr:graphicFrame macro="">
      <xdr:nvGraphicFramePr>
        <xdr:cNvPr id="2" name="Velocity_Issues">
          <a:extLst>
            <a:ext uri="{FF2B5EF4-FFF2-40B4-BE49-F238E27FC236}">
              <a16:creationId xmlns:a16="http://schemas.microsoft.com/office/drawing/2014/main" id="{E919F04B-3B38-FB4B-8BF5-0D419CC0A8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801078</xdr:colOff>
      <xdr:row>11</xdr:row>
      <xdr:rowOff>98672</xdr:rowOff>
    </xdr:from>
    <xdr:to>
      <xdr:col>15</xdr:col>
      <xdr:colOff>683847</xdr:colOff>
      <xdr:row>19</xdr:row>
      <xdr:rowOff>29595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print 1">
              <a:extLst>
                <a:ext uri="{FF2B5EF4-FFF2-40B4-BE49-F238E27FC236}">
                  <a16:creationId xmlns:a16="http://schemas.microsoft.com/office/drawing/2014/main" id="{FA3CED7F-5374-DA43-B5CA-24AD1AA1E5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print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09693" y="3068518"/>
              <a:ext cx="5461000" cy="149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4</xdr:col>
      <xdr:colOff>400049</xdr:colOff>
      <xdr:row>6</xdr:row>
      <xdr:rowOff>66432</xdr:rowOff>
    </xdr:from>
    <xdr:to>
      <xdr:col>7</xdr:col>
      <xdr:colOff>243280</xdr:colOff>
      <xdr:row>19</xdr:row>
      <xdr:rowOff>46432</xdr:rowOff>
    </xdr:to>
    <xdr:graphicFrame macro="">
      <xdr:nvGraphicFramePr>
        <xdr:cNvPr id="4" name="Velocity_SP">
          <a:extLst>
            <a:ext uri="{FF2B5EF4-FFF2-40B4-BE49-F238E27FC236}">
              <a16:creationId xmlns:a16="http://schemas.microsoft.com/office/drawing/2014/main" id="{E8AA00EB-3B20-5743-8991-733E9FE234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68382</xdr:colOff>
      <xdr:row>3</xdr:row>
      <xdr:rowOff>14652</xdr:rowOff>
    </xdr:from>
    <xdr:to>
      <xdr:col>8</xdr:col>
      <xdr:colOff>788382</xdr:colOff>
      <xdr:row>7</xdr:row>
      <xdr:rowOff>25114</xdr:rowOff>
    </xdr:to>
    <xdr:graphicFrame macro="">
      <xdr:nvGraphicFramePr>
        <xdr:cNvPr id="5" name="Bugs">
          <a:extLst>
            <a:ext uri="{FF2B5EF4-FFF2-40B4-BE49-F238E27FC236}">
              <a16:creationId xmlns:a16="http://schemas.microsoft.com/office/drawing/2014/main" id="{199FF77E-919C-6140-8453-FCB33F66E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117231</xdr:colOff>
      <xdr:row>3</xdr:row>
      <xdr:rowOff>14652</xdr:rowOff>
    </xdr:from>
    <xdr:to>
      <xdr:col>10</xdr:col>
      <xdr:colOff>837231</xdr:colOff>
      <xdr:row>7</xdr:row>
      <xdr:rowOff>25114</xdr:rowOff>
    </xdr:to>
    <xdr:graphicFrame macro="">
      <xdr:nvGraphicFramePr>
        <xdr:cNvPr id="6" name="Compliance">
          <a:extLst>
            <a:ext uri="{FF2B5EF4-FFF2-40B4-BE49-F238E27FC236}">
              <a16:creationId xmlns:a16="http://schemas.microsoft.com/office/drawing/2014/main" id="{2D96566C-F451-044E-80E2-5D7039B4B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166078</xdr:colOff>
      <xdr:row>3</xdr:row>
      <xdr:rowOff>14652</xdr:rowOff>
    </xdr:from>
    <xdr:to>
      <xdr:col>9</xdr:col>
      <xdr:colOff>886078</xdr:colOff>
      <xdr:row>7</xdr:row>
      <xdr:rowOff>25114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B9C5E52-EE20-AB4A-8109-427A5EB07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3</xdr:row>
      <xdr:rowOff>87922</xdr:rowOff>
    </xdr:from>
    <xdr:to>
      <xdr:col>19</xdr:col>
      <xdr:colOff>9770</xdr:colOff>
      <xdr:row>10</xdr:row>
      <xdr:rowOff>156308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52FECC7-AB36-F949-906A-D040A183A2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175847</xdr:colOff>
      <xdr:row>2</xdr:row>
      <xdr:rowOff>146536</xdr:rowOff>
    </xdr:from>
    <xdr:to>
      <xdr:col>20</xdr:col>
      <xdr:colOff>967847</xdr:colOff>
      <xdr:row>6</xdr:row>
      <xdr:rowOff>156998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1DBC7652-CB69-874C-8D49-2546C5A0C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97693</xdr:colOff>
      <xdr:row>2</xdr:row>
      <xdr:rowOff>146536</xdr:rowOff>
    </xdr:from>
    <xdr:to>
      <xdr:col>22</xdr:col>
      <xdr:colOff>889693</xdr:colOff>
      <xdr:row>6</xdr:row>
      <xdr:rowOff>156998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8F80975-F2AE-A846-A367-83AC0ED78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48851</xdr:colOff>
      <xdr:row>2</xdr:row>
      <xdr:rowOff>146536</xdr:rowOff>
    </xdr:from>
    <xdr:to>
      <xdr:col>23</xdr:col>
      <xdr:colOff>840851</xdr:colOff>
      <xdr:row>6</xdr:row>
      <xdr:rowOff>156998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36D6AF77-365A-2149-B929-61BEEBB9C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156310</xdr:colOff>
      <xdr:row>2</xdr:row>
      <xdr:rowOff>146536</xdr:rowOff>
    </xdr:from>
    <xdr:to>
      <xdr:col>21</xdr:col>
      <xdr:colOff>948310</xdr:colOff>
      <xdr:row>6</xdr:row>
      <xdr:rowOff>156998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ED05E577-B268-7D46-ADA6-DFD8BD2BE7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459153</xdr:colOff>
      <xdr:row>2</xdr:row>
      <xdr:rowOff>146536</xdr:rowOff>
    </xdr:from>
    <xdr:to>
      <xdr:col>25</xdr:col>
      <xdr:colOff>1251153</xdr:colOff>
      <xdr:row>6</xdr:row>
      <xdr:rowOff>156998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9A6148D4-CB18-2542-81B1-C16516EB55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24</xdr:col>
      <xdr:colOff>351691</xdr:colOff>
      <xdr:row>2</xdr:row>
      <xdr:rowOff>146536</xdr:rowOff>
    </xdr:from>
    <xdr:to>
      <xdr:col>24</xdr:col>
      <xdr:colOff>1143691</xdr:colOff>
      <xdr:row>6</xdr:row>
      <xdr:rowOff>156998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3CE11292-EFA8-2D48-B82A-0647E72AB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26</xdr:col>
      <xdr:colOff>205153</xdr:colOff>
      <xdr:row>2</xdr:row>
      <xdr:rowOff>146536</xdr:rowOff>
    </xdr:from>
    <xdr:to>
      <xdr:col>26</xdr:col>
      <xdr:colOff>997153</xdr:colOff>
      <xdr:row>6</xdr:row>
      <xdr:rowOff>156998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9787D6BD-4580-314E-B169-5A733D9F1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27</xdr:col>
      <xdr:colOff>175846</xdr:colOff>
      <xdr:row>4</xdr:row>
      <xdr:rowOff>97692</xdr:rowOff>
    </xdr:from>
    <xdr:to>
      <xdr:col>28</xdr:col>
      <xdr:colOff>1172308</xdr:colOff>
      <xdr:row>15</xdr:row>
      <xdr:rowOff>8790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AB6E0FDF-C6FA-814F-ADF3-6D363CEFF6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29</xdr:col>
      <xdr:colOff>224694</xdr:colOff>
      <xdr:row>4</xdr:row>
      <xdr:rowOff>59594</xdr:rowOff>
    </xdr:from>
    <xdr:to>
      <xdr:col>30</xdr:col>
      <xdr:colOff>928077</xdr:colOff>
      <xdr:row>15</xdr:row>
      <xdr:rowOff>48847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17496763-6C8C-C545-932A-8D0107534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127001</xdr:colOff>
      <xdr:row>2</xdr:row>
      <xdr:rowOff>146536</xdr:rowOff>
    </xdr:from>
    <xdr:to>
      <xdr:col>19</xdr:col>
      <xdr:colOff>919001</xdr:colOff>
      <xdr:row>6</xdr:row>
      <xdr:rowOff>156998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12D7053A-2639-1E4F-BD16-78D8689513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37</xdr:col>
      <xdr:colOff>0</xdr:colOff>
      <xdr:row>3</xdr:row>
      <xdr:rowOff>29308</xdr:rowOff>
    </xdr:from>
    <xdr:to>
      <xdr:col>37</xdr:col>
      <xdr:colOff>0</xdr:colOff>
      <xdr:row>7</xdr:row>
      <xdr:rowOff>127001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B299D603-A6A7-C34B-898D-D41F124B51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37</xdr:col>
      <xdr:colOff>117230</xdr:colOff>
      <xdr:row>5</xdr:row>
      <xdr:rowOff>79131</xdr:rowOff>
    </xdr:from>
    <xdr:to>
      <xdr:col>38</xdr:col>
      <xdr:colOff>787399</xdr:colOff>
      <xdr:row>16</xdr:row>
      <xdr:rowOff>175846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59BAD9E1-1EEB-9F4D-90A2-C446E7010B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39</xdr:col>
      <xdr:colOff>254002</xdr:colOff>
      <xdr:row>5</xdr:row>
      <xdr:rowOff>78152</xdr:rowOff>
    </xdr:from>
    <xdr:to>
      <xdr:col>40</xdr:col>
      <xdr:colOff>1318846</xdr:colOff>
      <xdr:row>17</xdr:row>
      <xdr:rowOff>23444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13DAA2BD-6051-5F40-9D0B-E4F6CDDB2F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24</xdr:col>
      <xdr:colOff>393699</xdr:colOff>
      <xdr:row>8</xdr:row>
      <xdr:rowOff>69360</xdr:rowOff>
    </xdr:from>
    <xdr:to>
      <xdr:col>24</xdr:col>
      <xdr:colOff>1185699</xdr:colOff>
      <xdr:row>12</xdr:row>
      <xdr:rowOff>79822</xdr:rowOff>
    </xdr:to>
    <xdr:graphicFrame macro="">
      <xdr:nvGraphicFramePr>
        <xdr:cNvPr id="22" name="Bugs">
          <a:extLst>
            <a:ext uri="{FF2B5EF4-FFF2-40B4-BE49-F238E27FC236}">
              <a16:creationId xmlns:a16="http://schemas.microsoft.com/office/drawing/2014/main" id="{63B2D76F-964F-7844-AE0A-6AB7DD8B99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10585</xdr:colOff>
      <xdr:row>0</xdr:row>
      <xdr:rowOff>25400</xdr:rowOff>
    </xdr:from>
    <xdr:to>
      <xdr:col>55</xdr:col>
      <xdr:colOff>272252</xdr:colOff>
      <xdr:row>4</xdr:row>
      <xdr:rowOff>11400</xdr:rowOff>
    </xdr:to>
    <xdr:sp macro="" textlink="">
      <xdr:nvSpPr>
        <xdr:cNvPr id="21" name="Rectángulo redondeado 20">
          <a:extLst>
            <a:ext uri="{FF2B5EF4-FFF2-40B4-BE49-F238E27FC236}">
              <a16:creationId xmlns:a16="http://schemas.microsoft.com/office/drawing/2014/main" id="{396F36A1-6AE6-86DE-8988-31E064C093FB}"/>
            </a:ext>
          </a:extLst>
        </xdr:cNvPr>
        <xdr:cNvSpPr>
          <a:spLocks noChangeAspect="1"/>
        </xdr:cNvSpPr>
      </xdr:nvSpPr>
      <xdr:spPr>
        <a:xfrm>
          <a:off x="10585" y="25400"/>
          <a:ext cx="16560000" cy="621000"/>
        </a:xfrm>
        <a:prstGeom prst="roundRect">
          <a:avLst/>
        </a:prstGeom>
        <a:solidFill>
          <a:srgbClr val="92D050"/>
        </a:solidFill>
        <a:ln w="0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3600" b="1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Scrum Master </a:t>
          </a:r>
          <a:r>
            <a:rPr lang="en-US" sz="3600" b="0" i="0" u="none" strike="noStrike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Control</a:t>
          </a:r>
          <a:r>
            <a:rPr lang="en-US" sz="3600" b="0" i="0" u="none" strike="noStrike" baseline="0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 Dashboard</a:t>
          </a:r>
          <a:endParaRPr lang="en-US" sz="3600" b="0" i="0" u="none" strike="noStrike">
            <a:solidFill>
              <a:schemeClr val="bg1">
                <a:lumMod val="95000"/>
              </a:schemeClr>
            </a:solidFill>
            <a:latin typeface="+mj-lt"/>
            <a:cs typeface="Calibri" panose="020F0502020204030204" pitchFamily="34" charset="0"/>
          </a:endParaRPr>
        </a:p>
      </xdr:txBody>
    </xdr:sp>
    <xdr:clientData/>
  </xdr:twoCellAnchor>
  <xdr:twoCellAnchor editAs="absolute">
    <xdr:from>
      <xdr:col>0</xdr:col>
      <xdr:colOff>107998</xdr:colOff>
      <xdr:row>4</xdr:row>
      <xdr:rowOff>179916</xdr:rowOff>
    </xdr:from>
    <xdr:to>
      <xdr:col>55</xdr:col>
      <xdr:colOff>189665</xdr:colOff>
      <xdr:row>9</xdr:row>
      <xdr:rowOff>164303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Sprint_Selection">
              <a:extLst>
                <a:ext uri="{FF2B5EF4-FFF2-40B4-BE49-F238E27FC236}">
                  <a16:creationId xmlns:a16="http://schemas.microsoft.com/office/drawing/2014/main" id="{3B6E3720-4E62-5643-9CAC-0642E10EBC4F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print_Selec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998" y="814916"/>
              <a:ext cx="16380000" cy="9368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10585</xdr:colOff>
      <xdr:row>59</xdr:row>
      <xdr:rowOff>137586</xdr:rowOff>
    </xdr:from>
    <xdr:to>
      <xdr:col>55</xdr:col>
      <xdr:colOff>272252</xdr:colOff>
      <xdr:row>62</xdr:row>
      <xdr:rowOff>187086</xdr:rowOff>
    </xdr:to>
    <xdr:sp macro="" textlink="">
      <xdr:nvSpPr>
        <xdr:cNvPr id="64" name="Rectángulo redondeado 63">
          <a:extLst>
            <a:ext uri="{FF2B5EF4-FFF2-40B4-BE49-F238E27FC236}">
              <a16:creationId xmlns:a16="http://schemas.microsoft.com/office/drawing/2014/main" id="{61C0E75F-08F7-8A47-B44E-FF4D5355B816}"/>
            </a:ext>
          </a:extLst>
        </xdr:cNvPr>
        <xdr:cNvSpPr>
          <a:spLocks noChangeAspect="1"/>
        </xdr:cNvSpPr>
      </xdr:nvSpPr>
      <xdr:spPr>
        <a:xfrm>
          <a:off x="10585" y="11250086"/>
          <a:ext cx="16560000" cy="6210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 w="0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3600" b="1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Estimations</a:t>
          </a:r>
          <a:r>
            <a:rPr lang="en-US" sz="3600" b="1" i="0" u="none" strike="noStrike" baseline="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3600" b="0" i="0" u="none" strike="noStrike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for next</a:t>
          </a:r>
          <a:r>
            <a:rPr lang="en-US" sz="3600" b="0" i="0" u="none" strike="noStrike" baseline="0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 Sprint Planning</a:t>
          </a:r>
          <a:endParaRPr lang="en-US" sz="3600" b="0" i="0" u="none" strike="noStrike">
            <a:solidFill>
              <a:schemeClr val="bg1">
                <a:lumMod val="95000"/>
              </a:schemeClr>
            </a:solidFill>
            <a:latin typeface="+mj-lt"/>
            <a:cs typeface="Calibri" panose="020F0502020204030204" pitchFamily="34" charset="0"/>
          </a:endParaRPr>
        </a:p>
      </xdr:txBody>
    </xdr:sp>
    <xdr:clientData/>
  </xdr:twoCellAnchor>
  <xdr:twoCellAnchor editAs="absolute">
    <xdr:from>
      <xdr:col>18</xdr:col>
      <xdr:colOff>232838</xdr:colOff>
      <xdr:row>11</xdr:row>
      <xdr:rowOff>21166</xdr:rowOff>
    </xdr:from>
    <xdr:to>
      <xdr:col>37</xdr:col>
      <xdr:colOff>2505</xdr:colOff>
      <xdr:row>57</xdr:row>
      <xdr:rowOff>186166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9C5D4D50-EA2F-A946-9A61-6A18128C94CC}"/>
            </a:ext>
          </a:extLst>
        </xdr:cNvPr>
        <xdr:cNvSpPr>
          <a:spLocks/>
        </xdr:cNvSpPr>
      </xdr:nvSpPr>
      <xdr:spPr>
        <a:xfrm>
          <a:off x="5566838" y="1989666"/>
          <a:ext cx="5400000" cy="8928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 anchorCtr="1"/>
        <a:lstStyle/>
        <a:p>
          <a:pPr algn="l"/>
          <a:r>
            <a:rPr lang="es-ES_tradnl" sz="2000">
              <a:solidFill>
                <a:srgbClr val="424242"/>
              </a:solidFill>
            </a:rPr>
            <a:t>ISSUES</a:t>
          </a:r>
        </a:p>
      </xdr:txBody>
    </xdr:sp>
    <xdr:clientData/>
  </xdr:twoCellAnchor>
  <xdr:twoCellAnchor editAs="absolute">
    <xdr:from>
      <xdr:col>19</xdr:col>
      <xdr:colOff>84753</xdr:colOff>
      <xdr:row>39</xdr:row>
      <xdr:rowOff>17867</xdr:rowOff>
    </xdr:from>
    <xdr:to>
      <xdr:col>36</xdr:col>
      <xdr:colOff>87086</xdr:colOff>
      <xdr:row>56</xdr:row>
      <xdr:rowOff>19367</xdr:rowOff>
    </xdr:to>
    <xdr:graphicFrame macro="">
      <xdr:nvGraphicFramePr>
        <xdr:cNvPr id="58" name="Gráfico 57">
          <a:extLst>
            <a:ext uri="{FF2B5EF4-FFF2-40B4-BE49-F238E27FC236}">
              <a16:creationId xmlns:a16="http://schemas.microsoft.com/office/drawing/2014/main" id="{614FCBFD-553C-8044-B270-07A5B0535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19</xdr:col>
      <xdr:colOff>84753</xdr:colOff>
      <xdr:row>20</xdr:row>
      <xdr:rowOff>93958</xdr:rowOff>
    </xdr:from>
    <xdr:to>
      <xdr:col>36</xdr:col>
      <xdr:colOff>87086</xdr:colOff>
      <xdr:row>37</xdr:row>
      <xdr:rowOff>95458</xdr:rowOff>
    </xdr:to>
    <xdr:graphicFrame macro="">
      <xdr:nvGraphicFramePr>
        <xdr:cNvPr id="10" name="Velocity_Issues">
          <a:extLst>
            <a:ext uri="{FF2B5EF4-FFF2-40B4-BE49-F238E27FC236}">
              <a16:creationId xmlns:a16="http://schemas.microsoft.com/office/drawing/2014/main" id="{032940AC-BE27-7A4B-86CA-372ACC5531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1</xdr:colOff>
      <xdr:row>11</xdr:row>
      <xdr:rowOff>21166</xdr:rowOff>
    </xdr:from>
    <xdr:to>
      <xdr:col>18</xdr:col>
      <xdr:colOff>66001</xdr:colOff>
      <xdr:row>57</xdr:row>
      <xdr:rowOff>186166</xdr:rowOff>
    </xdr:to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F8057D6C-C782-4F47-836A-B3B4E0E89210}"/>
            </a:ext>
          </a:extLst>
        </xdr:cNvPr>
        <xdr:cNvSpPr>
          <a:spLocks/>
        </xdr:cNvSpPr>
      </xdr:nvSpPr>
      <xdr:spPr>
        <a:xfrm>
          <a:off x="1" y="1989666"/>
          <a:ext cx="5400000" cy="8928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 anchorCtr="1"/>
        <a:lstStyle/>
        <a:p>
          <a:pPr algn="l"/>
          <a:r>
            <a:rPr lang="es-ES_tradnl" sz="2000">
              <a:solidFill>
                <a:srgbClr val="424242"/>
              </a:solidFill>
              <a:latin typeface="+mn-lt"/>
            </a:rPr>
            <a:t>STORY POINTS</a:t>
          </a:r>
        </a:p>
      </xdr:txBody>
    </xdr:sp>
    <xdr:clientData/>
  </xdr:twoCellAnchor>
  <xdr:twoCellAnchor editAs="absolute">
    <xdr:from>
      <xdr:col>0</xdr:col>
      <xdr:colOff>146997</xdr:colOff>
      <xdr:row>39</xdr:row>
      <xdr:rowOff>16534</xdr:rowOff>
    </xdr:from>
    <xdr:to>
      <xdr:col>17</xdr:col>
      <xdr:colOff>149330</xdr:colOff>
      <xdr:row>56</xdr:row>
      <xdr:rowOff>18034</xdr:rowOff>
    </xdr:to>
    <xdr:graphicFrame macro="">
      <xdr:nvGraphicFramePr>
        <xdr:cNvPr id="60" name="Gráfico 59">
          <a:extLst>
            <a:ext uri="{FF2B5EF4-FFF2-40B4-BE49-F238E27FC236}">
              <a16:creationId xmlns:a16="http://schemas.microsoft.com/office/drawing/2014/main" id="{9590A7F1-8500-0F4C-8EE1-49F437AC75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146997</xdr:colOff>
      <xdr:row>20</xdr:row>
      <xdr:rowOff>93957</xdr:rowOff>
    </xdr:from>
    <xdr:to>
      <xdr:col>17</xdr:col>
      <xdr:colOff>149330</xdr:colOff>
      <xdr:row>37</xdr:row>
      <xdr:rowOff>95457</xdr:rowOff>
    </xdr:to>
    <xdr:graphicFrame macro="">
      <xdr:nvGraphicFramePr>
        <xdr:cNvPr id="24" name="Velocity_SP">
          <a:extLst>
            <a:ext uri="{FF2B5EF4-FFF2-40B4-BE49-F238E27FC236}">
              <a16:creationId xmlns:a16="http://schemas.microsoft.com/office/drawing/2014/main" id="{6DEF6761-DA80-6027-F0C6-ADEF0C08CF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37</xdr:col>
      <xdr:colOff>162989</xdr:colOff>
      <xdr:row>11</xdr:row>
      <xdr:rowOff>25397</xdr:rowOff>
    </xdr:from>
    <xdr:to>
      <xdr:col>55</xdr:col>
      <xdr:colOff>228989</xdr:colOff>
      <xdr:row>57</xdr:row>
      <xdr:rowOff>190397</xdr:rowOff>
    </xdr:to>
    <xdr:grpSp>
      <xdr:nvGrpSpPr>
        <xdr:cNvPr id="9" name="Grupo 8">
          <a:extLst>
            <a:ext uri="{FF2B5EF4-FFF2-40B4-BE49-F238E27FC236}">
              <a16:creationId xmlns:a16="http://schemas.microsoft.com/office/drawing/2014/main" id="{F4C71EA0-C3C1-11BB-2195-7822537FF250}"/>
            </a:ext>
          </a:extLst>
        </xdr:cNvPr>
        <xdr:cNvGrpSpPr>
          <a:grpSpLocks/>
        </xdr:cNvGrpSpPr>
      </xdr:nvGrpSpPr>
      <xdr:grpSpPr>
        <a:xfrm>
          <a:off x="10842534" y="2057397"/>
          <a:ext cx="5261455" cy="9193545"/>
          <a:chOff x="11127322" y="1993897"/>
          <a:chExt cx="5400000" cy="8928000"/>
        </a:xfrm>
      </xdr:grpSpPr>
      <xdr:sp macro="" textlink="">
        <xdr:nvSpPr>
          <xdr:cNvPr id="52" name="Rectángulo 51">
            <a:extLst>
              <a:ext uri="{FF2B5EF4-FFF2-40B4-BE49-F238E27FC236}">
                <a16:creationId xmlns:a16="http://schemas.microsoft.com/office/drawing/2014/main" id="{4B53CA9B-E8A0-3146-885D-4423297CB722}"/>
              </a:ext>
            </a:extLst>
          </xdr:cNvPr>
          <xdr:cNvSpPr>
            <a:spLocks/>
          </xdr:cNvSpPr>
        </xdr:nvSpPr>
        <xdr:spPr>
          <a:xfrm>
            <a:off x="11127322" y="1993897"/>
            <a:ext cx="5400000" cy="8928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t" anchorCtr="1"/>
          <a:lstStyle/>
          <a:p>
            <a:pPr algn="l"/>
            <a:endParaRPr lang="es-ES_tradnl" sz="2000">
              <a:solidFill>
                <a:srgbClr val="424242"/>
              </a:solidFill>
            </a:endParaRPr>
          </a:p>
        </xdr:txBody>
      </xdr:sp>
      <xdr:grpSp>
        <xdr:nvGrpSpPr>
          <xdr:cNvPr id="62" name="Grupo 61">
            <a:extLst>
              <a:ext uri="{FF2B5EF4-FFF2-40B4-BE49-F238E27FC236}">
                <a16:creationId xmlns:a16="http://schemas.microsoft.com/office/drawing/2014/main" id="{FBBC2574-A8AC-42F7-4E16-3F0DC7E77962}"/>
              </a:ext>
            </a:extLst>
          </xdr:cNvPr>
          <xdr:cNvGrpSpPr/>
        </xdr:nvGrpSpPr>
        <xdr:grpSpPr>
          <a:xfrm>
            <a:off x="11328932" y="2587415"/>
            <a:ext cx="5040000" cy="3667566"/>
            <a:chOff x="11287128" y="2195835"/>
            <a:chExt cx="5040000" cy="3667566"/>
          </a:xfrm>
        </xdr:grpSpPr>
        <xdr:graphicFrame macro="">
          <xdr:nvGraphicFramePr>
            <xdr:cNvPr id="17" name="Gráfico 16">
              <a:extLst>
                <a:ext uri="{FF2B5EF4-FFF2-40B4-BE49-F238E27FC236}">
                  <a16:creationId xmlns:a16="http://schemas.microsoft.com/office/drawing/2014/main" id="{7C8AF462-502B-1742-B63A-7B456E688467}"/>
                </a:ext>
              </a:extLst>
            </xdr:cNvPr>
            <xdr:cNvGraphicFramePr>
              <a:graphicFrameLocks/>
            </xdr:cNvGraphicFramePr>
          </xdr:nvGraphicFramePr>
          <xdr:xfrm>
            <a:off x="11287128" y="2195835"/>
            <a:ext cx="5040000" cy="324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graphicFrame macro="">
          <xdr:nvGraphicFramePr>
            <xdr:cNvPr id="34" name="Gráfico 33">
              <a:extLst>
                <a:ext uri="{FF2B5EF4-FFF2-40B4-BE49-F238E27FC236}">
                  <a16:creationId xmlns:a16="http://schemas.microsoft.com/office/drawing/2014/main" id="{E9676D64-D9F5-8643-9960-9262CABC37DA}"/>
                </a:ext>
              </a:extLst>
            </xdr:cNvPr>
            <xdr:cNvGraphicFramePr>
              <a:graphicFrameLocks/>
            </xdr:cNvGraphicFramePr>
          </xdr:nvGraphicFramePr>
          <xdr:xfrm>
            <a:off x="11406340" y="4963401"/>
            <a:ext cx="1260000" cy="9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</xdr:grpSp>
    <xdr:clientData/>
  </xdr:twoCellAnchor>
  <xdr:twoCellAnchor editAs="absolute">
    <xdr:from>
      <xdr:col>38</xdr:col>
      <xdr:colOff>79718</xdr:colOff>
      <xdr:row>36</xdr:row>
      <xdr:rowOff>173567</xdr:rowOff>
    </xdr:from>
    <xdr:to>
      <xdr:col>55</xdr:col>
      <xdr:colOff>82052</xdr:colOff>
      <xdr:row>56</xdr:row>
      <xdr:rowOff>39571</xdr:rowOff>
    </xdr:to>
    <xdr:grpSp>
      <xdr:nvGrpSpPr>
        <xdr:cNvPr id="63" name="Grupo 62">
          <a:extLst>
            <a:ext uri="{FF2B5EF4-FFF2-40B4-BE49-F238E27FC236}">
              <a16:creationId xmlns:a16="http://schemas.microsoft.com/office/drawing/2014/main" id="{3B24C170-53D9-8B42-6404-9359C80146BB}"/>
            </a:ext>
          </a:extLst>
        </xdr:cNvPr>
        <xdr:cNvGrpSpPr/>
      </xdr:nvGrpSpPr>
      <xdr:grpSpPr>
        <a:xfrm>
          <a:off x="11047900" y="7112385"/>
          <a:ext cx="4909152" cy="3791459"/>
          <a:chOff x="11370734" y="5422897"/>
          <a:chExt cx="5040000" cy="3676004"/>
        </a:xfrm>
      </xdr:grpSpPr>
      <xdr:graphicFrame macro="">
        <xdr:nvGraphicFramePr>
          <xdr:cNvPr id="57" name="Gráfico 56">
            <a:extLst>
              <a:ext uri="{FF2B5EF4-FFF2-40B4-BE49-F238E27FC236}">
                <a16:creationId xmlns:a16="http://schemas.microsoft.com/office/drawing/2014/main" id="{BAC40E09-04F4-1B48-B4C5-4B3C6F612114}"/>
              </a:ext>
            </a:extLst>
          </xdr:cNvPr>
          <xdr:cNvGraphicFramePr>
            <a:graphicFrameLocks/>
          </xdr:cNvGraphicFramePr>
        </xdr:nvGraphicFramePr>
        <xdr:xfrm>
          <a:off x="11370734" y="5422897"/>
          <a:ext cx="5040000" cy="324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27" name="Gráfico 26">
            <a:extLst>
              <a:ext uri="{FF2B5EF4-FFF2-40B4-BE49-F238E27FC236}">
                <a16:creationId xmlns:a16="http://schemas.microsoft.com/office/drawing/2014/main" id="{2E173888-D115-3542-B012-254775C572CA}"/>
              </a:ext>
            </a:extLst>
          </xdr:cNvPr>
          <xdr:cNvGraphicFramePr>
            <a:graphicFrameLocks/>
          </xdr:cNvGraphicFramePr>
        </xdr:nvGraphicFramePr>
        <xdr:xfrm>
          <a:off x="11477620" y="8198901"/>
          <a:ext cx="1260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</xdr:grpSp>
    <xdr:clientData/>
  </xdr:twoCellAnchor>
  <xdr:twoCellAnchor editAs="absolute">
    <xdr:from>
      <xdr:col>0</xdr:col>
      <xdr:colOff>142933</xdr:colOff>
      <xdr:row>14</xdr:row>
      <xdr:rowOff>33548</xdr:rowOff>
    </xdr:from>
    <xdr:to>
      <xdr:col>36</xdr:col>
      <xdr:colOff>174319</xdr:colOff>
      <xdr:row>18</xdr:row>
      <xdr:rowOff>180329</xdr:rowOff>
    </xdr:to>
    <xdr:grpSp>
      <xdr:nvGrpSpPr>
        <xdr:cNvPr id="65" name="Grupo 64">
          <a:extLst>
            <a:ext uri="{FF2B5EF4-FFF2-40B4-BE49-F238E27FC236}">
              <a16:creationId xmlns:a16="http://schemas.microsoft.com/office/drawing/2014/main" id="{7D95910D-3F60-D400-B81D-1147C54D3130}"/>
            </a:ext>
          </a:extLst>
        </xdr:cNvPr>
        <xdr:cNvGrpSpPr/>
      </xdr:nvGrpSpPr>
      <xdr:grpSpPr>
        <a:xfrm>
          <a:off x="142933" y="2654366"/>
          <a:ext cx="10422295" cy="931872"/>
          <a:chOff x="142933" y="2573548"/>
          <a:chExt cx="10699386" cy="908781"/>
        </a:xfrm>
      </xdr:grpSpPr>
      <xdr:graphicFrame macro="">
        <xdr:nvGraphicFramePr>
          <xdr:cNvPr id="55" name="Gráfico 54">
            <a:extLst>
              <a:ext uri="{FF2B5EF4-FFF2-40B4-BE49-F238E27FC236}">
                <a16:creationId xmlns:a16="http://schemas.microsoft.com/office/drawing/2014/main" id="{D4DD8EDF-71F0-994B-9293-3040B941E5DC}"/>
              </a:ext>
            </a:extLst>
          </xdr:cNvPr>
          <xdr:cNvGraphicFramePr>
            <a:graphicFrameLocks/>
          </xdr:cNvGraphicFramePr>
        </xdr:nvGraphicFramePr>
        <xdr:xfrm>
          <a:off x="9474319" y="2573548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F0EDCAFC-92DC-C745-9ACE-736D19438670}"/>
              </a:ext>
            </a:extLst>
          </xdr:cNvPr>
          <xdr:cNvGraphicFramePr>
            <a:graphicFrameLocks/>
          </xdr:cNvGraphicFramePr>
        </xdr:nvGraphicFramePr>
        <xdr:xfrm>
          <a:off x="6363857" y="2573548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graphicFrame macro="">
        <xdr:nvGraphicFramePr>
          <xdr:cNvPr id="7" name="Gráfico 6">
            <a:extLst>
              <a:ext uri="{FF2B5EF4-FFF2-40B4-BE49-F238E27FC236}">
                <a16:creationId xmlns:a16="http://schemas.microsoft.com/office/drawing/2014/main" id="{5BA948DA-6973-A94F-A4FB-0576BD2BF741}"/>
              </a:ext>
            </a:extLst>
          </xdr:cNvPr>
          <xdr:cNvGraphicFramePr>
            <a:graphicFrameLocks/>
          </xdr:cNvGraphicFramePr>
        </xdr:nvGraphicFramePr>
        <xdr:xfrm>
          <a:off x="7919088" y="2573548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aphicFrame macro="">
        <xdr:nvGraphicFramePr>
          <xdr:cNvPr id="56" name="Gráfico 55">
            <a:extLst>
              <a:ext uri="{FF2B5EF4-FFF2-40B4-BE49-F238E27FC236}">
                <a16:creationId xmlns:a16="http://schemas.microsoft.com/office/drawing/2014/main" id="{6AD3F932-BF53-9D49-850E-3B1FBBE6D9DB}"/>
              </a:ext>
            </a:extLst>
          </xdr:cNvPr>
          <xdr:cNvGraphicFramePr>
            <a:graphicFrameLocks/>
          </xdr:cNvGraphicFramePr>
        </xdr:nvGraphicFramePr>
        <xdr:xfrm>
          <a:off x="3253395" y="2574880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E582030B-3FE8-594D-95B3-F4270D7E96D4}"/>
              </a:ext>
            </a:extLst>
          </xdr:cNvPr>
          <xdr:cNvGraphicFramePr>
            <a:graphicFrameLocks/>
          </xdr:cNvGraphicFramePr>
        </xdr:nvGraphicFramePr>
        <xdr:xfrm>
          <a:off x="142933" y="2574880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  <xdr:graphicFrame macro="">
        <xdr:nvGraphicFramePr>
          <xdr:cNvPr id="5" name="Gráfico 4">
            <a:extLst>
              <a:ext uri="{FF2B5EF4-FFF2-40B4-BE49-F238E27FC236}">
                <a16:creationId xmlns:a16="http://schemas.microsoft.com/office/drawing/2014/main" id="{CFE0216A-B308-4A40-AB85-F4CA15801A73}"/>
              </a:ext>
            </a:extLst>
          </xdr:cNvPr>
          <xdr:cNvGraphicFramePr>
            <a:graphicFrameLocks/>
          </xdr:cNvGraphicFramePr>
        </xdr:nvGraphicFramePr>
        <xdr:xfrm>
          <a:off x="1698164" y="2574880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  <xdr:graphicFrame macro="">
        <xdr:nvGraphicFramePr>
          <xdr:cNvPr id="8" name="Gráfico 7">
            <a:extLst>
              <a:ext uri="{FF2B5EF4-FFF2-40B4-BE49-F238E27FC236}">
                <a16:creationId xmlns:a16="http://schemas.microsoft.com/office/drawing/2014/main" id="{58AEBAB6-AC32-1A42-B50D-6F807C327B92}"/>
              </a:ext>
            </a:extLst>
          </xdr:cNvPr>
          <xdr:cNvGraphicFramePr>
            <a:graphicFrameLocks/>
          </xdr:cNvGraphicFramePr>
        </xdr:nvGraphicFramePr>
        <xdr:xfrm>
          <a:off x="4808626" y="2582329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5"/>
          </a:graphicData>
        </a:graphic>
      </xdr:graphicFrame>
    </xdr:grpSp>
    <xdr:clientData/>
  </xdr:twoCellAnchor>
  <xdr:twoCellAnchor editAs="absolute">
    <xdr:from>
      <xdr:col>50</xdr:col>
      <xdr:colOff>148167</xdr:colOff>
      <xdr:row>34</xdr:row>
      <xdr:rowOff>67715</xdr:rowOff>
    </xdr:from>
    <xdr:to>
      <xdr:col>54</xdr:col>
      <xdr:colOff>222834</xdr:colOff>
      <xdr:row>39</xdr:row>
      <xdr:rowOff>15215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8D3E7B-A474-2245-8CBE-AD608DB5C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absolute">
    <xdr:from>
      <xdr:col>23</xdr:col>
      <xdr:colOff>162431</xdr:colOff>
      <xdr:row>74</xdr:row>
      <xdr:rowOff>127001</xdr:rowOff>
    </xdr:from>
    <xdr:to>
      <xdr:col>32</xdr:col>
      <xdr:colOff>112735</xdr:colOff>
      <xdr:row>79</xdr:row>
      <xdr:rowOff>10584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30095C38-9E2E-DBF4-215E-B28637110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8098" y="14414501"/>
          <a:ext cx="2617304" cy="8360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341923</xdr:colOff>
      <xdr:row>6</xdr:row>
      <xdr:rowOff>29307</xdr:rowOff>
    </xdr:from>
    <xdr:to>
      <xdr:col>3</xdr:col>
      <xdr:colOff>185154</xdr:colOff>
      <xdr:row>19</xdr:row>
      <xdr:rowOff>9307</xdr:rowOff>
    </xdr:to>
    <xdr:graphicFrame macro="">
      <xdr:nvGraphicFramePr>
        <xdr:cNvPr id="2" name="Velocity_Issues">
          <a:extLst>
            <a:ext uri="{FF2B5EF4-FFF2-40B4-BE49-F238E27FC236}">
              <a16:creationId xmlns:a16="http://schemas.microsoft.com/office/drawing/2014/main" id="{68CD9433-592D-E5FD-2D49-75BB4EFB4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801078</xdr:colOff>
      <xdr:row>11</xdr:row>
      <xdr:rowOff>98672</xdr:rowOff>
    </xdr:from>
    <xdr:to>
      <xdr:col>15</xdr:col>
      <xdr:colOff>683847</xdr:colOff>
      <xdr:row>19</xdr:row>
      <xdr:rowOff>29595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print">
              <a:extLst>
                <a:ext uri="{FF2B5EF4-FFF2-40B4-BE49-F238E27FC236}">
                  <a16:creationId xmlns:a16="http://schemas.microsoft.com/office/drawing/2014/main" id="{02DBC576-0F24-4D98-A0D4-71E86B5568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prin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09693" y="3068518"/>
              <a:ext cx="5461000" cy="149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4</xdr:col>
      <xdr:colOff>400049</xdr:colOff>
      <xdr:row>6</xdr:row>
      <xdr:rowOff>66432</xdr:rowOff>
    </xdr:from>
    <xdr:to>
      <xdr:col>7</xdr:col>
      <xdr:colOff>243280</xdr:colOff>
      <xdr:row>19</xdr:row>
      <xdr:rowOff>46432</xdr:rowOff>
    </xdr:to>
    <xdr:graphicFrame macro="">
      <xdr:nvGraphicFramePr>
        <xdr:cNvPr id="4" name="Velocity_SP">
          <a:extLst>
            <a:ext uri="{FF2B5EF4-FFF2-40B4-BE49-F238E27FC236}">
              <a16:creationId xmlns:a16="http://schemas.microsoft.com/office/drawing/2014/main" id="{30131BBA-7DE0-EDB4-06FA-BA6FAAD47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68382</xdr:colOff>
      <xdr:row>3</xdr:row>
      <xdr:rowOff>14652</xdr:rowOff>
    </xdr:from>
    <xdr:to>
      <xdr:col>8</xdr:col>
      <xdr:colOff>788382</xdr:colOff>
      <xdr:row>7</xdr:row>
      <xdr:rowOff>25114</xdr:rowOff>
    </xdr:to>
    <xdr:graphicFrame macro="">
      <xdr:nvGraphicFramePr>
        <xdr:cNvPr id="7" name="Bugs">
          <a:extLst>
            <a:ext uri="{FF2B5EF4-FFF2-40B4-BE49-F238E27FC236}">
              <a16:creationId xmlns:a16="http://schemas.microsoft.com/office/drawing/2014/main" id="{C509338A-1217-D1BA-0C7B-7C3D51432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117231</xdr:colOff>
      <xdr:row>3</xdr:row>
      <xdr:rowOff>14652</xdr:rowOff>
    </xdr:from>
    <xdr:to>
      <xdr:col>10</xdr:col>
      <xdr:colOff>837231</xdr:colOff>
      <xdr:row>7</xdr:row>
      <xdr:rowOff>25114</xdr:rowOff>
    </xdr:to>
    <xdr:graphicFrame macro="">
      <xdr:nvGraphicFramePr>
        <xdr:cNvPr id="10" name="Compliance">
          <a:extLst>
            <a:ext uri="{FF2B5EF4-FFF2-40B4-BE49-F238E27FC236}">
              <a16:creationId xmlns:a16="http://schemas.microsoft.com/office/drawing/2014/main" id="{77D1D3EC-BBFF-DAA5-37B5-B6CF7333A5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166078</xdr:colOff>
      <xdr:row>3</xdr:row>
      <xdr:rowOff>14652</xdr:rowOff>
    </xdr:from>
    <xdr:to>
      <xdr:col>9</xdr:col>
      <xdr:colOff>886078</xdr:colOff>
      <xdr:row>7</xdr:row>
      <xdr:rowOff>25114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6EEEA8A7-0038-8C94-080A-8AB879BB7D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3</xdr:row>
      <xdr:rowOff>87922</xdr:rowOff>
    </xdr:from>
    <xdr:to>
      <xdr:col>19</xdr:col>
      <xdr:colOff>9770</xdr:colOff>
      <xdr:row>10</xdr:row>
      <xdr:rowOff>156308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AFF2293F-5B3A-BF1D-5DFD-1D253387B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175847</xdr:colOff>
      <xdr:row>2</xdr:row>
      <xdr:rowOff>146536</xdr:rowOff>
    </xdr:from>
    <xdr:to>
      <xdr:col>20</xdr:col>
      <xdr:colOff>967847</xdr:colOff>
      <xdr:row>6</xdr:row>
      <xdr:rowOff>156998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94A698C-7654-149B-9D4D-941D22DBA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97693</xdr:colOff>
      <xdr:row>2</xdr:row>
      <xdr:rowOff>146536</xdr:rowOff>
    </xdr:from>
    <xdr:to>
      <xdr:col>22</xdr:col>
      <xdr:colOff>889693</xdr:colOff>
      <xdr:row>6</xdr:row>
      <xdr:rowOff>156998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FCE6ACD-EF96-190E-FB63-7A7798CAF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48851</xdr:colOff>
      <xdr:row>2</xdr:row>
      <xdr:rowOff>146536</xdr:rowOff>
    </xdr:from>
    <xdr:to>
      <xdr:col>23</xdr:col>
      <xdr:colOff>840851</xdr:colOff>
      <xdr:row>6</xdr:row>
      <xdr:rowOff>156998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031D1CD-56D3-8797-7881-25006DF07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156310</xdr:colOff>
      <xdr:row>2</xdr:row>
      <xdr:rowOff>146536</xdr:rowOff>
    </xdr:from>
    <xdr:to>
      <xdr:col>21</xdr:col>
      <xdr:colOff>948310</xdr:colOff>
      <xdr:row>6</xdr:row>
      <xdr:rowOff>156998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B439238-71A6-6CB5-D085-FAD1B9EDC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459153</xdr:colOff>
      <xdr:row>2</xdr:row>
      <xdr:rowOff>146536</xdr:rowOff>
    </xdr:from>
    <xdr:to>
      <xdr:col>25</xdr:col>
      <xdr:colOff>1251153</xdr:colOff>
      <xdr:row>6</xdr:row>
      <xdr:rowOff>156998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28867B4D-41F6-8D2D-1678-026E5B7C2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24</xdr:col>
      <xdr:colOff>351691</xdr:colOff>
      <xdr:row>2</xdr:row>
      <xdr:rowOff>146536</xdr:rowOff>
    </xdr:from>
    <xdr:to>
      <xdr:col>24</xdr:col>
      <xdr:colOff>1143691</xdr:colOff>
      <xdr:row>6</xdr:row>
      <xdr:rowOff>156998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390601C6-E3EE-B051-2DD3-CB90E5173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26</xdr:col>
      <xdr:colOff>205153</xdr:colOff>
      <xdr:row>2</xdr:row>
      <xdr:rowOff>146536</xdr:rowOff>
    </xdr:from>
    <xdr:to>
      <xdr:col>26</xdr:col>
      <xdr:colOff>997153</xdr:colOff>
      <xdr:row>6</xdr:row>
      <xdr:rowOff>156998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83E3E7F8-E90F-9CFE-AF78-36CEC2D81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27</xdr:col>
      <xdr:colOff>175846</xdr:colOff>
      <xdr:row>4</xdr:row>
      <xdr:rowOff>97692</xdr:rowOff>
    </xdr:from>
    <xdr:to>
      <xdr:col>28</xdr:col>
      <xdr:colOff>1172308</xdr:colOff>
      <xdr:row>15</xdr:row>
      <xdr:rowOff>8790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E9F46907-1EA5-7D75-0A65-AC023D9B2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29</xdr:col>
      <xdr:colOff>224694</xdr:colOff>
      <xdr:row>4</xdr:row>
      <xdr:rowOff>59594</xdr:rowOff>
    </xdr:from>
    <xdr:to>
      <xdr:col>30</xdr:col>
      <xdr:colOff>928077</xdr:colOff>
      <xdr:row>15</xdr:row>
      <xdr:rowOff>48847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E4BF5689-582D-E0D2-90F8-F076FA5D9D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127001</xdr:colOff>
      <xdr:row>2</xdr:row>
      <xdr:rowOff>146536</xdr:rowOff>
    </xdr:from>
    <xdr:to>
      <xdr:col>19</xdr:col>
      <xdr:colOff>919001</xdr:colOff>
      <xdr:row>6</xdr:row>
      <xdr:rowOff>156998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0FA0B99C-0763-AA74-5C71-D1AA397DE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37</xdr:col>
      <xdr:colOff>0</xdr:colOff>
      <xdr:row>3</xdr:row>
      <xdr:rowOff>29308</xdr:rowOff>
    </xdr:from>
    <xdr:to>
      <xdr:col>37</xdr:col>
      <xdr:colOff>0</xdr:colOff>
      <xdr:row>7</xdr:row>
      <xdr:rowOff>127001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A27098FA-4BDC-577D-933E-63470A2FF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37</xdr:col>
      <xdr:colOff>117230</xdr:colOff>
      <xdr:row>5</xdr:row>
      <xdr:rowOff>79131</xdr:rowOff>
    </xdr:from>
    <xdr:to>
      <xdr:col>38</xdr:col>
      <xdr:colOff>787399</xdr:colOff>
      <xdr:row>16</xdr:row>
      <xdr:rowOff>175846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596045CE-0A59-0BD3-E3DB-F72D9DF51D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39</xdr:col>
      <xdr:colOff>254002</xdr:colOff>
      <xdr:row>5</xdr:row>
      <xdr:rowOff>78152</xdr:rowOff>
    </xdr:from>
    <xdr:to>
      <xdr:col>40</xdr:col>
      <xdr:colOff>1318846</xdr:colOff>
      <xdr:row>17</xdr:row>
      <xdr:rowOff>23444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C05A3B25-8C64-A318-7811-47AF426FA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24</xdr:col>
      <xdr:colOff>393699</xdr:colOff>
      <xdr:row>8</xdr:row>
      <xdr:rowOff>69360</xdr:rowOff>
    </xdr:from>
    <xdr:to>
      <xdr:col>24</xdr:col>
      <xdr:colOff>1185699</xdr:colOff>
      <xdr:row>12</xdr:row>
      <xdr:rowOff>79822</xdr:rowOff>
    </xdr:to>
    <xdr:graphicFrame macro="">
      <xdr:nvGraphicFramePr>
        <xdr:cNvPr id="29" name="Bugs">
          <a:extLst>
            <a:ext uri="{FF2B5EF4-FFF2-40B4-BE49-F238E27FC236}">
              <a16:creationId xmlns:a16="http://schemas.microsoft.com/office/drawing/2014/main" id="{2E4E2AFE-209A-A24B-A4CD-DC7ABFC9B5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10582</xdr:colOff>
      <xdr:row>0</xdr:row>
      <xdr:rowOff>25400</xdr:rowOff>
    </xdr:from>
    <xdr:to>
      <xdr:col>72</xdr:col>
      <xdr:colOff>97309</xdr:colOff>
      <xdr:row>4</xdr:row>
      <xdr:rowOff>11400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B54DE47C-4E63-EF4C-BC92-655162747D17}"/>
            </a:ext>
          </a:extLst>
        </xdr:cNvPr>
        <xdr:cNvSpPr>
          <a:spLocks/>
        </xdr:cNvSpPr>
      </xdr:nvSpPr>
      <xdr:spPr>
        <a:xfrm>
          <a:off x="10582" y="25400"/>
          <a:ext cx="21492000" cy="644091"/>
        </a:xfrm>
        <a:prstGeom prst="roundRect">
          <a:avLst/>
        </a:prstGeom>
        <a:solidFill>
          <a:srgbClr val="92D050"/>
        </a:solidFill>
        <a:ln w="0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3600" b="1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Scrum Master </a:t>
          </a:r>
          <a:r>
            <a:rPr lang="en-US" sz="3600" b="0" i="0" u="none" strike="noStrike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Control</a:t>
          </a:r>
          <a:r>
            <a:rPr lang="en-US" sz="3600" b="0" i="0" u="none" strike="noStrike" baseline="0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 Dashboard</a:t>
          </a:r>
          <a:endParaRPr lang="en-US" sz="3600" b="0" i="0" u="none" strike="noStrike">
            <a:solidFill>
              <a:schemeClr val="bg1">
                <a:lumMod val="95000"/>
              </a:schemeClr>
            </a:solidFill>
            <a:latin typeface="+mj-lt"/>
            <a:cs typeface="Calibri" panose="020F0502020204030204" pitchFamily="34" charset="0"/>
          </a:endParaRPr>
        </a:p>
      </xdr:txBody>
    </xdr:sp>
    <xdr:clientData/>
  </xdr:twoCellAnchor>
  <xdr:twoCellAnchor editAs="absolute">
    <xdr:from>
      <xdr:col>0</xdr:col>
      <xdr:colOff>36000</xdr:colOff>
      <xdr:row>4</xdr:row>
      <xdr:rowOff>145279</xdr:rowOff>
    </xdr:from>
    <xdr:to>
      <xdr:col>71</xdr:col>
      <xdr:colOff>267364</xdr:colOff>
      <xdr:row>10</xdr:row>
      <xdr:rowOff>83643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print_Selection 2">
              <a:extLst>
                <a:ext uri="{FF2B5EF4-FFF2-40B4-BE49-F238E27FC236}">
                  <a16:creationId xmlns:a16="http://schemas.microsoft.com/office/drawing/2014/main" id="{44E2D77D-B40E-664B-90E0-B4B2E998B965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print_Selection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000" y="816565"/>
              <a:ext cx="21458507" cy="11357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10584</xdr:colOff>
      <xdr:row>56</xdr:row>
      <xdr:rowOff>137587</xdr:rowOff>
    </xdr:from>
    <xdr:to>
      <xdr:col>72</xdr:col>
      <xdr:colOff>97311</xdr:colOff>
      <xdr:row>59</xdr:row>
      <xdr:rowOff>187087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9B7B7EC6-D9B2-2047-9594-D57D7DC66781}"/>
            </a:ext>
          </a:extLst>
        </xdr:cNvPr>
        <xdr:cNvSpPr>
          <a:spLocks/>
        </xdr:cNvSpPr>
      </xdr:nvSpPr>
      <xdr:spPr>
        <a:xfrm>
          <a:off x="10584" y="11001860"/>
          <a:ext cx="21492000" cy="638318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 w="0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3600" b="1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Estimations</a:t>
          </a:r>
          <a:r>
            <a:rPr lang="en-US" sz="3600" b="1" i="0" u="none" strike="noStrike" baseline="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3600" b="0" i="0" u="none" strike="noStrike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for next</a:t>
          </a:r>
          <a:r>
            <a:rPr lang="en-US" sz="3600" b="0" i="0" u="none" strike="noStrike" baseline="0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 Sprint Planning</a:t>
          </a:r>
          <a:endParaRPr lang="en-US" sz="3600" b="0" i="0" u="none" strike="noStrike">
            <a:solidFill>
              <a:schemeClr val="bg1">
                <a:lumMod val="95000"/>
              </a:schemeClr>
            </a:solidFill>
            <a:latin typeface="+mj-lt"/>
            <a:cs typeface="Calibri" panose="020F0502020204030204" pitchFamily="34" charset="0"/>
          </a:endParaRPr>
        </a:p>
      </xdr:txBody>
    </xdr:sp>
    <xdr:clientData/>
  </xdr:twoCellAnchor>
  <xdr:twoCellAnchor>
    <xdr:from>
      <xdr:col>50</xdr:col>
      <xdr:colOff>139900</xdr:colOff>
      <xdr:row>11</xdr:row>
      <xdr:rowOff>25396</xdr:rowOff>
    </xdr:from>
    <xdr:to>
      <xdr:col>72</xdr:col>
      <xdr:colOff>6445</xdr:colOff>
      <xdr:row>55</xdr:row>
      <xdr:rowOff>92364</xdr:rowOff>
    </xdr:to>
    <xdr:grpSp>
      <xdr:nvGrpSpPr>
        <xdr:cNvPr id="30" name="Grupo 29">
          <a:extLst>
            <a:ext uri="{FF2B5EF4-FFF2-40B4-BE49-F238E27FC236}">
              <a16:creationId xmlns:a16="http://schemas.microsoft.com/office/drawing/2014/main" id="{1188868C-283F-8FAE-1774-E913DF1A588B}"/>
            </a:ext>
          </a:extLst>
        </xdr:cNvPr>
        <xdr:cNvGrpSpPr/>
      </xdr:nvGrpSpPr>
      <xdr:grpSpPr>
        <a:xfrm>
          <a:off x="14744900" y="1993896"/>
          <a:ext cx="6902345" cy="8448968"/>
          <a:chOff x="10842534" y="2057397"/>
          <a:chExt cx="5261455" cy="9193545"/>
        </a:xfrm>
      </xdr:grpSpPr>
      <xdr:grpSp>
        <xdr:nvGrpSpPr>
          <xdr:cNvPr id="29" name="Grupo 28">
            <a:extLst>
              <a:ext uri="{FF2B5EF4-FFF2-40B4-BE49-F238E27FC236}">
                <a16:creationId xmlns:a16="http://schemas.microsoft.com/office/drawing/2014/main" id="{F8C77CE2-0CFB-B4B5-15CD-24A92D47E67F}"/>
              </a:ext>
            </a:extLst>
          </xdr:cNvPr>
          <xdr:cNvGrpSpPr/>
        </xdr:nvGrpSpPr>
        <xdr:grpSpPr>
          <a:xfrm>
            <a:off x="10842534" y="2057397"/>
            <a:ext cx="5261455" cy="9193545"/>
            <a:chOff x="10842534" y="2057397"/>
            <a:chExt cx="5261455" cy="9193545"/>
          </a:xfrm>
        </xdr:grpSpPr>
        <xdr:grpSp>
          <xdr:nvGrpSpPr>
            <xdr:cNvPr id="11" name="Grupo 10">
              <a:extLst>
                <a:ext uri="{FF2B5EF4-FFF2-40B4-BE49-F238E27FC236}">
                  <a16:creationId xmlns:a16="http://schemas.microsoft.com/office/drawing/2014/main" id="{295A6364-A8C6-FE4C-9E3B-0BC07BFC9539}"/>
                </a:ext>
              </a:extLst>
            </xdr:cNvPr>
            <xdr:cNvGrpSpPr>
              <a:grpSpLocks/>
            </xdr:cNvGrpSpPr>
          </xdr:nvGrpSpPr>
          <xdr:grpSpPr>
            <a:xfrm>
              <a:off x="10842534" y="2057397"/>
              <a:ext cx="5261455" cy="9193545"/>
              <a:chOff x="11127322" y="1993897"/>
              <a:chExt cx="5400000" cy="8928000"/>
            </a:xfrm>
          </xdr:grpSpPr>
          <xdr:sp macro="" textlink="">
            <xdr:nvSpPr>
              <xdr:cNvPr id="12" name="Rectángulo 11">
                <a:extLst>
                  <a:ext uri="{FF2B5EF4-FFF2-40B4-BE49-F238E27FC236}">
                    <a16:creationId xmlns:a16="http://schemas.microsoft.com/office/drawing/2014/main" id="{E41C02A6-D7D7-A4FC-2EE7-52C2843FFF10}"/>
                  </a:ext>
                </a:extLst>
              </xdr:cNvPr>
              <xdr:cNvSpPr>
                <a:spLocks/>
              </xdr:cNvSpPr>
            </xdr:nvSpPr>
            <xdr:spPr>
              <a:xfrm>
                <a:off x="11127322" y="1993897"/>
                <a:ext cx="5400000" cy="8928000"/>
              </a:xfrm>
              <a:prstGeom prst="rect">
                <a:avLst/>
              </a:prstGeom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horz" rtlCol="0" anchor="t" anchorCtr="1"/>
              <a:lstStyle/>
              <a:p>
                <a:pPr algn="l"/>
                <a:endParaRPr lang="es-ES_tradnl" sz="2000">
                  <a:solidFill>
                    <a:srgbClr val="424242"/>
                  </a:solidFill>
                </a:endParaRPr>
              </a:p>
            </xdr:txBody>
          </xdr:sp>
          <xdr:grpSp>
            <xdr:nvGrpSpPr>
              <xdr:cNvPr id="13" name="Grupo 12">
                <a:extLst>
                  <a:ext uri="{FF2B5EF4-FFF2-40B4-BE49-F238E27FC236}">
                    <a16:creationId xmlns:a16="http://schemas.microsoft.com/office/drawing/2014/main" id="{4241B6AF-A31C-9B20-71A9-646CABFB9105}"/>
                  </a:ext>
                </a:extLst>
              </xdr:cNvPr>
              <xdr:cNvGrpSpPr/>
            </xdr:nvGrpSpPr>
            <xdr:grpSpPr>
              <a:xfrm>
                <a:off x="11328932" y="2587415"/>
                <a:ext cx="5040000" cy="3667566"/>
                <a:chOff x="11287128" y="2195835"/>
                <a:chExt cx="5040000" cy="3667566"/>
              </a:xfrm>
            </xdr:grpSpPr>
            <xdr:graphicFrame macro="">
              <xdr:nvGraphicFramePr>
                <xdr:cNvPr id="14" name="Gráfico 13">
                  <a:extLst>
                    <a:ext uri="{FF2B5EF4-FFF2-40B4-BE49-F238E27FC236}">
                      <a16:creationId xmlns:a16="http://schemas.microsoft.com/office/drawing/2014/main" id="{B01E2BE2-5BE3-7EB1-89DF-66AB85D208C0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11287128" y="2195835"/>
                <a:ext cx="5040000" cy="32400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"/>
                </a:graphicData>
              </a:graphic>
            </xdr:graphicFrame>
            <xdr:graphicFrame macro="">
              <xdr:nvGraphicFramePr>
                <xdr:cNvPr id="15" name="Gráfico 14">
                  <a:extLst>
                    <a:ext uri="{FF2B5EF4-FFF2-40B4-BE49-F238E27FC236}">
                      <a16:creationId xmlns:a16="http://schemas.microsoft.com/office/drawing/2014/main" id="{B13F528A-9505-F053-6996-0709BC040936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11406340" y="4963401"/>
                <a:ext cx="1260000" cy="9000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"/>
                </a:graphicData>
              </a:graphic>
            </xdr:graphicFrame>
          </xdr:grpSp>
        </xdr:grpSp>
        <xdr:grpSp>
          <xdr:nvGrpSpPr>
            <xdr:cNvPr id="16" name="Grupo 15">
              <a:extLst>
                <a:ext uri="{FF2B5EF4-FFF2-40B4-BE49-F238E27FC236}">
                  <a16:creationId xmlns:a16="http://schemas.microsoft.com/office/drawing/2014/main" id="{0FF5D7F2-4D8D-B649-A45F-84E1E06C2593}"/>
                </a:ext>
              </a:extLst>
            </xdr:cNvPr>
            <xdr:cNvGrpSpPr/>
          </xdr:nvGrpSpPr>
          <xdr:grpSpPr>
            <a:xfrm>
              <a:off x="11047900" y="7112385"/>
              <a:ext cx="4909152" cy="3791459"/>
              <a:chOff x="11370734" y="5422897"/>
              <a:chExt cx="5040000" cy="3676004"/>
            </a:xfrm>
          </xdr:grpSpPr>
          <xdr:graphicFrame macro="">
            <xdr:nvGraphicFramePr>
              <xdr:cNvPr id="17" name="Gráfico 16">
                <a:extLst>
                  <a:ext uri="{FF2B5EF4-FFF2-40B4-BE49-F238E27FC236}">
                    <a16:creationId xmlns:a16="http://schemas.microsoft.com/office/drawing/2014/main" id="{8944B6C9-EA18-01AD-B327-7375D899C1AF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1370734" y="5422897"/>
              <a:ext cx="5040000" cy="32400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18" name="Gráfico 17">
                <a:extLst>
                  <a:ext uri="{FF2B5EF4-FFF2-40B4-BE49-F238E27FC236}">
                    <a16:creationId xmlns:a16="http://schemas.microsoft.com/office/drawing/2014/main" id="{883212C5-AD04-38B5-64FF-2A07763D358C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1477620" y="8198901"/>
              <a:ext cx="1260000" cy="9000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</xdr:grpSp>
      </xdr:grpSp>
      <xdr:graphicFrame macro="">
        <xdr:nvGraphicFramePr>
          <xdr:cNvPr id="27" name="Gráfico 26">
            <a:extLst>
              <a:ext uri="{FF2B5EF4-FFF2-40B4-BE49-F238E27FC236}">
                <a16:creationId xmlns:a16="http://schemas.microsoft.com/office/drawing/2014/main" id="{ACB7B7E4-98D9-904C-9EE7-DB9CD7F1C7C1}"/>
              </a:ext>
            </a:extLst>
          </xdr:cNvPr>
          <xdr:cNvGraphicFramePr>
            <a:graphicFrameLocks/>
          </xdr:cNvGraphicFramePr>
        </xdr:nvGraphicFramePr>
        <xdr:xfrm>
          <a:off x="14579985" y="6613988"/>
          <a:ext cx="1229213" cy="9288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twoCellAnchor editAs="absolute">
    <xdr:from>
      <xdr:col>58</xdr:col>
      <xdr:colOff>274423</xdr:colOff>
      <xdr:row>62</xdr:row>
      <xdr:rowOff>32383</xdr:rowOff>
    </xdr:from>
    <xdr:to>
      <xdr:col>64</xdr:col>
      <xdr:colOff>12701</xdr:colOff>
      <xdr:row>65</xdr:row>
      <xdr:rowOff>112184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3F1DFC1A-80E1-4D4D-97F2-5551C720E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95623" y="12287883"/>
          <a:ext cx="1821078" cy="613201"/>
        </a:xfrm>
        <a:prstGeom prst="rect">
          <a:avLst/>
        </a:prstGeom>
      </xdr:spPr>
    </xdr:pic>
    <xdr:clientData/>
  </xdr:twoCellAnchor>
  <xdr:twoCellAnchor>
    <xdr:from>
      <xdr:col>0</xdr:col>
      <xdr:colOff>46179</xdr:colOff>
      <xdr:row>11</xdr:row>
      <xdr:rowOff>21167</xdr:rowOff>
    </xdr:from>
    <xdr:to>
      <xdr:col>50</xdr:col>
      <xdr:colOff>88295</xdr:colOff>
      <xdr:row>55</xdr:row>
      <xdr:rowOff>80864</xdr:rowOff>
    </xdr:to>
    <xdr:grpSp>
      <xdr:nvGrpSpPr>
        <xdr:cNvPr id="34" name="Grupo 33">
          <a:extLst>
            <a:ext uri="{FF2B5EF4-FFF2-40B4-BE49-F238E27FC236}">
              <a16:creationId xmlns:a16="http://schemas.microsoft.com/office/drawing/2014/main" id="{72E81870-138C-1439-5A6D-9E9AD3E17F49}"/>
            </a:ext>
          </a:extLst>
        </xdr:cNvPr>
        <xdr:cNvGrpSpPr/>
      </xdr:nvGrpSpPr>
      <xdr:grpSpPr>
        <a:xfrm>
          <a:off x="46179" y="1989667"/>
          <a:ext cx="14647116" cy="8441697"/>
          <a:chOff x="46179" y="2053167"/>
          <a:chExt cx="14473934" cy="8695697"/>
        </a:xfrm>
      </xdr:grpSpPr>
      <xdr:grpSp>
        <xdr:nvGrpSpPr>
          <xdr:cNvPr id="33" name="Grupo 32">
            <a:extLst>
              <a:ext uri="{FF2B5EF4-FFF2-40B4-BE49-F238E27FC236}">
                <a16:creationId xmlns:a16="http://schemas.microsoft.com/office/drawing/2014/main" id="{3E5346E6-5070-892E-ED3E-1FC18589EC6F}"/>
              </a:ext>
            </a:extLst>
          </xdr:cNvPr>
          <xdr:cNvGrpSpPr/>
        </xdr:nvGrpSpPr>
        <xdr:grpSpPr>
          <a:xfrm>
            <a:off x="46179" y="2053167"/>
            <a:ext cx="14473934" cy="8695697"/>
            <a:chOff x="46179" y="2053167"/>
            <a:chExt cx="14473934" cy="8695697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7697ABED-1D71-BD42-948A-2205B9C9D338}"/>
                </a:ext>
              </a:extLst>
            </xdr:cNvPr>
            <xdr:cNvSpPr>
              <a:spLocks/>
            </xdr:cNvSpPr>
          </xdr:nvSpPr>
          <xdr:spPr>
            <a:xfrm>
              <a:off x="48113" y="6428864"/>
              <a:ext cx="14472000" cy="4320000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t" anchorCtr="1"/>
            <a:lstStyle/>
            <a:p>
              <a:pPr algn="l"/>
              <a:r>
                <a:rPr lang="es-ES_tradnl" sz="2000">
                  <a:solidFill>
                    <a:srgbClr val="424242"/>
                  </a:solidFill>
                </a:rPr>
                <a:t>ISSUES</a:t>
              </a:r>
            </a:p>
          </xdr:txBody>
        </xdr:sp>
        <xdr:grpSp>
          <xdr:nvGrpSpPr>
            <xdr:cNvPr id="32" name="Grupo 31">
              <a:extLst>
                <a:ext uri="{FF2B5EF4-FFF2-40B4-BE49-F238E27FC236}">
                  <a16:creationId xmlns:a16="http://schemas.microsoft.com/office/drawing/2014/main" id="{9CCB68AD-8D52-A330-BC1C-40E53BF22864}"/>
                </a:ext>
              </a:extLst>
            </xdr:cNvPr>
            <xdr:cNvGrpSpPr/>
          </xdr:nvGrpSpPr>
          <xdr:grpSpPr>
            <a:xfrm>
              <a:off x="46179" y="2053167"/>
              <a:ext cx="14472000" cy="4320000"/>
              <a:chOff x="70685" y="2053167"/>
              <a:chExt cx="14767347" cy="4320000"/>
            </a:xfrm>
          </xdr:grpSpPr>
          <xdr:sp macro="" textlink="">
            <xdr:nvSpPr>
              <xdr:cNvPr id="8" name="Rectángulo 7">
                <a:extLst>
                  <a:ext uri="{FF2B5EF4-FFF2-40B4-BE49-F238E27FC236}">
                    <a16:creationId xmlns:a16="http://schemas.microsoft.com/office/drawing/2014/main" id="{4DBBD312-F44D-0344-A0D4-B2B952306442}"/>
                  </a:ext>
                </a:extLst>
              </xdr:cNvPr>
              <xdr:cNvSpPr>
                <a:spLocks/>
              </xdr:cNvSpPr>
            </xdr:nvSpPr>
            <xdr:spPr>
              <a:xfrm>
                <a:off x="70685" y="2053167"/>
                <a:ext cx="14767347" cy="4320000"/>
              </a:xfrm>
              <a:prstGeom prst="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t" anchorCtr="1"/>
              <a:lstStyle/>
              <a:p>
                <a:pPr algn="l"/>
                <a:r>
                  <a:rPr lang="es-ES_tradnl" sz="2000">
                    <a:solidFill>
                      <a:srgbClr val="424242"/>
                    </a:solidFill>
                    <a:latin typeface="+mn-lt"/>
                  </a:rPr>
                  <a:t>STORY POINTS</a:t>
                </a:r>
              </a:p>
            </xdr:txBody>
          </xdr:sp>
          <xdr:grpSp>
            <xdr:nvGrpSpPr>
              <xdr:cNvPr id="31" name="Grupo 30">
                <a:extLst>
                  <a:ext uri="{FF2B5EF4-FFF2-40B4-BE49-F238E27FC236}">
                    <a16:creationId xmlns:a16="http://schemas.microsoft.com/office/drawing/2014/main" id="{652FBB47-D770-6E0D-6AF0-ACD0FFF692D0}"/>
                  </a:ext>
                </a:extLst>
              </xdr:cNvPr>
              <xdr:cNvGrpSpPr/>
            </xdr:nvGrpSpPr>
            <xdr:grpSpPr>
              <a:xfrm>
                <a:off x="539541" y="2233167"/>
                <a:ext cx="14046512" cy="3240000"/>
                <a:chOff x="389450" y="2269086"/>
                <a:chExt cx="14046512" cy="3240000"/>
              </a:xfrm>
            </xdr:grpSpPr>
            <xdr:graphicFrame macro="">
              <xdr:nvGraphicFramePr>
                <xdr:cNvPr id="9" name="Gráfico 8">
                  <a:extLst>
                    <a:ext uri="{FF2B5EF4-FFF2-40B4-BE49-F238E27FC236}">
                      <a16:creationId xmlns:a16="http://schemas.microsoft.com/office/drawing/2014/main" id="{E21962EC-B5C4-2E48-AAFF-F6D79F018B77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9660452" y="2269086"/>
                <a:ext cx="4775510" cy="32400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7"/>
                </a:graphicData>
              </a:graphic>
            </xdr:graphicFrame>
            <xdr:graphicFrame macro="">
              <xdr:nvGraphicFramePr>
                <xdr:cNvPr id="10" name="Velocity_SP">
                  <a:extLst>
                    <a:ext uri="{FF2B5EF4-FFF2-40B4-BE49-F238E27FC236}">
                      <a16:creationId xmlns:a16="http://schemas.microsoft.com/office/drawing/2014/main" id="{87DFDF15-53D8-834F-BDB7-45BC83D93B8D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389450" y="2269086"/>
                <a:ext cx="9183673" cy="32400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8"/>
                </a:graphicData>
              </a:graphic>
            </xdr:graphicFrame>
          </xdr:grpSp>
        </xdr:grpSp>
      </xdr:grpSp>
      <xdr:graphicFrame macro="">
        <xdr:nvGraphicFramePr>
          <xdr:cNvPr id="7" name="Velocity_Issues">
            <a:extLst>
              <a:ext uri="{FF2B5EF4-FFF2-40B4-BE49-F238E27FC236}">
                <a16:creationId xmlns:a16="http://schemas.microsoft.com/office/drawing/2014/main" id="{0CA36336-5ACB-8F48-B2E9-60AB03067C45}"/>
              </a:ext>
            </a:extLst>
          </xdr:cNvPr>
          <xdr:cNvGraphicFramePr>
            <a:graphicFrameLocks/>
          </xdr:cNvGraphicFramePr>
        </xdr:nvGraphicFramePr>
        <xdr:xfrm>
          <a:off x="511933" y="7277541"/>
          <a:ext cx="9000000" cy="324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6" name="Gráfico 5">
            <a:extLst>
              <a:ext uri="{FF2B5EF4-FFF2-40B4-BE49-F238E27FC236}">
                <a16:creationId xmlns:a16="http://schemas.microsoft.com/office/drawing/2014/main" id="{1D235D73-786F-1B4E-9052-B84198356E7E}"/>
              </a:ext>
            </a:extLst>
          </xdr:cNvPr>
          <xdr:cNvGraphicFramePr>
            <a:graphicFrameLocks/>
          </xdr:cNvGraphicFramePr>
        </xdr:nvGraphicFramePr>
        <xdr:xfrm>
          <a:off x="9609752" y="7277541"/>
          <a:ext cx="4680000" cy="324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</xdr:grpSp>
    <xdr:clientData/>
  </xdr:twoCellAnchor>
  <xdr:twoCellAnchor editAs="absolute">
    <xdr:from>
      <xdr:col>6</xdr:col>
      <xdr:colOff>166024</xdr:colOff>
      <xdr:row>30</xdr:row>
      <xdr:rowOff>83192</xdr:rowOff>
    </xdr:from>
    <xdr:to>
      <xdr:col>42</xdr:col>
      <xdr:colOff>197410</xdr:colOff>
      <xdr:row>36</xdr:row>
      <xdr:rowOff>20192</xdr:rowOff>
    </xdr:to>
    <xdr:grpSp>
      <xdr:nvGrpSpPr>
        <xdr:cNvPr id="19" name="Grupo 18">
          <a:extLst>
            <a:ext uri="{FF2B5EF4-FFF2-40B4-BE49-F238E27FC236}">
              <a16:creationId xmlns:a16="http://schemas.microsoft.com/office/drawing/2014/main" id="{85CCCC9E-3910-F340-B3D4-0D5C5A8A0CEE}"/>
            </a:ext>
          </a:extLst>
        </xdr:cNvPr>
        <xdr:cNvGrpSpPr/>
      </xdr:nvGrpSpPr>
      <xdr:grpSpPr>
        <a:xfrm>
          <a:off x="1918624" y="5671192"/>
          <a:ext cx="10546986" cy="1080000"/>
          <a:chOff x="142933" y="2573548"/>
          <a:chExt cx="10699386" cy="908781"/>
        </a:xfrm>
      </xdr:grpSpPr>
      <xdr:graphicFrame macro="">
        <xdr:nvGraphicFramePr>
          <xdr:cNvPr id="20" name="Gráfico 19">
            <a:extLst>
              <a:ext uri="{FF2B5EF4-FFF2-40B4-BE49-F238E27FC236}">
                <a16:creationId xmlns:a16="http://schemas.microsoft.com/office/drawing/2014/main" id="{2FEB6216-D214-518B-4676-63E069A5DCCE}"/>
              </a:ext>
            </a:extLst>
          </xdr:cNvPr>
          <xdr:cNvGraphicFramePr>
            <a:graphicFrameLocks/>
          </xdr:cNvGraphicFramePr>
        </xdr:nvGraphicFramePr>
        <xdr:xfrm>
          <a:off x="9474319" y="2573548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aphicFrame macro="">
        <xdr:nvGraphicFramePr>
          <xdr:cNvPr id="21" name="Gráfico 20">
            <a:extLst>
              <a:ext uri="{FF2B5EF4-FFF2-40B4-BE49-F238E27FC236}">
                <a16:creationId xmlns:a16="http://schemas.microsoft.com/office/drawing/2014/main" id="{E0106253-1E11-5574-6F63-D365294B809B}"/>
              </a:ext>
            </a:extLst>
          </xdr:cNvPr>
          <xdr:cNvGraphicFramePr>
            <a:graphicFrameLocks/>
          </xdr:cNvGraphicFramePr>
        </xdr:nvGraphicFramePr>
        <xdr:xfrm>
          <a:off x="6363857" y="2573548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  <xdr:graphicFrame macro="">
        <xdr:nvGraphicFramePr>
          <xdr:cNvPr id="22" name="Gráfico 21">
            <a:extLst>
              <a:ext uri="{FF2B5EF4-FFF2-40B4-BE49-F238E27FC236}">
                <a16:creationId xmlns:a16="http://schemas.microsoft.com/office/drawing/2014/main" id="{734EF414-F039-60FF-16B4-0DF2889153C4}"/>
              </a:ext>
            </a:extLst>
          </xdr:cNvPr>
          <xdr:cNvGraphicFramePr>
            <a:graphicFrameLocks/>
          </xdr:cNvGraphicFramePr>
        </xdr:nvGraphicFramePr>
        <xdr:xfrm>
          <a:off x="7919088" y="2573548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  <xdr:graphicFrame macro="">
        <xdr:nvGraphicFramePr>
          <xdr:cNvPr id="23" name="Gráfico 22">
            <a:extLst>
              <a:ext uri="{FF2B5EF4-FFF2-40B4-BE49-F238E27FC236}">
                <a16:creationId xmlns:a16="http://schemas.microsoft.com/office/drawing/2014/main" id="{389156D4-55AC-5435-A7C1-982DA8028C0F}"/>
              </a:ext>
            </a:extLst>
          </xdr:cNvPr>
          <xdr:cNvGraphicFramePr>
            <a:graphicFrameLocks/>
          </xdr:cNvGraphicFramePr>
        </xdr:nvGraphicFramePr>
        <xdr:xfrm>
          <a:off x="3253395" y="2574880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  <xdr:graphicFrame macro="">
        <xdr:nvGraphicFramePr>
          <xdr:cNvPr id="24" name="Gráfico 23">
            <a:extLst>
              <a:ext uri="{FF2B5EF4-FFF2-40B4-BE49-F238E27FC236}">
                <a16:creationId xmlns:a16="http://schemas.microsoft.com/office/drawing/2014/main" id="{0970E822-D597-4F4C-C306-6C3302A7DEB6}"/>
              </a:ext>
            </a:extLst>
          </xdr:cNvPr>
          <xdr:cNvGraphicFramePr>
            <a:graphicFrameLocks/>
          </xdr:cNvGraphicFramePr>
        </xdr:nvGraphicFramePr>
        <xdr:xfrm>
          <a:off x="142933" y="2574880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5"/>
          </a:graphicData>
        </a:graphic>
      </xdr:graphicFrame>
      <xdr:graphicFrame macro="">
        <xdr:nvGraphicFramePr>
          <xdr:cNvPr id="25" name="Gráfico 24">
            <a:extLst>
              <a:ext uri="{FF2B5EF4-FFF2-40B4-BE49-F238E27FC236}">
                <a16:creationId xmlns:a16="http://schemas.microsoft.com/office/drawing/2014/main" id="{E52DA72A-0D15-F101-FEF6-2A281AB5DD79}"/>
              </a:ext>
            </a:extLst>
          </xdr:cNvPr>
          <xdr:cNvGraphicFramePr>
            <a:graphicFrameLocks/>
          </xdr:cNvGraphicFramePr>
        </xdr:nvGraphicFramePr>
        <xdr:xfrm>
          <a:off x="1698164" y="2574880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6"/>
          </a:graphicData>
        </a:graphic>
      </xdr:graphicFrame>
      <xdr:graphicFrame macro="">
        <xdr:nvGraphicFramePr>
          <xdr:cNvPr id="26" name="Gráfico 25">
            <a:extLst>
              <a:ext uri="{FF2B5EF4-FFF2-40B4-BE49-F238E27FC236}">
                <a16:creationId xmlns:a16="http://schemas.microsoft.com/office/drawing/2014/main" id="{FC324BAF-5F54-A9A8-2773-6ED8F558CB7A}"/>
              </a:ext>
            </a:extLst>
          </xdr:cNvPr>
          <xdr:cNvGraphicFramePr>
            <a:graphicFrameLocks/>
          </xdr:cNvGraphicFramePr>
        </xdr:nvGraphicFramePr>
        <xdr:xfrm>
          <a:off x="4808626" y="2582329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7"/>
          </a:graphicData>
        </a:graphic>
      </xdr:graphicFrame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16.542622106484" createdVersion="8" refreshedVersion="8" minRefreshableVersion="3" recordCount="26" xr:uid="{899C0C89-2FBD-734C-A88F-11F54495058B}">
  <cacheSource type="worksheet">
    <worksheetSource name="Sprints"/>
  </cacheSource>
  <cacheFields count="27">
    <cacheField name="Sprint" numFmtId="1">
      <sharedItems containsSemiMixedTypes="0" containsString="0" containsNumber="1" containsInteger="1" minValue="41" maxValue="66" count="26"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</sharedItems>
    </cacheField>
    <cacheField name="Hours" numFmtId="1">
      <sharedItems containsSemiMixedTypes="0" containsString="0" containsNumber="1" containsInteger="1" minValue="311" maxValue="549"/>
    </cacheField>
    <cacheField name="Planned Issues" numFmtId="0">
      <sharedItems containsSemiMixedTypes="0" containsString="0" containsNumber="1" containsInteger="1" minValue="11" maxValue="26"/>
    </cacheField>
    <cacheField name="Planned SP" numFmtId="0">
      <sharedItems containsSemiMixedTypes="0" containsString="0" containsNumber="1" containsInteger="1" minValue="57" maxValue="136"/>
    </cacheField>
    <cacheField name="Planned Issues Done" numFmtId="0">
      <sharedItems containsSemiMixedTypes="0" containsString="0" containsNumber="1" containsInteger="1" minValue="5" maxValue="21"/>
    </cacheField>
    <cacheField name="Unplanned Issues Done" numFmtId="0">
      <sharedItems containsSemiMixedTypes="0" containsString="0" containsNumber="1" containsInteger="1" minValue="2" maxValue="8"/>
    </cacheField>
    <cacheField name="Bugs (Issues)" numFmtId="0">
      <sharedItems containsSemiMixedTypes="0" containsString="0" containsNumber="1" containsInteger="1" minValue="0" maxValue="6"/>
    </cacheField>
    <cacheField name="Total Issues Done" numFmtId="0">
      <sharedItems containsSemiMixedTypes="0" containsString="0" containsNumber="1" containsInteger="1" minValue="7" maxValue="26"/>
    </cacheField>
    <cacheField name="Planned Issues NOT Done" numFmtId="1">
      <sharedItems containsSemiMixedTypes="0" containsString="0" containsNumber="1" containsInteger="1" minValue="1" maxValue="12"/>
    </cacheField>
    <cacheField name="% Planned Issues" numFmtId="9">
      <sharedItems containsSemiMixedTypes="0" containsString="0" containsNumber="1" minValue="0.5" maxValue="0.88888888888888884"/>
    </cacheField>
    <cacheField name="% Unplanned Issues" numFmtId="9">
      <sharedItems containsSemiMixedTypes="0" containsString="0" containsNumber="1" minValue="0.1111111111111111" maxValue="0.5"/>
    </cacheField>
    <cacheField name="Planned SP Done" numFmtId="0">
      <sharedItems containsSemiMixedTypes="0" containsString="0" containsNumber="1" containsInteger="1" minValue="45" maxValue="115"/>
    </cacheField>
    <cacheField name="Unplanned SP Done" numFmtId="0">
      <sharedItems containsSemiMixedTypes="0" containsString="0" containsNumber="1" containsInteger="1" minValue="4" maxValue="29"/>
    </cacheField>
    <cacheField name="Bugs (SP)" numFmtId="0">
      <sharedItems containsSemiMixedTypes="0" containsString="0" containsNumber="1" containsInteger="1" minValue="0" maxValue="15"/>
    </cacheField>
    <cacheField name="Total SP Done" numFmtId="1">
      <sharedItems containsSemiMixedTypes="0" containsString="0" containsNumber="1" containsInteger="1" minValue="61" maxValue="137"/>
    </cacheField>
    <cacheField name="Planned SP NOT Done" numFmtId="1">
      <sharedItems containsSemiMixedTypes="0" containsString="0" containsNumber="1" containsInteger="1" minValue="1" maxValue="50"/>
    </cacheField>
    <cacheField name="% Planned SP" numFmtId="9">
      <sharedItems containsSemiMixedTypes="0" containsString="0" containsNumber="1" minValue="0.64" maxValue="0.93442622950819676"/>
    </cacheField>
    <cacheField name="% Unplanned SP" numFmtId="9">
      <sharedItems containsSemiMixedTypes="0" containsString="0" containsNumber="1" minValue="6.5573770491803282E-2" maxValue="0.36"/>
    </cacheField>
    <cacheField name="% Compliance" numFmtId="165">
      <sharedItems containsSemiMixedTypes="0" containsString="0" containsNumber="1" minValue="0.48979591836734693" maxValue="0.98734177215189878"/>
    </cacheField>
    <cacheField name="Ratio SP / issue" numFmtId="2">
      <sharedItems containsSemiMixedTypes="0" containsString="0" containsNumber="1" minValue="-4.3529411764705879" maxValue="8.7142857142857135"/>
    </cacheField>
    <cacheField name="SP / Hours" numFmtId="164">
      <sharedItems containsSemiMixedTypes="0" containsString="0" containsNumber="1" minValue="0.14031180400890869" maxValue="0.29581993569131831"/>
    </cacheField>
    <cacheField name="Hours Next Sprint" numFmtId="1">
      <sharedItems containsSemiMixedTypes="0" containsString="0" containsNumber="1" containsInteger="1" minValue="311" maxValue="549"/>
    </cacheField>
    <cacheField name="Estimated Total SP" numFmtId="1">
      <sharedItems containsSemiMixedTypes="0" containsString="0" containsNumber="1" containsInteger="1" minValue="65" maxValue="144"/>
    </cacheField>
    <cacheField name="Estimated SP Planned" numFmtId="1">
      <sharedItems containsSemiMixedTypes="0" containsString="0" containsNumber="1" containsInteger="1" minValue="45" maxValue="109"/>
    </cacheField>
    <cacheField name="Estimated SP Unplanned" numFmtId="0">
      <sharedItems containsSemiMixedTypes="0" containsString="0" containsNumber="1" containsInteger="1" minValue="12" maxValue="35"/>
    </cacheField>
    <cacheField name="Estimated % Compliance" numFmtId="165">
      <sharedItems containsSemiMixedTypes="0" containsString="0" containsNumber="1" minValue="0.57504691651461315" maxValue="0.96425912137006708"/>
    </cacheField>
    <cacheField name="Compliance final % var" numFmtId="165">
      <sharedItems containsSemiMixedTypes="0" containsString="0" containsNumber="1" minValue="-0.8463677117297087" maxValue="0.31592860621513619"/>
    </cacheField>
  </cacheFields>
  <extLst>
    <ext xmlns:x14="http://schemas.microsoft.com/office/spreadsheetml/2009/9/main" uri="{725AE2AE-9491-48be-B2B4-4EB974FC3084}">
      <x14:pivotCacheDefinition pivotCacheId="47181345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x v="0"/>
    <n v="535"/>
    <n v="16"/>
    <n v="104"/>
    <n v="10"/>
    <n v="7"/>
    <n v="0"/>
    <n v="17"/>
    <n v="6"/>
    <n v="0.58823529411764708"/>
    <n v="0.41176470588235292"/>
    <n v="63"/>
    <n v="28"/>
    <n v="0"/>
    <n v="91"/>
    <n v="41"/>
    <n v="0.69230769230769229"/>
    <n v="0.30769230769230771"/>
    <n v="0.60576923076923073"/>
    <n v="-4.3529411764705879"/>
    <n v="0.17009345794392525"/>
    <n v="513"/>
    <n v="88"/>
    <n v="60"/>
    <n v="28"/>
    <n v="0.60576923076923073"/>
    <n v="-1.3176638176638167E-2"/>
  </r>
  <r>
    <x v="1"/>
    <n v="513"/>
    <n v="16"/>
    <n v="108"/>
    <n v="11"/>
    <n v="6"/>
    <n v="1"/>
    <n v="17"/>
    <n v="5"/>
    <n v="0.6470588235294118"/>
    <n v="0.35294117647058826"/>
    <n v="64"/>
    <n v="25"/>
    <n v="3"/>
    <n v="89"/>
    <n v="44"/>
    <n v="0.7191011235955056"/>
    <n v="0.2808988764044944"/>
    <n v="0.59259259259259256"/>
    <n v="5.2352941176470589"/>
    <n v="0.17348927875243664"/>
    <n v="374"/>
    <n v="65"/>
    <n v="45"/>
    <n v="20"/>
    <n v="0.5991809116809117"/>
    <n v="-3.6680911680911699E-2"/>
  </r>
  <r>
    <x v="2"/>
    <n v="374"/>
    <n v="12"/>
    <n v="80"/>
    <n v="11"/>
    <n v="6"/>
    <n v="2"/>
    <n v="17"/>
    <n v="1"/>
    <n v="0.6470588235294118"/>
    <n v="0.35294117647058826"/>
    <n v="45"/>
    <n v="22"/>
    <n v="5"/>
    <n v="67"/>
    <n v="35"/>
    <n v="0.67164179104477617"/>
    <n v="0.32835820895522388"/>
    <n v="0.5625"/>
    <n v="3.9411764705882355"/>
    <n v="0.17914438502673796"/>
    <n v="411"/>
    <n v="72"/>
    <n v="49"/>
    <n v="23"/>
    <n v="0.58695394112060784"/>
    <n v="-4.7628098423978638E-2"/>
  </r>
  <r>
    <x v="3"/>
    <n v="411"/>
    <n v="14"/>
    <n v="89"/>
    <n v="11"/>
    <n v="8"/>
    <n v="1"/>
    <n v="19"/>
    <n v="3"/>
    <n v="0.57894736842105265"/>
    <n v="0.42105263157894735"/>
    <n v="48"/>
    <n v="27"/>
    <n v="2"/>
    <n v="75"/>
    <n v="41"/>
    <n v="0.64"/>
    <n v="0.36"/>
    <n v="0.5393258426966292"/>
    <n v="3.9473684210526314"/>
    <n v="0.18248175182481752"/>
    <n v="397"/>
    <n v="70"/>
    <n v="47"/>
    <n v="23"/>
    <n v="0.57504691651461315"/>
    <n v="4.6005715064334263E-2"/>
  </r>
  <r>
    <x v="4"/>
    <n v="397"/>
    <n v="14"/>
    <n v="95"/>
    <n v="12"/>
    <n v="5"/>
    <n v="3"/>
    <n v="17"/>
    <n v="2"/>
    <n v="0.70588235294117652"/>
    <n v="0.29411764705882354"/>
    <n v="59"/>
    <n v="15"/>
    <n v="6"/>
    <n v="74"/>
    <n v="36"/>
    <n v="0.79729729729729726"/>
    <n v="0.20270270270270271"/>
    <n v="0.62105263157894741"/>
    <n v="4.3529411764705879"/>
    <n v="0.18639798488664988"/>
    <n v="437"/>
    <n v="78"/>
    <n v="54"/>
    <n v="24"/>
    <n v="0.58424805952748005"/>
    <n v="7.9017246594968893E-2"/>
  </r>
  <r>
    <x v="5"/>
    <n v="437"/>
    <n v="16"/>
    <n v="98"/>
    <n v="8"/>
    <n v="4"/>
    <n v="1"/>
    <n v="12"/>
    <n v="8"/>
    <n v="0.66666666666666663"/>
    <n v="0.33333333333333331"/>
    <n v="65"/>
    <n v="19"/>
    <n v="8"/>
    <n v="84"/>
    <n v="33"/>
    <n v="0.77380952380952384"/>
    <n v="0.22619047619047619"/>
    <n v="0.66326530612244894"/>
    <n v="7"/>
    <n v="0.19221967963386727"/>
    <n v="435"/>
    <n v="79"/>
    <n v="56"/>
    <n v="23"/>
    <n v="0.59741760062664151"/>
    <n v="3.6510970801929887E-2"/>
  </r>
  <r>
    <x v="6"/>
    <n v="435"/>
    <n v="17"/>
    <n v="112"/>
    <n v="12"/>
    <n v="4"/>
    <n v="2"/>
    <n v="16"/>
    <n v="5"/>
    <n v="0.75"/>
    <n v="0.25"/>
    <n v="71"/>
    <n v="14"/>
    <n v="3"/>
    <n v="85"/>
    <n v="41"/>
    <n v="0.83529411764705885"/>
    <n v="0.16470588235294117"/>
    <n v="0.6339285714285714"/>
    <n v="5.3125"/>
    <n v="0.19540229885057472"/>
    <n v="334"/>
    <n v="72"/>
    <n v="52"/>
    <n v="20"/>
    <n v="0.60263345359834575"/>
    <n v="0.10468361957238592"/>
  </r>
  <r>
    <x v="7"/>
    <n v="334"/>
    <n v="14"/>
    <n v="82"/>
    <n v="13"/>
    <n v="6"/>
    <n v="4"/>
    <n v="19"/>
    <n v="1"/>
    <n v="0.68421052631578949"/>
    <n v="0.31578947368421051"/>
    <n v="58"/>
    <n v="9"/>
    <n v="12"/>
    <n v="67"/>
    <n v="24"/>
    <n v="0.86567164179104472"/>
    <n v="0.13432835820895522"/>
    <n v="0.70731707317073167"/>
    <n v="3.5263157894736841"/>
    <n v="0.20059880239520958"/>
    <n v="453"/>
    <n v="98"/>
    <n v="73"/>
    <n v="25"/>
    <n v="0.61571890604489399"/>
    <n v="9.8566808240820314E-2"/>
  </r>
  <r>
    <x v="8"/>
    <n v="453"/>
    <n v="19"/>
    <n v="105"/>
    <n v="8"/>
    <n v="8"/>
    <n v="5"/>
    <n v="16"/>
    <n v="11"/>
    <n v="0.5"/>
    <n v="0.5"/>
    <n v="75"/>
    <n v="17"/>
    <n v="12"/>
    <n v="92"/>
    <n v="30"/>
    <n v="0.81521739130434778"/>
    <n v="0.18478260869565216"/>
    <n v="0.7142857142857143"/>
    <n v="5.75"/>
    <n v="0.20309050772626933"/>
    <n v="527"/>
    <n v="115"/>
    <n v="87"/>
    <n v="28"/>
    <n v="0.62928346648445443"/>
    <n v="2.9253118881399254E-2"/>
  </r>
  <r>
    <x v="9"/>
    <n v="527"/>
    <n v="23"/>
    <n v="123"/>
    <n v="16"/>
    <n v="4"/>
    <n v="5"/>
    <n v="20"/>
    <n v="7"/>
    <n v="0.8"/>
    <n v="0.2"/>
    <n v="81"/>
    <n v="29"/>
    <n v="15"/>
    <n v="110"/>
    <n v="42"/>
    <n v="0.73636363636363633"/>
    <n v="0.26363636363636361"/>
    <n v="0.65853658536585369"/>
    <n v="5.5"/>
    <n v="0.20872865275142316"/>
    <n v="343"/>
    <n v="76"/>
    <n v="61"/>
    <n v="15"/>
    <n v="0.675466650074664"/>
    <n v="-0.18567073170731707"/>
  </r>
  <r>
    <x v="10"/>
    <n v="343"/>
    <n v="16"/>
    <n v="98"/>
    <n v="10"/>
    <n v="5"/>
    <n v="3"/>
    <n v="15"/>
    <n v="6"/>
    <n v="0.66666666666666663"/>
    <n v="0.33333333333333331"/>
    <n v="48"/>
    <n v="25"/>
    <n v="14"/>
    <n v="73"/>
    <n v="50"/>
    <n v="0.65753424657534243"/>
    <n v="0.34246575342465752"/>
    <n v="0.48979591836734693"/>
    <n v="4.8666666666666663"/>
    <n v="0.21282798833819241"/>
    <n v="399"/>
    <n v="89"/>
    <n v="69"/>
    <n v="20"/>
    <n v="0.64077277252364362"/>
    <n v="2.5893894143023011E-2"/>
  </r>
  <r>
    <x v="11"/>
    <n v="399"/>
    <n v="19"/>
    <n v="120"/>
    <n v="16"/>
    <n v="2"/>
    <n v="2"/>
    <n v="18"/>
    <n v="3"/>
    <n v="0.88888888888888884"/>
    <n v="0.1111111111111111"/>
    <n v="80"/>
    <n v="6"/>
    <n v="6"/>
    <n v="86"/>
    <n v="40"/>
    <n v="0.93023255813953487"/>
    <n v="6.9767441860465115E-2"/>
    <n v="0.66666666666666663"/>
    <n v="4.7777777777777777"/>
    <n v="0.21553884711779447"/>
    <n v="402"/>
    <n v="90"/>
    <n v="72"/>
    <n v="18"/>
    <n v="0.64732039157126264"/>
    <n v="1.3549173646128621E-2"/>
  </r>
  <r>
    <x v="12"/>
    <n v="402"/>
    <n v="20"/>
    <n v="115"/>
    <n v="17"/>
    <n v="3"/>
    <n v="4"/>
    <n v="20"/>
    <n v="3"/>
    <n v="0.85"/>
    <n v="0.15"/>
    <n v="76"/>
    <n v="13"/>
    <n v="8"/>
    <n v="89"/>
    <n v="39"/>
    <n v="0.8539325842696629"/>
    <n v="0.14606741573033707"/>
    <n v="0.66086956521739126"/>
    <n v="4.45"/>
    <n v="0.22139303482587064"/>
    <n v="314"/>
    <n v="71"/>
    <n v="56"/>
    <n v="15"/>
    <n v="0.63803088998059443"/>
    <n v="7.2812483513381432E-2"/>
  </r>
  <r>
    <x v="13"/>
    <n v="314"/>
    <n v="16"/>
    <n v="83"/>
    <n v="14"/>
    <n v="4"/>
    <n v="6"/>
    <n v="18"/>
    <n v="2"/>
    <n v="0.77777777777777779"/>
    <n v="0.22222222222222221"/>
    <n v="59"/>
    <n v="12"/>
    <n v="8"/>
    <n v="71"/>
    <n v="24"/>
    <n v="0.83098591549295775"/>
    <n v="0.16901408450704225"/>
    <n v="0.71084337349397586"/>
    <n v="3.9444444444444446"/>
    <n v="0.22611464968152867"/>
    <n v="520"/>
    <n v="118"/>
    <n v="94"/>
    <n v="24"/>
    <n v="0.63734242182224699"/>
    <n v="0.31592860621513619"/>
  </r>
  <r>
    <x v="14"/>
    <n v="520"/>
    <n v="21"/>
    <n v="107"/>
    <n v="18"/>
    <n v="3"/>
    <n v="4"/>
    <n v="21"/>
    <n v="3"/>
    <n v="0.8571428571428571"/>
    <n v="0.14285714285714285"/>
    <n v="102"/>
    <n v="17"/>
    <n v="12"/>
    <n v="119"/>
    <n v="5"/>
    <n v="0.8571428571428571"/>
    <n v="0.14285714285714285"/>
    <n v="0.95327102803738317"/>
    <n v="5.666666666666667"/>
    <n v="0.22884615384615384"/>
    <n v="535"/>
    <n v="121"/>
    <n v="99"/>
    <n v="22"/>
    <n v="0.69628931035655273"/>
    <n v="0.24488716023168255"/>
  </r>
  <r>
    <x v="15"/>
    <n v="535"/>
    <n v="23"/>
    <n v="102"/>
    <n v="20"/>
    <n v="4"/>
    <n v="1"/>
    <n v="24"/>
    <n v="3"/>
    <n v="0.83333333333333337"/>
    <n v="0.16666666666666666"/>
    <n v="96"/>
    <n v="23"/>
    <n v="5"/>
    <n v="119"/>
    <n v="6"/>
    <n v="0.80672268907563027"/>
    <n v="0.19327731092436976"/>
    <n v="0.94117647058823528"/>
    <n v="4.958333333333333"/>
    <n v="0.22242990654205608"/>
    <n v="378"/>
    <n v="85"/>
    <n v="68"/>
    <n v="17"/>
    <n v="0.94117647058823528"/>
    <n v="4.6165301563663497E-2"/>
  </r>
  <r>
    <x v="16"/>
    <n v="378"/>
    <n v="19"/>
    <n v="79"/>
    <n v="16"/>
    <n v="2"/>
    <n v="4"/>
    <n v="18"/>
    <n v="3"/>
    <n v="0.88888888888888884"/>
    <n v="0.1111111111111111"/>
    <n v="78"/>
    <n v="23"/>
    <n v="12"/>
    <n v="101"/>
    <n v="1"/>
    <n v="0.7722772277227723"/>
    <n v="0.22772277227722773"/>
    <n v="0.98734177215189878"/>
    <n v="5.6111111111111107"/>
    <n v="0.26719576719576721"/>
    <n v="311"/>
    <n v="77"/>
    <n v="60"/>
    <n v="17"/>
    <n v="0.96425912137006708"/>
    <n v="-0.13309029020123586"/>
  </r>
  <r>
    <x v="17"/>
    <n v="311"/>
    <n v="14"/>
    <n v="77"/>
    <n v="9"/>
    <n v="2"/>
    <n v="1"/>
    <n v="11"/>
    <n v="5"/>
    <n v="0.81818181818181823"/>
    <n v="0.18181818181818182"/>
    <n v="64"/>
    <n v="28"/>
    <n v="3"/>
    <n v="92"/>
    <n v="13"/>
    <n v="0.69565217391304346"/>
    <n v="0.30434782608695654"/>
    <n v="0.83116883116883122"/>
    <n v="8.3636363636363633"/>
    <n v="0.29581993569131831"/>
    <n v="549"/>
    <n v="144"/>
    <n v="109"/>
    <n v="35"/>
    <n v="0.91989569130298854"/>
    <n v="2.4344057843901368E-3"/>
  </r>
  <r>
    <x v="18"/>
    <n v="549"/>
    <n v="21"/>
    <n v="103"/>
    <n v="15"/>
    <n v="7"/>
    <n v="5"/>
    <n v="22"/>
    <n v="6"/>
    <n v="0.68181818181818177"/>
    <n v="0.31818181818181818"/>
    <n v="95"/>
    <n v="23"/>
    <n v="10"/>
    <n v="118"/>
    <n v="8"/>
    <n v="0.80508474576271183"/>
    <n v="0.19491525423728814"/>
    <n v="0.92233009708737868"/>
    <n v="5.3636363636363633"/>
    <n v="0.21493624772313297"/>
    <n v="522"/>
    <n v="131"/>
    <n v="100"/>
    <n v="31"/>
    <n v="0.92050429274908607"/>
    <n v="-0.23023880602342239"/>
  </r>
  <r>
    <x v="19"/>
    <n v="522"/>
    <n v="21"/>
    <n v="113"/>
    <n v="12"/>
    <n v="4"/>
    <n v="2"/>
    <n v="16"/>
    <n v="9"/>
    <n v="0.75"/>
    <n v="0.25"/>
    <n v="78"/>
    <n v="21"/>
    <n v="8"/>
    <n v="99"/>
    <n v="35"/>
    <n v="0.78787878787878785"/>
    <n v="0.21212121212121213"/>
    <n v="0.69026548672566368"/>
    <n v="6.1875"/>
    <n v="0.18965517241379309"/>
    <n v="515"/>
    <n v="123"/>
    <n v="95"/>
    <n v="28"/>
    <n v="0.87445653154440151"/>
    <n v="-2.8868296250283865E-2"/>
  </r>
  <r>
    <x v="20"/>
    <n v="515"/>
    <n v="26"/>
    <n v="136"/>
    <n v="21"/>
    <n v="5"/>
    <n v="3"/>
    <n v="26"/>
    <n v="5"/>
    <n v="0.80769230769230771"/>
    <n v="0.19230769230769232"/>
    <n v="115"/>
    <n v="22"/>
    <n v="7"/>
    <n v="137"/>
    <n v="21"/>
    <n v="0.83941605839416056"/>
    <n v="0.16058394160583941"/>
    <n v="0.84558823529411764"/>
    <n v="5.2692307692307692"/>
    <n v="0.26601941747572816"/>
    <n v="449"/>
    <n v="109"/>
    <n v="85"/>
    <n v="24"/>
    <n v="0.86964514883602095"/>
    <n v="-0.22678800597887805"/>
  </r>
  <r>
    <x v="21"/>
    <n v="449"/>
    <n v="19"/>
    <n v="84"/>
    <n v="10"/>
    <n v="3"/>
    <n v="2"/>
    <n v="13"/>
    <n v="9"/>
    <n v="0.76923076923076927"/>
    <n v="0.23076923076923078"/>
    <n v="54"/>
    <n v="9"/>
    <n v="5"/>
    <n v="63"/>
    <n v="30"/>
    <n v="0.8571428571428571"/>
    <n v="0.14285714285714285"/>
    <n v="0.6428571428571429"/>
    <n v="4.8461538461538458"/>
    <n v="0.14031180400890869"/>
    <n v="509"/>
    <n v="117"/>
    <n v="92"/>
    <n v="25"/>
    <n v="0.81992526088083884"/>
    <n v="7.2382431426853522E-2"/>
  </r>
  <r>
    <x v="22"/>
    <n v="509"/>
    <n v="18"/>
    <n v="65"/>
    <n v="6"/>
    <n v="4"/>
    <n v="1"/>
    <n v="10"/>
    <n v="12"/>
    <n v="0.6"/>
    <n v="0.4"/>
    <n v="58"/>
    <n v="14"/>
    <n v="3"/>
    <n v="72"/>
    <n v="7"/>
    <n v="0.80555555555555558"/>
    <n v="0.19444444444444445"/>
    <n v="0.89230769230769236"/>
    <n v="7.2"/>
    <n v="0.14145383104125736"/>
    <n v="394"/>
    <n v="86"/>
    <n v="68"/>
    <n v="18"/>
    <n v="0.80408624757347102"/>
    <n v="0.10819445418091489"/>
  </r>
  <r>
    <x v="23"/>
    <n v="394"/>
    <n v="13"/>
    <n v="57"/>
    <n v="12"/>
    <n v="3"/>
    <n v="1"/>
    <n v="15"/>
    <n v="1"/>
    <n v="0.8"/>
    <n v="0.2"/>
    <n v="52"/>
    <n v="9"/>
    <n v="6"/>
    <n v="61"/>
    <n v="5"/>
    <n v="0.85245901639344257"/>
    <n v="0.14754098360655737"/>
    <n v="0.91228070175438591"/>
    <n v="4.0666666666666664"/>
    <n v="0.1548223350253807"/>
    <n v="431"/>
    <n v="91"/>
    <n v="75"/>
    <n v="16"/>
    <n v="0.81760489267106351"/>
    <n v="3.3141375985652921E-2"/>
  </r>
  <r>
    <x v="24"/>
    <n v="431"/>
    <n v="17"/>
    <n v="67"/>
    <n v="8"/>
    <n v="2"/>
    <n v="3"/>
    <n v="10"/>
    <n v="9"/>
    <n v="0.8"/>
    <n v="0.2"/>
    <n v="57"/>
    <n v="6"/>
    <n v="5"/>
    <n v="63"/>
    <n v="10"/>
    <n v="0.90476190476190477"/>
    <n v="9.5238095238095233E-2"/>
    <n v="0.85074626865671643"/>
    <n v="6.3"/>
    <n v="0.14617169373549885"/>
    <n v="364"/>
    <n v="75"/>
    <n v="63"/>
    <n v="12"/>
    <n v="0.80567425459928643"/>
    <n v="0.12875197490891033"/>
  </r>
  <r>
    <x v="25"/>
    <n v="364"/>
    <n v="11"/>
    <n v="61"/>
    <n v="5"/>
    <n v="2"/>
    <n v="2"/>
    <n v="7"/>
    <n v="6"/>
    <n v="0.7142857142857143"/>
    <n v="0.2857142857142857"/>
    <n v="57"/>
    <n v="4"/>
    <n v="6"/>
    <n v="61"/>
    <n v="4"/>
    <n v="0.93442622950819676"/>
    <n v="6.5573770491803282E-2"/>
    <n v="0.93442622950819676"/>
    <n v="8.7142857142857135"/>
    <n v="0.16758241758241757"/>
    <n v="448"/>
    <n v="90"/>
    <n v="77"/>
    <n v="13"/>
    <n v="0.8463677117297087"/>
    <n v="-0.84636771172970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036594-1688-CF46-8A8C-EE89555A9E99}" name="BugsRati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7">
  <location ref="J1:J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Bugs (Issues)" fld="6" subtotal="average" baseField="6" baseItem="0" numFmtId="1"/>
  </dataFields>
  <formats count="5">
    <format dxfId="130">
      <pivotArea outline="0" fieldPosition="0">
        <references count="1">
          <reference field="4294967294" count="1">
            <x v="0"/>
          </reference>
        </references>
      </pivotArea>
    </format>
    <format dxfId="129">
      <pivotArea outline="0" collapsedLevelsAreSubtotals="1" fieldPosition="0"/>
    </format>
    <format dxfId="128">
      <pivotArea dataOnly="0" labelOnly="1" outline="0" axis="axisValues" fieldPosition="0"/>
    </format>
    <format dxfId="127">
      <pivotArea dataOnly="0" labelOnly="1" outline="0" axis="axisValues" fieldPosition="0"/>
    </format>
    <format dxfId="126">
      <pivotArea dataOnly="0" labelOnly="1" outline="0" axis="axisValues" fieldPosition="0"/>
    </format>
  </formats>
  <chartFormats count="12">
    <chartFormat chart="29" format="10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0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2" format="1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2" format="1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5ED59C-CFA0-F14E-B515-275BFA4F23B4}" name="Compliance_sprint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7">
  <location ref="AN1:AO19" firstHeaderRow="1" firstDataRow="1" firstDataCol="1"/>
  <pivotFields count="27">
    <pivotField axis="axisRow"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dataField="1" showAll="0"/>
    <pivotField showAll="0"/>
    <pivotField numFmtId="164" showAll="0"/>
    <pivotField numFmtId="1" showAll="0"/>
    <pivotField numFmtId="1" showAll="0"/>
    <pivotField showAll="0"/>
    <pivotField showAll="0"/>
    <pivotField showAll="0"/>
    <pivotField showAll="0"/>
  </pivotFields>
  <rowFields count="1">
    <field x="0"/>
  </rowFields>
  <rowItems count="1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a de % Compliance" fld="18" baseField="0" baseItem="0"/>
  </dataFields>
  <formats count="8">
    <format dxfId="138">
      <pivotArea dataOnly="0" labelOnly="1" outline="0" axis="axisValues" fieldPosition="0"/>
    </format>
    <format dxfId="137">
      <pivotArea collapsedLevelsAreSubtotals="1" fieldPosition="0">
        <references count="1">
          <reference field="0" count="0"/>
        </references>
      </pivotArea>
    </format>
    <format dxfId="136">
      <pivotArea field="0" type="button" dataOnly="0" labelOnly="1" outline="0" axis="axisRow" fieldPosition="0"/>
    </format>
    <format dxfId="135">
      <pivotArea dataOnly="0" labelOnly="1" outline="0" axis="axisValues" fieldPosition="0"/>
    </format>
    <format dxfId="134">
      <pivotArea field="0" type="button" dataOnly="0" labelOnly="1" outline="0" axis="axisRow" fieldPosition="0"/>
    </format>
    <format dxfId="133">
      <pivotArea dataOnly="0" labelOnly="1" outline="0" axis="axisValues" fieldPosition="0"/>
    </format>
    <format dxfId="132">
      <pivotArea field="0" type="button" dataOnly="0" labelOnly="1" outline="0" axis="axisRow" fieldPosition="0"/>
    </format>
    <format dxfId="131">
      <pivotArea dataOnly="0" labelOnly="1" outline="0" axis="axisValues" fieldPosition="0"/>
    </format>
  </formats>
  <chartFormats count="4">
    <chartFormat chart="2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B0A64E-F7C5-9445-A9F1-FEE901CB365A}" name="Issues_Planned_vs_Unplanne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M1:O19" firstHeaderRow="0" firstDataRow="1" firstDataCol="1"/>
  <pivotFields count="27">
    <pivotField axis="axisRow"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Fields count="1">
    <field x="0"/>
  </rowFields>
  <rowItems count="1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Planned" fld="4" baseField="0" baseItem="0"/>
    <dataField name="Unplanned" fld="5" baseField="0" baseItem="0"/>
  </dataFields>
  <formats count="4">
    <format dxfId="142">
      <pivotArea field="0" type="button" dataOnly="0" labelOnly="1" outline="0" axis="axisRow" fieldPosition="0"/>
    </format>
    <format dxfId="14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0">
      <pivotArea field="0" type="button" dataOnly="0" labelOnly="1" outline="0" axis="axisRow" fieldPosition="0"/>
    </format>
    <format dxfId="13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329C2F-7328-F44D-AD86-6D4A10244852}" name="Issues_Don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7">
  <location ref="V1:V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Total Issues Done" fld="7" subtotal="average" baseField="0" baseItem="0" numFmtId="1"/>
  </dataFields>
  <formats count="4">
    <format dxfId="146">
      <pivotArea outline="0" collapsedLevelsAreSubtotals="1" fieldPosition="0"/>
    </format>
    <format dxfId="145">
      <pivotArea dataOnly="0" labelOnly="1" outline="0" axis="axisValues" fieldPosition="0"/>
    </format>
    <format dxfId="144">
      <pivotArea dataOnly="0" labelOnly="1" outline="0" axis="axisValues" fieldPosition="0"/>
    </format>
    <format dxfId="143">
      <pivotArea dataOnly="0" labelOnly="1" outline="0" axis="axisValues" fieldPosition="0"/>
    </format>
  </formats>
  <chartFormats count="8">
    <chartFormat chart="3" format="9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9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9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8EF299-C03F-EB4B-B8ED-2FEA1EA27D2D}" name="Unplanned_SP_Rati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6">
  <location ref="S1:S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dataField="1"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% Unplanned SP" fld="17" subtotal="average" baseField="0" baseItem="0"/>
  </dataFields>
  <formats count="3">
    <format dxfId="149">
      <pivotArea outline="0" collapsedLevelsAreSubtotals="1" fieldPosition="0"/>
    </format>
    <format dxfId="148">
      <pivotArea dataOnly="0" labelOnly="1" outline="0" axis="axisValues" fieldPosition="0"/>
    </format>
    <format dxfId="147">
      <pivotArea dataOnly="0" labelOnly="1" outline="0" axis="axisValues" fieldPosition="0"/>
    </format>
  </formats>
  <chartFormats count="7"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4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E74A20-7B06-344A-9A9C-15269CBBA503}" name="Hour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4">
  <location ref="U1:U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Hours" fld="1" subtotal="average" baseField="0" baseItem="0" numFmtId="1"/>
  </dataFields>
  <formats count="3">
    <format dxfId="152">
      <pivotArea outline="0" collapsedLevelsAreSubtotals="1" fieldPosition="0"/>
    </format>
    <format dxfId="151">
      <pivotArea dataOnly="0" labelOnly="1" outline="0" axis="axisValues" fieldPosition="0"/>
    </format>
    <format dxfId="150">
      <pivotArea dataOnly="0" labelOnly="1" outline="0" axis="axisValues" fieldPosition="0"/>
    </format>
  </formats>
  <chartFormats count="8">
    <chartFormat chart="2" format="10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0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0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3CC666-CFD4-2C41-A65F-BE7E5B47E7A4}" name="Perc_Issues_pl_vs_unp" cacheId="0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0">
  <location ref="AB1:AC3" firstHeaderRow="1" firstDataRow="1" firstDataCol="1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dataField="1" showAll="0"/>
    <pivotField dataField="1"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Fields count="1">
    <field x="-2"/>
  </rowFields>
  <rowItems count="2">
    <i>
      <x/>
    </i>
    <i i="1">
      <x v="1"/>
    </i>
  </rowItems>
  <colItems count="1">
    <i/>
  </colItems>
  <dataFields count="2">
    <dataField name="Planned" fld="9" subtotal="average" baseField="0" baseItem="0"/>
    <dataField name="Unplanned" fld="10" subtotal="average" baseField="0" baseItem="0"/>
  </dataFields>
  <formats count="6">
    <format dxfId="158">
      <pivotArea outline="0" collapsedLevelsAreSubtotals="1" fieldPosition="0"/>
    </format>
    <format dxfId="157">
      <pivotArea field="-2" type="button" dataOnly="0" labelOnly="1" outline="0" axis="axisRow" fieldPosition="0"/>
    </format>
    <format dxfId="156">
      <pivotArea field="-2" type="button" dataOnly="0" labelOnly="1" outline="0" axis="axisRow" fieldPosition="0"/>
    </format>
    <format dxfId="155">
      <pivotArea dataOnly="0" labelOnly="1" grandCol="1" outline="0" axis="axisCol" fieldPosition="0"/>
    </format>
    <format dxfId="154">
      <pivotArea field="-2" type="button" dataOnly="0" labelOnly="1" outline="0" axis="axisRow" fieldPosition="0"/>
    </format>
    <format dxfId="153">
      <pivotArea dataOnly="0" labelOnly="1" grandCol="1" outline="0" axis="axisCol" fieldPosition="0"/>
    </format>
  </formats>
  <chartFormats count="13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4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5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3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6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7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5AFCAF-51DB-0C41-8407-AA85A29FC0F5}" name="SP_Plan_Unpl" cacheId="0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2">
  <location ref="AD1:AE3" firstHeaderRow="1" firstDataRow="1" firstDataCol="1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dataField="1" showAll="0"/>
    <pivotField dataField="1"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Fields count="1">
    <field x="-2"/>
  </rowFields>
  <rowItems count="2">
    <i>
      <x/>
    </i>
    <i i="1">
      <x v="1"/>
    </i>
  </rowItems>
  <colItems count="1">
    <i/>
  </colItems>
  <dataFields count="2">
    <dataField name="Planned" fld="16" subtotal="average" baseField="0" baseItem="0"/>
    <dataField name="Unplanned" fld="17" subtotal="average" baseField="0" baseItem="0"/>
  </dataFields>
  <formats count="3">
    <format dxfId="161">
      <pivotArea outline="0" collapsedLevelsAreSubtotals="1" fieldPosition="0"/>
    </format>
    <format dxfId="160">
      <pivotArea field="-2" type="button" dataOnly="0" labelOnly="1" outline="0" axis="axisRow" fieldPosition="0"/>
    </format>
    <format dxfId="159">
      <pivotArea dataOnly="0" labelOnly="1" grandCol="1" outline="0" axis="axisCol" fieldPosition="0"/>
    </format>
  </formats>
  <chartFormats count="14">
    <chartFormat chart="0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4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4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0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82F45C-3981-5F40-BF1E-C6B56DCF38B0}" name="Bug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7">
  <location ref="I1:I2" firstHeaderRow="1" firstDataRow="1" firstDataCol="0"/>
  <pivotFields count="27">
    <pivotField numFmtId="1" showAll="0" sortType="ascending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numFmtId="1" showAll="0"/>
    <pivotField showAll="0"/>
    <pivotField showAll="0"/>
    <pivotField showAll="0"/>
    <pivotField showAll="0"/>
    <pivotField dataField="1" showAll="0"/>
    <pivotField showAll="0"/>
    <pivotField numFmtId="1" showAll="0"/>
    <pivotField showAll="0"/>
    <pivotField numFmtId="9" showAll="0"/>
    <pivotField showAll="0"/>
    <pivotField showAll="0"/>
    <pivotField showAll="0"/>
    <pivotField showAll="0"/>
    <pivotField numFmtId="1" showAll="0"/>
    <pivotField showAll="0"/>
    <pivotField numFmtId="9" showAll="0"/>
    <pivotField numFmtId="165" showAll="0"/>
    <pivotField showAll="0"/>
    <pivotField numFmtId="164" showAll="0"/>
    <pivotField numFmtId="1" showAll="0"/>
    <pivotField showAll="0"/>
    <pivotField showAll="0"/>
    <pivotField showAll="0"/>
    <pivotField numFmtId="165" showAll="0"/>
    <pivotField showAll="0"/>
  </pivotFields>
  <rowItems count="1">
    <i/>
  </rowItems>
  <colItems count="1">
    <i/>
  </colItems>
  <dataFields count="1">
    <dataField name="Suma de Bugs (Issues)" fld="6" baseField="0" baseItem="0"/>
  </dataFields>
  <formats count="2">
    <format dxfId="163">
      <pivotArea dataOnly="0" labelOnly="1" outline="0" axis="axisValues" fieldPosition="0"/>
    </format>
    <format dxfId="162">
      <pivotArea dataOnly="0" labelOnly="1" outline="0" axis="axisValues" fieldPosition="0"/>
    </format>
  </formats>
  <chartFormats count="10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65DE5D-12C3-AA4E-A5E0-E81EA764287E}" name="Estimations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1">
  <location ref="AF1:AK18" firstHeaderRow="0" firstDataRow="1" firstDataCol="1"/>
  <pivotFields count="27">
    <pivotField axis="axisRow"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dataField="1" numFmtI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0"/>
  </rowFields>
  <rowItems count="17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Hours Next Sprint" fld="21" baseField="0" baseItem="0"/>
    <dataField name="Total SP" fld="22" subtotal="average" baseField="0" baseItem="0"/>
    <dataField name="SP Planned" fld="23" subtotal="average" baseField="0" baseItem="0"/>
    <dataField name="Promedio de Estimated SP Unplanned" fld="24" subtotal="average" baseField="0" baseItem="0"/>
    <dataField name="% Estimated Compliance" fld="25" subtotal="average" baseField="0" baseItem="0" numFmtId="9"/>
  </dataFields>
  <formats count="8">
    <format dxfId="171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70">
      <pivotArea field="0" type="button" dataOnly="0" labelOnly="1" outline="0" axis="axisRow" fieldPosition="0"/>
    </format>
    <format dxfId="16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68">
      <pivotArea field="0" type="button" dataOnly="0" labelOnly="1" outline="0" axis="axisRow" fieldPosition="0"/>
    </format>
    <format dxfId="16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6">
      <pivotArea dataOnly="0" labelOnly="1" outline="0" fieldPosition="0">
        <references count="1">
          <reference field="4294967294" count="2">
            <x v="3"/>
            <x v="4"/>
          </reference>
        </references>
      </pivotArea>
    </format>
    <format dxfId="165">
      <pivotArea field="0" type="button" dataOnly="0" labelOnly="1" outline="0" axis="axisRow" fieldPosition="0"/>
    </format>
    <format dxfId="16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91D08E-386E-2D47-9C6D-CBC353EFF983}" name="Velocity_Issu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>
  <location ref="A1:D19" firstHeaderRow="0" firstDataRow="1" firstDataCol="1"/>
  <pivotFields count="27">
    <pivotField axis="axisRow" numFmtId="1" showAll="0" sortType="ascending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numFmtId="1" showAll="0"/>
    <pivotField dataField="1" showAll="0"/>
    <pivotField showAll="0"/>
    <pivotField showAll="0"/>
    <pivotField dataField="1" showAll="0"/>
    <pivotField showAll="0"/>
    <pivotField dataField="1" showAll="0"/>
    <pivotField numFmtId="1" showAll="0"/>
    <pivotField showAll="0"/>
    <pivotField numFmtId="9" showAll="0"/>
    <pivotField showAll="0"/>
    <pivotField showAll="0"/>
    <pivotField showAll="0"/>
    <pivotField showAll="0"/>
    <pivotField numFmtId="1" showAll="0"/>
    <pivotField showAll="0"/>
    <pivotField numFmtId="9" showAll="0"/>
    <pivotField numFmtId="165" showAll="0"/>
    <pivotField showAll="0"/>
    <pivotField numFmtId="164" showAll="0"/>
    <pivotField numFmtId="1" showAll="0"/>
    <pivotField showAll="0"/>
    <pivotField showAll="0"/>
    <pivotField showAll="0"/>
    <pivotField numFmtId="165" showAll="0"/>
    <pivotField showAll="0"/>
  </pivotFields>
  <rowFields count="1">
    <field x="0"/>
  </rowFields>
  <rowItems count="1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mmited" fld="2" baseField="0" baseItem="0"/>
    <dataField name="Completed" fld="7" baseField="0" baseItem="0"/>
    <dataField name="Unplanned" fld="5" baseField="0" baseItem="0"/>
  </dataFields>
  <formats count="4">
    <format dxfId="175">
      <pivotArea field="0" type="button" dataOnly="0" labelOnly="1" outline="0" axis="axisRow" fieldPosition="0"/>
    </format>
    <format dxfId="17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73">
      <pivotArea field="0" type="button" dataOnly="0" labelOnly="1" outline="0" axis="axisRow" fieldPosition="0"/>
    </format>
    <format dxfId="17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12">
    <chartFormat chart="8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8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8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1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3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1" format="3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498FC7-17AB-324B-8B02-E517146080D0}" name="Avg_Unpl_SP_Don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">
  <location ref="AA1:AA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Unplanned SP Done" fld="12" subtotal="average" baseField="0" baseItem="0" numFmtId="1"/>
  </dataFields>
  <formats count="3">
    <format dxfId="178">
      <pivotArea outline="0" collapsedLevelsAreSubtotals="1" fieldPosition="0"/>
    </format>
    <format dxfId="177">
      <pivotArea dataOnly="0" labelOnly="1" outline="0" axis="axisValues" fieldPosition="0"/>
    </format>
    <format dxfId="176">
      <pivotArea dataOnly="0" labelOnly="1" outline="0" axis="axisValues" fieldPosition="0"/>
    </format>
  </formats>
  <chartFormats count="8">
    <chartFormat chart="2" format="1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2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10764A-3274-294E-B946-9D81582C299E}" name="Commited_Issu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4">
  <location ref="W1:W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Planned Issues" fld="2" subtotal="average" baseField="0" baseItem="0" numFmtId="1"/>
  </dataFields>
  <formats count="3">
    <format dxfId="181">
      <pivotArea outline="0" collapsedLevelsAreSubtotals="1" fieldPosition="0"/>
    </format>
    <format dxfId="180">
      <pivotArea dataOnly="0" labelOnly="1" outline="0" axis="axisValues" fieldPosition="0"/>
    </format>
    <format dxfId="179">
      <pivotArea dataOnly="0" labelOnly="1" outline="0" axis="axisValues" fieldPosition="0"/>
    </format>
  </formats>
  <chartFormats count="8">
    <chartFormat chart="2" format="10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0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0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22E130-FECB-A84F-AE6C-E8E99AF63CFB}" name="Compliance" cacheId="0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5">
  <location ref="K1:K2" firstHeaderRow="1" firstDataRow="1" firstDataCol="0"/>
  <pivotFields count="27">
    <pivotField numFmtId="1" multipleItemSelectionAllowe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% Compliance" fld="18" subtotal="average" baseField="0" baseItem="0" numFmtId="9"/>
  </dataFields>
  <formats count="4">
    <format dxfId="185">
      <pivotArea outline="0" fieldPosition="0">
        <references count="1">
          <reference field="4294967294" count="1">
            <x v="0"/>
          </reference>
        </references>
      </pivotArea>
    </format>
    <format dxfId="184">
      <pivotArea outline="0" collapsedLevelsAreSubtotals="1" fieldPosition="0"/>
    </format>
    <format dxfId="183">
      <pivotArea dataOnly="0" labelOnly="1" outline="0" axis="axisValues" fieldPosition="0"/>
    </format>
    <format dxfId="182">
      <pivotArea dataOnly="0" labelOnly="1" outline="0" axis="axisValues" fieldPosition="0"/>
    </format>
  </formats>
  <chartFormats count="11">
    <chartFormat chart="9" format="1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1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2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B2830E-EAD3-AE44-AA17-30B17F9DF9B0}" name="Velocity_SP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8">
  <location ref="E1:H19" firstHeaderRow="0" firstDataRow="1" firstDataCol="1"/>
  <pivotFields count="27">
    <pivotField axis="axisRow" numFmtId="1" showAll="0" sortType="ascending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numFmtId="1" showAll="0"/>
    <pivotField showAll="0"/>
    <pivotField dataField="1" showAll="0"/>
    <pivotField showAll="0"/>
    <pivotField showAll="0"/>
    <pivotField showAll="0"/>
    <pivotField showAll="0"/>
    <pivotField numFmtId="1" showAll="0"/>
    <pivotField showAll="0"/>
    <pivotField numFmtId="9" showAll="0"/>
    <pivotField showAll="0"/>
    <pivotField dataField="1" showAll="0"/>
    <pivotField showAll="0"/>
    <pivotField dataField="1" showAll="0"/>
    <pivotField numFmtId="1" showAll="0"/>
    <pivotField showAll="0"/>
    <pivotField numFmtId="9" showAll="0"/>
    <pivotField numFmtId="165" showAll="0"/>
    <pivotField showAll="0"/>
    <pivotField numFmtId="164" showAll="0"/>
    <pivotField numFmtId="1" showAll="0"/>
    <pivotField showAll="0"/>
    <pivotField showAll="0"/>
    <pivotField showAll="0"/>
    <pivotField numFmtId="165" showAll="0"/>
    <pivotField showAll="0"/>
  </pivotFields>
  <rowFields count="1">
    <field x="0"/>
  </rowFields>
  <rowItems count="1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mmited" fld="3" baseField="0" baseItem="0"/>
    <dataField name="Completed" fld="14" baseField="0" baseItem="0"/>
    <dataField name="Unplanned" fld="12" baseField="0" baseItem="0"/>
  </dataFields>
  <formats count="6">
    <format dxfId="191">
      <pivotArea field="0" type="button" dataOnly="0" labelOnly="1" outline="0" axis="axisRow" fieldPosition="0"/>
    </format>
    <format dxfId="19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9">
      <pivotArea field="0" type="button" dataOnly="0" labelOnly="1" outline="0" axis="axisRow" fieldPosition="0"/>
    </format>
    <format dxfId="18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7">
      <pivotArea field="0" type="button" dataOnly="0" labelOnly="1" outline="0" axis="axisRow" fieldPosition="0"/>
    </format>
    <format dxfId="18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18"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3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4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4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5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5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7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7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7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BACF43-93C1-7D49-875C-4C9AB41DCC20}" name="Sp_Don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1">
  <location ref="Z1:Z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dataField="1"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Total SP Done" fld="14" subtotal="average" baseField="0" baseItem="0" numFmtId="1"/>
  </dataFields>
  <formats count="3">
    <format dxfId="194">
      <pivotArea outline="0" collapsedLevelsAreSubtotals="1" fieldPosition="0"/>
    </format>
    <format dxfId="193">
      <pivotArea dataOnly="0" labelOnly="1" outline="0" axis="axisValues" fieldPosition="0"/>
    </format>
    <format dxfId="192">
      <pivotArea dataOnly="0" labelOnly="1" outline="0" axis="axisValues" fieldPosition="0"/>
    </format>
  </formats>
  <chartFormats count="8">
    <chartFormat chart="2" format="8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9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9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9ACDED-F5C3-8348-A938-50403A82357E}" name="Commited_SP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5">
  <location ref="X1:X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Planned SP" fld="3" subtotal="average" baseField="0" baseItem="0" numFmtId="1"/>
  </dataFields>
  <formats count="4">
    <format dxfId="198">
      <pivotArea outline="0" collapsedLevelsAreSubtotals="1" fieldPosition="0"/>
    </format>
    <format dxfId="197">
      <pivotArea dataOnly="0" labelOnly="1" outline="0" axis="axisValues" fieldPosition="0"/>
    </format>
    <format dxfId="196">
      <pivotArea dataOnly="0" labelOnly="1" outline="0" axis="axisValues" fieldPosition="0"/>
    </format>
    <format dxfId="195">
      <pivotArea dataOnly="0" labelOnly="1" outline="0" axis="axisValues" fieldPosition="0"/>
    </format>
  </formats>
  <chartFormats count="12">
    <chartFormat chart="5" format="5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9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9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D972D5-9E42-D541-A889-3B8EDD38AC11}" name="Ratio_SPIssu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8">
  <location ref="T1:T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dataField="1" showAll="0"/>
    <pivotField numFmtId="164" showAll="0"/>
    <pivotField numFmtId="1" showAll="0"/>
    <pivotField numFmtId="1"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Ratio SP / issue" fld="19" subtotal="average" baseField="0" baseItem="0" numFmtId="2"/>
  </dataFields>
  <formats count="4">
    <format dxfId="202">
      <pivotArea outline="0" collapsedLevelsAreSubtotals="1" fieldPosition="0"/>
    </format>
    <format dxfId="201">
      <pivotArea dataOnly="0" labelOnly="1" outline="0" axis="axisValues" fieldPosition="0"/>
    </format>
    <format dxfId="200">
      <pivotArea dataOnly="0" labelOnly="1" outline="0" axis="axisValues" fieldPosition="0"/>
    </format>
    <format dxfId="199">
      <pivotArea dataOnly="0" labelOnly="1" outline="0" axis="axisValues" fieldPosition="0"/>
    </format>
  </formats>
  <chartFormats count="8">
    <chartFormat chart="2" format="10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0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0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1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DFE614-FBFA-D246-B3BB-0438E067404C}" name="Unplanned_Issues_Rati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7">
  <location ref="L1:L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dataField="1"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% Unplanned Issues" fld="10" subtotal="average" baseField="0" baseItem="0" numFmtId="9"/>
  </dataFields>
  <formats count="5">
    <format dxfId="207">
      <pivotArea dataOnly="0" labelOnly="1" outline="0" axis="axisValues" fieldPosition="0"/>
    </format>
    <format dxfId="206">
      <pivotArea outline="0" collapsedLevelsAreSubtotals="1" fieldPosition="0"/>
    </format>
    <format dxfId="205">
      <pivotArea dataOnly="0" labelOnly="1" outline="0" axis="axisValues" fieldPosition="0"/>
    </format>
    <format dxfId="204">
      <pivotArea dataOnly="0" labelOnly="1" outline="0" axis="axisValues" fieldPosition="0"/>
    </format>
    <format dxfId="203">
      <pivotArea dataOnly="0" labelOnly="1" outline="0" axis="axisValues" fieldPosition="0"/>
    </format>
  </formats>
  <chartFormats count="1">
    <chartFormat chart="0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2B6FBD-3C86-FB41-9FC7-240C205AE055}" name="Bugs_xsprint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1">
  <location ref="AL1:AM19" firstHeaderRow="1" firstDataRow="1" firstDataCol="1"/>
  <pivotFields count="27">
    <pivotField axis="axisRow"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numFmtId="1" showAll="0"/>
    <pivotField showAll="0"/>
    <pivotField showAll="0"/>
    <pivotField showAll="0"/>
    <pivotField showAll="0"/>
    <pivotField dataFiel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numFmtId="164" showAll="0"/>
    <pivotField numFmtId="1" showAll="0"/>
    <pivotField numFmtId="1" showAll="0"/>
    <pivotField showAll="0"/>
    <pivotField showAll="0"/>
    <pivotField showAll="0"/>
    <pivotField showAll="0"/>
  </pivotFields>
  <rowFields count="1">
    <field x="0"/>
  </rowFields>
  <rowItems count="1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a de Bugs (Issues)" fld="6" baseField="0" baseItem="0"/>
  </dataFields>
  <formats count="4">
    <format dxfId="211">
      <pivotArea field="0" type="button" dataOnly="0" labelOnly="1" outline="0" axis="axisRow" fieldPosition="0"/>
    </format>
    <format dxfId="210">
      <pivotArea dataOnly="0" labelOnly="1" outline="0" axis="axisValues" fieldPosition="0"/>
    </format>
    <format dxfId="209">
      <pivotArea field="0" type="button" dataOnly="0" labelOnly="1" outline="0" axis="axisRow" fieldPosition="0"/>
    </format>
    <format dxfId="208">
      <pivotArea dataOnly="0" labelOnly="1" outline="0" axis="axisValues" fieldPosition="0"/>
    </format>
  </formats>
  <chartFormats count="4">
    <chartFormat chart="2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7A0F13-5D08-E849-8263-7A52F421D2DB}" name="SP_Planned_vs_Unplanne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P1:R19" firstHeaderRow="0" firstDataRow="1" firstDataCol="1"/>
  <pivotFields count="27">
    <pivotField axis="axisRow"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dataField="1"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Fields count="1">
    <field x="0"/>
  </rowFields>
  <rowItems count="1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Planned" fld="11" baseField="0" baseItem="0"/>
    <dataField name="Unplanned" fld="12" baseField="0" baseItem="0"/>
  </dataFields>
  <formats count="6">
    <format dxfId="217">
      <pivotArea field="0" type="button" dataOnly="0" labelOnly="1" outline="0" axis="axisRow" fieldPosition="0"/>
    </format>
    <format dxfId="2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15">
      <pivotArea field="0" type="button" dataOnly="0" labelOnly="1" outline="0" axis="axisRow" fieldPosition="0"/>
    </format>
    <format dxfId="2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13">
      <pivotArea field="0" type="button" dataOnly="0" labelOnly="1" outline="0" axis="axisRow" fieldPosition="0"/>
    </format>
    <format dxfId="2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4">
    <chartFormat chart="8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A5A5CE-7524-1B48-9105-1BF8632993E6}" name="Avg_Unpl_Issues_Don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4">
  <location ref="Y1:Y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Unplanned Issues Done" fld="5" subtotal="average" baseField="0" baseItem="0" numFmtId="1"/>
  </dataFields>
  <formats count="3">
    <format dxfId="220">
      <pivotArea outline="0" collapsedLevelsAreSubtotals="1" fieldPosition="0"/>
    </format>
    <format dxfId="219">
      <pivotArea dataOnly="0" labelOnly="1" outline="0" axis="axisValues" fieldPosition="0"/>
    </format>
    <format dxfId="218">
      <pivotArea dataOnly="0" labelOnly="1" outline="0" axis="axisValues" fieldPosition="0"/>
    </format>
  </formats>
  <chartFormats count="8">
    <chartFormat chart="3" format="1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3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532E05-D379-5D4B-9368-8192CD79B457}" name="Bug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7">
  <location ref="I1:I2" firstHeaderRow="1" firstDataRow="1" firstDataCol="0"/>
  <pivotFields count="27">
    <pivotField numFmtId="1" showAll="0" sortType="ascending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numFmtId="1" showAll="0"/>
    <pivotField showAll="0"/>
    <pivotField showAll="0"/>
    <pivotField showAll="0"/>
    <pivotField showAll="0"/>
    <pivotField dataField="1" showAll="0"/>
    <pivotField showAll="0"/>
    <pivotField numFmtId="1" showAll="0"/>
    <pivotField showAll="0"/>
    <pivotField numFmtId="9" showAll="0"/>
    <pivotField showAll="0"/>
    <pivotField showAll="0"/>
    <pivotField showAll="0"/>
    <pivotField showAll="0"/>
    <pivotField numFmtId="1" showAll="0"/>
    <pivotField showAll="0"/>
    <pivotField numFmtId="9" showAll="0"/>
    <pivotField numFmtId="165" showAll="0"/>
    <pivotField showAll="0"/>
    <pivotField numFmtId="164" showAll="0"/>
    <pivotField numFmtId="1" showAll="0"/>
    <pivotField showAll="0"/>
    <pivotField showAll="0"/>
    <pivotField showAll="0"/>
    <pivotField numFmtId="165" showAll="0"/>
    <pivotField showAll="0"/>
  </pivotFields>
  <rowItems count="1">
    <i/>
  </rowItems>
  <colItems count="1">
    <i/>
  </colItems>
  <dataFields count="1">
    <dataField name="Suma de Bugs (Issues)" fld="6" baseField="0" baseItem="0"/>
  </dataFields>
  <formats count="2">
    <format dxfId="1">
      <pivotArea dataOnly="0" labelOnly="1" outline="0" axis="axisValues" fieldPosition="0"/>
    </format>
    <format dxfId="0">
      <pivotArea dataOnly="0" labelOnly="1" outline="0" axis="axisValues" fieldPosition="0"/>
    </format>
  </formats>
  <chartFormats count="10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1333B4-7B22-1742-9FE0-98C0ADEF9F5E}" name="Estimations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1">
  <location ref="AF1:AK18" firstHeaderRow="0" firstDataRow="1" firstDataCol="1"/>
  <pivotFields count="27">
    <pivotField axis="axisRow"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dataField="1" numFmtI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0"/>
  </rowFields>
  <rowItems count="17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Hours Next Sprint" fld="21" baseField="0" baseItem="0"/>
    <dataField name="Total SP" fld="22" subtotal="average" baseField="0" baseItem="0"/>
    <dataField name="SP Planned" fld="23" subtotal="average" baseField="0" baseItem="0"/>
    <dataField name="Promedio de Estimated SP Unplanned" fld="24" subtotal="average" baseField="0" baseItem="0"/>
    <dataField name="% Estimated Compliance" fld="25" subtotal="average" baseField="0" baseItem="0" numFmtId="9"/>
  </dataFields>
  <formats count="8">
    <format dxfId="9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8">
      <pivotArea field="0" type="button" dataOnly="0" labelOnly="1" outline="0" axis="axisRow" fieldPosition="0"/>
    </format>
    <format dxfId="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6">
      <pivotArea field="0" type="button" dataOnly="0" labelOnly="1" outline="0" axis="axisRow" fieldPosition="0"/>
    </format>
    <format dxfId="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">
      <pivotArea dataOnly="0" labelOnly="1" outline="0" fieldPosition="0">
        <references count="1">
          <reference field="4294967294" count="2">
            <x v="3"/>
            <x v="4"/>
          </reference>
        </references>
      </pivotArea>
    </format>
    <format dxfId="3">
      <pivotArea field="0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A341FD-C040-D949-BE81-264D13EE967F}" name="Compliance_sprint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7">
  <location ref="AN1:AO19" firstHeaderRow="1" firstDataRow="1" firstDataCol="1"/>
  <pivotFields count="27">
    <pivotField axis="axisRow"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dataField="1" showAll="0"/>
    <pivotField showAll="0"/>
    <pivotField numFmtId="164" showAll="0"/>
    <pivotField numFmtId="1" showAll="0"/>
    <pivotField numFmtId="1" showAll="0"/>
    <pivotField showAll="0"/>
    <pivotField showAll="0"/>
    <pivotField showAll="0"/>
    <pivotField showAll="0"/>
  </pivotFields>
  <rowFields count="1">
    <field x="0"/>
  </rowFields>
  <rowItems count="1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a de % Compliance" fld="18" baseField="0" baseItem="0"/>
  </dataFields>
  <formats count="8">
    <format dxfId="17">
      <pivotArea dataOnly="0" labelOnly="1" outline="0" axis="axisValues" fieldPosition="0"/>
    </format>
    <format dxfId="16">
      <pivotArea collapsedLevelsAreSubtotals="1" fieldPosition="0">
        <references count="1">
          <reference field="0" count="0"/>
        </references>
      </pivotArea>
    </format>
    <format dxfId="15">
      <pivotArea field="0" type="button" dataOnly="0" labelOnly="1" outline="0" axis="axisRow" fieldPosition="0"/>
    </format>
    <format dxfId="14">
      <pivotArea dataOnly="0" labelOnly="1" outline="0" axis="axisValues" fieldPosition="0"/>
    </format>
    <format dxfId="13">
      <pivotArea field="0" type="button" dataOnly="0" labelOnly="1" outline="0" axis="axisRow" fieldPosition="0"/>
    </format>
    <format dxfId="12">
      <pivotArea dataOnly="0" labelOnly="1" outline="0" axis="axisValues" fieldPosition="0"/>
    </format>
    <format dxfId="11">
      <pivotArea field="0" type="button" dataOnly="0" labelOnly="1" outline="0" axis="axisRow" fieldPosition="0"/>
    </format>
    <format dxfId="10">
      <pivotArea dataOnly="0" labelOnly="1" outline="0" axis="axisValues" fieldPosition="0"/>
    </format>
  </formats>
  <chartFormats count="4">
    <chartFormat chart="2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E00208-5C12-0443-8816-5D5B3EBFE99D}" name="BugsRati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7">
  <location ref="J1:J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Bugs (Issues)" fld="6" subtotal="average" baseField="6" baseItem="0" numFmtId="1"/>
  </dataFields>
  <formats count="5">
    <format dxfId="22">
      <pivotArea outline="0" fieldPosition="0">
        <references count="1">
          <reference field="4294967294" count="1">
            <x v="0"/>
          </reference>
        </references>
      </pivotArea>
    </format>
    <format dxfId="21">
      <pivotArea outline="0" collapsedLevelsAreSubtotals="1" fieldPosition="0"/>
    </format>
    <format dxfId="20">
      <pivotArea dataOnly="0" labelOnly="1" outline="0" axis="axisValues" fieldPosition="0"/>
    </format>
    <format dxfId="19">
      <pivotArea dataOnly="0" labelOnly="1" outline="0" axis="axisValues" fieldPosition="0"/>
    </format>
    <format dxfId="18">
      <pivotArea dataOnly="0" labelOnly="1" outline="0" axis="axisValues" fieldPosition="0"/>
    </format>
  </formats>
  <chartFormats count="12">
    <chartFormat chart="29" format="10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0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2" format="1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2" format="1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876C8B-0DE5-D345-95BB-CCE2845EB40E}" name="Unplanned_SP_Rati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6">
  <location ref="S1:S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dataField="1"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% Unplanned SP" fld="17" subtotal="average" baseField="0" baseItem="0"/>
  </dataFields>
  <formats count="3">
    <format dxfId="25">
      <pivotArea outline="0" collapsedLevelsAreSubtotals="1" fieldPosition="0"/>
    </format>
    <format dxfId="24">
      <pivotArea dataOnly="0" labelOnly="1" outline="0" axis="axisValues" fieldPosition="0"/>
    </format>
    <format dxfId="23">
      <pivotArea dataOnly="0" labelOnly="1" outline="0" axis="axisValues" fieldPosition="0"/>
    </format>
  </formats>
  <chartFormats count="7"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4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1797C2-7AE2-034A-A9C4-0C7E8884C4FE}" name="Hour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4">
  <location ref="U1:U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Hours" fld="1" subtotal="average" baseField="0" baseItem="0" numFmtId="1"/>
  </dataFields>
  <formats count="3">
    <format dxfId="28">
      <pivotArea outline="0" collapsedLevelsAreSubtotals="1" fieldPosition="0"/>
    </format>
    <format dxfId="27">
      <pivotArea dataOnly="0" labelOnly="1" outline="0" axis="axisValues" fieldPosition="0"/>
    </format>
    <format dxfId="26">
      <pivotArea dataOnly="0" labelOnly="1" outline="0" axis="axisValues" fieldPosition="0"/>
    </format>
  </formats>
  <chartFormats count="8">
    <chartFormat chart="2" format="10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0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0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73DF40-8AAF-7C4F-B743-81C15E0CD052}" name="Issues_Don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7">
  <location ref="V1:V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Total Issues Done" fld="7" subtotal="average" baseField="0" baseItem="0" numFmtId="1"/>
  </dataFields>
  <formats count="4">
    <format dxfId="32">
      <pivotArea outline="0" collapsedLevelsAreSubtotals="1" fieldPosition="0"/>
    </format>
    <format dxfId="31">
      <pivotArea dataOnly="0" labelOnly="1" outline="0" axis="axisValues" fieldPosition="0"/>
    </format>
    <format dxfId="30">
      <pivotArea dataOnly="0" labelOnly="1" outline="0" axis="axisValues" fieldPosition="0"/>
    </format>
    <format dxfId="29">
      <pivotArea dataOnly="0" labelOnly="1" outline="0" axis="axisValues" fieldPosition="0"/>
    </format>
  </formats>
  <chartFormats count="8">
    <chartFormat chart="3" format="9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9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9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7346DD-B9E7-2F4F-90A5-125E0A9A3BB6}" name="Avg_Unpl_Issues_Don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4">
  <location ref="Y1:Y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Unplanned Issues Done" fld="5" subtotal="average" baseField="0" baseItem="0" numFmtId="1"/>
  </dataFields>
  <formats count="3">
    <format dxfId="35">
      <pivotArea outline="0" collapsedLevelsAreSubtotals="1" fieldPosition="0"/>
    </format>
    <format dxfId="34">
      <pivotArea dataOnly="0" labelOnly="1" outline="0" axis="axisValues" fieldPosition="0"/>
    </format>
    <format dxfId="33">
      <pivotArea dataOnly="0" labelOnly="1" outline="0" axis="axisValues" fieldPosition="0"/>
    </format>
  </formats>
  <chartFormats count="8">
    <chartFormat chart="3" format="1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3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24A95D-EB58-7845-8023-B8410A5DC5F8}" name="Bugs_xsprint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1">
  <location ref="AL1:AM19" firstHeaderRow="1" firstDataRow="1" firstDataCol="1"/>
  <pivotFields count="27">
    <pivotField axis="axisRow"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numFmtId="1" showAll="0"/>
    <pivotField showAll="0"/>
    <pivotField showAll="0"/>
    <pivotField showAll="0"/>
    <pivotField showAll="0"/>
    <pivotField dataFiel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numFmtId="164" showAll="0"/>
    <pivotField numFmtId="1" showAll="0"/>
    <pivotField numFmtId="1" showAll="0"/>
    <pivotField showAll="0"/>
    <pivotField showAll="0"/>
    <pivotField showAll="0"/>
    <pivotField showAll="0"/>
  </pivotFields>
  <rowFields count="1">
    <field x="0"/>
  </rowFields>
  <rowItems count="1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a de Bugs (Issues)" fld="6" baseField="0" baseItem="0"/>
  </dataFields>
  <formats count="4">
    <format dxfId="39">
      <pivotArea field="0" type="button" dataOnly="0" labelOnly="1" outline="0" axis="axisRow" fieldPosition="0"/>
    </format>
    <format dxfId="38">
      <pivotArea dataOnly="0" labelOnly="1" outline="0" axis="axisValues" fieldPosition="0"/>
    </format>
    <format dxfId="37">
      <pivotArea field="0" type="button" dataOnly="0" labelOnly="1" outline="0" axis="axisRow" fieldPosition="0"/>
    </format>
    <format dxfId="36">
      <pivotArea dataOnly="0" labelOnly="1" outline="0" axis="axisValues" fieldPosition="0"/>
    </format>
  </formats>
  <chartFormats count="4">
    <chartFormat chart="2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C77F07-BDCC-D544-9398-090763A6D70C}" name="SP_Planned_vs_Unplanne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P1:R19" firstHeaderRow="0" firstDataRow="1" firstDataCol="1"/>
  <pivotFields count="27">
    <pivotField axis="axisRow"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dataField="1"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Fields count="1">
    <field x="0"/>
  </rowFields>
  <rowItems count="1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Planned" fld="11" baseField="0" baseItem="0"/>
    <dataField name="Unplanned" fld="12" baseField="0" baseItem="0"/>
  </dataFields>
  <formats count="6">
    <format dxfId="45">
      <pivotArea field="0" type="button" dataOnly="0" labelOnly="1" outline="0" axis="axisRow" fieldPosition="0"/>
    </format>
    <format dxfId="4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3">
      <pivotArea field="0" type="button" dataOnly="0" labelOnly="1" outline="0" axis="axisRow" fieldPosition="0"/>
    </format>
    <format dxfId="4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1">
      <pivotArea field="0" type="button" dataOnly="0" labelOnly="1" outline="0" axis="axisRow" fieldPosition="0"/>
    </format>
    <format dxfId="4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4">
    <chartFormat chart="8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2AD42D-36E8-F440-975B-5B60FFAAF0BE}" name="Issues_Planned_vs_Unplanne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M1:O19" firstHeaderRow="0" firstDataRow="1" firstDataCol="1"/>
  <pivotFields count="27">
    <pivotField axis="axisRow"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Fields count="1">
    <field x="0"/>
  </rowFields>
  <rowItems count="1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Planned" fld="4" baseField="0" baseItem="0"/>
    <dataField name="Unplanned" fld="5" baseField="0" baseItem="0"/>
  </dataFields>
  <formats count="4">
    <format dxfId="49">
      <pivotArea field="0" type="button" dataOnly="0" labelOnly="1" outline="0" axis="axisRow" fieldPosition="0"/>
    </format>
    <format dxfId="4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7">
      <pivotArea field="0" type="button" dataOnly="0" labelOnly="1" outline="0" axis="axisRow" fieldPosition="0"/>
    </format>
    <format dxfId="4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CA76A-65C2-344E-9A20-4F2167BC7143}" name="Commited_SP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5">
  <location ref="X1:X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Planned SP" fld="3" subtotal="average" baseField="0" baseItem="0" numFmtId="1"/>
  </dataFields>
  <formats count="4">
    <format dxfId="53">
      <pivotArea outline="0" collapsedLevelsAreSubtotals="1" fieldPosition="0"/>
    </format>
    <format dxfId="52">
      <pivotArea dataOnly="0" labelOnly="1" outline="0" axis="axisValues" fieldPosition="0"/>
    </format>
    <format dxfId="51">
      <pivotArea dataOnly="0" labelOnly="1" outline="0" axis="axisValues" fieldPosition="0"/>
    </format>
    <format dxfId="50">
      <pivotArea dataOnly="0" labelOnly="1" outline="0" axis="axisValues" fieldPosition="0"/>
    </format>
  </formats>
  <chartFormats count="12">
    <chartFormat chart="5" format="5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9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9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C6C0F1-9F78-5A47-83CE-3618C392A516}" name="Sp_Don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1">
  <location ref="Z1:Z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dataField="1"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Total SP Done" fld="14" subtotal="average" baseField="0" baseItem="0" numFmtId="1"/>
  </dataFields>
  <formats count="3">
    <format dxfId="56">
      <pivotArea outline="0" collapsedLevelsAreSubtotals="1" fieldPosition="0"/>
    </format>
    <format dxfId="55">
      <pivotArea dataOnly="0" labelOnly="1" outline="0" axis="axisValues" fieldPosition="0"/>
    </format>
    <format dxfId="54">
      <pivotArea dataOnly="0" labelOnly="1" outline="0" axis="axisValues" fieldPosition="0"/>
    </format>
  </formats>
  <chartFormats count="8">
    <chartFormat chart="2" format="8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9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9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B0E4F0-2159-A540-B803-1202BA4EBFA8}" name="Unplanned_Issues_Rati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7">
  <location ref="L1:L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dataField="1"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% Unplanned Issues" fld="10" subtotal="average" baseField="0" baseItem="0" numFmtId="9"/>
  </dataFields>
  <formats count="5">
    <format dxfId="61">
      <pivotArea dataOnly="0" labelOnly="1" outline="0" axis="axisValues" fieldPosition="0"/>
    </format>
    <format dxfId="60">
      <pivotArea outline="0" collapsedLevelsAreSubtotals="1" fieldPosition="0"/>
    </format>
    <format dxfId="59">
      <pivotArea dataOnly="0" labelOnly="1" outline="0" axis="axisValues" fieldPosition="0"/>
    </format>
    <format dxfId="58">
      <pivotArea dataOnly="0" labelOnly="1" outline="0" axis="axisValues" fieldPosition="0"/>
    </format>
    <format dxfId="57">
      <pivotArea dataOnly="0" labelOnly="1" outline="0" axis="axisValues" fieldPosition="0"/>
    </format>
  </formats>
  <chartFormats count="1">
    <chartFormat chart="0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73CE78-17B0-1945-850F-635FF6C7310B}" name="Ratio_SPIssu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8">
  <location ref="T1:T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dataField="1" showAll="0"/>
    <pivotField numFmtId="164" showAll="0"/>
    <pivotField numFmtId="1" showAll="0"/>
    <pivotField numFmtId="1"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Ratio SP / issue" fld="19" subtotal="average" baseField="0" baseItem="0" numFmtId="2"/>
  </dataFields>
  <formats count="4">
    <format dxfId="65">
      <pivotArea outline="0" collapsedLevelsAreSubtotals="1" fieldPosition="0"/>
    </format>
    <format dxfId="64">
      <pivotArea dataOnly="0" labelOnly="1" outline="0" axis="axisValues" fieldPosition="0"/>
    </format>
    <format dxfId="63">
      <pivotArea dataOnly="0" labelOnly="1" outline="0" axis="axisValues" fieldPosition="0"/>
    </format>
    <format dxfId="62">
      <pivotArea dataOnly="0" labelOnly="1" outline="0" axis="axisValues" fieldPosition="0"/>
    </format>
  </formats>
  <chartFormats count="8">
    <chartFormat chart="2" format="10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0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0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1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5F7E3C-052B-C94F-9D3B-312387061C24}" name="Commited_Issu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4">
  <location ref="W1:W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Planned Issues" fld="2" subtotal="average" baseField="0" baseItem="0" numFmtId="1"/>
  </dataFields>
  <formats count="3">
    <format dxfId="68">
      <pivotArea outline="0" collapsedLevelsAreSubtotals="1" fieldPosition="0"/>
    </format>
    <format dxfId="67">
      <pivotArea dataOnly="0" labelOnly="1" outline="0" axis="axisValues" fieldPosition="0"/>
    </format>
    <format dxfId="66">
      <pivotArea dataOnly="0" labelOnly="1" outline="0" axis="axisValues" fieldPosition="0"/>
    </format>
  </formats>
  <chartFormats count="8">
    <chartFormat chart="2" format="10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0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0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879825-01C7-3544-AE2C-7347B20CE77C}" name="Compliance" cacheId="0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5">
  <location ref="K1:K2" firstHeaderRow="1" firstDataRow="1" firstDataCol="0"/>
  <pivotFields count="27">
    <pivotField numFmtId="1" multipleItemSelectionAllowe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% Compliance" fld="18" subtotal="average" baseField="0" baseItem="0" numFmtId="9"/>
  </dataFields>
  <formats count="4">
    <format dxfId="72">
      <pivotArea outline="0" fieldPosition="0">
        <references count="1">
          <reference field="4294967294" count="1">
            <x v="0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  <format dxfId="69">
      <pivotArea dataOnly="0" labelOnly="1" outline="0" axis="axisValues" fieldPosition="0"/>
    </format>
  </formats>
  <chartFormats count="11">
    <chartFormat chart="9" format="1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1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2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851C5C-78E3-2240-9436-706DDBAA3273}" name="Avg_Unpl_SP_Don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">
  <location ref="AA1:AA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Unplanned SP Done" fld="12" subtotal="average" baseField="0" baseItem="0" numFmtId="1"/>
  </dataFields>
  <formats count="3">
    <format dxfId="75">
      <pivotArea outline="0" collapsedLevelsAreSubtotals="1" fieldPosition="0"/>
    </format>
    <format dxfId="74">
      <pivotArea dataOnly="0" labelOnly="1" outline="0" axis="axisValues" fieldPosition="0"/>
    </format>
    <format dxfId="73">
      <pivotArea dataOnly="0" labelOnly="1" outline="0" axis="axisValues" fieldPosition="0"/>
    </format>
  </formats>
  <chartFormats count="8">
    <chartFormat chart="2" format="1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2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097C23-41CF-0F42-8AE1-A9437DF9B40B}" name="SP_Plan_Unpl" cacheId="0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2">
  <location ref="AD1:AE3" firstHeaderRow="1" firstDataRow="1" firstDataCol="1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dataField="1" showAll="0"/>
    <pivotField dataField="1"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Fields count="1">
    <field x="-2"/>
  </rowFields>
  <rowItems count="2">
    <i>
      <x/>
    </i>
    <i i="1">
      <x v="1"/>
    </i>
  </rowItems>
  <colItems count="1">
    <i/>
  </colItems>
  <dataFields count="2">
    <dataField name="Planned" fld="16" subtotal="average" baseField="0" baseItem="0"/>
    <dataField name="Unplanned" fld="17" subtotal="average" baseField="0" baseItem="0"/>
  </dataFields>
  <formats count="3">
    <format dxfId="78">
      <pivotArea outline="0" collapsedLevelsAreSubtotals="1" fieldPosition="0"/>
    </format>
    <format dxfId="77">
      <pivotArea field="-2" type="button" dataOnly="0" labelOnly="1" outline="0" axis="axisRow" fieldPosition="0"/>
    </format>
    <format dxfId="76">
      <pivotArea dataOnly="0" labelOnly="1" grandCol="1" outline="0" axis="axisCol" fieldPosition="0"/>
    </format>
  </formats>
  <chartFormats count="14">
    <chartFormat chart="0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4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4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0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6C72BA-E9FC-DA4A-A18B-2DC6C8235B70}" name="Perc_Issues_pl_vs_unp" cacheId="0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0">
  <location ref="AB1:AC3" firstHeaderRow="1" firstDataRow="1" firstDataCol="1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dataField="1" showAll="0"/>
    <pivotField dataField="1"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Fields count="1">
    <field x="-2"/>
  </rowFields>
  <rowItems count="2">
    <i>
      <x/>
    </i>
    <i i="1">
      <x v="1"/>
    </i>
  </rowItems>
  <colItems count="1">
    <i/>
  </colItems>
  <dataFields count="2">
    <dataField name="Planned" fld="9" subtotal="average" baseField="0" baseItem="0"/>
    <dataField name="Unplanned" fld="10" subtotal="average" baseField="0" baseItem="0"/>
  </dataFields>
  <formats count="6">
    <format dxfId="84">
      <pivotArea outline="0" collapsedLevelsAreSubtotals="1" fieldPosition="0"/>
    </format>
    <format dxfId="83">
      <pivotArea field="-2" type="button" dataOnly="0" labelOnly="1" outline="0" axis="axisRow" fieldPosition="0"/>
    </format>
    <format dxfId="82">
      <pivotArea field="-2" type="button" dataOnly="0" labelOnly="1" outline="0" axis="axisRow" fieldPosition="0"/>
    </format>
    <format dxfId="81">
      <pivotArea dataOnly="0" labelOnly="1" grandCol="1" outline="0" axis="axisCol" fieldPosition="0"/>
    </format>
    <format dxfId="80">
      <pivotArea field="-2" type="button" dataOnly="0" labelOnly="1" outline="0" axis="axisRow" fieldPosition="0"/>
    </format>
    <format dxfId="79">
      <pivotArea dataOnly="0" labelOnly="1" grandCol="1" outline="0" axis="axisCol" fieldPosition="0"/>
    </format>
  </formats>
  <chartFormats count="13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4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5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3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6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7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B9DC8E-AB3C-5F4C-B2B1-15B85D3C66EB}" name="Velocity_SP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8">
  <location ref="E1:H19" firstHeaderRow="0" firstDataRow="1" firstDataCol="1"/>
  <pivotFields count="27">
    <pivotField axis="axisRow" numFmtId="1" showAll="0" sortType="ascending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numFmtId="1" showAll="0"/>
    <pivotField showAll="0"/>
    <pivotField dataField="1" showAll="0"/>
    <pivotField showAll="0"/>
    <pivotField showAll="0"/>
    <pivotField showAll="0"/>
    <pivotField showAll="0"/>
    <pivotField numFmtId="1" showAll="0"/>
    <pivotField showAll="0"/>
    <pivotField numFmtId="9" showAll="0"/>
    <pivotField showAll="0"/>
    <pivotField dataField="1" showAll="0"/>
    <pivotField showAll="0"/>
    <pivotField dataField="1" showAll="0"/>
    <pivotField numFmtId="1" showAll="0"/>
    <pivotField showAll="0"/>
    <pivotField numFmtId="9" showAll="0"/>
    <pivotField numFmtId="165" showAll="0"/>
    <pivotField showAll="0"/>
    <pivotField numFmtId="164" showAll="0"/>
    <pivotField numFmtId="1" showAll="0"/>
    <pivotField showAll="0"/>
    <pivotField showAll="0"/>
    <pivotField showAll="0"/>
    <pivotField numFmtId="165" showAll="0"/>
    <pivotField showAll="0"/>
  </pivotFields>
  <rowFields count="1">
    <field x="0"/>
  </rowFields>
  <rowItems count="1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mmited" fld="3" baseField="0" baseItem="0"/>
    <dataField name="Completed" fld="14" baseField="0" baseItem="0"/>
    <dataField name="Unplanned" fld="12" baseField="0" baseItem="0"/>
  </dataFields>
  <formats count="6">
    <format dxfId="90">
      <pivotArea field="0" type="button" dataOnly="0" labelOnly="1" outline="0" axis="axisRow" fieldPosition="0"/>
    </format>
    <format dxfId="8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8">
      <pivotArea field="0" type="button" dataOnly="0" labelOnly="1" outline="0" axis="axisRow" fieldPosition="0"/>
    </format>
    <format dxfId="8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6">
      <pivotArea field="0" type="button" dataOnly="0" labelOnly="1" outline="0" axis="axisRow" fieldPosition="0"/>
    </format>
    <format dxfId="8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18"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3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4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4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5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5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7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7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7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5C4CFB-28CA-4D4D-BE00-703F6308E61A}" name="Velocity_Issu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>
  <location ref="A1:D19" firstHeaderRow="0" firstDataRow="1" firstDataCol="1"/>
  <pivotFields count="27">
    <pivotField axis="axisRow" numFmtId="1" showAll="0" sortType="ascending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numFmtId="1" showAll="0"/>
    <pivotField dataField="1" showAll="0"/>
    <pivotField showAll="0"/>
    <pivotField showAll="0"/>
    <pivotField dataField="1" showAll="0"/>
    <pivotField showAll="0"/>
    <pivotField dataField="1" showAll="0"/>
    <pivotField numFmtId="1" showAll="0"/>
    <pivotField showAll="0"/>
    <pivotField numFmtId="9" showAll="0"/>
    <pivotField showAll="0"/>
    <pivotField showAll="0"/>
    <pivotField showAll="0"/>
    <pivotField showAll="0"/>
    <pivotField numFmtId="1" showAll="0"/>
    <pivotField showAll="0"/>
    <pivotField numFmtId="9" showAll="0"/>
    <pivotField numFmtId="165" showAll="0"/>
    <pivotField showAll="0"/>
    <pivotField numFmtId="164" showAll="0"/>
    <pivotField numFmtId="1" showAll="0"/>
    <pivotField showAll="0"/>
    <pivotField showAll="0"/>
    <pivotField showAll="0"/>
    <pivotField numFmtId="165" showAll="0"/>
    <pivotField showAll="0"/>
  </pivotFields>
  <rowFields count="1">
    <field x="0"/>
  </rowFields>
  <rowItems count="1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mmited" fld="2" baseField="0" baseItem="0"/>
    <dataField name="Completed" fld="7" baseField="0" baseItem="0"/>
    <dataField name="Unplanned" fld="5" baseField="0" baseItem="0"/>
  </dataFields>
  <formats count="4">
    <format dxfId="94">
      <pivotArea field="0" type="button" dataOnly="0" labelOnly="1" outline="0" axis="axisRow" fieldPosition="0"/>
    </format>
    <format dxfId="9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2">
      <pivotArea field="0" type="button" dataOnly="0" labelOnly="1" outline="0" axis="axisRow" fieldPosition="0"/>
    </format>
    <format dxfId="9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12">
    <chartFormat chart="8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8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8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1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3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1" format="3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print" xr10:uid="{5AEC0EDB-0BFD-1F4F-A6A7-090D1CC88CA3}" sourceName="Sprint">
  <pivotTables>
    <pivotTable tabId="31" name="Velocity_Issues"/>
    <pivotTable tabId="31" name="Velocity_SP"/>
    <pivotTable tabId="31" name="Bugs"/>
    <pivotTable tabId="31" name="Compliance"/>
    <pivotTable tabId="31" name="Issues_Planned_vs_Unplanned"/>
    <pivotTable tabId="31" name="SP_Planned_vs_Unplanned"/>
    <pivotTable tabId="31" name="BugsRatio"/>
    <pivotTable tabId="31" name="Unplanned_Issues_Ratio"/>
    <pivotTable tabId="31" name="Unplanned_SP_Ratio"/>
    <pivotTable tabId="31" name="Hours"/>
    <pivotTable tabId="31" name="Commited_Issues"/>
    <pivotTable tabId="31" name="Commited_SP"/>
    <pivotTable tabId="31" name="Issues_Done"/>
    <pivotTable tabId="31" name="Sp_Done"/>
    <pivotTable tabId="31" name="Avg_Unpl_Issues_Done"/>
    <pivotTable tabId="31" name="Avg_Unpl_SP_Done"/>
    <pivotTable tabId="31" name="Perc_Issues_pl_vs_unp"/>
    <pivotTable tabId="31" name="SP_Plan_Unpl"/>
    <pivotTable tabId="31" name="Estimations"/>
    <pivotTable tabId="31" name="Ratio_SPIssue"/>
    <pivotTable tabId="31" name="Bugs_xsprint"/>
    <pivotTable tabId="31" name="Compliance_sprint"/>
  </pivotTables>
  <data>
    <tabular pivotCacheId="471813453">
      <items count="26">
        <i x="0"/>
        <i x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/>
        <i x="20"/>
        <i x="21"/>
        <i x="22"/>
        <i x="23"/>
        <i x="24"/>
        <i x="25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print1" xr10:uid="{C97E6F48-3D60-9F4E-831B-33D235E0B869}" sourceName="Sprint">
  <pivotTables>
    <pivotTable tabId="36" name="Velocity_Issues"/>
    <pivotTable tabId="36" name="Velocity_SP"/>
    <pivotTable tabId="36" name="Bugs"/>
    <pivotTable tabId="36" name="Compliance"/>
    <pivotTable tabId="36" name="Issues_Planned_vs_Unplanned"/>
    <pivotTable tabId="36" name="SP_Planned_vs_Unplanned"/>
    <pivotTable tabId="36" name="BugsRatio"/>
    <pivotTable tabId="36" name="Unplanned_Issues_Ratio"/>
    <pivotTable tabId="36" name="Unplanned_SP_Ratio"/>
    <pivotTable tabId="36" name="Hours"/>
    <pivotTable tabId="36" name="Commited_Issues"/>
    <pivotTable tabId="36" name="Commited_SP"/>
    <pivotTable tabId="36" name="Issues_Done"/>
    <pivotTable tabId="36" name="Sp_Done"/>
    <pivotTable tabId="36" name="Avg_Unpl_Issues_Done"/>
    <pivotTable tabId="36" name="Avg_Unpl_SP_Done"/>
    <pivotTable tabId="36" name="Perc_Issues_pl_vs_unp"/>
    <pivotTable tabId="36" name="SP_Plan_Unpl"/>
    <pivotTable tabId="36" name="Estimations"/>
    <pivotTable tabId="36" name="Ratio_SPIssue"/>
    <pivotTable tabId="36" name="Bugs_xsprint"/>
    <pivotTable tabId="36" name="Compliance_sprint"/>
  </pivotTables>
  <data>
    <tabular pivotCacheId="471813453">
      <items count="26">
        <i x="0"/>
        <i x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/>
        <i x="20"/>
        <i x="21"/>
        <i x="22"/>
        <i x="23"/>
        <i x="24"/>
        <i x="25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print 1" xr10:uid="{2173E3C2-3721-114D-B52C-11DEE7A3B24E}" cache="SegmentaciónDeDatos_Sprint1" caption="Sprint" startItem="15" columnCount="3" rowHeight="230716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print_Selection" xr10:uid="{F9564AB6-C0C0-1D46-B521-DB959D2F3937}" cache="SegmentaciónDeDatos_Sprint" caption="SPRINT" columnCount="13" style="SlicerStyleLight6" rowHeight="251999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print" xr10:uid="{7B027FBC-6A47-7E41-8E73-4973125DE420}" cache="SegmentaciónDeDatos_Sprint" caption="Sprint" startItem="15" columnCount="3" rowHeight="230716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print_Selection 2" xr10:uid="{CEFB39BB-8232-BE4A-A269-4D1F5FF43793}" cache="SegmentaciónDeDatos_Sprint" caption="SPRINT" columnCount="13" style="SlicerStyleLight6" rowHeight="251999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0FA9A-2189-3E44-9D76-CE88421DC3B7}" name="Sprints2" displayName="Sprints2" ref="A30:AA56" totalsRowShown="0" headerRowDxfId="251" dataDxfId="249" headerRowBorderDxfId="250" tableBorderDxfId="248">
  <autoFilter ref="A30:AA56" xr:uid="{2A31FC65-4EA5-4B4D-9ED1-F07AA3D32B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6DC8E498-57B1-DB47-B991-4B62EE6F3B43}" name="Sprint" dataDxfId="247"/>
    <tableColumn id="2" xr3:uid="{EE1FCF08-4E4C-724C-977D-B110D7E573BC}" name="Hours" dataDxfId="246"/>
    <tableColumn id="3" xr3:uid="{13DEC0AB-EB15-AE40-9B5D-7D463B058388}" name="Planned Issues" dataDxfId="245"/>
    <tableColumn id="4" xr3:uid="{2FCD771A-0593-A744-804C-0A549167CCE5}" name="Planned SP" dataDxfId="244"/>
    <tableColumn id="5" xr3:uid="{654D7042-6516-8A42-960B-1643297644FF}" name="Planned Issues Done" dataDxfId="243"/>
    <tableColumn id="6" xr3:uid="{E80CBF08-6CDB-0C4E-9458-1149EA288E61}" name="Unplanned Issues Done" dataDxfId="242"/>
    <tableColumn id="29" xr3:uid="{0731CEFD-0A12-C84D-BC97-0546AADF52B8}" name="Bugs (Issues)" dataDxfId="241"/>
    <tableColumn id="7" xr3:uid="{6004A664-F23A-1548-863C-33F8AE4EF6A6}" name="Total Issues Done" dataDxfId="240">
      <calculatedColumnFormula>E31+F31</calculatedColumnFormula>
    </tableColumn>
    <tableColumn id="8" xr3:uid="{3F95C7E1-4D0B-BA44-953D-7CBA0AADE921}" name="Planned Issues NOT Done" dataDxfId="239">
      <calculatedColumnFormula>C31-E31</calculatedColumnFormula>
    </tableColumn>
    <tableColumn id="22" xr3:uid="{85E04B9F-2169-6443-B592-B2AF285D4381}" name="% Planned Issues" dataDxfId="238" dataCellStyle="Porcentaje">
      <calculatedColumnFormula>E31/H31</calculatedColumnFormula>
    </tableColumn>
    <tableColumn id="9" xr3:uid="{9907F69F-2A86-C544-8BC3-32C23F10EFA5}" name="% Unplanned Issues" dataDxfId="237">
      <calculatedColumnFormula>F31/H31</calculatedColumnFormula>
    </tableColumn>
    <tableColumn id="10" xr3:uid="{6BA06C54-EE78-5B49-B45F-E0ADBF2B52D7}" name="Planned SP Done" dataDxfId="236"/>
    <tableColumn id="11" xr3:uid="{2EE62B80-A6D3-934D-97DE-F11D1EA2E061}" name="Unplanned SP Done" dataDxfId="235"/>
    <tableColumn id="30" xr3:uid="{AC1673FD-D337-B249-B18F-4A42C6F8E5A2}" name="Bugs (SP)" dataDxfId="234"/>
    <tableColumn id="12" xr3:uid="{0E109BEE-A683-1D47-867A-51B083A00EA4}" name="Total SP Done" dataDxfId="233">
      <calculatedColumnFormula>Sprints2[[#This Row],[Planned SP Done]]+Sprints2[[#This Row],[Unplanned SP Done]]</calculatedColumnFormula>
    </tableColumn>
    <tableColumn id="13" xr3:uid="{4C239067-C5E7-8747-98CA-D73227C705B6}" name="Planned SP NOT Done" dataDxfId="232">
      <calculatedColumnFormula>D31-L31</calculatedColumnFormula>
    </tableColumn>
    <tableColumn id="23" xr3:uid="{E777823E-A125-4D4F-8D86-C21C951FC2B8}" name="% Planned SP" dataDxfId="231" dataCellStyle="Porcentaje">
      <calculatedColumnFormula>L31/O31</calculatedColumnFormula>
    </tableColumn>
    <tableColumn id="14" xr3:uid="{B883F1AC-F7FF-5643-AC49-D0B4A42F125F}" name="% Unplanned SP" dataDxfId="230">
      <calculatedColumnFormula>M31/O31</calculatedColumnFormula>
    </tableColumn>
    <tableColumn id="15" xr3:uid="{092861BD-4152-3A4F-BA35-BDC8BC812D3D}" name="% Compliance" dataDxfId="229">
      <calculatedColumnFormula>L31/D31</calculatedColumnFormula>
    </tableColumn>
    <tableColumn id="25" xr3:uid="{25B86CED-48EA-DD46-9B45-FB575AD852DF}" name="Ratio SP / issue" dataDxfId="228">
      <calculatedColumnFormula>Sprints2[[#This Row],[Total SP Done]]/Sprints2[[#This Row],[Total Issues Done]]</calculatedColumnFormula>
    </tableColumn>
    <tableColumn id="16" xr3:uid="{477B4EE8-C028-FA4B-BFB0-9ACFFE38F254}" name="SP / Hours" dataDxfId="227">
      <calculatedColumnFormula>O31/B31</calculatedColumnFormula>
    </tableColumn>
    <tableColumn id="24" xr3:uid="{09FDEC04-D97F-AC4D-8AA6-256A69DA8AFA}" name="Hours Next Sprint" dataDxfId="226"/>
    <tableColumn id="17" xr3:uid="{85665BFF-0B30-D941-A6D7-43863F5E1664}" name="Estimated Total SP" dataDxfId="225">
      <calculatedColumnFormula>ROUNDUP(AVERAGE($U27:U31)*B46,0)</calculatedColumnFormula>
    </tableColumn>
    <tableColumn id="19" xr3:uid="{95A1CFFD-4BA2-3944-8737-B2A3F3D282F8}" name="Estimated SP Planned" dataDxfId="224">
      <calculatedColumnFormula>W31-Y31</calculatedColumnFormula>
    </tableColumn>
    <tableColumn id="18" xr3:uid="{4B10C89B-31CD-6244-9DD9-A7BDE974F344}" name="Estimated SP Unplanned" dataDxfId="223">
      <calculatedColumnFormula>ROUNDUP(W31*AVERAGE($R27:R31),0)</calculatedColumnFormula>
    </tableColumn>
    <tableColumn id="20" xr3:uid="{AFDF1EF0-C29E-D542-A221-0F82294CC4B8}" name="Estimated % Compliance" dataDxfId="222">
      <calculatedColumnFormula>AVERAGE($S27:S31)</calculatedColumnFormula>
    </tableColumn>
    <tableColumn id="21" xr3:uid="{A5AA02D6-EEB3-3A4F-8896-CE22F318B195}" name="Compliance final % var" dataDxfId="221">
      <calculatedColumnFormula>S32-Z31</calculatedColumnFormula>
    </tableColumn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31FC65-4EA5-4B4D-9ED1-F07AA3D32BC8}" name="Sprints" displayName="Sprints" ref="A1:AA27" totalsRowShown="0" headerRowDxfId="125" dataDxfId="123" headerRowBorderDxfId="124" tableBorderDxfId="122">
  <autoFilter ref="A1:AA27" xr:uid="{2A31FC65-4EA5-4B4D-9ED1-F07AA3D32B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4D8FE663-DBAE-4F85-8768-6883275E2172}" name="Sprint" dataDxfId="121"/>
    <tableColumn id="2" xr3:uid="{0D54F852-4595-4D74-91DD-E88E049961DE}" name="Hours" dataDxfId="120"/>
    <tableColumn id="3" xr3:uid="{391C7ED0-A3AF-44DF-8BDE-923B088AC1B5}" name="Planned Issues" dataDxfId="119"/>
    <tableColumn id="4" xr3:uid="{F766C9F6-B805-4E4D-8B17-1FD0AC5B0A14}" name="Planned SP" dataDxfId="118"/>
    <tableColumn id="5" xr3:uid="{A27F7E30-94F0-421E-9370-B4E13AAAA87B}" name="Planned Issues Done" dataDxfId="117"/>
    <tableColumn id="6" xr3:uid="{499BAAAC-E27B-4FE9-8C14-416BE1B61EE2}" name="Unplanned Issues Done" dataDxfId="116"/>
    <tableColumn id="29" xr3:uid="{2679C5DF-2788-3B47-BCCA-417F108E5B58}" name="Bugs (Issues)" dataDxfId="115"/>
    <tableColumn id="7" xr3:uid="{1CA5816C-D2D8-4033-9C55-6D4F09163E27}" name="Total Issues Done" dataDxfId="114">
      <calculatedColumnFormula>E2+F2</calculatedColumnFormula>
    </tableColumn>
    <tableColumn id="8" xr3:uid="{177DEAEA-84F1-481F-AA4D-DACB20056E78}" name="Planned Issues NOT Done" dataDxfId="113">
      <calculatedColumnFormula>C2-E2</calculatedColumnFormula>
    </tableColumn>
    <tableColumn id="22" xr3:uid="{9E469520-132B-8B4C-92A1-08D01107A7F9}" name="% Planned Issues" dataDxfId="112" dataCellStyle="Porcentaje">
      <calculatedColumnFormula>E2/H2</calculatedColumnFormula>
    </tableColumn>
    <tableColumn id="9" xr3:uid="{FC00F923-0F7A-4BD4-A947-C8D8C30D3C82}" name="% Unplanned Issues" dataDxfId="111">
      <calculatedColumnFormula>F2/H2</calculatedColumnFormula>
    </tableColumn>
    <tableColumn id="10" xr3:uid="{7B7BBD60-8308-4136-A825-AD134B58A48E}" name="Planned SP Done" dataDxfId="110"/>
    <tableColumn id="11" xr3:uid="{CC7C64F6-8BE4-495E-AB2F-71BECCBF6CBC}" name="Unplanned SP Done" dataDxfId="109"/>
    <tableColumn id="30" xr3:uid="{8DF605D7-D0A0-0D46-B9D2-75EC4E860DCD}" name="Bugs (SP)" dataDxfId="108"/>
    <tableColumn id="12" xr3:uid="{0ADE0EC2-95C1-497C-95B1-D14C43D02271}" name="Total SP Done" dataDxfId="107">
      <calculatedColumnFormula>Sprints[[#This Row],[Planned SP Done]]+Sprints[[#This Row],[Unplanned SP Done]]</calculatedColumnFormula>
    </tableColumn>
    <tableColumn id="13" xr3:uid="{6EAE52D1-0A59-432E-993B-E9682BF73BDD}" name="Planned SP NOT Done" dataDxfId="106">
      <calculatedColumnFormula>D2-L2</calculatedColumnFormula>
    </tableColumn>
    <tableColumn id="23" xr3:uid="{6F10D1F5-F155-9645-A792-2AD304B406EB}" name="% Planned SP" dataDxfId="105" dataCellStyle="Porcentaje">
      <calculatedColumnFormula>L2/O2</calculatedColumnFormula>
    </tableColumn>
    <tableColumn id="14" xr3:uid="{B310F77B-3C72-4CEE-A655-090B395CA390}" name="% Unplanned SP" dataDxfId="104">
      <calculatedColumnFormula>M2/O2</calculatedColumnFormula>
    </tableColumn>
    <tableColumn id="15" xr3:uid="{2F38D440-CB81-45AD-9CFD-0FC9CF1EA15D}" name="% Compliance" dataDxfId="103">
      <calculatedColumnFormula>L2/D2</calculatedColumnFormula>
    </tableColumn>
    <tableColumn id="25" xr3:uid="{F81A76E1-C67D-9E48-9213-FBA058671444}" name="Ratio SP / issue" dataDxfId="102">
      <calculatedColumnFormula>Sprints[[#This Row],[Total SP Done]]/Sprints[[#This Row],[Total Issues Done]]</calculatedColumnFormula>
    </tableColumn>
    <tableColumn id="16" xr3:uid="{DE46E7E0-A08E-4EA4-8593-D538CB2D448A}" name="SP / Hours" dataDxfId="101">
      <calculatedColumnFormula>O2/B2</calculatedColumnFormula>
    </tableColumn>
    <tableColumn id="24" xr3:uid="{C61B4C35-22AF-174A-A59C-EF71C062FBBD}" name="Hours Next Sprint" dataDxfId="100"/>
    <tableColumn id="17" xr3:uid="{F3BAB9CF-68C5-4475-9ADA-EEE0C4C54551}" name="Estimated Total SP" dataDxfId="99">
      <calculatedColumnFormula>ROUNDUP(AVERAGE($U1:U2)*B17,0)</calculatedColumnFormula>
    </tableColumn>
    <tableColumn id="19" xr3:uid="{374CAC0D-84F0-4545-B2CA-DD50B79C4A1B}" name="Estimated SP Planned" dataDxfId="98">
      <calculatedColumnFormula>W2-Y2</calculatedColumnFormula>
    </tableColumn>
    <tableColumn id="18" xr3:uid="{2F5FA809-3339-4CD2-9E8C-C3B070A03BCC}" name="Estimated SP Unplanned" dataDxfId="97">
      <calculatedColumnFormula>ROUNDUP(W2*AVERAGE($R1:R2),0)</calculatedColumnFormula>
    </tableColumn>
    <tableColumn id="20" xr3:uid="{783C839B-A569-4F09-9D59-A58630340E46}" name="Estimated % Compliance" dataDxfId="96">
      <calculatedColumnFormula>AVERAGE($S1:S2)</calculatedColumnFormula>
    </tableColumn>
    <tableColumn id="21" xr3:uid="{3B878218-B9E3-4DB7-BB37-1C822BB3A6D5}" name="Compliance final % var" dataDxfId="95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microsoft.com/office/2007/relationships/slicer" Target="../slicers/slicer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drawing" Target="../drawings/drawing1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30.xml"/><Relationship Id="rId13" Type="http://schemas.openxmlformats.org/officeDocument/2006/relationships/pivotTable" Target="../pivotTables/pivotTable35.xml"/><Relationship Id="rId18" Type="http://schemas.openxmlformats.org/officeDocument/2006/relationships/pivotTable" Target="../pivotTables/pivotTable40.xml"/><Relationship Id="rId3" Type="http://schemas.openxmlformats.org/officeDocument/2006/relationships/pivotTable" Target="../pivotTables/pivotTable25.xml"/><Relationship Id="rId21" Type="http://schemas.openxmlformats.org/officeDocument/2006/relationships/pivotTable" Target="../pivotTables/pivotTable43.xml"/><Relationship Id="rId7" Type="http://schemas.openxmlformats.org/officeDocument/2006/relationships/pivotTable" Target="../pivotTables/pivotTable29.xml"/><Relationship Id="rId12" Type="http://schemas.openxmlformats.org/officeDocument/2006/relationships/pivotTable" Target="../pivotTables/pivotTable34.xml"/><Relationship Id="rId17" Type="http://schemas.openxmlformats.org/officeDocument/2006/relationships/pivotTable" Target="../pivotTables/pivotTable39.xml"/><Relationship Id="rId2" Type="http://schemas.openxmlformats.org/officeDocument/2006/relationships/pivotTable" Target="../pivotTables/pivotTable24.xml"/><Relationship Id="rId16" Type="http://schemas.openxmlformats.org/officeDocument/2006/relationships/pivotTable" Target="../pivotTables/pivotTable38.xml"/><Relationship Id="rId20" Type="http://schemas.openxmlformats.org/officeDocument/2006/relationships/pivotTable" Target="../pivotTables/pivotTable42.xml"/><Relationship Id="rId1" Type="http://schemas.openxmlformats.org/officeDocument/2006/relationships/pivotTable" Target="../pivotTables/pivotTable23.xml"/><Relationship Id="rId6" Type="http://schemas.openxmlformats.org/officeDocument/2006/relationships/pivotTable" Target="../pivotTables/pivotTable28.xml"/><Relationship Id="rId11" Type="http://schemas.openxmlformats.org/officeDocument/2006/relationships/pivotTable" Target="../pivotTables/pivotTable33.xml"/><Relationship Id="rId24" Type="http://schemas.microsoft.com/office/2007/relationships/slicer" Target="../slicers/slicer3.xml"/><Relationship Id="rId5" Type="http://schemas.openxmlformats.org/officeDocument/2006/relationships/pivotTable" Target="../pivotTables/pivotTable27.xml"/><Relationship Id="rId15" Type="http://schemas.openxmlformats.org/officeDocument/2006/relationships/pivotTable" Target="../pivotTables/pivotTable37.xml"/><Relationship Id="rId23" Type="http://schemas.openxmlformats.org/officeDocument/2006/relationships/drawing" Target="../drawings/drawing3.xml"/><Relationship Id="rId10" Type="http://schemas.openxmlformats.org/officeDocument/2006/relationships/pivotTable" Target="../pivotTables/pivotTable32.xml"/><Relationship Id="rId19" Type="http://schemas.openxmlformats.org/officeDocument/2006/relationships/pivotTable" Target="../pivotTables/pivotTable41.xml"/><Relationship Id="rId4" Type="http://schemas.openxmlformats.org/officeDocument/2006/relationships/pivotTable" Target="../pivotTables/pivotTable26.xml"/><Relationship Id="rId9" Type="http://schemas.openxmlformats.org/officeDocument/2006/relationships/pivotTable" Target="../pivotTables/pivotTable31.xml"/><Relationship Id="rId14" Type="http://schemas.openxmlformats.org/officeDocument/2006/relationships/pivotTable" Target="../pivotTables/pivotTable36.xml"/><Relationship Id="rId22" Type="http://schemas.openxmlformats.org/officeDocument/2006/relationships/pivotTable" Target="../pivotTables/pivotTable44.xml"/></Relationships>
</file>

<file path=xl/worksheets/_rels/sheet6.xml.rels><?xml version="1.0" encoding="UTF-8" standalone="yes"?>
<Relationships xmlns="http://schemas.openxmlformats.org/package/2006/relationships"><Relationship Id="rId2" Type="http://schemas.microsoft.com/office/2007/relationships/slicer" Target="../slicers/slicer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D380-3674-1444-832D-3C163E91C24B}">
  <dimension ref="A1:AA73"/>
  <sheetViews>
    <sheetView topLeftCell="J1" zoomScale="120" zoomScaleNormal="120" workbookViewId="0">
      <selection activeCell="V56" sqref="V56"/>
    </sheetView>
  </sheetViews>
  <sheetFormatPr baseColWidth="10" defaultColWidth="6.33203125" defaultRowHeight="15" outlineLevelRow="1" x14ac:dyDescent="0.2"/>
  <cols>
    <col min="1" max="1" width="24.33203125" style="5" bestFit="1" customWidth="1"/>
    <col min="2" max="2" width="12.83203125" style="5" customWidth="1"/>
    <col min="3" max="3" width="15.1640625" style="5" customWidth="1"/>
    <col min="4" max="4" width="15" style="5" customWidth="1"/>
    <col min="5" max="8" width="15.1640625" style="5" customWidth="1"/>
    <col min="9" max="10" width="15.83203125" style="5" customWidth="1"/>
    <col min="11" max="15" width="15.1640625" style="5" customWidth="1"/>
    <col min="16" max="17" width="15.83203125" style="5" customWidth="1"/>
    <col min="18" max="20" width="15.1640625" style="5" customWidth="1"/>
    <col min="21" max="22" width="14.5" style="5" customWidth="1"/>
    <col min="23" max="23" width="13.6640625" style="5" customWidth="1"/>
    <col min="24" max="25" width="15.1640625" style="5" customWidth="1"/>
    <col min="26" max="26" width="15" style="5" customWidth="1"/>
    <col min="27" max="27" width="14.5" style="6" bestFit="1" customWidth="1"/>
    <col min="28" max="16384" width="6.33203125" style="7"/>
  </cols>
  <sheetData>
    <row r="1" spans="1:2" x14ac:dyDescent="0.2">
      <c r="A1" s="54" t="s">
        <v>86</v>
      </c>
    </row>
    <row r="2" spans="1:2" ht="16" hidden="1" outlineLevel="1" x14ac:dyDescent="0.2">
      <c r="A2" s="4" t="s">
        <v>1</v>
      </c>
      <c r="B2" s="30" t="s">
        <v>2</v>
      </c>
    </row>
    <row r="3" spans="1:2" ht="16" hidden="1" outlineLevel="1" x14ac:dyDescent="0.2">
      <c r="A3" s="4" t="s">
        <v>3</v>
      </c>
      <c r="B3" s="30" t="s">
        <v>4</v>
      </c>
    </row>
    <row r="4" spans="1:2" ht="16" hidden="1" outlineLevel="1" x14ac:dyDescent="0.2">
      <c r="A4" s="4" t="s">
        <v>5</v>
      </c>
      <c r="B4" s="31" t="s">
        <v>6</v>
      </c>
    </row>
    <row r="5" spans="1:2" ht="16" hidden="1" outlineLevel="1" x14ac:dyDescent="0.2">
      <c r="A5" s="4" t="s">
        <v>7</v>
      </c>
      <c r="B5" s="31" t="s">
        <v>8</v>
      </c>
    </row>
    <row r="6" spans="1:2" ht="16" hidden="1" outlineLevel="1" x14ac:dyDescent="0.2">
      <c r="A6" s="4" t="s">
        <v>9</v>
      </c>
      <c r="B6" s="31" t="s">
        <v>10</v>
      </c>
    </row>
    <row r="7" spans="1:2" ht="16" hidden="1" outlineLevel="1" x14ac:dyDescent="0.2">
      <c r="A7" s="4" t="s">
        <v>11</v>
      </c>
      <c r="B7" s="8" t="s">
        <v>12</v>
      </c>
    </row>
    <row r="8" spans="1:2" ht="16" hidden="1" outlineLevel="1" x14ac:dyDescent="0.2">
      <c r="A8" s="52" t="s">
        <v>79</v>
      </c>
      <c r="B8" s="31" t="s">
        <v>81</v>
      </c>
    </row>
    <row r="9" spans="1:2" hidden="1" outlineLevel="1" x14ac:dyDescent="0.2">
      <c r="A9" s="9" t="s">
        <v>13</v>
      </c>
      <c r="B9" s="31" t="s">
        <v>14</v>
      </c>
    </row>
    <row r="10" spans="1:2" hidden="1" outlineLevel="1" x14ac:dyDescent="0.2">
      <c r="A10" s="9" t="s">
        <v>15</v>
      </c>
      <c r="B10" s="31" t="s">
        <v>16</v>
      </c>
    </row>
    <row r="11" spans="1:2" hidden="1" outlineLevel="1" x14ac:dyDescent="0.2">
      <c r="A11" s="53" t="s">
        <v>62</v>
      </c>
      <c r="B11" s="31" t="s">
        <v>80</v>
      </c>
    </row>
    <row r="12" spans="1:2" ht="16" hidden="1" outlineLevel="1" x14ac:dyDescent="0.2">
      <c r="A12" s="4" t="s">
        <v>17</v>
      </c>
      <c r="B12" s="31" t="s">
        <v>18</v>
      </c>
    </row>
    <row r="13" spans="1:2" ht="16" hidden="1" outlineLevel="1" x14ac:dyDescent="0.2">
      <c r="A13" s="4" t="s">
        <v>19</v>
      </c>
      <c r="B13" s="31" t="s">
        <v>20</v>
      </c>
    </row>
    <row r="14" spans="1:2" ht="16" hidden="1" outlineLevel="1" x14ac:dyDescent="0.2">
      <c r="A14" s="4" t="s">
        <v>21</v>
      </c>
      <c r="B14" s="31" t="s">
        <v>22</v>
      </c>
    </row>
    <row r="15" spans="1:2" ht="16" hidden="1" outlineLevel="1" x14ac:dyDescent="0.2">
      <c r="A15" s="52" t="s">
        <v>0</v>
      </c>
      <c r="B15" s="31" t="s">
        <v>82</v>
      </c>
    </row>
    <row r="16" spans="1:2" hidden="1" outlineLevel="1" x14ac:dyDescent="0.2">
      <c r="A16" s="9" t="s">
        <v>23</v>
      </c>
      <c r="B16" s="31" t="s">
        <v>24</v>
      </c>
    </row>
    <row r="17" spans="1:27" hidden="1" outlineLevel="1" x14ac:dyDescent="0.2">
      <c r="A17" s="9" t="s">
        <v>25</v>
      </c>
      <c r="B17" s="31" t="s">
        <v>26</v>
      </c>
    </row>
    <row r="18" spans="1:27" hidden="1" outlineLevel="1" x14ac:dyDescent="0.2">
      <c r="A18" s="53" t="s">
        <v>64</v>
      </c>
      <c r="B18" s="31" t="s">
        <v>83</v>
      </c>
    </row>
    <row r="19" spans="1:27" ht="16" hidden="1" outlineLevel="1" x14ac:dyDescent="0.2">
      <c r="A19" s="4" t="s">
        <v>27</v>
      </c>
      <c r="B19" s="31" t="s">
        <v>28</v>
      </c>
    </row>
    <row r="20" spans="1:27" hidden="1" outlineLevel="1" x14ac:dyDescent="0.2">
      <c r="A20" s="9" t="s">
        <v>29</v>
      </c>
      <c r="B20" s="31" t="s">
        <v>30</v>
      </c>
    </row>
    <row r="21" spans="1:27" hidden="1" outlineLevel="1" x14ac:dyDescent="0.2">
      <c r="A21" s="53" t="s">
        <v>76</v>
      </c>
      <c r="B21" s="31" t="s">
        <v>84</v>
      </c>
    </row>
    <row r="22" spans="1:27" hidden="1" outlineLevel="1" x14ac:dyDescent="0.2">
      <c r="A22" s="9" t="s">
        <v>31</v>
      </c>
      <c r="B22" s="31" t="s">
        <v>32</v>
      </c>
    </row>
    <row r="23" spans="1:27" hidden="1" outlineLevel="1" x14ac:dyDescent="0.2">
      <c r="A23" s="53" t="s">
        <v>69</v>
      </c>
      <c r="B23" s="31" t="s">
        <v>85</v>
      </c>
    </row>
    <row r="24" spans="1:27" ht="16" hidden="1" outlineLevel="1" x14ac:dyDescent="0.2">
      <c r="A24" s="10" t="s">
        <v>33</v>
      </c>
      <c r="B24" s="30" t="s">
        <v>34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7" ht="16" hidden="1" outlineLevel="1" x14ac:dyDescent="0.2">
      <c r="A25" s="10" t="s">
        <v>35</v>
      </c>
      <c r="B25" s="30" t="s">
        <v>36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7" ht="16" hidden="1" outlineLevel="1" x14ac:dyDescent="0.2">
      <c r="A26" s="10" t="s">
        <v>37</v>
      </c>
      <c r="B26" s="30" t="s">
        <v>38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7" ht="16" hidden="1" outlineLevel="1" x14ac:dyDescent="0.2">
      <c r="A27" s="10" t="s">
        <v>39</v>
      </c>
      <c r="B27" s="30" t="s">
        <v>40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7" ht="16" hidden="1" outlineLevel="1" x14ac:dyDescent="0.2">
      <c r="A28" s="10" t="s">
        <v>41</v>
      </c>
      <c r="B28" s="30" t="s">
        <v>42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7" ht="16" collapsed="1" thickBot="1" x14ac:dyDescent="0.25"/>
    <row r="30" spans="1:27" s="19" customFormat="1" ht="34.5" customHeight="1" thickBot="1" x14ac:dyDescent="0.25">
      <c r="A30" s="11" t="s">
        <v>1</v>
      </c>
      <c r="B30" s="12" t="s">
        <v>3</v>
      </c>
      <c r="C30" s="12" t="s">
        <v>5</v>
      </c>
      <c r="D30" s="13" t="s">
        <v>7</v>
      </c>
      <c r="E30" s="14" t="s">
        <v>9</v>
      </c>
      <c r="F30" s="14" t="s">
        <v>11</v>
      </c>
      <c r="G30" s="14" t="s">
        <v>46</v>
      </c>
      <c r="H30" s="15" t="s">
        <v>13</v>
      </c>
      <c r="I30" s="16" t="s">
        <v>15</v>
      </c>
      <c r="J30" s="16" t="s">
        <v>62</v>
      </c>
      <c r="K30" s="16" t="s">
        <v>17</v>
      </c>
      <c r="L30" s="14" t="s">
        <v>19</v>
      </c>
      <c r="M30" s="14" t="s">
        <v>21</v>
      </c>
      <c r="N30" s="14" t="s">
        <v>0</v>
      </c>
      <c r="O30" s="15" t="s">
        <v>23</v>
      </c>
      <c r="P30" s="16" t="s">
        <v>25</v>
      </c>
      <c r="Q30" s="16" t="s">
        <v>64</v>
      </c>
      <c r="R30" s="16" t="s">
        <v>27</v>
      </c>
      <c r="S30" s="12" t="s">
        <v>29</v>
      </c>
      <c r="T30" s="12" t="s">
        <v>76</v>
      </c>
      <c r="U30" s="13" t="s">
        <v>31</v>
      </c>
      <c r="V30" s="17" t="s">
        <v>69</v>
      </c>
      <c r="W30" s="17" t="s">
        <v>33</v>
      </c>
      <c r="X30" s="17" t="s">
        <v>35</v>
      </c>
      <c r="Y30" s="17" t="s">
        <v>37</v>
      </c>
      <c r="Z30" s="17" t="s">
        <v>39</v>
      </c>
      <c r="AA30" s="18" t="s">
        <v>41</v>
      </c>
    </row>
    <row r="31" spans="1:27" s="28" customFormat="1" x14ac:dyDescent="0.2">
      <c r="A31" s="20">
        <v>41</v>
      </c>
      <c r="B31" s="20">
        <v>535</v>
      </c>
      <c r="C31" s="21">
        <v>16</v>
      </c>
      <c r="D31" s="22">
        <v>104</v>
      </c>
      <c r="E31" s="21">
        <v>10</v>
      </c>
      <c r="F31" s="21">
        <v>7</v>
      </c>
      <c r="G31" s="21">
        <v>0</v>
      </c>
      <c r="H31" s="23">
        <f>E31+F31</f>
        <v>17</v>
      </c>
      <c r="I31" s="24">
        <f>C31-E31</f>
        <v>6</v>
      </c>
      <c r="J31" s="42">
        <f t="shared" ref="J31:J56" si="0">E31/H31</f>
        <v>0.58823529411764708</v>
      </c>
      <c r="K31" s="25">
        <f>F31/H31</f>
        <v>0.41176470588235292</v>
      </c>
      <c r="L31" s="21">
        <v>63</v>
      </c>
      <c r="M31" s="24">
        <v>28</v>
      </c>
      <c r="N31" s="21">
        <v>0</v>
      </c>
      <c r="O31" s="49">
        <f>Sprints2[[#This Row],[Planned SP Done]]+Sprints2[[#This Row],[Unplanned SP Done]]</f>
        <v>91</v>
      </c>
      <c r="P31" s="24">
        <f t="shared" ref="P31:P47" si="1">D31-L31</f>
        <v>41</v>
      </c>
      <c r="Q31" s="42">
        <f t="shared" ref="Q31:Q56" si="2">L31/O31</f>
        <v>0.69230769230769229</v>
      </c>
      <c r="R31" s="25">
        <f t="shared" ref="R31:R56" si="3">M31/O31</f>
        <v>0.30769230769230771</v>
      </c>
      <c r="S31" s="26">
        <f t="shared" ref="S31:S56" si="4">L31/D31</f>
        <v>0.60576923076923073</v>
      </c>
      <c r="T31" s="47">
        <f>1-(Sprints2[[#This Row],[Total SP Done]]/Sprints2[[#This Row],[Total Issues Done]])</f>
        <v>-4.3529411764705879</v>
      </c>
      <c r="U31" s="27">
        <f t="shared" ref="U31:U56" si="5">O31/B31</f>
        <v>0.17009345794392525</v>
      </c>
      <c r="V31" s="24">
        <v>513</v>
      </c>
      <c r="W31" s="24">
        <f>ROUNDUP(AVERAGE($U$31:U31)*Sprints2[[#This Row],[Hours Next Sprint]],0)</f>
        <v>88</v>
      </c>
      <c r="X31" s="24">
        <f>W31-Y31</f>
        <v>60</v>
      </c>
      <c r="Y31" s="21">
        <f>ROUNDUP(W31*AVERAGE($R27:R31),0)</f>
        <v>28</v>
      </c>
      <c r="Z31" s="26">
        <f>AVERAGE($S27:S31)</f>
        <v>0.60576923076923073</v>
      </c>
      <c r="AA31" s="26">
        <f t="shared" ref="AA31:AA56" si="6">S32-Z31</f>
        <v>-1.3176638176638167E-2</v>
      </c>
    </row>
    <row r="32" spans="1:27" s="28" customFormat="1" x14ac:dyDescent="0.2">
      <c r="A32" s="20">
        <v>42</v>
      </c>
      <c r="B32" s="20">
        <f t="shared" ref="B32:B56" si="7">V31</f>
        <v>513</v>
      </c>
      <c r="C32" s="21">
        <v>16</v>
      </c>
      <c r="D32" s="22">
        <v>108</v>
      </c>
      <c r="E32" s="21">
        <v>11</v>
      </c>
      <c r="F32" s="21">
        <v>6</v>
      </c>
      <c r="G32" s="21">
        <v>1</v>
      </c>
      <c r="H32" s="36">
        <f t="shared" ref="H32:H56" si="8">E32+F32</f>
        <v>17</v>
      </c>
      <c r="I32" s="2">
        <f t="shared" ref="I32:I56" si="9">C32-E32</f>
        <v>5</v>
      </c>
      <c r="J32" s="43">
        <f t="shared" si="0"/>
        <v>0.6470588235294118</v>
      </c>
      <c r="K32" s="37">
        <f t="shared" ref="K32:K56" si="10">F32/H32</f>
        <v>0.35294117647058826</v>
      </c>
      <c r="L32" s="21">
        <v>64</v>
      </c>
      <c r="M32" s="24">
        <v>25</v>
      </c>
      <c r="N32" s="21">
        <v>3</v>
      </c>
      <c r="O32" s="49">
        <f>Sprints2[[#This Row],[Planned SP Done]]+Sprints2[[#This Row],[Unplanned SP Done]]</f>
        <v>89</v>
      </c>
      <c r="P32" s="24">
        <f t="shared" si="1"/>
        <v>44</v>
      </c>
      <c r="Q32" s="43">
        <f t="shared" si="2"/>
        <v>0.7191011235955056</v>
      </c>
      <c r="R32" s="37">
        <f t="shared" si="3"/>
        <v>0.2808988764044944</v>
      </c>
      <c r="S32" s="38">
        <f t="shared" si="4"/>
        <v>0.59259259259259256</v>
      </c>
      <c r="T32" s="3">
        <f>Sprints2[[#This Row],[Total SP Done]]/Sprints2[[#This Row],[Total Issues Done]]</f>
        <v>5.2352941176470589</v>
      </c>
      <c r="U32" s="39">
        <f t="shared" si="5"/>
        <v>0.17348927875243664</v>
      </c>
      <c r="V32" s="24">
        <v>374</v>
      </c>
      <c r="W32" s="24">
        <f>ROUNDUP(AVERAGE($U$31:U32)*Sprints2[[#This Row],[Hours Next Sprint]],0)</f>
        <v>65</v>
      </c>
      <c r="X32" s="2">
        <f t="shared" ref="X32:X56" si="11">W32-Y32</f>
        <v>45</v>
      </c>
      <c r="Y32" s="1">
        <f>ROUNDUP(W32*AVERAGE($R28:R32),0)</f>
        <v>20</v>
      </c>
      <c r="Z32" s="38">
        <f>AVERAGE($S28:S32)</f>
        <v>0.5991809116809117</v>
      </c>
      <c r="AA32" s="26">
        <f t="shared" si="6"/>
        <v>-3.6680911680911699E-2</v>
      </c>
    </row>
    <row r="33" spans="1:27" s="28" customFormat="1" x14ac:dyDescent="0.2">
      <c r="A33" s="20">
        <v>43</v>
      </c>
      <c r="B33" s="20">
        <f t="shared" si="7"/>
        <v>374</v>
      </c>
      <c r="C33" s="21">
        <v>12</v>
      </c>
      <c r="D33" s="22">
        <v>80</v>
      </c>
      <c r="E33" s="21">
        <v>11</v>
      </c>
      <c r="F33" s="21">
        <v>6</v>
      </c>
      <c r="G33" s="21">
        <v>2</v>
      </c>
      <c r="H33" s="36">
        <f t="shared" si="8"/>
        <v>17</v>
      </c>
      <c r="I33" s="2">
        <f t="shared" si="9"/>
        <v>1</v>
      </c>
      <c r="J33" s="43">
        <f t="shared" si="0"/>
        <v>0.6470588235294118</v>
      </c>
      <c r="K33" s="37">
        <f t="shared" si="10"/>
        <v>0.35294117647058826</v>
      </c>
      <c r="L33" s="21">
        <v>45</v>
      </c>
      <c r="M33" s="24">
        <v>22</v>
      </c>
      <c r="N33" s="21">
        <v>5</v>
      </c>
      <c r="O33" s="49">
        <f>Sprints2[[#This Row],[Planned SP Done]]+Sprints2[[#This Row],[Unplanned SP Done]]</f>
        <v>67</v>
      </c>
      <c r="P33" s="24">
        <f t="shared" si="1"/>
        <v>35</v>
      </c>
      <c r="Q33" s="43">
        <f t="shared" si="2"/>
        <v>0.67164179104477617</v>
      </c>
      <c r="R33" s="37">
        <f t="shared" si="3"/>
        <v>0.32835820895522388</v>
      </c>
      <c r="S33" s="38">
        <f t="shared" si="4"/>
        <v>0.5625</v>
      </c>
      <c r="T33" s="3">
        <f>Sprints2[[#This Row],[Total SP Done]]/Sprints2[[#This Row],[Total Issues Done]]</f>
        <v>3.9411764705882355</v>
      </c>
      <c r="U33" s="39">
        <f t="shared" si="5"/>
        <v>0.17914438502673796</v>
      </c>
      <c r="V33" s="24">
        <v>411</v>
      </c>
      <c r="W33" s="24">
        <f>ROUNDUP(AVERAGE($U$31:U33)*Sprints2[[#This Row],[Hours Next Sprint]],0)</f>
        <v>72</v>
      </c>
      <c r="X33" s="2">
        <f t="shared" si="11"/>
        <v>49</v>
      </c>
      <c r="Y33" s="1">
        <f>ROUNDUP(W33*AVERAGE($R29:R33),0)</f>
        <v>23</v>
      </c>
      <c r="Z33" s="38">
        <f>AVERAGE($S29:S33)</f>
        <v>0.58695394112060784</v>
      </c>
      <c r="AA33" s="26">
        <f t="shared" si="6"/>
        <v>-4.7628098423978638E-2</v>
      </c>
    </row>
    <row r="34" spans="1:27" s="28" customFormat="1" x14ac:dyDescent="0.2">
      <c r="A34" s="20">
        <v>44</v>
      </c>
      <c r="B34" s="20">
        <f t="shared" si="7"/>
        <v>411</v>
      </c>
      <c r="C34" s="21">
        <v>14</v>
      </c>
      <c r="D34" s="22">
        <v>89</v>
      </c>
      <c r="E34" s="21">
        <v>11</v>
      </c>
      <c r="F34" s="21">
        <v>8</v>
      </c>
      <c r="G34" s="21">
        <v>1</v>
      </c>
      <c r="H34" s="36">
        <f t="shared" si="8"/>
        <v>19</v>
      </c>
      <c r="I34" s="2">
        <f t="shared" si="9"/>
        <v>3</v>
      </c>
      <c r="J34" s="43">
        <f t="shared" si="0"/>
        <v>0.57894736842105265</v>
      </c>
      <c r="K34" s="37">
        <f t="shared" si="10"/>
        <v>0.42105263157894735</v>
      </c>
      <c r="L34" s="21">
        <v>48</v>
      </c>
      <c r="M34" s="24">
        <v>27</v>
      </c>
      <c r="N34" s="21">
        <v>2</v>
      </c>
      <c r="O34" s="49">
        <f>Sprints2[[#This Row],[Planned SP Done]]+Sprints2[[#This Row],[Unplanned SP Done]]</f>
        <v>75</v>
      </c>
      <c r="P34" s="24">
        <f t="shared" si="1"/>
        <v>41</v>
      </c>
      <c r="Q34" s="43">
        <f t="shared" si="2"/>
        <v>0.64</v>
      </c>
      <c r="R34" s="37">
        <f t="shared" si="3"/>
        <v>0.36</v>
      </c>
      <c r="S34" s="38">
        <f t="shared" si="4"/>
        <v>0.5393258426966292</v>
      </c>
      <c r="T34" s="3">
        <f>Sprints2[[#This Row],[Total SP Done]]/Sprints2[[#This Row],[Total Issues Done]]</f>
        <v>3.9473684210526314</v>
      </c>
      <c r="U34" s="39">
        <f t="shared" si="5"/>
        <v>0.18248175182481752</v>
      </c>
      <c r="V34" s="24">
        <v>397</v>
      </c>
      <c r="W34" s="24">
        <f>ROUNDUP(AVERAGE($U$31:U34)*Sprints2[[#This Row],[Hours Next Sprint]],0)</f>
        <v>70</v>
      </c>
      <c r="X34" s="2">
        <f t="shared" si="11"/>
        <v>47</v>
      </c>
      <c r="Y34" s="1">
        <f>ROUNDUP(W34*AVERAGE($R30:R34),0)</f>
        <v>23</v>
      </c>
      <c r="Z34" s="38">
        <f>AVERAGE($S30:S34)</f>
        <v>0.57504691651461315</v>
      </c>
      <c r="AA34" s="26">
        <f t="shared" si="6"/>
        <v>4.6005715064334263E-2</v>
      </c>
    </row>
    <row r="35" spans="1:27" s="28" customFormat="1" x14ac:dyDescent="0.2">
      <c r="A35" s="20">
        <v>45</v>
      </c>
      <c r="B35" s="20">
        <f t="shared" si="7"/>
        <v>397</v>
      </c>
      <c r="C35" s="21">
        <v>14</v>
      </c>
      <c r="D35" s="22">
        <v>95</v>
      </c>
      <c r="E35" s="21">
        <v>12</v>
      </c>
      <c r="F35" s="21">
        <v>5</v>
      </c>
      <c r="G35" s="21">
        <v>3</v>
      </c>
      <c r="H35" s="36">
        <f t="shared" si="8"/>
        <v>17</v>
      </c>
      <c r="I35" s="2">
        <f t="shared" si="9"/>
        <v>2</v>
      </c>
      <c r="J35" s="43">
        <f t="shared" si="0"/>
        <v>0.70588235294117652</v>
      </c>
      <c r="K35" s="37">
        <f t="shared" si="10"/>
        <v>0.29411764705882354</v>
      </c>
      <c r="L35" s="21">
        <v>59</v>
      </c>
      <c r="M35" s="24">
        <v>15</v>
      </c>
      <c r="N35" s="21">
        <v>6</v>
      </c>
      <c r="O35" s="49">
        <f>Sprints2[[#This Row],[Planned SP Done]]+Sprints2[[#This Row],[Unplanned SP Done]]</f>
        <v>74</v>
      </c>
      <c r="P35" s="24">
        <f t="shared" si="1"/>
        <v>36</v>
      </c>
      <c r="Q35" s="43">
        <f t="shared" si="2"/>
        <v>0.79729729729729726</v>
      </c>
      <c r="R35" s="37">
        <f t="shared" si="3"/>
        <v>0.20270270270270271</v>
      </c>
      <c r="S35" s="38">
        <f t="shared" si="4"/>
        <v>0.62105263157894741</v>
      </c>
      <c r="T35" s="3">
        <f>Sprints2[[#This Row],[Total SP Done]]/Sprints2[[#This Row],[Total Issues Done]]</f>
        <v>4.3529411764705879</v>
      </c>
      <c r="U35" s="39">
        <f t="shared" si="5"/>
        <v>0.18639798488664988</v>
      </c>
      <c r="V35" s="24">
        <v>437</v>
      </c>
      <c r="W35" s="24">
        <f>ROUNDUP(AVERAGE($U$31:U35)*Sprints2[[#This Row],[Hours Next Sprint]],0)</f>
        <v>78</v>
      </c>
      <c r="X35" s="2">
        <f t="shared" si="11"/>
        <v>54</v>
      </c>
      <c r="Y35" s="1">
        <f>ROUNDUP(W35*AVERAGE($R31:R35),0)</f>
        <v>24</v>
      </c>
      <c r="Z35" s="38">
        <f>AVERAGE($S31:S35)</f>
        <v>0.58424805952748005</v>
      </c>
      <c r="AA35" s="26">
        <f t="shared" si="6"/>
        <v>7.9017246594968893E-2</v>
      </c>
    </row>
    <row r="36" spans="1:27" s="28" customFormat="1" x14ac:dyDescent="0.2">
      <c r="A36" s="20">
        <v>46</v>
      </c>
      <c r="B36" s="20">
        <f t="shared" si="7"/>
        <v>437</v>
      </c>
      <c r="C36" s="21">
        <v>16</v>
      </c>
      <c r="D36" s="22">
        <v>98</v>
      </c>
      <c r="E36" s="21">
        <v>8</v>
      </c>
      <c r="F36" s="21">
        <v>4</v>
      </c>
      <c r="G36" s="21">
        <v>1</v>
      </c>
      <c r="H36" s="36">
        <f t="shared" si="8"/>
        <v>12</v>
      </c>
      <c r="I36" s="2">
        <f t="shared" si="9"/>
        <v>8</v>
      </c>
      <c r="J36" s="43">
        <f t="shared" si="0"/>
        <v>0.66666666666666663</v>
      </c>
      <c r="K36" s="37">
        <f t="shared" si="10"/>
        <v>0.33333333333333331</v>
      </c>
      <c r="L36" s="21">
        <v>65</v>
      </c>
      <c r="M36" s="24">
        <v>19</v>
      </c>
      <c r="N36" s="21">
        <v>8</v>
      </c>
      <c r="O36" s="49">
        <f>Sprints2[[#This Row],[Planned SP Done]]+Sprints2[[#This Row],[Unplanned SP Done]]</f>
        <v>84</v>
      </c>
      <c r="P36" s="24">
        <f t="shared" si="1"/>
        <v>33</v>
      </c>
      <c r="Q36" s="43">
        <f t="shared" si="2"/>
        <v>0.77380952380952384</v>
      </c>
      <c r="R36" s="37">
        <f t="shared" si="3"/>
        <v>0.22619047619047619</v>
      </c>
      <c r="S36" s="38">
        <f t="shared" si="4"/>
        <v>0.66326530612244894</v>
      </c>
      <c r="T36" s="3">
        <f>Sprints2[[#This Row],[Total SP Done]]/Sprints2[[#This Row],[Total Issues Done]]</f>
        <v>7</v>
      </c>
      <c r="U36" s="39">
        <f t="shared" si="5"/>
        <v>0.19221967963386727</v>
      </c>
      <c r="V36" s="24">
        <v>435</v>
      </c>
      <c r="W36" s="24">
        <f>ROUNDUP(AVERAGE($U$31:U36)*Sprints2[[#This Row],[Hours Next Sprint]],0)</f>
        <v>79</v>
      </c>
      <c r="X36" s="2">
        <f t="shared" si="11"/>
        <v>56</v>
      </c>
      <c r="Y36" s="1">
        <f>ROUNDUP(W36*AVERAGE($R29:R36),0)</f>
        <v>23</v>
      </c>
      <c r="Z36" s="38">
        <f>AVERAGE($S29:S36)</f>
        <v>0.59741760062664151</v>
      </c>
      <c r="AA36" s="26">
        <f t="shared" si="6"/>
        <v>3.6510970801929887E-2</v>
      </c>
    </row>
    <row r="37" spans="1:27" s="28" customFormat="1" x14ac:dyDescent="0.2">
      <c r="A37" s="20">
        <v>47</v>
      </c>
      <c r="B37" s="20">
        <f t="shared" si="7"/>
        <v>435</v>
      </c>
      <c r="C37" s="21">
        <v>17</v>
      </c>
      <c r="D37" s="22">
        <v>112</v>
      </c>
      <c r="E37" s="21">
        <v>12</v>
      </c>
      <c r="F37" s="21">
        <v>4</v>
      </c>
      <c r="G37" s="21">
        <v>2</v>
      </c>
      <c r="H37" s="36">
        <f t="shared" si="8"/>
        <v>16</v>
      </c>
      <c r="I37" s="2">
        <f t="shared" si="9"/>
        <v>5</v>
      </c>
      <c r="J37" s="43">
        <f t="shared" si="0"/>
        <v>0.75</v>
      </c>
      <c r="K37" s="37">
        <f t="shared" si="10"/>
        <v>0.25</v>
      </c>
      <c r="L37" s="21">
        <v>71</v>
      </c>
      <c r="M37" s="24">
        <v>14</v>
      </c>
      <c r="N37" s="21">
        <v>3</v>
      </c>
      <c r="O37" s="49">
        <f>Sprints2[[#This Row],[Planned SP Done]]+Sprints2[[#This Row],[Unplanned SP Done]]</f>
        <v>85</v>
      </c>
      <c r="P37" s="24">
        <f t="shared" si="1"/>
        <v>41</v>
      </c>
      <c r="Q37" s="43">
        <f t="shared" si="2"/>
        <v>0.83529411764705885</v>
      </c>
      <c r="R37" s="37">
        <f t="shared" si="3"/>
        <v>0.16470588235294117</v>
      </c>
      <c r="S37" s="38">
        <f t="shared" si="4"/>
        <v>0.6339285714285714</v>
      </c>
      <c r="T37" s="3">
        <f>Sprints2[[#This Row],[Total SP Done]]/Sprints2[[#This Row],[Total Issues Done]]</f>
        <v>5.3125</v>
      </c>
      <c r="U37" s="39">
        <f t="shared" si="5"/>
        <v>0.19540229885057472</v>
      </c>
      <c r="V37" s="24">
        <v>334</v>
      </c>
      <c r="W37" s="24">
        <f>ROUNDUP(AVERAGE($U37:U$46)*Sprints2[[#This Row],[Hours Next Sprint]],0)</f>
        <v>72</v>
      </c>
      <c r="X37" s="2">
        <f t="shared" si="11"/>
        <v>52</v>
      </c>
      <c r="Y37" s="1">
        <f>ROUNDUP(W37*AVERAGE($R30:R37),0)</f>
        <v>20</v>
      </c>
      <c r="Z37" s="38">
        <f>AVERAGE($S30:S37)</f>
        <v>0.60263345359834575</v>
      </c>
      <c r="AA37" s="26">
        <f t="shared" si="6"/>
        <v>0.10468361957238592</v>
      </c>
    </row>
    <row r="38" spans="1:27" s="28" customFormat="1" x14ac:dyDescent="0.2">
      <c r="A38" s="20">
        <v>48</v>
      </c>
      <c r="B38" s="20">
        <f t="shared" si="7"/>
        <v>334</v>
      </c>
      <c r="C38" s="21">
        <v>14</v>
      </c>
      <c r="D38" s="22">
        <v>82</v>
      </c>
      <c r="E38" s="21">
        <v>13</v>
      </c>
      <c r="F38" s="21">
        <v>6</v>
      </c>
      <c r="G38" s="21">
        <v>4</v>
      </c>
      <c r="H38" s="36">
        <f t="shared" si="8"/>
        <v>19</v>
      </c>
      <c r="I38" s="2">
        <f t="shared" si="9"/>
        <v>1</v>
      </c>
      <c r="J38" s="43">
        <f t="shared" si="0"/>
        <v>0.68421052631578949</v>
      </c>
      <c r="K38" s="37">
        <f t="shared" si="10"/>
        <v>0.31578947368421051</v>
      </c>
      <c r="L38" s="21">
        <v>58</v>
      </c>
      <c r="M38" s="24">
        <v>9</v>
      </c>
      <c r="N38" s="21">
        <v>12</v>
      </c>
      <c r="O38" s="49">
        <f>Sprints2[[#This Row],[Planned SP Done]]+Sprints2[[#This Row],[Unplanned SP Done]]</f>
        <v>67</v>
      </c>
      <c r="P38" s="24">
        <f t="shared" si="1"/>
        <v>24</v>
      </c>
      <c r="Q38" s="43">
        <f t="shared" si="2"/>
        <v>0.86567164179104472</v>
      </c>
      <c r="R38" s="37">
        <f t="shared" si="3"/>
        <v>0.13432835820895522</v>
      </c>
      <c r="S38" s="38">
        <f t="shared" si="4"/>
        <v>0.70731707317073167</v>
      </c>
      <c r="T38" s="3">
        <f>Sprints2[[#This Row],[Total SP Done]]/Sprints2[[#This Row],[Total Issues Done]]</f>
        <v>3.5263157894736841</v>
      </c>
      <c r="U38" s="39">
        <f t="shared" si="5"/>
        <v>0.20059880239520958</v>
      </c>
      <c r="V38" s="24">
        <v>453</v>
      </c>
      <c r="W38" s="24">
        <f>ROUNDUP(AVERAGE($U38:U$46)*Sprints2[[#This Row],[Hours Next Sprint]],0)</f>
        <v>98</v>
      </c>
      <c r="X38" s="2">
        <f t="shared" si="11"/>
        <v>73</v>
      </c>
      <c r="Y38" s="1">
        <f>ROUNDUP(W38*AVERAGE($R31:R38),0)</f>
        <v>25</v>
      </c>
      <c r="Z38" s="38">
        <f>AVERAGE($S31:S38)</f>
        <v>0.61571890604489399</v>
      </c>
      <c r="AA38" s="26">
        <f t="shared" si="6"/>
        <v>9.8566808240820314E-2</v>
      </c>
    </row>
    <row r="39" spans="1:27" s="28" customFormat="1" x14ac:dyDescent="0.2">
      <c r="A39" s="20">
        <v>49</v>
      </c>
      <c r="B39" s="20">
        <f t="shared" si="7"/>
        <v>453</v>
      </c>
      <c r="C39" s="21">
        <v>19</v>
      </c>
      <c r="D39" s="22">
        <v>105</v>
      </c>
      <c r="E39" s="21">
        <v>8</v>
      </c>
      <c r="F39" s="21">
        <v>8</v>
      </c>
      <c r="G39" s="21">
        <v>5</v>
      </c>
      <c r="H39" s="36">
        <f t="shared" si="8"/>
        <v>16</v>
      </c>
      <c r="I39" s="2">
        <f t="shared" si="9"/>
        <v>11</v>
      </c>
      <c r="J39" s="43">
        <f t="shared" si="0"/>
        <v>0.5</v>
      </c>
      <c r="K39" s="37">
        <f t="shared" si="10"/>
        <v>0.5</v>
      </c>
      <c r="L39" s="21">
        <v>75</v>
      </c>
      <c r="M39" s="24">
        <v>17</v>
      </c>
      <c r="N39" s="21">
        <v>12</v>
      </c>
      <c r="O39" s="49">
        <f>Sprints2[[#This Row],[Planned SP Done]]+Sprints2[[#This Row],[Unplanned SP Done]]</f>
        <v>92</v>
      </c>
      <c r="P39" s="24">
        <f t="shared" si="1"/>
        <v>30</v>
      </c>
      <c r="Q39" s="43">
        <f t="shared" si="2"/>
        <v>0.81521739130434778</v>
      </c>
      <c r="R39" s="37">
        <f t="shared" si="3"/>
        <v>0.18478260869565216</v>
      </c>
      <c r="S39" s="38">
        <f t="shared" si="4"/>
        <v>0.7142857142857143</v>
      </c>
      <c r="T39" s="3">
        <f>Sprints2[[#This Row],[Total SP Done]]/Sprints2[[#This Row],[Total Issues Done]]</f>
        <v>5.75</v>
      </c>
      <c r="U39" s="39">
        <f t="shared" si="5"/>
        <v>0.20309050772626933</v>
      </c>
      <c r="V39" s="24">
        <v>527</v>
      </c>
      <c r="W39" s="24">
        <f>ROUNDUP(AVERAGE($U39:U$46)*Sprints2[[#This Row],[Hours Next Sprint]],0)</f>
        <v>115</v>
      </c>
      <c r="X39" s="2">
        <f t="shared" si="11"/>
        <v>87</v>
      </c>
      <c r="Y39" s="1">
        <f>ROUNDUP(W39*AVERAGE($R32:R39),0)</f>
        <v>28</v>
      </c>
      <c r="Z39" s="38">
        <f>AVERAGE($S32:S39)</f>
        <v>0.62928346648445443</v>
      </c>
      <c r="AA39" s="26">
        <f t="shared" si="6"/>
        <v>2.9253118881399254E-2</v>
      </c>
    </row>
    <row r="40" spans="1:27" s="28" customFormat="1" x14ac:dyDescent="0.2">
      <c r="A40" s="20">
        <v>50</v>
      </c>
      <c r="B40" s="20">
        <f t="shared" si="7"/>
        <v>527</v>
      </c>
      <c r="C40" s="21">
        <v>23</v>
      </c>
      <c r="D40" s="22">
        <v>123</v>
      </c>
      <c r="E40" s="21">
        <v>16</v>
      </c>
      <c r="F40" s="21">
        <v>4</v>
      </c>
      <c r="G40" s="21">
        <v>5</v>
      </c>
      <c r="H40" s="36">
        <f t="shared" si="8"/>
        <v>20</v>
      </c>
      <c r="I40" s="2">
        <f t="shared" si="9"/>
        <v>7</v>
      </c>
      <c r="J40" s="43">
        <f t="shared" si="0"/>
        <v>0.8</v>
      </c>
      <c r="K40" s="37">
        <f t="shared" si="10"/>
        <v>0.2</v>
      </c>
      <c r="L40" s="21">
        <v>81</v>
      </c>
      <c r="M40" s="24">
        <v>29</v>
      </c>
      <c r="N40" s="21">
        <v>15</v>
      </c>
      <c r="O40" s="49">
        <f>Sprints2[[#This Row],[Planned SP Done]]+Sprints2[[#This Row],[Unplanned SP Done]]</f>
        <v>110</v>
      </c>
      <c r="P40" s="24">
        <f t="shared" si="1"/>
        <v>42</v>
      </c>
      <c r="Q40" s="43">
        <f t="shared" si="2"/>
        <v>0.73636363636363633</v>
      </c>
      <c r="R40" s="37">
        <f t="shared" si="3"/>
        <v>0.26363636363636361</v>
      </c>
      <c r="S40" s="38">
        <f t="shared" si="4"/>
        <v>0.65853658536585369</v>
      </c>
      <c r="T40" s="3">
        <f>Sprints2[[#This Row],[Total SP Done]]/Sprints2[[#This Row],[Total Issues Done]]</f>
        <v>5.5</v>
      </c>
      <c r="U40" s="39">
        <f t="shared" si="5"/>
        <v>0.20872865275142316</v>
      </c>
      <c r="V40" s="24">
        <v>343</v>
      </c>
      <c r="W40" s="24">
        <f>ROUNDUP(AVERAGE($U40:U$46)*Sprints2[[#This Row],[Hours Next Sprint]],0)</f>
        <v>76</v>
      </c>
      <c r="X40" s="2">
        <f t="shared" si="11"/>
        <v>61</v>
      </c>
      <c r="Y40" s="1">
        <f>ROUNDUP(W40*AVERAGE($R36:R40),0)</f>
        <v>15</v>
      </c>
      <c r="Z40" s="38">
        <f>AVERAGE($S36:S40)</f>
        <v>0.675466650074664</v>
      </c>
      <c r="AA40" s="26">
        <f t="shared" si="6"/>
        <v>-0.18567073170731707</v>
      </c>
    </row>
    <row r="41" spans="1:27" s="28" customFormat="1" x14ac:dyDescent="0.2">
      <c r="A41" s="20">
        <v>51</v>
      </c>
      <c r="B41" s="20">
        <f t="shared" si="7"/>
        <v>343</v>
      </c>
      <c r="C41" s="21">
        <v>16</v>
      </c>
      <c r="D41" s="22">
        <v>98</v>
      </c>
      <c r="E41" s="21">
        <v>10</v>
      </c>
      <c r="F41" s="21">
        <v>5</v>
      </c>
      <c r="G41" s="21">
        <v>3</v>
      </c>
      <c r="H41" s="36">
        <f t="shared" si="8"/>
        <v>15</v>
      </c>
      <c r="I41" s="2">
        <f t="shared" si="9"/>
        <v>6</v>
      </c>
      <c r="J41" s="43">
        <f t="shared" si="0"/>
        <v>0.66666666666666663</v>
      </c>
      <c r="K41" s="37">
        <f t="shared" si="10"/>
        <v>0.33333333333333331</v>
      </c>
      <c r="L41" s="21">
        <v>48</v>
      </c>
      <c r="M41" s="24">
        <v>25</v>
      </c>
      <c r="N41" s="21">
        <v>14</v>
      </c>
      <c r="O41" s="49">
        <f>Sprints2[[#This Row],[Planned SP Done]]+Sprints2[[#This Row],[Unplanned SP Done]]</f>
        <v>73</v>
      </c>
      <c r="P41" s="24">
        <f t="shared" si="1"/>
        <v>50</v>
      </c>
      <c r="Q41" s="43">
        <f t="shared" si="2"/>
        <v>0.65753424657534243</v>
      </c>
      <c r="R41" s="37">
        <f t="shared" si="3"/>
        <v>0.34246575342465752</v>
      </c>
      <c r="S41" s="38">
        <f t="shared" si="4"/>
        <v>0.48979591836734693</v>
      </c>
      <c r="T41" s="3">
        <f>Sprints2[[#This Row],[Total SP Done]]/Sprints2[[#This Row],[Total Issues Done]]</f>
        <v>4.8666666666666663</v>
      </c>
      <c r="U41" s="39">
        <f t="shared" si="5"/>
        <v>0.21282798833819241</v>
      </c>
      <c r="V41" s="24">
        <v>399</v>
      </c>
      <c r="W41" s="24">
        <f>ROUNDUP(AVERAGE($U41:U$46)*Sprints2[[#This Row],[Hours Next Sprint]],0)</f>
        <v>89</v>
      </c>
      <c r="X41" s="2">
        <f t="shared" si="11"/>
        <v>69</v>
      </c>
      <c r="Y41" s="1">
        <f>ROUNDUP(W41*AVERAGE($R37:R41),0)</f>
        <v>20</v>
      </c>
      <c r="Z41" s="38">
        <f>AVERAGE($S37:S41)</f>
        <v>0.64077277252364362</v>
      </c>
      <c r="AA41" s="26">
        <f t="shared" si="6"/>
        <v>2.5893894143023011E-2</v>
      </c>
    </row>
    <row r="42" spans="1:27" s="28" customFormat="1" x14ac:dyDescent="0.2">
      <c r="A42" s="20">
        <v>52</v>
      </c>
      <c r="B42" s="20">
        <f t="shared" si="7"/>
        <v>399</v>
      </c>
      <c r="C42" s="21">
        <v>19</v>
      </c>
      <c r="D42" s="22">
        <v>120</v>
      </c>
      <c r="E42" s="21">
        <v>16</v>
      </c>
      <c r="F42" s="21">
        <v>2</v>
      </c>
      <c r="G42" s="21">
        <v>2</v>
      </c>
      <c r="H42" s="36">
        <f t="shared" si="8"/>
        <v>18</v>
      </c>
      <c r="I42" s="2">
        <f t="shared" si="9"/>
        <v>3</v>
      </c>
      <c r="J42" s="43">
        <f t="shared" si="0"/>
        <v>0.88888888888888884</v>
      </c>
      <c r="K42" s="37">
        <f t="shared" si="10"/>
        <v>0.1111111111111111</v>
      </c>
      <c r="L42" s="21">
        <v>80</v>
      </c>
      <c r="M42" s="24">
        <v>6</v>
      </c>
      <c r="N42" s="21">
        <v>6</v>
      </c>
      <c r="O42" s="49">
        <f>Sprints2[[#This Row],[Planned SP Done]]+Sprints2[[#This Row],[Unplanned SP Done]]</f>
        <v>86</v>
      </c>
      <c r="P42" s="24">
        <f t="shared" si="1"/>
        <v>40</v>
      </c>
      <c r="Q42" s="43">
        <f t="shared" si="2"/>
        <v>0.93023255813953487</v>
      </c>
      <c r="R42" s="37">
        <f t="shared" si="3"/>
        <v>6.9767441860465115E-2</v>
      </c>
      <c r="S42" s="38">
        <f t="shared" si="4"/>
        <v>0.66666666666666663</v>
      </c>
      <c r="T42" s="3">
        <f>Sprints2[[#This Row],[Total SP Done]]/Sprints2[[#This Row],[Total Issues Done]]</f>
        <v>4.7777777777777777</v>
      </c>
      <c r="U42" s="39">
        <f t="shared" si="5"/>
        <v>0.21553884711779447</v>
      </c>
      <c r="V42" s="24">
        <v>402</v>
      </c>
      <c r="W42" s="24">
        <f>ROUNDUP(AVERAGE($U42:U$46)*Sprints2[[#This Row],[Hours Next Sprint]],0)</f>
        <v>90</v>
      </c>
      <c r="X42" s="2">
        <f t="shared" si="11"/>
        <v>72</v>
      </c>
      <c r="Y42" s="1">
        <f>ROUNDUP(W42*AVERAGE($R38:R42),0)</f>
        <v>18</v>
      </c>
      <c r="Z42" s="38">
        <f>AVERAGE($S38:S42)</f>
        <v>0.64732039157126264</v>
      </c>
      <c r="AA42" s="26">
        <f t="shared" si="6"/>
        <v>1.3549173646128621E-2</v>
      </c>
    </row>
    <row r="43" spans="1:27" s="28" customFormat="1" x14ac:dyDescent="0.2">
      <c r="A43" s="20">
        <v>53</v>
      </c>
      <c r="B43" s="20">
        <f t="shared" si="7"/>
        <v>402</v>
      </c>
      <c r="C43" s="21">
        <v>20</v>
      </c>
      <c r="D43" s="22">
        <v>115</v>
      </c>
      <c r="E43" s="21">
        <v>17</v>
      </c>
      <c r="F43" s="21">
        <v>3</v>
      </c>
      <c r="G43" s="21">
        <v>4</v>
      </c>
      <c r="H43" s="36">
        <f t="shared" si="8"/>
        <v>20</v>
      </c>
      <c r="I43" s="2">
        <f t="shared" si="9"/>
        <v>3</v>
      </c>
      <c r="J43" s="43">
        <f t="shared" si="0"/>
        <v>0.85</v>
      </c>
      <c r="K43" s="37">
        <f t="shared" si="10"/>
        <v>0.15</v>
      </c>
      <c r="L43" s="21">
        <v>76</v>
      </c>
      <c r="M43" s="24">
        <v>13</v>
      </c>
      <c r="N43" s="21">
        <v>8</v>
      </c>
      <c r="O43" s="49">
        <f>Sprints2[[#This Row],[Planned SP Done]]+Sprints2[[#This Row],[Unplanned SP Done]]</f>
        <v>89</v>
      </c>
      <c r="P43" s="24">
        <f t="shared" si="1"/>
        <v>39</v>
      </c>
      <c r="Q43" s="43">
        <f t="shared" si="2"/>
        <v>0.8539325842696629</v>
      </c>
      <c r="R43" s="37">
        <f t="shared" si="3"/>
        <v>0.14606741573033707</v>
      </c>
      <c r="S43" s="38">
        <f t="shared" si="4"/>
        <v>0.66086956521739126</v>
      </c>
      <c r="T43" s="3">
        <f>Sprints2[[#This Row],[Total SP Done]]/Sprints2[[#This Row],[Total Issues Done]]</f>
        <v>4.45</v>
      </c>
      <c r="U43" s="39">
        <f t="shared" si="5"/>
        <v>0.22139303482587064</v>
      </c>
      <c r="V43" s="24">
        <v>314</v>
      </c>
      <c r="W43" s="24">
        <f>ROUNDUP(AVERAGE($U43:U$46)*Sprints2[[#This Row],[Hours Next Sprint]],0)</f>
        <v>71</v>
      </c>
      <c r="X43" s="2">
        <f t="shared" si="11"/>
        <v>56</v>
      </c>
      <c r="Y43" s="1">
        <f>ROUNDUP(W43*AVERAGE($R39:R43),0)</f>
        <v>15</v>
      </c>
      <c r="Z43" s="38">
        <f>AVERAGE($S39:S43)</f>
        <v>0.63803088998059443</v>
      </c>
      <c r="AA43" s="26">
        <f t="shared" si="6"/>
        <v>7.2812483513381432E-2</v>
      </c>
    </row>
    <row r="44" spans="1:27" s="28" customFormat="1" x14ac:dyDescent="0.2">
      <c r="A44" s="20">
        <v>54</v>
      </c>
      <c r="B44" s="20">
        <f t="shared" si="7"/>
        <v>314</v>
      </c>
      <c r="C44" s="21">
        <v>16</v>
      </c>
      <c r="D44" s="22">
        <v>83</v>
      </c>
      <c r="E44" s="21">
        <v>14</v>
      </c>
      <c r="F44" s="21">
        <v>4</v>
      </c>
      <c r="G44" s="21">
        <v>6</v>
      </c>
      <c r="H44" s="36">
        <f t="shared" si="8"/>
        <v>18</v>
      </c>
      <c r="I44" s="2">
        <f t="shared" si="9"/>
        <v>2</v>
      </c>
      <c r="J44" s="43">
        <f t="shared" si="0"/>
        <v>0.77777777777777779</v>
      </c>
      <c r="K44" s="37">
        <f t="shared" si="10"/>
        <v>0.22222222222222221</v>
      </c>
      <c r="L44" s="21">
        <v>59</v>
      </c>
      <c r="M44" s="24">
        <v>12</v>
      </c>
      <c r="N44" s="21">
        <v>8</v>
      </c>
      <c r="O44" s="49">
        <f>Sprints2[[#This Row],[Planned SP Done]]+Sprints2[[#This Row],[Unplanned SP Done]]</f>
        <v>71</v>
      </c>
      <c r="P44" s="24">
        <f t="shared" si="1"/>
        <v>24</v>
      </c>
      <c r="Q44" s="43">
        <f t="shared" si="2"/>
        <v>0.83098591549295775</v>
      </c>
      <c r="R44" s="37">
        <f t="shared" si="3"/>
        <v>0.16901408450704225</v>
      </c>
      <c r="S44" s="38">
        <f t="shared" si="4"/>
        <v>0.71084337349397586</v>
      </c>
      <c r="T44" s="3">
        <f>Sprints2[[#This Row],[Total SP Done]]/Sprints2[[#This Row],[Total Issues Done]]</f>
        <v>3.9444444444444446</v>
      </c>
      <c r="U44" s="39">
        <f t="shared" si="5"/>
        <v>0.22611464968152867</v>
      </c>
      <c r="V44" s="24">
        <v>520</v>
      </c>
      <c r="W44" s="24">
        <f>ROUNDUP(AVERAGE($U44:U$46)*Sprints2[[#This Row],[Hours Next Sprint]],0)</f>
        <v>118</v>
      </c>
      <c r="X44" s="2">
        <f t="shared" si="11"/>
        <v>94</v>
      </c>
      <c r="Y44" s="1">
        <f>ROUNDUP(W44*AVERAGE($R40:R44),0)</f>
        <v>24</v>
      </c>
      <c r="Z44" s="38">
        <f>AVERAGE($S40:S44)</f>
        <v>0.63734242182224699</v>
      </c>
      <c r="AA44" s="26">
        <f t="shared" si="6"/>
        <v>0.31592860621513619</v>
      </c>
    </row>
    <row r="45" spans="1:27" s="28" customFormat="1" x14ac:dyDescent="0.2">
      <c r="A45" s="20">
        <v>55</v>
      </c>
      <c r="B45" s="20">
        <f t="shared" si="7"/>
        <v>520</v>
      </c>
      <c r="C45" s="21">
        <v>21</v>
      </c>
      <c r="D45" s="22">
        <v>107</v>
      </c>
      <c r="E45" s="21">
        <v>18</v>
      </c>
      <c r="F45" s="21">
        <v>3</v>
      </c>
      <c r="G45" s="21">
        <v>4</v>
      </c>
      <c r="H45" s="36">
        <f t="shared" si="8"/>
        <v>21</v>
      </c>
      <c r="I45" s="2">
        <f t="shared" si="9"/>
        <v>3</v>
      </c>
      <c r="J45" s="43">
        <f t="shared" si="0"/>
        <v>0.8571428571428571</v>
      </c>
      <c r="K45" s="37">
        <f t="shared" si="10"/>
        <v>0.14285714285714285</v>
      </c>
      <c r="L45" s="21">
        <v>102</v>
      </c>
      <c r="M45" s="24">
        <v>17</v>
      </c>
      <c r="N45" s="21">
        <v>12</v>
      </c>
      <c r="O45" s="49">
        <f>Sprints2[[#This Row],[Planned SP Done]]+Sprints2[[#This Row],[Unplanned SP Done]]</f>
        <v>119</v>
      </c>
      <c r="P45" s="24">
        <f t="shared" si="1"/>
        <v>5</v>
      </c>
      <c r="Q45" s="43">
        <f t="shared" si="2"/>
        <v>0.8571428571428571</v>
      </c>
      <c r="R45" s="37">
        <f t="shared" si="3"/>
        <v>0.14285714285714285</v>
      </c>
      <c r="S45" s="38">
        <f t="shared" si="4"/>
        <v>0.95327102803738317</v>
      </c>
      <c r="T45" s="3">
        <f>Sprints2[[#This Row],[Total SP Done]]/Sprints2[[#This Row],[Total Issues Done]]</f>
        <v>5.666666666666667</v>
      </c>
      <c r="U45" s="39">
        <f t="shared" si="5"/>
        <v>0.22884615384615384</v>
      </c>
      <c r="V45" s="2">
        <v>535</v>
      </c>
      <c r="W45" s="24">
        <f>ROUNDUP(AVERAGE($U45:U$46)*Sprints2[[#This Row],[Hours Next Sprint]],0)</f>
        <v>121</v>
      </c>
      <c r="X45" s="2">
        <f t="shared" si="11"/>
        <v>99</v>
      </c>
      <c r="Y45" s="1">
        <f>ROUNDUP(W45*AVERAGE($R41:R45),0)</f>
        <v>22</v>
      </c>
      <c r="Z45" s="38">
        <f>AVERAGE($S41:S45)</f>
        <v>0.69628931035655273</v>
      </c>
      <c r="AA45" s="26">
        <f t="shared" si="6"/>
        <v>0.24488716023168255</v>
      </c>
    </row>
    <row r="46" spans="1:27" s="28" customFormat="1" x14ac:dyDescent="0.2">
      <c r="A46" s="20">
        <v>56</v>
      </c>
      <c r="B46" s="20">
        <f t="shared" si="7"/>
        <v>535</v>
      </c>
      <c r="C46" s="21">
        <v>23</v>
      </c>
      <c r="D46" s="22">
        <v>102</v>
      </c>
      <c r="E46" s="21">
        <v>20</v>
      </c>
      <c r="F46" s="21">
        <v>4</v>
      </c>
      <c r="G46" s="21">
        <v>1</v>
      </c>
      <c r="H46" s="23">
        <f t="shared" si="8"/>
        <v>24</v>
      </c>
      <c r="I46" s="24">
        <f t="shared" si="9"/>
        <v>3</v>
      </c>
      <c r="J46" s="51">
        <f t="shared" si="0"/>
        <v>0.83333333333333337</v>
      </c>
      <c r="K46" s="25">
        <f t="shared" si="10"/>
        <v>0.16666666666666666</v>
      </c>
      <c r="L46" s="21">
        <v>96</v>
      </c>
      <c r="M46" s="21">
        <v>23</v>
      </c>
      <c r="N46" s="21">
        <v>5</v>
      </c>
      <c r="O46" s="49">
        <f>Sprints2[[#This Row],[Planned SP Done]]+Sprints2[[#This Row],[Unplanned SP Done]]</f>
        <v>119</v>
      </c>
      <c r="P46" s="24">
        <f t="shared" si="1"/>
        <v>6</v>
      </c>
      <c r="Q46" s="51">
        <f t="shared" si="2"/>
        <v>0.80672268907563027</v>
      </c>
      <c r="R46" s="25">
        <f t="shared" si="3"/>
        <v>0.19327731092436976</v>
      </c>
      <c r="S46" s="26">
        <f t="shared" si="4"/>
        <v>0.94117647058823528</v>
      </c>
      <c r="T46" s="47">
        <f>Sprints2[[#This Row],[Total SP Done]]/Sprints2[[#This Row],[Total Issues Done]]</f>
        <v>4.958333333333333</v>
      </c>
      <c r="U46" s="27">
        <f t="shared" si="5"/>
        <v>0.22242990654205608</v>
      </c>
      <c r="V46" s="24">
        <v>378</v>
      </c>
      <c r="W46" s="24">
        <f>ROUNDUP(AVERAGE($U$46:U46)*Sprints2[[#This Row],[Hours Next Sprint]],0)</f>
        <v>85</v>
      </c>
      <c r="X46" s="24">
        <f t="shared" si="11"/>
        <v>68</v>
      </c>
      <c r="Y46" s="21">
        <f>ROUNDUP(W46*AVERAGE($R$46:R46),0)</f>
        <v>17</v>
      </c>
      <c r="Z46" s="26">
        <f>AVERAGE($S$46:S46)</f>
        <v>0.94117647058823528</v>
      </c>
      <c r="AA46" s="26">
        <f t="shared" si="6"/>
        <v>4.6165301563663497E-2</v>
      </c>
    </row>
    <row r="47" spans="1:27" s="28" customFormat="1" x14ac:dyDescent="0.2">
      <c r="A47" s="20">
        <v>57</v>
      </c>
      <c r="B47" s="20">
        <f t="shared" si="7"/>
        <v>378</v>
      </c>
      <c r="C47" s="21">
        <v>19</v>
      </c>
      <c r="D47" s="22">
        <v>79</v>
      </c>
      <c r="E47" s="21">
        <v>16</v>
      </c>
      <c r="F47" s="21">
        <v>2</v>
      </c>
      <c r="G47" s="21">
        <v>4</v>
      </c>
      <c r="H47" s="23">
        <f t="shared" si="8"/>
        <v>18</v>
      </c>
      <c r="I47" s="24">
        <f t="shared" si="9"/>
        <v>3</v>
      </c>
      <c r="J47" s="42">
        <f t="shared" si="0"/>
        <v>0.88888888888888884</v>
      </c>
      <c r="K47" s="25">
        <f t="shared" si="10"/>
        <v>0.1111111111111111</v>
      </c>
      <c r="L47" s="21">
        <v>78</v>
      </c>
      <c r="M47" s="21">
        <v>23</v>
      </c>
      <c r="N47" s="21">
        <v>12</v>
      </c>
      <c r="O47" s="49">
        <f>Sprints2[[#This Row],[Planned SP Done]]+Sprints2[[#This Row],[Unplanned SP Done]]</f>
        <v>101</v>
      </c>
      <c r="P47" s="24">
        <f t="shared" si="1"/>
        <v>1</v>
      </c>
      <c r="Q47" s="42">
        <f t="shared" si="2"/>
        <v>0.7722772277227723</v>
      </c>
      <c r="R47" s="25">
        <f t="shared" si="3"/>
        <v>0.22772277227722773</v>
      </c>
      <c r="S47" s="26">
        <f t="shared" si="4"/>
        <v>0.98734177215189878</v>
      </c>
      <c r="T47" s="47">
        <f>Sprints2[[#This Row],[Total SP Done]]/Sprints2[[#This Row],[Total Issues Done]]</f>
        <v>5.6111111111111107</v>
      </c>
      <c r="U47" s="27">
        <f t="shared" si="5"/>
        <v>0.26719576719576721</v>
      </c>
      <c r="V47" s="24">
        <v>311</v>
      </c>
      <c r="W47" s="24">
        <f>ROUNDUP(AVERAGE($U$46:U47)*Sprints2[[#This Row],[Hours Next Sprint]],0)</f>
        <v>77</v>
      </c>
      <c r="X47" s="24">
        <f t="shared" si="11"/>
        <v>60</v>
      </c>
      <c r="Y47" s="21">
        <f>ROUNDUP(W47*AVERAGE($R$46:R47),0)</f>
        <v>17</v>
      </c>
      <c r="Z47" s="26">
        <f>AVERAGE($S$46:S47)</f>
        <v>0.96425912137006708</v>
      </c>
      <c r="AA47" s="26">
        <f t="shared" si="6"/>
        <v>-0.13309029020123586</v>
      </c>
    </row>
    <row r="48" spans="1:27" s="28" customFormat="1" x14ac:dyDescent="0.2">
      <c r="A48" s="20">
        <v>58</v>
      </c>
      <c r="B48" s="20">
        <f t="shared" si="7"/>
        <v>311</v>
      </c>
      <c r="C48" s="21">
        <v>14</v>
      </c>
      <c r="D48" s="22">
        <v>77</v>
      </c>
      <c r="E48" s="21">
        <v>9</v>
      </c>
      <c r="F48" s="21">
        <v>2</v>
      </c>
      <c r="G48" s="21">
        <v>1</v>
      </c>
      <c r="H48" s="23">
        <f t="shared" si="8"/>
        <v>11</v>
      </c>
      <c r="I48" s="24">
        <f t="shared" si="9"/>
        <v>5</v>
      </c>
      <c r="J48" s="42">
        <f t="shared" si="0"/>
        <v>0.81818181818181823</v>
      </c>
      <c r="K48" s="25">
        <f t="shared" si="10"/>
        <v>0.18181818181818182</v>
      </c>
      <c r="L48" s="21">
        <v>64</v>
      </c>
      <c r="M48" s="21">
        <v>28</v>
      </c>
      <c r="N48" s="21">
        <v>3</v>
      </c>
      <c r="O48" s="49">
        <f>Sprints2[[#This Row],[Planned SP Done]]+Sprints2[[#This Row],[Unplanned SP Done]]</f>
        <v>92</v>
      </c>
      <c r="P48" s="24">
        <f t="shared" ref="P48:P56" si="12">D48-L48</f>
        <v>13</v>
      </c>
      <c r="Q48" s="42">
        <f t="shared" si="2"/>
        <v>0.69565217391304346</v>
      </c>
      <c r="R48" s="25">
        <f t="shared" si="3"/>
        <v>0.30434782608695654</v>
      </c>
      <c r="S48" s="26">
        <f t="shared" si="4"/>
        <v>0.83116883116883122</v>
      </c>
      <c r="T48" s="47">
        <f>Sprints2[[#This Row],[Total SP Done]]/Sprints2[[#This Row],[Total Issues Done]]</f>
        <v>8.3636363636363633</v>
      </c>
      <c r="U48" s="27">
        <f t="shared" si="5"/>
        <v>0.29581993569131831</v>
      </c>
      <c r="V48" s="24">
        <v>549</v>
      </c>
      <c r="W48" s="24">
        <f>ROUNDUP(AVERAGE($U$46:U48)*Sprints2[[#This Row],[Hours Next Sprint]],0)</f>
        <v>144</v>
      </c>
      <c r="X48" s="24">
        <f t="shared" si="11"/>
        <v>109</v>
      </c>
      <c r="Y48" s="21">
        <f>ROUNDUP(W48*AVERAGE($R$46:R48),0)</f>
        <v>35</v>
      </c>
      <c r="Z48" s="26">
        <f>AVERAGE($S$46:S48)</f>
        <v>0.91989569130298854</v>
      </c>
      <c r="AA48" s="26">
        <f t="shared" si="6"/>
        <v>2.4344057843901368E-3</v>
      </c>
    </row>
    <row r="49" spans="1:27" s="28" customFormat="1" x14ac:dyDescent="0.2">
      <c r="A49" s="20">
        <v>59</v>
      </c>
      <c r="B49" s="20">
        <f t="shared" si="7"/>
        <v>549</v>
      </c>
      <c r="C49" s="21">
        <v>21</v>
      </c>
      <c r="D49" s="22">
        <v>103</v>
      </c>
      <c r="E49" s="21">
        <v>15</v>
      </c>
      <c r="F49" s="21">
        <v>7</v>
      </c>
      <c r="G49" s="21">
        <v>5</v>
      </c>
      <c r="H49" s="23">
        <f t="shared" si="8"/>
        <v>22</v>
      </c>
      <c r="I49" s="24">
        <f t="shared" si="9"/>
        <v>6</v>
      </c>
      <c r="J49" s="42">
        <f t="shared" si="0"/>
        <v>0.68181818181818177</v>
      </c>
      <c r="K49" s="25">
        <f t="shared" si="10"/>
        <v>0.31818181818181818</v>
      </c>
      <c r="L49" s="21">
        <v>95</v>
      </c>
      <c r="M49" s="21">
        <v>23</v>
      </c>
      <c r="N49" s="21">
        <v>10</v>
      </c>
      <c r="O49" s="49">
        <f>Sprints2[[#This Row],[Planned SP Done]]+Sprints2[[#This Row],[Unplanned SP Done]]</f>
        <v>118</v>
      </c>
      <c r="P49" s="24">
        <f t="shared" si="12"/>
        <v>8</v>
      </c>
      <c r="Q49" s="42">
        <f t="shared" si="2"/>
        <v>0.80508474576271183</v>
      </c>
      <c r="R49" s="25">
        <f t="shared" si="3"/>
        <v>0.19491525423728814</v>
      </c>
      <c r="S49" s="26">
        <f t="shared" si="4"/>
        <v>0.92233009708737868</v>
      </c>
      <c r="T49" s="47">
        <f>Sprints2[[#This Row],[Total SP Done]]/Sprints2[[#This Row],[Total Issues Done]]</f>
        <v>5.3636363636363633</v>
      </c>
      <c r="U49" s="27">
        <f t="shared" si="5"/>
        <v>0.21493624772313297</v>
      </c>
      <c r="V49" s="24">
        <v>522</v>
      </c>
      <c r="W49" s="24">
        <f>ROUNDUP(AVERAGE($U$46:U49)*Sprints2[[#This Row],[Hours Next Sprint]],0)</f>
        <v>131</v>
      </c>
      <c r="X49" s="24">
        <f t="shared" si="11"/>
        <v>100</v>
      </c>
      <c r="Y49" s="21">
        <f>ROUNDUP(W49*AVERAGE($R$46:R49),0)</f>
        <v>31</v>
      </c>
      <c r="Z49" s="26">
        <f>AVERAGE($S$46:S49)</f>
        <v>0.92050429274908607</v>
      </c>
      <c r="AA49" s="26">
        <f t="shared" si="6"/>
        <v>-0.23023880602342239</v>
      </c>
    </row>
    <row r="50" spans="1:27" s="28" customFormat="1" x14ac:dyDescent="0.2">
      <c r="A50" s="20">
        <v>60</v>
      </c>
      <c r="B50" s="20">
        <f t="shared" si="7"/>
        <v>522</v>
      </c>
      <c r="C50" s="21">
        <v>21</v>
      </c>
      <c r="D50" s="22">
        <v>113</v>
      </c>
      <c r="E50" s="21">
        <v>12</v>
      </c>
      <c r="F50" s="21">
        <v>4</v>
      </c>
      <c r="G50" s="21">
        <v>2</v>
      </c>
      <c r="H50" s="23">
        <f t="shared" si="8"/>
        <v>16</v>
      </c>
      <c r="I50" s="24">
        <f t="shared" si="9"/>
        <v>9</v>
      </c>
      <c r="J50" s="42">
        <f t="shared" si="0"/>
        <v>0.75</v>
      </c>
      <c r="K50" s="25">
        <f t="shared" si="10"/>
        <v>0.25</v>
      </c>
      <c r="L50" s="21">
        <v>78</v>
      </c>
      <c r="M50" s="21">
        <v>21</v>
      </c>
      <c r="N50" s="21">
        <v>8</v>
      </c>
      <c r="O50" s="49">
        <f>Sprints2[[#This Row],[Planned SP Done]]+Sprints2[[#This Row],[Unplanned SP Done]]</f>
        <v>99</v>
      </c>
      <c r="P50" s="24">
        <f t="shared" si="12"/>
        <v>35</v>
      </c>
      <c r="Q50" s="42">
        <f t="shared" si="2"/>
        <v>0.78787878787878785</v>
      </c>
      <c r="R50" s="25">
        <f t="shared" si="3"/>
        <v>0.21212121212121213</v>
      </c>
      <c r="S50" s="26">
        <f t="shared" si="4"/>
        <v>0.69026548672566368</v>
      </c>
      <c r="T50" s="47">
        <f>Sprints2[[#This Row],[Total SP Done]]/Sprints2[[#This Row],[Total Issues Done]]</f>
        <v>6.1875</v>
      </c>
      <c r="U50" s="27">
        <f t="shared" si="5"/>
        <v>0.18965517241379309</v>
      </c>
      <c r="V50" s="24">
        <v>515</v>
      </c>
      <c r="W50" s="24">
        <f>ROUNDUP(AVERAGE($U$46:U50)*Sprints2[[#This Row],[Hours Next Sprint]],0)</f>
        <v>123</v>
      </c>
      <c r="X50" s="24">
        <f t="shared" si="11"/>
        <v>95</v>
      </c>
      <c r="Y50" s="21">
        <f>ROUNDUP(W50*AVERAGE($R$46:R50),0)</f>
        <v>28</v>
      </c>
      <c r="Z50" s="26">
        <f>AVERAGE($S$46:S50)</f>
        <v>0.87445653154440151</v>
      </c>
      <c r="AA50" s="26">
        <f t="shared" si="6"/>
        <v>-2.8868296250283865E-2</v>
      </c>
    </row>
    <row r="51" spans="1:27" s="28" customFormat="1" x14ac:dyDescent="0.2">
      <c r="A51" s="20">
        <v>61</v>
      </c>
      <c r="B51" s="20">
        <f t="shared" si="7"/>
        <v>515</v>
      </c>
      <c r="C51" s="21">
        <v>26</v>
      </c>
      <c r="D51" s="22">
        <v>136</v>
      </c>
      <c r="E51" s="21">
        <v>21</v>
      </c>
      <c r="F51" s="21">
        <v>5</v>
      </c>
      <c r="G51" s="21">
        <v>3</v>
      </c>
      <c r="H51" s="23">
        <f t="shared" si="8"/>
        <v>26</v>
      </c>
      <c r="I51" s="24">
        <f t="shared" si="9"/>
        <v>5</v>
      </c>
      <c r="J51" s="42">
        <f t="shared" si="0"/>
        <v>0.80769230769230771</v>
      </c>
      <c r="K51" s="25">
        <f t="shared" si="10"/>
        <v>0.19230769230769232</v>
      </c>
      <c r="L51" s="21">
        <v>115</v>
      </c>
      <c r="M51" s="21">
        <v>22</v>
      </c>
      <c r="N51" s="21">
        <v>7</v>
      </c>
      <c r="O51" s="49">
        <f>Sprints2[[#This Row],[Planned SP Done]]+Sprints2[[#This Row],[Unplanned SP Done]]</f>
        <v>137</v>
      </c>
      <c r="P51" s="24">
        <f t="shared" si="12"/>
        <v>21</v>
      </c>
      <c r="Q51" s="42">
        <f t="shared" si="2"/>
        <v>0.83941605839416056</v>
      </c>
      <c r="R51" s="25">
        <f t="shared" si="3"/>
        <v>0.16058394160583941</v>
      </c>
      <c r="S51" s="26">
        <f t="shared" si="4"/>
        <v>0.84558823529411764</v>
      </c>
      <c r="T51" s="47">
        <f>Sprints2[[#This Row],[Total SP Done]]/Sprints2[[#This Row],[Total Issues Done]]</f>
        <v>5.2692307692307692</v>
      </c>
      <c r="U51" s="27">
        <f t="shared" si="5"/>
        <v>0.26601941747572816</v>
      </c>
      <c r="V51" s="24">
        <v>449</v>
      </c>
      <c r="W51" s="24">
        <f>ROUNDUP(AVERAGE($U$46:U51)*Sprints2[[#This Row],[Hours Next Sprint]],0)</f>
        <v>109</v>
      </c>
      <c r="X51" s="24">
        <f t="shared" si="11"/>
        <v>85</v>
      </c>
      <c r="Y51" s="21">
        <f>ROUNDUP(W51*AVERAGE($R46:R51),0)</f>
        <v>24</v>
      </c>
      <c r="Z51" s="26">
        <f>AVERAGE($S46:S51)</f>
        <v>0.86964514883602095</v>
      </c>
      <c r="AA51" s="26">
        <f t="shared" si="6"/>
        <v>-0.22678800597887805</v>
      </c>
    </row>
    <row r="52" spans="1:27" s="28" customFormat="1" x14ac:dyDescent="0.2">
      <c r="A52" s="20">
        <v>62</v>
      </c>
      <c r="B52" s="20">
        <f t="shared" si="7"/>
        <v>449</v>
      </c>
      <c r="C52" s="21">
        <v>19</v>
      </c>
      <c r="D52" s="22">
        <v>84</v>
      </c>
      <c r="E52" s="21">
        <v>10</v>
      </c>
      <c r="F52" s="21">
        <v>3</v>
      </c>
      <c r="G52" s="21">
        <v>2</v>
      </c>
      <c r="H52" s="23">
        <f t="shared" si="8"/>
        <v>13</v>
      </c>
      <c r="I52" s="24">
        <f t="shared" si="9"/>
        <v>9</v>
      </c>
      <c r="J52" s="42">
        <f t="shared" si="0"/>
        <v>0.76923076923076927</v>
      </c>
      <c r="K52" s="25">
        <f t="shared" si="10"/>
        <v>0.23076923076923078</v>
      </c>
      <c r="L52" s="21">
        <v>54</v>
      </c>
      <c r="M52" s="21">
        <v>9</v>
      </c>
      <c r="N52" s="21">
        <v>5</v>
      </c>
      <c r="O52" s="49">
        <f>Sprints2[[#This Row],[Planned SP Done]]+Sprints2[[#This Row],[Unplanned SP Done]]</f>
        <v>63</v>
      </c>
      <c r="P52" s="24">
        <f t="shared" si="12"/>
        <v>30</v>
      </c>
      <c r="Q52" s="42">
        <f t="shared" si="2"/>
        <v>0.8571428571428571</v>
      </c>
      <c r="R52" s="25">
        <f t="shared" si="3"/>
        <v>0.14285714285714285</v>
      </c>
      <c r="S52" s="26">
        <f t="shared" si="4"/>
        <v>0.6428571428571429</v>
      </c>
      <c r="T52" s="47">
        <f>Sprints2[[#This Row],[Total SP Done]]/Sprints2[[#This Row],[Total Issues Done]]</f>
        <v>4.8461538461538458</v>
      </c>
      <c r="U52" s="27">
        <f t="shared" si="5"/>
        <v>0.14031180400890869</v>
      </c>
      <c r="V52" s="24">
        <v>509</v>
      </c>
      <c r="W52" s="24">
        <f>ROUNDUP(AVERAGE($U$46:U52)*Sprints2[[#This Row],[Hours Next Sprint]],0)</f>
        <v>117</v>
      </c>
      <c r="X52" s="24">
        <f t="shared" si="11"/>
        <v>92</v>
      </c>
      <c r="Y52" s="21">
        <f>ROUNDUP(W52*AVERAGE($R47:R52),0)</f>
        <v>25</v>
      </c>
      <c r="Z52" s="26">
        <f>AVERAGE($S47:S52)</f>
        <v>0.81992526088083884</v>
      </c>
      <c r="AA52" s="26">
        <f t="shared" si="6"/>
        <v>7.2382431426853522E-2</v>
      </c>
    </row>
    <row r="53" spans="1:27" s="28" customFormat="1" x14ac:dyDescent="0.2">
      <c r="A53" s="20">
        <v>63</v>
      </c>
      <c r="B53" s="20">
        <f t="shared" si="7"/>
        <v>509</v>
      </c>
      <c r="C53" s="21">
        <v>18</v>
      </c>
      <c r="D53" s="22">
        <v>65</v>
      </c>
      <c r="E53" s="21">
        <v>6</v>
      </c>
      <c r="F53" s="21">
        <v>4</v>
      </c>
      <c r="G53" s="21">
        <v>1</v>
      </c>
      <c r="H53" s="23">
        <f t="shared" si="8"/>
        <v>10</v>
      </c>
      <c r="I53" s="24">
        <f t="shared" si="9"/>
        <v>12</v>
      </c>
      <c r="J53" s="42">
        <f t="shared" si="0"/>
        <v>0.6</v>
      </c>
      <c r="K53" s="25">
        <f t="shared" si="10"/>
        <v>0.4</v>
      </c>
      <c r="L53" s="21">
        <v>58</v>
      </c>
      <c r="M53" s="21">
        <v>14</v>
      </c>
      <c r="N53" s="21">
        <v>3</v>
      </c>
      <c r="O53" s="49">
        <f>Sprints2[[#This Row],[Planned SP Done]]+Sprints2[[#This Row],[Unplanned SP Done]]</f>
        <v>72</v>
      </c>
      <c r="P53" s="24">
        <f t="shared" si="12"/>
        <v>7</v>
      </c>
      <c r="Q53" s="42">
        <f t="shared" si="2"/>
        <v>0.80555555555555558</v>
      </c>
      <c r="R53" s="25">
        <f t="shared" si="3"/>
        <v>0.19444444444444445</v>
      </c>
      <c r="S53" s="26">
        <f t="shared" si="4"/>
        <v>0.89230769230769236</v>
      </c>
      <c r="T53" s="47">
        <f>Sprints2[[#This Row],[Total SP Done]]/Sprints2[[#This Row],[Total Issues Done]]</f>
        <v>7.2</v>
      </c>
      <c r="U53" s="27">
        <f t="shared" si="5"/>
        <v>0.14145383104125736</v>
      </c>
      <c r="V53" s="24">
        <v>394</v>
      </c>
      <c r="W53" s="24">
        <f>ROUNDUP(AVERAGE($U$46:U53)*Sprints2[[#This Row],[Hours Next Sprint]],0)</f>
        <v>86</v>
      </c>
      <c r="X53" s="24">
        <f t="shared" si="11"/>
        <v>68</v>
      </c>
      <c r="Y53" s="21">
        <f>ROUNDUP(W53*AVERAGE($R48:R53),0)</f>
        <v>18</v>
      </c>
      <c r="Z53" s="26">
        <f>AVERAGE($S48:S53)</f>
        <v>0.80408624757347102</v>
      </c>
      <c r="AA53" s="26">
        <f t="shared" si="6"/>
        <v>0.10819445418091489</v>
      </c>
    </row>
    <row r="54" spans="1:27" s="28" customFormat="1" x14ac:dyDescent="0.2">
      <c r="A54" s="20">
        <v>64</v>
      </c>
      <c r="B54" s="20">
        <f t="shared" si="7"/>
        <v>394</v>
      </c>
      <c r="C54" s="21">
        <v>13</v>
      </c>
      <c r="D54" s="22">
        <v>57</v>
      </c>
      <c r="E54" s="21">
        <v>12</v>
      </c>
      <c r="F54" s="21">
        <v>3</v>
      </c>
      <c r="G54" s="21">
        <v>1</v>
      </c>
      <c r="H54" s="23">
        <f t="shared" si="8"/>
        <v>15</v>
      </c>
      <c r="I54" s="24">
        <f t="shared" si="9"/>
        <v>1</v>
      </c>
      <c r="J54" s="42">
        <f t="shared" si="0"/>
        <v>0.8</v>
      </c>
      <c r="K54" s="25">
        <f t="shared" si="10"/>
        <v>0.2</v>
      </c>
      <c r="L54" s="21">
        <v>52</v>
      </c>
      <c r="M54" s="21">
        <v>9</v>
      </c>
      <c r="N54" s="21">
        <v>6</v>
      </c>
      <c r="O54" s="49">
        <f>Sprints2[[#This Row],[Planned SP Done]]+Sprints2[[#This Row],[Unplanned SP Done]]</f>
        <v>61</v>
      </c>
      <c r="P54" s="24">
        <f t="shared" si="12"/>
        <v>5</v>
      </c>
      <c r="Q54" s="42">
        <f t="shared" si="2"/>
        <v>0.85245901639344257</v>
      </c>
      <c r="R54" s="25">
        <f t="shared" si="3"/>
        <v>0.14754098360655737</v>
      </c>
      <c r="S54" s="26">
        <f t="shared" si="4"/>
        <v>0.91228070175438591</v>
      </c>
      <c r="T54" s="47">
        <f>Sprints2[[#This Row],[Total SP Done]]/Sprints2[[#This Row],[Total Issues Done]]</f>
        <v>4.0666666666666664</v>
      </c>
      <c r="U54" s="27">
        <f t="shared" si="5"/>
        <v>0.1548223350253807</v>
      </c>
      <c r="V54" s="24">
        <v>431</v>
      </c>
      <c r="W54" s="24">
        <f>ROUNDUP(AVERAGE($U$46:U54)*Sprints2[[#This Row],[Hours Next Sprint]],0)</f>
        <v>91</v>
      </c>
      <c r="X54" s="24">
        <f t="shared" si="11"/>
        <v>75</v>
      </c>
      <c r="Y54" s="21">
        <f>ROUNDUP(W54*AVERAGE($R49:R54),0)</f>
        <v>16</v>
      </c>
      <c r="Z54" s="26">
        <f>AVERAGE($S49:S54)</f>
        <v>0.81760489267106351</v>
      </c>
      <c r="AA54" s="26">
        <f t="shared" si="6"/>
        <v>3.3141375985652921E-2</v>
      </c>
    </row>
    <row r="55" spans="1:27" s="28" customFormat="1" x14ac:dyDescent="0.2">
      <c r="A55" s="20">
        <v>65</v>
      </c>
      <c r="B55" s="20">
        <f t="shared" si="7"/>
        <v>431</v>
      </c>
      <c r="C55" s="21">
        <v>17</v>
      </c>
      <c r="D55" s="22">
        <v>67</v>
      </c>
      <c r="E55" s="21">
        <v>8</v>
      </c>
      <c r="F55" s="21">
        <v>2</v>
      </c>
      <c r="G55" s="21">
        <v>3</v>
      </c>
      <c r="H55" s="23">
        <f t="shared" si="8"/>
        <v>10</v>
      </c>
      <c r="I55" s="24">
        <f t="shared" si="9"/>
        <v>9</v>
      </c>
      <c r="J55" s="42">
        <f t="shared" si="0"/>
        <v>0.8</v>
      </c>
      <c r="K55" s="25">
        <f t="shared" si="10"/>
        <v>0.2</v>
      </c>
      <c r="L55" s="21">
        <v>57</v>
      </c>
      <c r="M55" s="21">
        <v>6</v>
      </c>
      <c r="N55" s="21">
        <v>5</v>
      </c>
      <c r="O55" s="49">
        <f>Sprints2[[#This Row],[Planned SP Done]]+Sprints2[[#This Row],[Unplanned SP Done]]</f>
        <v>63</v>
      </c>
      <c r="P55" s="24">
        <f t="shared" si="12"/>
        <v>10</v>
      </c>
      <c r="Q55" s="42">
        <f t="shared" si="2"/>
        <v>0.90476190476190477</v>
      </c>
      <c r="R55" s="25">
        <f t="shared" si="3"/>
        <v>9.5238095238095233E-2</v>
      </c>
      <c r="S55" s="26">
        <f t="shared" si="4"/>
        <v>0.85074626865671643</v>
      </c>
      <c r="T55" s="47">
        <f>Sprints2[[#This Row],[Total SP Done]]/Sprints2[[#This Row],[Total Issues Done]]</f>
        <v>6.3</v>
      </c>
      <c r="U55" s="27">
        <f t="shared" si="5"/>
        <v>0.14617169373549885</v>
      </c>
      <c r="V55" s="24">
        <v>364</v>
      </c>
      <c r="W55" s="24">
        <f>ROUNDUP(AVERAGE($U$46:U55)*Sprints2[[#This Row],[Hours Next Sprint]],0)</f>
        <v>75</v>
      </c>
      <c r="X55" s="24">
        <f t="shared" si="11"/>
        <v>63</v>
      </c>
      <c r="Y55" s="21">
        <f>ROUNDUP(W55*AVERAGE($R50:R55),0)</f>
        <v>12</v>
      </c>
      <c r="Z55" s="26">
        <f>AVERAGE($S50:S55)</f>
        <v>0.80567425459928643</v>
      </c>
      <c r="AA55" s="26">
        <f t="shared" si="6"/>
        <v>0.12875197490891033</v>
      </c>
    </row>
    <row r="56" spans="1:27" s="28" customFormat="1" x14ac:dyDescent="0.2">
      <c r="A56" s="20">
        <v>66</v>
      </c>
      <c r="B56" s="20">
        <f t="shared" si="7"/>
        <v>364</v>
      </c>
      <c r="C56" s="21">
        <v>11</v>
      </c>
      <c r="D56" s="22">
        <v>61</v>
      </c>
      <c r="E56" s="21">
        <v>5</v>
      </c>
      <c r="F56" s="21">
        <v>2</v>
      </c>
      <c r="G56" s="21">
        <v>2</v>
      </c>
      <c r="H56" s="23">
        <f t="shared" si="8"/>
        <v>7</v>
      </c>
      <c r="I56" s="24">
        <f t="shared" si="9"/>
        <v>6</v>
      </c>
      <c r="J56" s="42">
        <f t="shared" si="0"/>
        <v>0.7142857142857143</v>
      </c>
      <c r="K56" s="25">
        <f t="shared" si="10"/>
        <v>0.2857142857142857</v>
      </c>
      <c r="L56" s="21">
        <v>57</v>
      </c>
      <c r="M56" s="21">
        <v>4</v>
      </c>
      <c r="N56" s="21">
        <v>6</v>
      </c>
      <c r="O56" s="49">
        <f>Sprints2[[#This Row],[Planned SP Done]]+Sprints2[[#This Row],[Unplanned SP Done]]</f>
        <v>61</v>
      </c>
      <c r="P56" s="24">
        <f t="shared" si="12"/>
        <v>4</v>
      </c>
      <c r="Q56" s="42">
        <f t="shared" si="2"/>
        <v>0.93442622950819676</v>
      </c>
      <c r="R56" s="25">
        <f t="shared" si="3"/>
        <v>6.5573770491803282E-2</v>
      </c>
      <c r="S56" s="26">
        <f t="shared" si="4"/>
        <v>0.93442622950819676</v>
      </c>
      <c r="T56" s="47">
        <f>Sprints2[[#This Row],[Total SP Done]]/Sprints2[[#This Row],[Total Issues Done]]</f>
        <v>8.7142857142857135</v>
      </c>
      <c r="U56" s="27">
        <f t="shared" si="5"/>
        <v>0.16758241758241757</v>
      </c>
      <c r="V56" s="24">
        <v>448</v>
      </c>
      <c r="W56" s="24">
        <f>ROUNDUP(AVERAGE($U$46:U56)*Sprints2[[#This Row],[Hours Next Sprint]],0)</f>
        <v>90</v>
      </c>
      <c r="X56" s="24">
        <f t="shared" si="11"/>
        <v>77</v>
      </c>
      <c r="Y56" s="21">
        <f>ROUNDUP(W56*AVERAGE($R51:R56),0)</f>
        <v>13</v>
      </c>
      <c r="Z56" s="26">
        <f>AVERAGE($S51:S56)</f>
        <v>0.8463677117297087</v>
      </c>
      <c r="AA56" s="26">
        <f t="shared" si="6"/>
        <v>-0.8463677117297087</v>
      </c>
    </row>
    <row r="57" spans="1:27" x14ac:dyDescent="0.2">
      <c r="A57" s="33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7" x14ac:dyDescent="0.2">
      <c r="A58" s="33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7" x14ac:dyDescent="0.2">
      <c r="A59" s="33"/>
      <c r="B59" s="32"/>
      <c r="C59" s="50"/>
      <c r="D59" s="33"/>
      <c r="E59" s="50"/>
      <c r="F59" s="33"/>
      <c r="G59" s="33"/>
      <c r="H59" s="33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7" x14ac:dyDescent="0.2">
      <c r="A60" s="33"/>
      <c r="B60" s="32"/>
      <c r="C60" s="50"/>
      <c r="D60" s="33"/>
      <c r="E60" s="50"/>
      <c r="F60" s="33"/>
      <c r="G60" s="33"/>
      <c r="H60" s="33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7" x14ac:dyDescent="0.2">
      <c r="A61" s="33"/>
      <c r="B61" s="32"/>
      <c r="C61" s="50"/>
      <c r="D61" s="33"/>
      <c r="E61" s="50"/>
      <c r="F61" s="33"/>
      <c r="G61" s="33"/>
      <c r="H61" s="33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7" x14ac:dyDescent="0.2">
      <c r="C62" s="50"/>
      <c r="D62" s="33"/>
      <c r="E62" s="50"/>
      <c r="F62" s="33"/>
      <c r="G62" s="33"/>
      <c r="H62" s="33"/>
    </row>
    <row r="63" spans="1:27" x14ac:dyDescent="0.2">
      <c r="C63" s="50"/>
      <c r="D63" s="33"/>
      <c r="E63" s="50"/>
      <c r="F63" s="33"/>
      <c r="G63" s="33"/>
      <c r="H63" s="33"/>
    </row>
    <row r="64" spans="1:27" x14ac:dyDescent="0.2">
      <c r="C64" s="50"/>
      <c r="D64" s="33"/>
      <c r="E64" s="50"/>
      <c r="F64" s="33"/>
      <c r="G64" s="33"/>
      <c r="H64" s="33"/>
    </row>
    <row r="65" spans="3:8" x14ac:dyDescent="0.2">
      <c r="C65" s="50"/>
      <c r="D65" s="33"/>
      <c r="E65" s="50"/>
      <c r="F65" s="33"/>
      <c r="G65" s="33"/>
      <c r="H65" s="33"/>
    </row>
    <row r="66" spans="3:8" x14ac:dyDescent="0.2">
      <c r="C66" s="50"/>
      <c r="D66" s="33"/>
      <c r="E66" s="50"/>
      <c r="F66" s="33"/>
      <c r="G66" s="33"/>
      <c r="H66" s="33"/>
    </row>
    <row r="67" spans="3:8" x14ac:dyDescent="0.2">
      <c r="C67" s="50"/>
      <c r="D67" s="33"/>
      <c r="E67" s="50"/>
      <c r="F67" s="33"/>
      <c r="G67" s="33"/>
      <c r="H67" s="33"/>
    </row>
    <row r="68" spans="3:8" x14ac:dyDescent="0.2">
      <c r="C68" s="50"/>
      <c r="D68" s="33"/>
      <c r="E68" s="50"/>
      <c r="F68" s="33"/>
      <c r="G68" s="33"/>
      <c r="H68" s="33"/>
    </row>
    <row r="69" spans="3:8" x14ac:dyDescent="0.2">
      <c r="C69" s="50"/>
      <c r="D69" s="33"/>
      <c r="E69" s="50"/>
      <c r="F69" s="33"/>
      <c r="G69" s="33"/>
      <c r="H69" s="33"/>
    </row>
    <row r="70" spans="3:8" x14ac:dyDescent="0.2">
      <c r="C70" s="50"/>
      <c r="D70" s="33"/>
      <c r="E70" s="50"/>
      <c r="F70" s="33"/>
      <c r="G70" s="33"/>
      <c r="H70" s="33"/>
    </row>
    <row r="71" spans="3:8" x14ac:dyDescent="0.2">
      <c r="C71" s="50"/>
      <c r="D71" s="33"/>
      <c r="E71" s="50"/>
      <c r="F71" s="33"/>
      <c r="G71" s="33"/>
      <c r="H71" s="33"/>
    </row>
    <row r="72" spans="3:8" x14ac:dyDescent="0.2">
      <c r="C72" s="50"/>
      <c r="D72" s="33"/>
      <c r="E72" s="50"/>
      <c r="F72" s="33"/>
      <c r="G72" s="33"/>
      <c r="H72" s="33"/>
    </row>
    <row r="73" spans="3:8" x14ac:dyDescent="0.2">
      <c r="C73" s="50"/>
      <c r="D73" s="33"/>
      <c r="E73" s="50"/>
      <c r="F73" s="33"/>
      <c r="G73" s="33"/>
      <c r="H73" s="33"/>
    </row>
  </sheetData>
  <sheetProtection algorithmName="SHA-512" hashValue="BOWiDiHZfQXUO9h9fzDiTNgl1uB3jrCs1EXlNDZwuTvgq4iXIv1iyEfxaxX2r8Jf+AuSk6yHngL5dIgsYicPRg==" saltValue="uqiDKbvWZDpkkXvaQdZ/lQ==" spinCount="100000" sheet="1" objects="1" scenarios="1"/>
  <conditionalFormatting sqref="AA31:AA5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7704-FE1F-4743-AB37-5655EE8967EE}">
  <dimension ref="A1:AO33"/>
  <sheetViews>
    <sheetView zoomScale="130" zoomScaleNormal="130" workbookViewId="0">
      <selection activeCell="V56" sqref="V56"/>
    </sheetView>
  </sheetViews>
  <sheetFormatPr baseColWidth="10" defaultRowHeight="15" x14ac:dyDescent="0.2"/>
  <cols>
    <col min="1" max="1" width="13.1640625" bestFit="1" customWidth="1"/>
    <col min="2" max="2" width="9.33203125" bestFit="1" customWidth="1"/>
    <col min="3" max="3" width="9.83203125" bestFit="1" customWidth="1"/>
    <col min="4" max="4" width="9.6640625" bestFit="1" customWidth="1"/>
    <col min="5" max="5" width="13.1640625" bestFit="1" customWidth="1"/>
    <col min="6" max="6" width="9.33203125" bestFit="1" customWidth="1"/>
    <col min="7" max="7" width="9.83203125" bestFit="1" customWidth="1"/>
    <col min="8" max="8" width="9.6640625" bestFit="1" customWidth="1"/>
    <col min="9" max="10" width="10.83203125" customWidth="1"/>
    <col min="11" max="12" width="10.5" bestFit="1" customWidth="1"/>
    <col min="13" max="13" width="13.1640625" bestFit="1" customWidth="1"/>
    <col min="14" max="14" width="7.5" bestFit="1" customWidth="1"/>
    <col min="15" max="15" width="9.6640625" bestFit="1" customWidth="1"/>
    <col min="16" max="16" width="13.1640625" bestFit="1" customWidth="1"/>
    <col min="17" max="17" width="7.5" bestFit="1" customWidth="1"/>
    <col min="18" max="18" width="9.6640625" bestFit="1" customWidth="1"/>
    <col min="19" max="19" width="10.5" bestFit="1" customWidth="1"/>
    <col min="20" max="20" width="10.83203125" customWidth="1"/>
    <col min="21" max="25" width="10.5" bestFit="1" customWidth="1"/>
    <col min="26" max="26" width="22.33203125" bestFit="1" customWidth="1"/>
    <col min="27" max="27" width="10.5" bestFit="1" customWidth="1"/>
    <col min="28" max="28" width="9.5" bestFit="1" customWidth="1"/>
    <col min="29" max="29" width="4.5" bestFit="1" customWidth="1"/>
    <col min="30" max="30" width="9.5" bestFit="1" customWidth="1"/>
    <col min="31" max="31" width="4.5" bestFit="1" customWidth="1"/>
    <col min="32" max="32" width="13.1640625" bestFit="1" customWidth="1"/>
    <col min="33" max="33" width="9.6640625" bestFit="1" customWidth="1"/>
    <col min="34" max="34" width="7.1640625" bestFit="1" customWidth="1"/>
    <col min="35" max="35" width="9.6640625" bestFit="1" customWidth="1"/>
    <col min="36" max="36" width="10.6640625" bestFit="1" customWidth="1"/>
    <col min="37" max="37" width="10.5" bestFit="1" customWidth="1"/>
    <col min="38" max="38" width="13.1640625" bestFit="1" customWidth="1"/>
    <col min="39" max="39" width="10.83203125" customWidth="1"/>
    <col min="40" max="40" width="13.1640625" bestFit="1" customWidth="1"/>
    <col min="41" max="41" width="12.1640625" bestFit="1" customWidth="1"/>
  </cols>
  <sheetData>
    <row r="1" spans="1:41" s="57" customFormat="1" ht="80" x14ac:dyDescent="0.2">
      <c r="A1" s="57" t="s">
        <v>44</v>
      </c>
      <c r="B1" s="57" t="s">
        <v>49</v>
      </c>
      <c r="C1" s="57" t="s">
        <v>43</v>
      </c>
      <c r="D1" s="57" t="s">
        <v>52</v>
      </c>
      <c r="E1" s="58" t="s">
        <v>44</v>
      </c>
      <c r="F1" s="58" t="s">
        <v>49</v>
      </c>
      <c r="G1" s="58" t="s">
        <v>43</v>
      </c>
      <c r="H1" s="58" t="s">
        <v>52</v>
      </c>
      <c r="I1" s="57" t="s">
        <v>47</v>
      </c>
      <c r="J1" s="58" t="s">
        <v>50</v>
      </c>
      <c r="K1" s="57" t="s">
        <v>48</v>
      </c>
      <c r="L1" s="59" t="s">
        <v>53</v>
      </c>
      <c r="M1" s="57" t="s">
        <v>44</v>
      </c>
      <c r="N1" s="57" t="s">
        <v>51</v>
      </c>
      <c r="O1" s="57" t="s">
        <v>52</v>
      </c>
      <c r="P1" s="58" t="s">
        <v>44</v>
      </c>
      <c r="Q1" s="58" t="s">
        <v>51</v>
      </c>
      <c r="R1" s="58" t="s">
        <v>52</v>
      </c>
      <c r="S1" s="57" t="s">
        <v>54</v>
      </c>
      <c r="T1" s="58" t="s">
        <v>77</v>
      </c>
      <c r="U1" s="57" t="s">
        <v>55</v>
      </c>
      <c r="V1" s="58" t="s">
        <v>58</v>
      </c>
      <c r="W1" s="57" t="s">
        <v>56</v>
      </c>
      <c r="X1" s="58" t="s">
        <v>57</v>
      </c>
      <c r="Y1" s="57" t="s">
        <v>60</v>
      </c>
      <c r="Z1" s="60" t="s">
        <v>59</v>
      </c>
      <c r="AA1" s="57" t="s">
        <v>61</v>
      </c>
      <c r="AB1" s="60" t="s">
        <v>63</v>
      </c>
      <c r="AC1" s="60"/>
      <c r="AD1" s="62" t="s">
        <v>63</v>
      </c>
      <c r="AE1" s="62"/>
      <c r="AF1" s="58" t="s">
        <v>44</v>
      </c>
      <c r="AG1" s="58" t="s">
        <v>70</v>
      </c>
      <c r="AH1" s="58" t="s">
        <v>65</v>
      </c>
      <c r="AI1" s="58" t="s">
        <v>66</v>
      </c>
      <c r="AJ1" s="58" t="s">
        <v>68</v>
      </c>
      <c r="AK1" s="58" t="s">
        <v>67</v>
      </c>
      <c r="AL1" s="57" t="s">
        <v>44</v>
      </c>
      <c r="AM1" s="57" t="s">
        <v>47</v>
      </c>
      <c r="AN1" s="58" t="s">
        <v>44</v>
      </c>
      <c r="AO1" s="59" t="s">
        <v>78</v>
      </c>
    </row>
    <row r="2" spans="1:41" x14ac:dyDescent="0.2">
      <c r="A2" s="34">
        <v>43</v>
      </c>
      <c r="B2">
        <v>12</v>
      </c>
      <c r="C2">
        <v>17</v>
      </c>
      <c r="D2">
        <v>6</v>
      </c>
      <c r="E2" s="34">
        <v>43</v>
      </c>
      <c r="F2">
        <v>80</v>
      </c>
      <c r="G2">
        <v>67</v>
      </c>
      <c r="H2">
        <v>22</v>
      </c>
      <c r="I2">
        <v>53</v>
      </c>
      <c r="J2" s="29">
        <v>3.1176470588235294</v>
      </c>
      <c r="K2" s="35">
        <v>0.72139267337811785</v>
      </c>
      <c r="L2" s="35">
        <v>0.25909034408397008</v>
      </c>
      <c r="M2" s="34">
        <v>43</v>
      </c>
      <c r="N2">
        <v>11</v>
      </c>
      <c r="O2">
        <v>6</v>
      </c>
      <c r="P2" s="34">
        <v>43</v>
      </c>
      <c r="Q2">
        <v>45</v>
      </c>
      <c r="R2">
        <v>22</v>
      </c>
      <c r="S2" s="35">
        <v>0.21500821192045896</v>
      </c>
      <c r="T2" s="48">
        <v>5.1372102696975217</v>
      </c>
      <c r="U2" s="29">
        <v>418.76470588235293</v>
      </c>
      <c r="V2" s="29">
        <v>17.823529411764707</v>
      </c>
      <c r="W2" s="29">
        <v>17.529411764705884</v>
      </c>
      <c r="X2" s="29">
        <v>98.117647058823536</v>
      </c>
      <c r="Y2" s="29">
        <v>4.5294117647058822</v>
      </c>
      <c r="Z2" s="29">
        <v>89.529411764705884</v>
      </c>
      <c r="AA2" s="29">
        <v>18.941176470588236</v>
      </c>
      <c r="AB2" s="44" t="s">
        <v>51</v>
      </c>
      <c r="AC2" s="35">
        <v>0.7409096559160302</v>
      </c>
      <c r="AD2" s="44" t="s">
        <v>51</v>
      </c>
      <c r="AE2" s="35">
        <v>0.78499178807954118</v>
      </c>
      <c r="AF2" s="34">
        <v>43</v>
      </c>
      <c r="AG2">
        <v>411</v>
      </c>
      <c r="AH2">
        <v>72</v>
      </c>
      <c r="AI2">
        <v>49</v>
      </c>
      <c r="AJ2">
        <v>23</v>
      </c>
      <c r="AK2" s="35">
        <v>0.58695394112060784</v>
      </c>
      <c r="AL2" s="34">
        <v>43</v>
      </c>
      <c r="AM2">
        <v>2</v>
      </c>
      <c r="AN2" s="34">
        <v>43</v>
      </c>
      <c r="AO2" s="35">
        <v>0.5625</v>
      </c>
    </row>
    <row r="3" spans="1:41" x14ac:dyDescent="0.2">
      <c r="A3" s="34">
        <v>44</v>
      </c>
      <c r="B3">
        <v>14</v>
      </c>
      <c r="C3">
        <v>19</v>
      </c>
      <c r="D3">
        <v>8</v>
      </c>
      <c r="E3" s="34">
        <v>44</v>
      </c>
      <c r="F3">
        <v>89</v>
      </c>
      <c r="G3">
        <v>75</v>
      </c>
      <c r="H3">
        <v>27</v>
      </c>
      <c r="M3" s="34">
        <v>44</v>
      </c>
      <c r="N3">
        <v>11</v>
      </c>
      <c r="O3">
        <v>8</v>
      </c>
      <c r="P3" s="34">
        <v>44</v>
      </c>
      <c r="Q3">
        <v>48</v>
      </c>
      <c r="R3">
        <v>27</v>
      </c>
      <c r="AB3" s="44" t="s">
        <v>52</v>
      </c>
      <c r="AC3" s="35">
        <v>0.25909034408397008</v>
      </c>
      <c r="AD3" s="44" t="s">
        <v>52</v>
      </c>
      <c r="AE3" s="35">
        <v>0.21500821192045896</v>
      </c>
      <c r="AF3" s="34">
        <v>44</v>
      </c>
      <c r="AG3">
        <v>397</v>
      </c>
      <c r="AH3">
        <v>70</v>
      </c>
      <c r="AI3">
        <v>47</v>
      </c>
      <c r="AJ3">
        <v>23</v>
      </c>
      <c r="AK3" s="35">
        <v>0.57504691651461315</v>
      </c>
      <c r="AL3" s="34">
        <v>44</v>
      </c>
      <c r="AM3">
        <v>1</v>
      </c>
      <c r="AN3" s="34">
        <v>44</v>
      </c>
      <c r="AO3" s="35">
        <v>0.5393258426966292</v>
      </c>
    </row>
    <row r="4" spans="1:41" x14ac:dyDescent="0.2">
      <c r="A4" s="34">
        <v>45</v>
      </c>
      <c r="B4">
        <v>14</v>
      </c>
      <c r="C4">
        <v>17</v>
      </c>
      <c r="D4">
        <v>5</v>
      </c>
      <c r="E4" s="34">
        <v>45</v>
      </c>
      <c r="F4">
        <v>95</v>
      </c>
      <c r="G4">
        <v>74</v>
      </c>
      <c r="H4">
        <v>15</v>
      </c>
      <c r="M4" s="34">
        <v>45</v>
      </c>
      <c r="N4">
        <v>12</v>
      </c>
      <c r="O4">
        <v>5</v>
      </c>
      <c r="P4" s="34">
        <v>45</v>
      </c>
      <c r="Q4">
        <v>59</v>
      </c>
      <c r="R4">
        <v>15</v>
      </c>
      <c r="AF4" s="34">
        <v>45</v>
      </c>
      <c r="AG4">
        <v>437</v>
      </c>
      <c r="AH4">
        <v>78</v>
      </c>
      <c r="AI4">
        <v>54</v>
      </c>
      <c r="AJ4">
        <v>24</v>
      </c>
      <c r="AK4" s="35">
        <v>0.58424805952748005</v>
      </c>
      <c r="AL4" s="34">
        <v>45</v>
      </c>
      <c r="AM4">
        <v>3</v>
      </c>
      <c r="AN4" s="34">
        <v>45</v>
      </c>
      <c r="AO4" s="35">
        <v>0.62105263157894741</v>
      </c>
    </row>
    <row r="5" spans="1:41" x14ac:dyDescent="0.2">
      <c r="A5" s="34">
        <v>46</v>
      </c>
      <c r="B5">
        <v>16</v>
      </c>
      <c r="C5">
        <v>12</v>
      </c>
      <c r="D5">
        <v>4</v>
      </c>
      <c r="E5" s="34">
        <v>46</v>
      </c>
      <c r="F5">
        <v>98</v>
      </c>
      <c r="G5">
        <v>84</v>
      </c>
      <c r="H5">
        <v>19</v>
      </c>
      <c r="M5" s="34">
        <v>46</v>
      </c>
      <c r="N5">
        <v>8</v>
      </c>
      <c r="O5">
        <v>4</v>
      </c>
      <c r="P5" s="34">
        <v>46</v>
      </c>
      <c r="Q5">
        <v>65</v>
      </c>
      <c r="R5">
        <v>19</v>
      </c>
      <c r="AF5" s="34">
        <v>46</v>
      </c>
      <c r="AG5">
        <v>435</v>
      </c>
      <c r="AH5">
        <v>79</v>
      </c>
      <c r="AI5">
        <v>56</v>
      </c>
      <c r="AJ5">
        <v>23</v>
      </c>
      <c r="AK5" s="35">
        <v>0.59741760062664151</v>
      </c>
      <c r="AL5" s="34">
        <v>46</v>
      </c>
      <c r="AM5">
        <v>1</v>
      </c>
      <c r="AN5" s="34">
        <v>46</v>
      </c>
      <c r="AO5" s="35">
        <v>0.66326530612244894</v>
      </c>
    </row>
    <row r="6" spans="1:41" x14ac:dyDescent="0.2">
      <c r="A6" s="34">
        <v>47</v>
      </c>
      <c r="B6">
        <v>17</v>
      </c>
      <c r="C6">
        <v>16</v>
      </c>
      <c r="D6">
        <v>4</v>
      </c>
      <c r="E6" s="34">
        <v>47</v>
      </c>
      <c r="F6">
        <v>112</v>
      </c>
      <c r="G6">
        <v>85</v>
      </c>
      <c r="H6">
        <v>14</v>
      </c>
      <c r="M6" s="34">
        <v>47</v>
      </c>
      <c r="N6">
        <v>12</v>
      </c>
      <c r="O6">
        <v>4</v>
      </c>
      <c r="P6" s="34">
        <v>47</v>
      </c>
      <c r="Q6">
        <v>71</v>
      </c>
      <c r="R6">
        <v>14</v>
      </c>
      <c r="AF6" s="34">
        <v>47</v>
      </c>
      <c r="AG6">
        <v>334</v>
      </c>
      <c r="AH6">
        <v>72</v>
      </c>
      <c r="AI6">
        <v>52</v>
      </c>
      <c r="AJ6">
        <v>20</v>
      </c>
      <c r="AK6" s="35">
        <v>0.60263345359834575</v>
      </c>
      <c r="AL6" s="34">
        <v>47</v>
      </c>
      <c r="AM6">
        <v>2</v>
      </c>
      <c r="AN6" s="34">
        <v>47</v>
      </c>
      <c r="AO6" s="35">
        <v>0.6339285714285714</v>
      </c>
    </row>
    <row r="7" spans="1:41" x14ac:dyDescent="0.2">
      <c r="A7" s="34">
        <v>48</v>
      </c>
      <c r="B7">
        <v>14</v>
      </c>
      <c r="C7">
        <v>19</v>
      </c>
      <c r="D7">
        <v>6</v>
      </c>
      <c r="E7" s="34">
        <v>48</v>
      </c>
      <c r="F7">
        <v>82</v>
      </c>
      <c r="G7">
        <v>67</v>
      </c>
      <c r="H7">
        <v>9</v>
      </c>
      <c r="M7" s="34">
        <v>48</v>
      </c>
      <c r="N7">
        <v>13</v>
      </c>
      <c r="O7">
        <v>6</v>
      </c>
      <c r="P7" s="34">
        <v>48</v>
      </c>
      <c r="Q7">
        <v>58</v>
      </c>
      <c r="R7">
        <v>9</v>
      </c>
      <c r="AF7" s="34">
        <v>48</v>
      </c>
      <c r="AG7">
        <v>453</v>
      </c>
      <c r="AH7">
        <v>98</v>
      </c>
      <c r="AI7">
        <v>73</v>
      </c>
      <c r="AJ7">
        <v>25</v>
      </c>
      <c r="AK7" s="35">
        <v>0.61571890604489399</v>
      </c>
      <c r="AL7" s="34">
        <v>48</v>
      </c>
      <c r="AM7">
        <v>4</v>
      </c>
      <c r="AN7" s="34">
        <v>48</v>
      </c>
      <c r="AO7" s="35">
        <v>0.70731707317073167</v>
      </c>
    </row>
    <row r="8" spans="1:41" x14ac:dyDescent="0.2">
      <c r="A8" s="34">
        <v>49</v>
      </c>
      <c r="B8">
        <v>19</v>
      </c>
      <c r="C8">
        <v>16</v>
      </c>
      <c r="D8">
        <v>8</v>
      </c>
      <c r="E8" s="34">
        <v>49</v>
      </c>
      <c r="F8">
        <v>105</v>
      </c>
      <c r="G8">
        <v>92</v>
      </c>
      <c r="H8">
        <v>17</v>
      </c>
      <c r="M8" s="34">
        <v>49</v>
      </c>
      <c r="N8">
        <v>8</v>
      </c>
      <c r="O8">
        <v>8</v>
      </c>
      <c r="P8" s="34">
        <v>49</v>
      </c>
      <c r="Q8">
        <v>75</v>
      </c>
      <c r="R8">
        <v>17</v>
      </c>
      <c r="AF8" s="34">
        <v>49</v>
      </c>
      <c r="AG8">
        <v>527</v>
      </c>
      <c r="AH8">
        <v>115</v>
      </c>
      <c r="AI8">
        <v>87</v>
      </c>
      <c r="AJ8">
        <v>28</v>
      </c>
      <c r="AK8" s="35">
        <v>0.62928346648445443</v>
      </c>
      <c r="AL8" s="34">
        <v>49</v>
      </c>
      <c r="AM8">
        <v>5</v>
      </c>
      <c r="AN8" s="34">
        <v>49</v>
      </c>
      <c r="AO8" s="35">
        <v>0.7142857142857143</v>
      </c>
    </row>
    <row r="9" spans="1:41" x14ac:dyDescent="0.2">
      <c r="A9" s="34">
        <v>50</v>
      </c>
      <c r="B9">
        <v>23</v>
      </c>
      <c r="C9">
        <v>20</v>
      </c>
      <c r="D9">
        <v>4</v>
      </c>
      <c r="E9" s="34">
        <v>50</v>
      </c>
      <c r="F9">
        <v>123</v>
      </c>
      <c r="G9">
        <v>110</v>
      </c>
      <c r="H9">
        <v>29</v>
      </c>
      <c r="M9" s="34">
        <v>50</v>
      </c>
      <c r="N9">
        <v>16</v>
      </c>
      <c r="O9">
        <v>4</v>
      </c>
      <c r="P9" s="34">
        <v>50</v>
      </c>
      <c r="Q9">
        <v>81</v>
      </c>
      <c r="R9">
        <v>29</v>
      </c>
      <c r="AF9" s="34">
        <v>50</v>
      </c>
      <c r="AG9">
        <v>343</v>
      </c>
      <c r="AH9">
        <v>76</v>
      </c>
      <c r="AI9">
        <v>61</v>
      </c>
      <c r="AJ9">
        <v>15</v>
      </c>
      <c r="AK9" s="35">
        <v>0.675466650074664</v>
      </c>
      <c r="AL9" s="34">
        <v>50</v>
      </c>
      <c r="AM9">
        <v>5</v>
      </c>
      <c r="AN9" s="34">
        <v>50</v>
      </c>
      <c r="AO9" s="35">
        <v>0.65853658536585369</v>
      </c>
    </row>
    <row r="10" spans="1:41" x14ac:dyDescent="0.2">
      <c r="A10" s="34">
        <v>51</v>
      </c>
      <c r="B10">
        <v>16</v>
      </c>
      <c r="C10">
        <v>15</v>
      </c>
      <c r="D10">
        <v>5</v>
      </c>
      <c r="E10" s="34">
        <v>51</v>
      </c>
      <c r="F10">
        <v>98</v>
      </c>
      <c r="G10">
        <v>73</v>
      </c>
      <c r="H10">
        <v>25</v>
      </c>
      <c r="M10" s="34">
        <v>51</v>
      </c>
      <c r="N10">
        <v>10</v>
      </c>
      <c r="O10">
        <v>5</v>
      </c>
      <c r="P10" s="34">
        <v>51</v>
      </c>
      <c r="Q10">
        <v>48</v>
      </c>
      <c r="R10">
        <v>25</v>
      </c>
      <c r="AF10" s="34">
        <v>51</v>
      </c>
      <c r="AG10">
        <v>399</v>
      </c>
      <c r="AH10">
        <v>89</v>
      </c>
      <c r="AI10">
        <v>69</v>
      </c>
      <c r="AJ10">
        <v>20</v>
      </c>
      <c r="AK10" s="35">
        <v>0.64077277252364362</v>
      </c>
      <c r="AL10" s="34">
        <v>51</v>
      </c>
      <c r="AM10">
        <v>3</v>
      </c>
      <c r="AN10" s="34">
        <v>51</v>
      </c>
      <c r="AO10" s="35">
        <v>0.48979591836734693</v>
      </c>
    </row>
    <row r="11" spans="1:41" x14ac:dyDescent="0.2">
      <c r="A11" s="34">
        <v>52</v>
      </c>
      <c r="B11">
        <v>19</v>
      </c>
      <c r="C11">
        <v>18</v>
      </c>
      <c r="D11">
        <v>2</v>
      </c>
      <c r="E11" s="34">
        <v>52</v>
      </c>
      <c r="F11">
        <v>120</v>
      </c>
      <c r="G11">
        <v>86</v>
      </c>
      <c r="H11">
        <v>6</v>
      </c>
      <c r="M11" s="34">
        <v>52</v>
      </c>
      <c r="N11">
        <v>16</v>
      </c>
      <c r="O11">
        <v>2</v>
      </c>
      <c r="P11" s="34">
        <v>52</v>
      </c>
      <c r="Q11">
        <v>80</v>
      </c>
      <c r="R11">
        <v>6</v>
      </c>
      <c r="AF11" s="34">
        <v>52</v>
      </c>
      <c r="AG11">
        <v>402</v>
      </c>
      <c r="AH11">
        <v>90</v>
      </c>
      <c r="AI11">
        <v>72</v>
      </c>
      <c r="AJ11">
        <v>18</v>
      </c>
      <c r="AK11" s="35">
        <v>0.64732039157126264</v>
      </c>
      <c r="AL11" s="34">
        <v>52</v>
      </c>
      <c r="AM11">
        <v>2</v>
      </c>
      <c r="AN11" s="34">
        <v>52</v>
      </c>
      <c r="AO11" s="35">
        <v>0.66666666666666663</v>
      </c>
    </row>
    <row r="12" spans="1:41" x14ac:dyDescent="0.2">
      <c r="A12" s="34">
        <v>53</v>
      </c>
      <c r="B12">
        <v>20</v>
      </c>
      <c r="C12">
        <v>20</v>
      </c>
      <c r="D12">
        <v>3</v>
      </c>
      <c r="E12" s="34">
        <v>53</v>
      </c>
      <c r="F12">
        <v>115</v>
      </c>
      <c r="G12">
        <v>89</v>
      </c>
      <c r="H12">
        <v>13</v>
      </c>
      <c r="M12" s="34">
        <v>53</v>
      </c>
      <c r="N12">
        <v>17</v>
      </c>
      <c r="O12">
        <v>3</v>
      </c>
      <c r="P12" s="34">
        <v>53</v>
      </c>
      <c r="Q12">
        <v>76</v>
      </c>
      <c r="R12">
        <v>13</v>
      </c>
      <c r="AF12" s="34">
        <v>53</v>
      </c>
      <c r="AG12">
        <v>314</v>
      </c>
      <c r="AH12">
        <v>71</v>
      </c>
      <c r="AI12">
        <v>56</v>
      </c>
      <c r="AJ12">
        <v>15</v>
      </c>
      <c r="AK12" s="35">
        <v>0.63803088998059443</v>
      </c>
      <c r="AL12" s="34">
        <v>53</v>
      </c>
      <c r="AM12">
        <v>4</v>
      </c>
      <c r="AN12" s="34">
        <v>53</v>
      </c>
      <c r="AO12" s="35">
        <v>0.66086956521739126</v>
      </c>
    </row>
    <row r="13" spans="1:41" x14ac:dyDescent="0.2">
      <c r="A13" s="34">
        <v>54</v>
      </c>
      <c r="B13">
        <v>16</v>
      </c>
      <c r="C13">
        <v>18</v>
      </c>
      <c r="D13">
        <v>4</v>
      </c>
      <c r="E13" s="34">
        <v>54</v>
      </c>
      <c r="F13">
        <v>83</v>
      </c>
      <c r="G13">
        <v>71</v>
      </c>
      <c r="H13">
        <v>12</v>
      </c>
      <c r="M13" s="34">
        <v>54</v>
      </c>
      <c r="N13">
        <v>14</v>
      </c>
      <c r="O13">
        <v>4</v>
      </c>
      <c r="P13" s="34">
        <v>54</v>
      </c>
      <c r="Q13">
        <v>59</v>
      </c>
      <c r="R13">
        <v>12</v>
      </c>
      <c r="AF13" s="34">
        <v>54</v>
      </c>
      <c r="AG13">
        <v>520</v>
      </c>
      <c r="AH13">
        <v>118</v>
      </c>
      <c r="AI13">
        <v>94</v>
      </c>
      <c r="AJ13">
        <v>24</v>
      </c>
      <c r="AK13" s="35">
        <v>0.63734242182224699</v>
      </c>
      <c r="AL13" s="34">
        <v>54</v>
      </c>
      <c r="AM13">
        <v>6</v>
      </c>
      <c r="AN13" s="34">
        <v>54</v>
      </c>
      <c r="AO13" s="35">
        <v>0.71084337349397586</v>
      </c>
    </row>
    <row r="14" spans="1:41" x14ac:dyDescent="0.2">
      <c r="A14" s="34">
        <v>55</v>
      </c>
      <c r="B14">
        <v>21</v>
      </c>
      <c r="C14">
        <v>21</v>
      </c>
      <c r="D14">
        <v>3</v>
      </c>
      <c r="E14" s="34">
        <v>55</v>
      </c>
      <c r="F14">
        <v>107</v>
      </c>
      <c r="G14">
        <v>119</v>
      </c>
      <c r="H14">
        <v>17</v>
      </c>
      <c r="M14" s="34">
        <v>55</v>
      </c>
      <c r="N14">
        <v>18</v>
      </c>
      <c r="O14">
        <v>3</v>
      </c>
      <c r="P14" s="34">
        <v>55</v>
      </c>
      <c r="Q14">
        <v>102</v>
      </c>
      <c r="R14">
        <v>17</v>
      </c>
      <c r="AF14" s="34">
        <v>55</v>
      </c>
      <c r="AG14">
        <v>535</v>
      </c>
      <c r="AH14">
        <v>121</v>
      </c>
      <c r="AI14">
        <v>99</v>
      </c>
      <c r="AJ14">
        <v>22</v>
      </c>
      <c r="AK14" s="35">
        <v>0.69628931035655273</v>
      </c>
      <c r="AL14" s="34">
        <v>55</v>
      </c>
      <c r="AM14">
        <v>4</v>
      </c>
      <c r="AN14" s="34">
        <v>55</v>
      </c>
      <c r="AO14" s="35">
        <v>0.95327102803738317</v>
      </c>
    </row>
    <row r="15" spans="1:41" x14ac:dyDescent="0.2">
      <c r="A15" s="34">
        <v>56</v>
      </c>
      <c r="B15">
        <v>23</v>
      </c>
      <c r="C15">
        <v>24</v>
      </c>
      <c r="D15">
        <v>4</v>
      </c>
      <c r="E15" s="34">
        <v>56</v>
      </c>
      <c r="F15">
        <v>102</v>
      </c>
      <c r="G15">
        <v>119</v>
      </c>
      <c r="H15">
        <v>23</v>
      </c>
      <c r="M15" s="34">
        <v>56</v>
      </c>
      <c r="N15">
        <v>20</v>
      </c>
      <c r="O15">
        <v>4</v>
      </c>
      <c r="P15" s="34">
        <v>56</v>
      </c>
      <c r="Q15">
        <v>96</v>
      </c>
      <c r="R15">
        <v>23</v>
      </c>
      <c r="AF15" s="34">
        <v>56</v>
      </c>
      <c r="AG15">
        <v>378</v>
      </c>
      <c r="AH15">
        <v>85</v>
      </c>
      <c r="AI15">
        <v>68</v>
      </c>
      <c r="AJ15">
        <v>17</v>
      </c>
      <c r="AK15" s="35">
        <v>0.94117647058823528</v>
      </c>
      <c r="AL15" s="34">
        <v>56</v>
      </c>
      <c r="AM15">
        <v>1</v>
      </c>
      <c r="AN15" s="34">
        <v>56</v>
      </c>
      <c r="AO15" s="35">
        <v>0.94117647058823528</v>
      </c>
    </row>
    <row r="16" spans="1:41" x14ac:dyDescent="0.2">
      <c r="A16" s="34">
        <v>57</v>
      </c>
      <c r="B16">
        <v>19</v>
      </c>
      <c r="C16">
        <v>18</v>
      </c>
      <c r="D16">
        <v>2</v>
      </c>
      <c r="E16" s="34">
        <v>57</v>
      </c>
      <c r="F16">
        <v>79</v>
      </c>
      <c r="G16">
        <v>101</v>
      </c>
      <c r="H16">
        <v>23</v>
      </c>
      <c r="M16" s="34">
        <v>57</v>
      </c>
      <c r="N16">
        <v>16</v>
      </c>
      <c r="O16">
        <v>2</v>
      </c>
      <c r="P16" s="34">
        <v>57</v>
      </c>
      <c r="Q16">
        <v>78</v>
      </c>
      <c r="R16">
        <v>23</v>
      </c>
      <c r="AF16" s="34">
        <v>57</v>
      </c>
      <c r="AG16">
        <v>311</v>
      </c>
      <c r="AH16">
        <v>77</v>
      </c>
      <c r="AI16">
        <v>60</v>
      </c>
      <c r="AJ16">
        <v>17</v>
      </c>
      <c r="AK16" s="35">
        <v>0.96425912137006708</v>
      </c>
      <c r="AL16" s="34">
        <v>57</v>
      </c>
      <c r="AM16">
        <v>4</v>
      </c>
      <c r="AN16" s="34">
        <v>57</v>
      </c>
      <c r="AO16" s="35">
        <v>0.98734177215189878</v>
      </c>
    </row>
    <row r="17" spans="1:41" x14ac:dyDescent="0.2">
      <c r="A17" s="34">
        <v>58</v>
      </c>
      <c r="B17">
        <v>14</v>
      </c>
      <c r="C17">
        <v>11</v>
      </c>
      <c r="D17">
        <v>2</v>
      </c>
      <c r="E17" s="34">
        <v>58</v>
      </c>
      <c r="F17">
        <v>77</v>
      </c>
      <c r="G17">
        <v>92</v>
      </c>
      <c r="H17">
        <v>28</v>
      </c>
      <c r="M17" s="34">
        <v>58</v>
      </c>
      <c r="N17">
        <v>9</v>
      </c>
      <c r="O17">
        <v>2</v>
      </c>
      <c r="P17" s="34">
        <v>58</v>
      </c>
      <c r="Q17">
        <v>64</v>
      </c>
      <c r="R17">
        <v>28</v>
      </c>
      <c r="AF17" s="34">
        <v>58</v>
      </c>
      <c r="AG17">
        <v>549</v>
      </c>
      <c r="AH17">
        <v>144</v>
      </c>
      <c r="AI17">
        <v>109</v>
      </c>
      <c r="AJ17">
        <v>35</v>
      </c>
      <c r="AK17" s="35">
        <v>0.91989569130298854</v>
      </c>
      <c r="AL17" s="34">
        <v>58</v>
      </c>
      <c r="AM17">
        <v>1</v>
      </c>
      <c r="AN17" s="34">
        <v>58</v>
      </c>
      <c r="AO17" s="35">
        <v>0.83116883116883122</v>
      </c>
    </row>
    <row r="18" spans="1:41" x14ac:dyDescent="0.2">
      <c r="A18" s="34">
        <v>59</v>
      </c>
      <c r="B18">
        <v>21</v>
      </c>
      <c r="C18">
        <v>22</v>
      </c>
      <c r="D18">
        <v>7</v>
      </c>
      <c r="E18" s="34">
        <v>59</v>
      </c>
      <c r="F18">
        <v>103</v>
      </c>
      <c r="G18">
        <v>118</v>
      </c>
      <c r="H18">
        <v>23</v>
      </c>
      <c r="M18" s="34">
        <v>59</v>
      </c>
      <c r="N18">
        <v>15</v>
      </c>
      <c r="O18">
        <v>7</v>
      </c>
      <c r="P18" s="34">
        <v>59</v>
      </c>
      <c r="Q18">
        <v>95</v>
      </c>
      <c r="R18">
        <v>23</v>
      </c>
      <c r="AF18" s="34">
        <v>59</v>
      </c>
      <c r="AG18">
        <v>522</v>
      </c>
      <c r="AH18">
        <v>131</v>
      </c>
      <c r="AI18">
        <v>100</v>
      </c>
      <c r="AJ18">
        <v>31</v>
      </c>
      <c r="AK18" s="35">
        <v>0.92050429274908607</v>
      </c>
      <c r="AL18" s="34">
        <v>59</v>
      </c>
      <c r="AM18">
        <v>5</v>
      </c>
      <c r="AN18" s="34">
        <v>59</v>
      </c>
      <c r="AO18" s="35">
        <v>0.92233009708737868</v>
      </c>
    </row>
    <row r="19" spans="1:41" x14ac:dyDescent="0.2">
      <c r="A19" s="34" t="s">
        <v>45</v>
      </c>
      <c r="B19">
        <v>298</v>
      </c>
      <c r="C19">
        <v>303</v>
      </c>
      <c r="D19">
        <v>77</v>
      </c>
      <c r="E19" s="34" t="s">
        <v>45</v>
      </c>
      <c r="F19">
        <v>1668</v>
      </c>
      <c r="G19">
        <v>1522</v>
      </c>
      <c r="H19">
        <v>322</v>
      </c>
      <c r="M19" s="34" t="s">
        <v>45</v>
      </c>
      <c r="N19">
        <v>226</v>
      </c>
      <c r="O19">
        <v>77</v>
      </c>
      <c r="P19" s="34" t="s">
        <v>45</v>
      </c>
      <c r="Q19">
        <v>1200</v>
      </c>
      <c r="R19">
        <v>322</v>
      </c>
      <c r="AL19" s="34" t="s">
        <v>45</v>
      </c>
      <c r="AM19">
        <v>53</v>
      </c>
      <c r="AN19" s="34" t="s">
        <v>45</v>
      </c>
      <c r="AO19">
        <v>12.263675447428005</v>
      </c>
    </row>
    <row r="32" spans="1:41" x14ac:dyDescent="0.2">
      <c r="AD32" s="35"/>
    </row>
    <row r="33" spans="30:30" x14ac:dyDescent="0.2">
      <c r="AD33" s="35"/>
    </row>
  </sheetData>
  <sheetProtection algorithmName="SHA-512" hashValue="X6C/8gqI/wZZf7jULmVzvqa0j3mdYddYw3c5kkqCreMjak5lUGDeKclfAiUAQRWHEAICycKepGVrJ06c7oq9YQ==" saltValue="2g7VIwoQIKEknVnPtrk/GQ==" spinCount="100000" sheet="1" pivotTables="0"/>
  <pageMargins left="0.7" right="0.7" top="0.75" bottom="0.75" header="0.3" footer="0.3"/>
  <drawing r:id="rId23"/>
  <extLst>
    <ext xmlns:x14="http://schemas.microsoft.com/office/spreadsheetml/2009/9/main" uri="{A8765BA9-456A-4dab-B4F3-ACF838C121DE}">
      <x14:slicerList>
        <x14:slicer r:id="rId2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4B3C-E438-4459-A914-C91C9C831E03}">
  <dimension ref="A1:BD73"/>
  <sheetViews>
    <sheetView showGridLines="0" topLeftCell="A36" zoomScale="110" zoomScaleNormal="110" workbookViewId="0">
      <selection activeCell="V56" sqref="V56"/>
    </sheetView>
  </sheetViews>
  <sheetFormatPr baseColWidth="10" defaultColWidth="3.83203125" defaultRowHeight="15" x14ac:dyDescent="0.2"/>
  <cols>
    <col min="1" max="57" width="3.83203125" style="40"/>
    <col min="58" max="58" width="7.5" style="40" bestFit="1" customWidth="1"/>
    <col min="59" max="62" width="3.83203125" style="40"/>
    <col min="63" max="63" width="8.1640625" style="40" bestFit="1" customWidth="1"/>
    <col min="64" max="16384" width="3.83203125" style="40"/>
  </cols>
  <sheetData>
    <row r="1" ht="5.25" customHeight="1" x14ac:dyDescent="0.2"/>
    <row r="12" ht="15" customHeight="1" x14ac:dyDescent="0.2"/>
    <row r="13" ht="15" customHeight="1" x14ac:dyDescent="0.2"/>
    <row r="14" ht="15" customHeight="1" x14ac:dyDescent="0.2"/>
    <row r="15" ht="15" customHeight="1" x14ac:dyDescent="0.2"/>
    <row r="16" ht="15" customHeight="1" x14ac:dyDescent="0.2"/>
    <row r="17" spans="14:14" ht="15" customHeight="1" x14ac:dyDescent="0.2"/>
    <row r="18" spans="14:14" ht="15" customHeight="1" x14ac:dyDescent="0.2">
      <c r="N18" s="41"/>
    </row>
    <row r="19" spans="14:14" ht="15" customHeight="1" x14ac:dyDescent="0.2"/>
    <row r="33" s="40" customFormat="1" x14ac:dyDescent="0.2"/>
    <row r="34" s="40" customFormat="1" x14ac:dyDescent="0.2"/>
    <row r="35" s="40" customFormat="1" x14ac:dyDescent="0.2"/>
    <row r="36" s="40" customFormat="1" x14ac:dyDescent="0.2"/>
    <row r="37" s="40" customFormat="1" x14ac:dyDescent="0.2"/>
    <row r="38" s="40" customFormat="1" x14ac:dyDescent="0.2"/>
    <row r="39" s="40" customFormat="1" x14ac:dyDescent="0.2"/>
    <row r="40" s="40" customFormat="1" x14ac:dyDescent="0.2"/>
    <row r="41" s="40" customFormat="1" x14ac:dyDescent="0.2"/>
    <row r="42" s="40" customFormat="1" x14ac:dyDescent="0.2"/>
    <row r="43" s="40" customFormat="1" x14ac:dyDescent="0.2"/>
    <row r="44" s="40" customFormat="1" x14ac:dyDescent="0.2"/>
    <row r="45" s="40" customFormat="1" x14ac:dyDescent="0.2"/>
    <row r="46" s="40" customFormat="1" x14ac:dyDescent="0.2"/>
    <row r="47" s="40" customFormat="1" x14ac:dyDescent="0.2"/>
    <row r="48" s="40" customFormat="1" x14ac:dyDescent="0.2"/>
    <row r="64" spans="1:56" x14ac:dyDescent="0.2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</row>
    <row r="65" spans="1:56" ht="43" customHeight="1" x14ac:dyDescent="0.2">
      <c r="A65" s="45"/>
      <c r="B65" s="45"/>
      <c r="C65" s="45"/>
      <c r="D65" s="45"/>
      <c r="E65" s="55"/>
      <c r="F65" s="55"/>
      <c r="G65" s="55"/>
      <c r="H65" s="55"/>
      <c r="I65" s="65" t="s">
        <v>1</v>
      </c>
      <c r="J65" s="65"/>
      <c r="K65" s="65"/>
      <c r="L65" s="65"/>
      <c r="M65" s="65"/>
      <c r="N65" s="45"/>
      <c r="O65" s="45"/>
      <c r="P65" s="65" t="s">
        <v>71</v>
      </c>
      <c r="Q65" s="65"/>
      <c r="R65" s="65"/>
      <c r="S65" s="65"/>
      <c r="T65" s="65"/>
      <c r="U65" s="45"/>
      <c r="V65" s="45"/>
      <c r="W65" s="65" t="s">
        <v>72</v>
      </c>
      <c r="X65" s="65"/>
      <c r="Y65" s="65"/>
      <c r="Z65" s="65"/>
      <c r="AA65" s="65"/>
      <c r="AB65" s="45"/>
      <c r="AC65" s="45"/>
      <c r="AD65" s="65" t="s">
        <v>73</v>
      </c>
      <c r="AE65" s="65"/>
      <c r="AF65" s="65"/>
      <c r="AG65" s="65"/>
      <c r="AH65" s="65"/>
      <c r="AI65" s="45"/>
      <c r="AJ65" s="45"/>
      <c r="AK65" s="65" t="s">
        <v>74</v>
      </c>
      <c r="AL65" s="65"/>
      <c r="AM65" s="65"/>
      <c r="AN65" s="65"/>
      <c r="AO65" s="65"/>
      <c r="AP65" s="45"/>
      <c r="AQ65" s="45"/>
      <c r="AR65" s="65" t="s">
        <v>75</v>
      </c>
      <c r="AS65" s="65"/>
      <c r="AT65" s="65"/>
      <c r="AU65" s="65"/>
      <c r="AV65" s="65"/>
      <c r="AW65" s="45"/>
      <c r="AX65" s="45"/>
      <c r="AY65" s="45"/>
      <c r="AZ65" s="45"/>
      <c r="BA65" s="45"/>
      <c r="BB65" s="45"/>
      <c r="BC65" s="45"/>
      <c r="BD65" s="45"/>
    </row>
    <row r="66" spans="1:56" ht="12" customHeight="1" x14ac:dyDescent="0.2">
      <c r="A66" s="45"/>
      <c r="B66" s="45"/>
      <c r="C66" s="45"/>
      <c r="D66" s="45"/>
      <c r="E66" s="55"/>
      <c r="F66" s="55"/>
      <c r="G66" s="55"/>
      <c r="H66" s="5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</row>
    <row r="67" spans="1:56" ht="15" customHeight="1" x14ac:dyDescent="0.2">
      <c r="A67" s="45"/>
      <c r="B67" s="45"/>
      <c r="C67" s="45"/>
      <c r="D67" s="45"/>
      <c r="E67" s="55"/>
      <c r="F67" s="55"/>
      <c r="G67" s="55"/>
      <c r="H67" s="55"/>
      <c r="I67" s="66" cm="1">
        <f t="array" ref="I67">LOOKUP(2,1/(Data!$A:$A&lt;&gt;""),Data!$A:$A)</f>
        <v>66</v>
      </c>
      <c r="J67" s="66"/>
      <c r="K67" s="66"/>
      <c r="L67" s="66"/>
      <c r="M67" s="66"/>
      <c r="N67" s="45"/>
      <c r="O67" s="45"/>
      <c r="P67" s="67" cm="1">
        <f t="array" ref="P67">LOOKUP(2,1/(Data!$V:$V&lt;&gt;""),Data!$V:$V)</f>
        <v>448</v>
      </c>
      <c r="Q67" s="67"/>
      <c r="R67" s="67"/>
      <c r="S67" s="67"/>
      <c r="T67" s="67"/>
      <c r="U67" s="45"/>
      <c r="V67" s="45"/>
      <c r="W67" s="68" cm="1">
        <f t="array" ref="W67">LOOKUP(2,1/(Data!$W:$W&lt;&gt;""),Data!$W:$W)</f>
        <v>90</v>
      </c>
      <c r="X67" s="68"/>
      <c r="Y67" s="68"/>
      <c r="Z67" s="68"/>
      <c r="AA67" s="68"/>
      <c r="AB67" s="45"/>
      <c r="AC67" s="45"/>
      <c r="AD67" s="69" cm="1">
        <f t="array" ref="AD67">LOOKUP(2,1/(Data!$Y:$Y&lt;&gt;""),Data!$Y:$Y)</f>
        <v>13</v>
      </c>
      <c r="AE67" s="69"/>
      <c r="AF67" s="69"/>
      <c r="AG67" s="69"/>
      <c r="AH67" s="69"/>
      <c r="AI67" s="45"/>
      <c r="AJ67" s="45"/>
      <c r="AK67" s="70" cm="1">
        <f t="array" ref="AK67">LOOKUP(2,1/(Data!$X:$X&lt;&gt;""),Data!$X:$X)</f>
        <v>77</v>
      </c>
      <c r="AL67" s="70"/>
      <c r="AM67" s="70"/>
      <c r="AN67" s="70"/>
      <c r="AO67" s="70"/>
      <c r="AP67" s="45"/>
      <c r="AQ67" s="45"/>
      <c r="AR67" s="71" cm="1">
        <f t="array" ref="AR67">LOOKUP(2,1/(Data!$Z:$Z&lt;&gt;""),Data!$Z:$Z)</f>
        <v>0.8463677117297087</v>
      </c>
      <c r="AS67" s="71"/>
      <c r="AT67" s="71"/>
      <c r="AU67" s="71"/>
      <c r="AV67" s="71"/>
      <c r="AW67" s="45"/>
      <c r="AX67" s="45"/>
      <c r="AY67" s="45"/>
      <c r="AZ67" s="45"/>
      <c r="BA67" s="45"/>
      <c r="BB67" s="45"/>
      <c r="BC67" s="45"/>
      <c r="BD67" s="45"/>
    </row>
    <row r="68" spans="1:56" ht="15" customHeight="1" x14ac:dyDescent="0.2">
      <c r="A68" s="45"/>
      <c r="B68" s="45"/>
      <c r="C68" s="45"/>
      <c r="D68" s="45"/>
      <c r="E68" s="55"/>
      <c r="F68" s="55"/>
      <c r="G68" s="55"/>
      <c r="H68" s="55"/>
      <c r="I68" s="66"/>
      <c r="J68" s="66"/>
      <c r="K68" s="66"/>
      <c r="L68" s="66"/>
      <c r="M68" s="66"/>
      <c r="N68" s="45"/>
      <c r="O68" s="45"/>
      <c r="P68" s="67"/>
      <c r="Q68" s="67"/>
      <c r="R68" s="67"/>
      <c r="S68" s="67"/>
      <c r="T68" s="67"/>
      <c r="U68" s="45"/>
      <c r="V68" s="45"/>
      <c r="W68" s="68"/>
      <c r="X68" s="68"/>
      <c r="Y68" s="68"/>
      <c r="Z68" s="68"/>
      <c r="AA68" s="68"/>
      <c r="AB68" s="45"/>
      <c r="AC68" s="45"/>
      <c r="AD68" s="69"/>
      <c r="AE68" s="69"/>
      <c r="AF68" s="69"/>
      <c r="AG68" s="69"/>
      <c r="AH68" s="69"/>
      <c r="AI68" s="45"/>
      <c r="AJ68" s="45"/>
      <c r="AK68" s="70"/>
      <c r="AL68" s="70"/>
      <c r="AM68" s="70"/>
      <c r="AN68" s="70"/>
      <c r="AO68" s="70"/>
      <c r="AP68" s="45"/>
      <c r="AQ68" s="45"/>
      <c r="AR68" s="71"/>
      <c r="AS68" s="71"/>
      <c r="AT68" s="71"/>
      <c r="AU68" s="71"/>
      <c r="AV68" s="71"/>
      <c r="AW68" s="45"/>
      <c r="AX68" s="45"/>
      <c r="AY68" s="45"/>
      <c r="AZ68" s="45"/>
      <c r="BA68" s="45"/>
      <c r="BB68" s="45"/>
      <c r="BC68" s="45"/>
      <c r="BD68" s="45"/>
    </row>
    <row r="69" spans="1:56" ht="15" customHeight="1" x14ac:dyDescent="0.2">
      <c r="A69" s="45"/>
      <c r="B69" s="45"/>
      <c r="C69" s="45"/>
      <c r="D69" s="45"/>
      <c r="E69" s="55"/>
      <c r="F69" s="55"/>
      <c r="G69" s="55"/>
      <c r="H69" s="55"/>
      <c r="I69" s="66"/>
      <c r="J69" s="66"/>
      <c r="K69" s="66"/>
      <c r="L69" s="66"/>
      <c r="M69" s="66"/>
      <c r="N69" s="45"/>
      <c r="O69" s="45"/>
      <c r="P69" s="67"/>
      <c r="Q69" s="67"/>
      <c r="R69" s="67"/>
      <c r="S69" s="67"/>
      <c r="T69" s="67"/>
      <c r="U69" s="45"/>
      <c r="V69" s="45"/>
      <c r="W69" s="68"/>
      <c r="X69" s="68"/>
      <c r="Y69" s="68"/>
      <c r="Z69" s="68"/>
      <c r="AA69" s="68"/>
      <c r="AB69" s="45"/>
      <c r="AC69" s="45"/>
      <c r="AD69" s="69"/>
      <c r="AE69" s="69"/>
      <c r="AF69" s="69"/>
      <c r="AG69" s="69"/>
      <c r="AH69" s="69"/>
      <c r="AI69" s="45"/>
      <c r="AJ69" s="45"/>
      <c r="AK69" s="70"/>
      <c r="AL69" s="70"/>
      <c r="AM69" s="70"/>
      <c r="AN69" s="70"/>
      <c r="AO69" s="70"/>
      <c r="AP69" s="45"/>
      <c r="AQ69" s="45"/>
      <c r="AR69" s="71"/>
      <c r="AS69" s="71"/>
      <c r="AT69" s="71"/>
      <c r="AU69" s="71"/>
      <c r="AV69" s="71"/>
      <c r="AW69" s="45"/>
      <c r="AX69" s="45"/>
      <c r="AY69" s="45"/>
      <c r="AZ69" s="45"/>
      <c r="BA69" s="45"/>
      <c r="BB69" s="45"/>
      <c r="BC69" s="45"/>
      <c r="BD69" s="45"/>
    </row>
    <row r="70" spans="1:56" ht="15" customHeight="1" x14ac:dyDescent="0.2">
      <c r="A70" s="45"/>
      <c r="B70" s="45"/>
      <c r="C70" s="45"/>
      <c r="D70" s="45"/>
      <c r="E70" s="55"/>
      <c r="F70" s="55"/>
      <c r="G70" s="55"/>
      <c r="H70" s="55"/>
      <c r="I70" s="66"/>
      <c r="J70" s="66"/>
      <c r="K70" s="66"/>
      <c r="L70" s="66"/>
      <c r="M70" s="66"/>
      <c r="N70" s="45"/>
      <c r="O70" s="45"/>
      <c r="P70" s="67"/>
      <c r="Q70" s="67"/>
      <c r="R70" s="67"/>
      <c r="S70" s="67"/>
      <c r="T70" s="67"/>
      <c r="U70" s="45"/>
      <c r="V70" s="45"/>
      <c r="W70" s="68"/>
      <c r="X70" s="68"/>
      <c r="Y70" s="68"/>
      <c r="Z70" s="68"/>
      <c r="AA70" s="68"/>
      <c r="AB70" s="45"/>
      <c r="AC70" s="45"/>
      <c r="AD70" s="69"/>
      <c r="AE70" s="69"/>
      <c r="AF70" s="69"/>
      <c r="AG70" s="69"/>
      <c r="AH70" s="69"/>
      <c r="AI70" s="45"/>
      <c r="AJ70" s="45"/>
      <c r="AK70" s="70"/>
      <c r="AL70" s="70"/>
      <c r="AM70" s="70"/>
      <c r="AN70" s="70"/>
      <c r="AO70" s="70"/>
      <c r="AP70" s="45"/>
      <c r="AQ70" s="45"/>
      <c r="AR70" s="71"/>
      <c r="AS70" s="71"/>
      <c r="AT70" s="71"/>
      <c r="AU70" s="71"/>
      <c r="AV70" s="71"/>
      <c r="AW70" s="45"/>
      <c r="AX70" s="45"/>
      <c r="AY70" s="45"/>
      <c r="AZ70" s="45"/>
      <c r="BA70" s="45"/>
      <c r="BB70" s="45"/>
      <c r="BC70" s="45"/>
      <c r="BD70" s="45"/>
    </row>
    <row r="71" spans="1:56" ht="15" customHeight="1" x14ac:dyDescent="0.2">
      <c r="A71" s="45"/>
      <c r="B71" s="45"/>
      <c r="C71" s="45"/>
      <c r="D71" s="45"/>
      <c r="E71" s="46"/>
      <c r="F71" s="46"/>
      <c r="G71" s="46"/>
      <c r="H71" s="46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</row>
    <row r="72" spans="1:56" ht="15" customHeight="1" x14ac:dyDescent="0.2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</row>
    <row r="73" spans="1:56" x14ac:dyDescent="0.2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</row>
  </sheetData>
  <sheetProtection sheet="1" objects="1" scenarios="1"/>
  <mergeCells count="12">
    <mergeCell ref="AR65:AV65"/>
    <mergeCell ref="I67:M70"/>
    <mergeCell ref="P67:T70"/>
    <mergeCell ref="W67:AA70"/>
    <mergeCell ref="AD67:AH70"/>
    <mergeCell ref="AK67:AO70"/>
    <mergeCell ref="AR67:AV70"/>
    <mergeCell ref="I65:M65"/>
    <mergeCell ref="P65:T65"/>
    <mergeCell ref="W65:AA65"/>
    <mergeCell ref="AD65:AH65"/>
    <mergeCell ref="AK65:AO65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29B9-47B6-403F-928D-367BA952E502}">
  <dimension ref="A1:AA44"/>
  <sheetViews>
    <sheetView zoomScaleNormal="100" workbookViewId="0">
      <selection activeCell="K2" sqref="K2"/>
    </sheetView>
  </sheetViews>
  <sheetFormatPr baseColWidth="10" defaultColWidth="10.83203125" defaultRowHeight="15" x14ac:dyDescent="0.2"/>
  <cols>
    <col min="1" max="26" width="10.83203125" style="5"/>
    <col min="27" max="27" width="10.83203125" style="6"/>
    <col min="28" max="16384" width="10.83203125" style="7"/>
  </cols>
  <sheetData>
    <row r="1" spans="1:27" s="19" customFormat="1" ht="47" customHeight="1" thickBot="1" x14ac:dyDescent="0.25">
      <c r="A1" s="11" t="s">
        <v>1</v>
      </c>
      <c r="B1" s="12" t="s">
        <v>3</v>
      </c>
      <c r="C1" s="12" t="s">
        <v>5</v>
      </c>
      <c r="D1" s="13" t="s">
        <v>7</v>
      </c>
      <c r="E1" s="14" t="s">
        <v>9</v>
      </c>
      <c r="F1" s="14" t="s">
        <v>11</v>
      </c>
      <c r="G1" s="14" t="s">
        <v>46</v>
      </c>
      <c r="H1" s="15" t="s">
        <v>13</v>
      </c>
      <c r="I1" s="16" t="s">
        <v>15</v>
      </c>
      <c r="J1" s="16" t="s">
        <v>62</v>
      </c>
      <c r="K1" s="16" t="s">
        <v>17</v>
      </c>
      <c r="L1" s="14" t="s">
        <v>19</v>
      </c>
      <c r="M1" s="14" t="s">
        <v>21</v>
      </c>
      <c r="N1" s="14" t="s">
        <v>0</v>
      </c>
      <c r="O1" s="15" t="s">
        <v>23</v>
      </c>
      <c r="P1" s="16" t="s">
        <v>25</v>
      </c>
      <c r="Q1" s="16" t="s">
        <v>64</v>
      </c>
      <c r="R1" s="16" t="s">
        <v>27</v>
      </c>
      <c r="S1" s="12" t="s">
        <v>29</v>
      </c>
      <c r="T1" s="12" t="s">
        <v>76</v>
      </c>
      <c r="U1" s="13" t="s">
        <v>31</v>
      </c>
      <c r="V1" s="17" t="s">
        <v>69</v>
      </c>
      <c r="W1" s="17" t="s">
        <v>33</v>
      </c>
      <c r="X1" s="17" t="s">
        <v>35</v>
      </c>
      <c r="Y1" s="17" t="s">
        <v>37</v>
      </c>
      <c r="Z1" s="17" t="s">
        <v>39</v>
      </c>
      <c r="AA1" s="18" t="s">
        <v>41</v>
      </c>
    </row>
    <row r="2" spans="1:27" s="28" customFormat="1" x14ac:dyDescent="0.2">
      <c r="A2" s="20">
        <v>41</v>
      </c>
      <c r="B2" s="20">
        <v>535</v>
      </c>
      <c r="C2" s="21">
        <v>16</v>
      </c>
      <c r="D2" s="22">
        <v>104</v>
      </c>
      <c r="E2" s="21">
        <v>10</v>
      </c>
      <c r="F2" s="21">
        <v>7</v>
      </c>
      <c r="G2" s="21">
        <v>0</v>
      </c>
      <c r="H2" s="23">
        <f>E2+F2</f>
        <v>17</v>
      </c>
      <c r="I2" s="24">
        <f>C2-E2</f>
        <v>6</v>
      </c>
      <c r="J2" s="42">
        <f t="shared" ref="J2:J27" si="0">E2/H2</f>
        <v>0.58823529411764708</v>
      </c>
      <c r="K2" s="25">
        <f>F2/H2</f>
        <v>0.41176470588235292</v>
      </c>
      <c r="L2" s="21">
        <v>63</v>
      </c>
      <c r="M2" s="24">
        <v>28</v>
      </c>
      <c r="N2" s="21">
        <v>0</v>
      </c>
      <c r="O2" s="49">
        <f>Sprints[[#This Row],[Planned SP Done]]+Sprints[[#This Row],[Unplanned SP Done]]</f>
        <v>91</v>
      </c>
      <c r="P2" s="24">
        <f t="shared" ref="P2:P18" si="1">D2-L2</f>
        <v>41</v>
      </c>
      <c r="Q2" s="42">
        <f t="shared" ref="Q2:Q27" si="2">L2/O2</f>
        <v>0.69230769230769229</v>
      </c>
      <c r="R2" s="25">
        <f t="shared" ref="R2:R27" si="3">M2/O2</f>
        <v>0.30769230769230771</v>
      </c>
      <c r="S2" s="26">
        <f t="shared" ref="S2:S27" si="4">L2/D2</f>
        <v>0.60576923076923073</v>
      </c>
      <c r="T2" s="47">
        <f>1-(Sprints[[#This Row],[Total SP Done]]/Sprints[[#This Row],[Total Issues Done]])</f>
        <v>-4.3529411764705879</v>
      </c>
      <c r="U2" s="27">
        <f t="shared" ref="U2:U27" si="5">O2/B2</f>
        <v>0.17009345794392525</v>
      </c>
      <c r="V2" s="24">
        <v>513</v>
      </c>
      <c r="W2" s="24">
        <f>ROUNDUP(AVERAGE($U$2:U2)*Sprints[[#This Row],[Hours Next Sprint]],0)</f>
        <v>88</v>
      </c>
      <c r="X2" s="24">
        <f>W2-Y2</f>
        <v>60</v>
      </c>
      <c r="Y2" s="21">
        <f>ROUNDUP(W2*AVERAGE($R1:R2),0)</f>
        <v>28</v>
      </c>
      <c r="Z2" s="26">
        <f>AVERAGE($S1:S2)</f>
        <v>0.60576923076923073</v>
      </c>
      <c r="AA2" s="26">
        <f t="shared" ref="AA2:AA16" si="6">S3-Z2</f>
        <v>-1.3176638176638167E-2</v>
      </c>
    </row>
    <row r="3" spans="1:27" s="28" customFormat="1" x14ac:dyDescent="0.2">
      <c r="A3" s="20">
        <v>42</v>
      </c>
      <c r="B3" s="20">
        <f t="shared" ref="B3:B17" si="7">V2</f>
        <v>513</v>
      </c>
      <c r="C3" s="21">
        <v>16</v>
      </c>
      <c r="D3" s="22">
        <v>108</v>
      </c>
      <c r="E3" s="21">
        <v>11</v>
      </c>
      <c r="F3" s="21">
        <v>6</v>
      </c>
      <c r="G3" s="21">
        <v>1</v>
      </c>
      <c r="H3" s="36">
        <f t="shared" ref="H3:H16" si="8">E3+F3</f>
        <v>17</v>
      </c>
      <c r="I3" s="2">
        <f t="shared" ref="I3:I16" si="9">C3-E3</f>
        <v>5</v>
      </c>
      <c r="J3" s="43">
        <f t="shared" si="0"/>
        <v>0.6470588235294118</v>
      </c>
      <c r="K3" s="37">
        <f t="shared" ref="K3:K16" si="10">F3/H3</f>
        <v>0.35294117647058826</v>
      </c>
      <c r="L3" s="21">
        <v>64</v>
      </c>
      <c r="M3" s="24">
        <v>25</v>
      </c>
      <c r="N3" s="21">
        <v>3</v>
      </c>
      <c r="O3" s="49">
        <f>Sprints[[#This Row],[Planned SP Done]]+Sprints[[#This Row],[Unplanned SP Done]]</f>
        <v>89</v>
      </c>
      <c r="P3" s="24">
        <f t="shared" si="1"/>
        <v>44</v>
      </c>
      <c r="Q3" s="43">
        <f t="shared" si="2"/>
        <v>0.7191011235955056</v>
      </c>
      <c r="R3" s="37">
        <f t="shared" si="3"/>
        <v>0.2808988764044944</v>
      </c>
      <c r="S3" s="38">
        <f t="shared" si="4"/>
        <v>0.59259259259259256</v>
      </c>
      <c r="T3" s="3">
        <f>Sprints[[#This Row],[Total SP Done]]/Sprints[[#This Row],[Total Issues Done]]</f>
        <v>5.2352941176470589</v>
      </c>
      <c r="U3" s="39">
        <f t="shared" si="5"/>
        <v>0.17348927875243664</v>
      </c>
      <c r="V3" s="24">
        <v>374</v>
      </c>
      <c r="W3" s="24">
        <f>ROUNDUP(AVERAGE($U$2:U3)*Sprints[[#This Row],[Hours Next Sprint]],0)</f>
        <v>65</v>
      </c>
      <c r="X3" s="2">
        <f t="shared" ref="X3:X16" si="11">W3-Y3</f>
        <v>45</v>
      </c>
      <c r="Y3" s="1">
        <f>ROUNDUP(W3*AVERAGE($R1:R3),0)</f>
        <v>20</v>
      </c>
      <c r="Z3" s="38">
        <f>AVERAGE($S1:S3)</f>
        <v>0.5991809116809117</v>
      </c>
      <c r="AA3" s="26">
        <f t="shared" si="6"/>
        <v>-3.6680911680911699E-2</v>
      </c>
    </row>
    <row r="4" spans="1:27" s="28" customFormat="1" x14ac:dyDescent="0.2">
      <c r="A4" s="20">
        <v>43</v>
      </c>
      <c r="B4" s="20">
        <f t="shared" si="7"/>
        <v>374</v>
      </c>
      <c r="C4" s="21">
        <v>12</v>
      </c>
      <c r="D4" s="22">
        <v>80</v>
      </c>
      <c r="E4" s="21">
        <v>11</v>
      </c>
      <c r="F4" s="21">
        <v>6</v>
      </c>
      <c r="G4" s="21">
        <v>2</v>
      </c>
      <c r="H4" s="36">
        <f t="shared" ref="H4:H6" si="12">E4+F4</f>
        <v>17</v>
      </c>
      <c r="I4" s="2">
        <f t="shared" ref="I4:I6" si="13">C4-E4</f>
        <v>1</v>
      </c>
      <c r="J4" s="43">
        <f t="shared" si="0"/>
        <v>0.6470588235294118</v>
      </c>
      <c r="K4" s="37">
        <f t="shared" ref="K4:K6" si="14">F4/H4</f>
        <v>0.35294117647058826</v>
      </c>
      <c r="L4" s="21">
        <v>45</v>
      </c>
      <c r="M4" s="24">
        <v>22</v>
      </c>
      <c r="N4" s="21">
        <v>5</v>
      </c>
      <c r="O4" s="49">
        <f>Sprints[[#This Row],[Planned SP Done]]+Sprints[[#This Row],[Unplanned SP Done]]</f>
        <v>67</v>
      </c>
      <c r="P4" s="24">
        <f t="shared" si="1"/>
        <v>35</v>
      </c>
      <c r="Q4" s="43">
        <f t="shared" si="2"/>
        <v>0.67164179104477617</v>
      </c>
      <c r="R4" s="37">
        <f t="shared" si="3"/>
        <v>0.32835820895522388</v>
      </c>
      <c r="S4" s="38">
        <f t="shared" si="4"/>
        <v>0.5625</v>
      </c>
      <c r="T4" s="3">
        <f>Sprints[[#This Row],[Total SP Done]]/Sprints[[#This Row],[Total Issues Done]]</f>
        <v>3.9411764705882355</v>
      </c>
      <c r="U4" s="39">
        <f t="shared" si="5"/>
        <v>0.17914438502673796</v>
      </c>
      <c r="V4" s="24">
        <v>411</v>
      </c>
      <c r="W4" s="24">
        <f>ROUNDUP(AVERAGE($U$2:U4)*Sprints[[#This Row],[Hours Next Sprint]],0)</f>
        <v>72</v>
      </c>
      <c r="X4" s="2">
        <f t="shared" ref="X4:X6" si="15">W4-Y4</f>
        <v>49</v>
      </c>
      <c r="Y4" s="1">
        <f>ROUNDUP(W4*AVERAGE($R1:R4),0)</f>
        <v>23</v>
      </c>
      <c r="Z4" s="38">
        <f>AVERAGE($S1:S4)</f>
        <v>0.58695394112060784</v>
      </c>
      <c r="AA4" s="26">
        <f t="shared" si="6"/>
        <v>-4.7628098423978638E-2</v>
      </c>
    </row>
    <row r="5" spans="1:27" s="28" customFormat="1" x14ac:dyDescent="0.2">
      <c r="A5" s="20">
        <v>44</v>
      </c>
      <c r="B5" s="20">
        <f t="shared" si="7"/>
        <v>411</v>
      </c>
      <c r="C5" s="21">
        <v>14</v>
      </c>
      <c r="D5" s="22">
        <v>89</v>
      </c>
      <c r="E5" s="21">
        <v>11</v>
      </c>
      <c r="F5" s="21">
        <v>8</v>
      </c>
      <c r="G5" s="21">
        <v>1</v>
      </c>
      <c r="H5" s="36">
        <f t="shared" si="12"/>
        <v>19</v>
      </c>
      <c r="I5" s="2">
        <f t="shared" si="13"/>
        <v>3</v>
      </c>
      <c r="J5" s="43">
        <f t="shared" si="0"/>
        <v>0.57894736842105265</v>
      </c>
      <c r="K5" s="37">
        <f t="shared" si="14"/>
        <v>0.42105263157894735</v>
      </c>
      <c r="L5" s="21">
        <v>48</v>
      </c>
      <c r="M5" s="24">
        <v>27</v>
      </c>
      <c r="N5" s="21">
        <v>2</v>
      </c>
      <c r="O5" s="49">
        <f>Sprints[[#This Row],[Planned SP Done]]+Sprints[[#This Row],[Unplanned SP Done]]</f>
        <v>75</v>
      </c>
      <c r="P5" s="24">
        <f t="shared" si="1"/>
        <v>41</v>
      </c>
      <c r="Q5" s="43">
        <f t="shared" si="2"/>
        <v>0.64</v>
      </c>
      <c r="R5" s="37">
        <f t="shared" si="3"/>
        <v>0.36</v>
      </c>
      <c r="S5" s="38">
        <f t="shared" si="4"/>
        <v>0.5393258426966292</v>
      </c>
      <c r="T5" s="3">
        <f>Sprints[[#This Row],[Total SP Done]]/Sprints[[#This Row],[Total Issues Done]]</f>
        <v>3.9473684210526314</v>
      </c>
      <c r="U5" s="39">
        <f t="shared" si="5"/>
        <v>0.18248175182481752</v>
      </c>
      <c r="V5" s="24">
        <v>397</v>
      </c>
      <c r="W5" s="24">
        <f>ROUNDUP(AVERAGE($U$2:U5)*Sprints[[#This Row],[Hours Next Sprint]],0)</f>
        <v>70</v>
      </c>
      <c r="X5" s="2">
        <f t="shared" si="15"/>
        <v>47</v>
      </c>
      <c r="Y5" s="1">
        <f>ROUNDUP(W5*AVERAGE($R1:R5),0)</f>
        <v>23</v>
      </c>
      <c r="Z5" s="38">
        <f>AVERAGE($S1:S5)</f>
        <v>0.57504691651461315</v>
      </c>
      <c r="AA5" s="26">
        <f t="shared" si="6"/>
        <v>4.6005715064334263E-2</v>
      </c>
    </row>
    <row r="6" spans="1:27" s="28" customFormat="1" x14ac:dyDescent="0.2">
      <c r="A6" s="20">
        <v>45</v>
      </c>
      <c r="B6" s="20">
        <f t="shared" si="7"/>
        <v>397</v>
      </c>
      <c r="C6" s="21">
        <v>14</v>
      </c>
      <c r="D6" s="22">
        <v>95</v>
      </c>
      <c r="E6" s="21">
        <v>12</v>
      </c>
      <c r="F6" s="21">
        <v>5</v>
      </c>
      <c r="G6" s="21">
        <v>3</v>
      </c>
      <c r="H6" s="36">
        <f t="shared" si="12"/>
        <v>17</v>
      </c>
      <c r="I6" s="2">
        <f t="shared" si="13"/>
        <v>2</v>
      </c>
      <c r="J6" s="43">
        <f t="shared" si="0"/>
        <v>0.70588235294117652</v>
      </c>
      <c r="K6" s="37">
        <f t="shared" si="14"/>
        <v>0.29411764705882354</v>
      </c>
      <c r="L6" s="21">
        <v>59</v>
      </c>
      <c r="M6" s="24">
        <v>15</v>
      </c>
      <c r="N6" s="21">
        <v>6</v>
      </c>
      <c r="O6" s="49">
        <f>Sprints[[#This Row],[Planned SP Done]]+Sprints[[#This Row],[Unplanned SP Done]]</f>
        <v>74</v>
      </c>
      <c r="P6" s="24">
        <f t="shared" si="1"/>
        <v>36</v>
      </c>
      <c r="Q6" s="43">
        <f t="shared" si="2"/>
        <v>0.79729729729729726</v>
      </c>
      <c r="R6" s="37">
        <f t="shared" si="3"/>
        <v>0.20270270270270271</v>
      </c>
      <c r="S6" s="38">
        <f t="shared" si="4"/>
        <v>0.62105263157894741</v>
      </c>
      <c r="T6" s="3">
        <f>Sprints[[#This Row],[Total SP Done]]/Sprints[[#This Row],[Total Issues Done]]</f>
        <v>4.3529411764705879</v>
      </c>
      <c r="U6" s="39">
        <f t="shared" si="5"/>
        <v>0.18639798488664988</v>
      </c>
      <c r="V6" s="24">
        <v>437</v>
      </c>
      <c r="W6" s="24">
        <f>ROUNDUP(AVERAGE($U$2:U6)*Sprints[[#This Row],[Hours Next Sprint]],0)</f>
        <v>78</v>
      </c>
      <c r="X6" s="2">
        <f t="shared" si="15"/>
        <v>54</v>
      </c>
      <c r="Y6" s="1">
        <f>ROUNDUP(W6*AVERAGE($R2:R6),0)</f>
        <v>24</v>
      </c>
      <c r="Z6" s="38">
        <f>AVERAGE($S2:S6)</f>
        <v>0.58424805952748005</v>
      </c>
      <c r="AA6" s="26">
        <f t="shared" si="6"/>
        <v>7.9017246594968893E-2</v>
      </c>
    </row>
    <row r="7" spans="1:27" s="28" customFormat="1" x14ac:dyDescent="0.2">
      <c r="A7" s="20">
        <v>46</v>
      </c>
      <c r="B7" s="20">
        <f t="shared" si="7"/>
        <v>437</v>
      </c>
      <c r="C7" s="21">
        <v>16</v>
      </c>
      <c r="D7" s="22">
        <v>98</v>
      </c>
      <c r="E7" s="21">
        <v>8</v>
      </c>
      <c r="F7" s="21">
        <v>4</v>
      </c>
      <c r="G7" s="21">
        <v>1</v>
      </c>
      <c r="H7" s="36">
        <f t="shared" si="8"/>
        <v>12</v>
      </c>
      <c r="I7" s="2">
        <f t="shared" si="9"/>
        <v>8</v>
      </c>
      <c r="J7" s="43">
        <f t="shared" si="0"/>
        <v>0.66666666666666663</v>
      </c>
      <c r="K7" s="37">
        <f t="shared" si="10"/>
        <v>0.33333333333333331</v>
      </c>
      <c r="L7" s="21">
        <v>65</v>
      </c>
      <c r="M7" s="24">
        <v>19</v>
      </c>
      <c r="N7" s="21">
        <v>8</v>
      </c>
      <c r="O7" s="49">
        <f>Sprints[[#This Row],[Planned SP Done]]+Sprints[[#This Row],[Unplanned SP Done]]</f>
        <v>84</v>
      </c>
      <c r="P7" s="24">
        <f t="shared" si="1"/>
        <v>33</v>
      </c>
      <c r="Q7" s="43">
        <f t="shared" si="2"/>
        <v>0.77380952380952384</v>
      </c>
      <c r="R7" s="37">
        <f t="shared" si="3"/>
        <v>0.22619047619047619</v>
      </c>
      <c r="S7" s="38">
        <f t="shared" si="4"/>
        <v>0.66326530612244894</v>
      </c>
      <c r="T7" s="3">
        <f>Sprints[[#This Row],[Total SP Done]]/Sprints[[#This Row],[Total Issues Done]]</f>
        <v>7</v>
      </c>
      <c r="U7" s="39">
        <f t="shared" si="5"/>
        <v>0.19221967963386727</v>
      </c>
      <c r="V7" s="24">
        <v>435</v>
      </c>
      <c r="W7" s="24">
        <f>ROUNDUP(AVERAGE($U$2:U7)*Sprints[[#This Row],[Hours Next Sprint]],0)</f>
        <v>79</v>
      </c>
      <c r="X7" s="2">
        <f t="shared" si="11"/>
        <v>56</v>
      </c>
      <c r="Y7" s="1">
        <f>ROUNDUP(W7*AVERAGE($R1:R7),0)</f>
        <v>23</v>
      </c>
      <c r="Z7" s="38">
        <f>AVERAGE($S1:S7)</f>
        <v>0.59741760062664151</v>
      </c>
      <c r="AA7" s="26">
        <f t="shared" si="6"/>
        <v>3.6510970801929887E-2</v>
      </c>
    </row>
    <row r="8" spans="1:27" s="28" customFormat="1" x14ac:dyDescent="0.2">
      <c r="A8" s="20">
        <v>47</v>
      </c>
      <c r="B8" s="20">
        <f t="shared" si="7"/>
        <v>435</v>
      </c>
      <c r="C8" s="21">
        <v>17</v>
      </c>
      <c r="D8" s="22">
        <v>112</v>
      </c>
      <c r="E8" s="21">
        <v>12</v>
      </c>
      <c r="F8" s="21">
        <v>4</v>
      </c>
      <c r="G8" s="21">
        <v>2</v>
      </c>
      <c r="H8" s="36">
        <f t="shared" si="8"/>
        <v>16</v>
      </c>
      <c r="I8" s="2">
        <f t="shared" si="9"/>
        <v>5</v>
      </c>
      <c r="J8" s="43">
        <f t="shared" si="0"/>
        <v>0.75</v>
      </c>
      <c r="K8" s="37">
        <f t="shared" si="10"/>
        <v>0.25</v>
      </c>
      <c r="L8" s="21">
        <v>71</v>
      </c>
      <c r="M8" s="24">
        <v>14</v>
      </c>
      <c r="N8" s="21">
        <v>3</v>
      </c>
      <c r="O8" s="49">
        <f>Sprints[[#This Row],[Planned SP Done]]+Sprints[[#This Row],[Unplanned SP Done]]</f>
        <v>85</v>
      </c>
      <c r="P8" s="24">
        <f t="shared" si="1"/>
        <v>41</v>
      </c>
      <c r="Q8" s="43">
        <f t="shared" si="2"/>
        <v>0.83529411764705885</v>
      </c>
      <c r="R8" s="37">
        <f t="shared" si="3"/>
        <v>0.16470588235294117</v>
      </c>
      <c r="S8" s="38">
        <f t="shared" si="4"/>
        <v>0.6339285714285714</v>
      </c>
      <c r="T8" s="3">
        <f>Sprints[[#This Row],[Total SP Done]]/Sprints[[#This Row],[Total Issues Done]]</f>
        <v>5.3125</v>
      </c>
      <c r="U8" s="39">
        <f t="shared" si="5"/>
        <v>0.19540229885057472</v>
      </c>
      <c r="V8" s="24">
        <v>334</v>
      </c>
      <c r="W8" s="24">
        <f>ROUNDUP(AVERAGE($U8:U$17)*Sprints[[#This Row],[Hours Next Sprint]],0)</f>
        <v>72</v>
      </c>
      <c r="X8" s="2">
        <f t="shared" si="11"/>
        <v>52</v>
      </c>
      <c r="Y8" s="1">
        <f>ROUNDUP(W8*AVERAGE($R1:R8),0)</f>
        <v>20</v>
      </c>
      <c r="Z8" s="38">
        <f>AVERAGE($S1:S8)</f>
        <v>0.60263345359834575</v>
      </c>
      <c r="AA8" s="26">
        <f t="shared" si="6"/>
        <v>0.10468361957238592</v>
      </c>
    </row>
    <row r="9" spans="1:27" s="28" customFormat="1" x14ac:dyDescent="0.2">
      <c r="A9" s="20">
        <v>48</v>
      </c>
      <c r="B9" s="20">
        <f t="shared" si="7"/>
        <v>334</v>
      </c>
      <c r="C9" s="21">
        <v>14</v>
      </c>
      <c r="D9" s="22">
        <v>82</v>
      </c>
      <c r="E9" s="21">
        <v>13</v>
      </c>
      <c r="F9" s="21">
        <v>6</v>
      </c>
      <c r="G9" s="21">
        <v>4</v>
      </c>
      <c r="H9" s="36">
        <f t="shared" si="8"/>
        <v>19</v>
      </c>
      <c r="I9" s="2">
        <f t="shared" si="9"/>
        <v>1</v>
      </c>
      <c r="J9" s="43">
        <f t="shared" si="0"/>
        <v>0.68421052631578949</v>
      </c>
      <c r="K9" s="37">
        <f t="shared" si="10"/>
        <v>0.31578947368421051</v>
      </c>
      <c r="L9" s="21">
        <v>58</v>
      </c>
      <c r="M9" s="24">
        <v>9</v>
      </c>
      <c r="N9" s="21">
        <v>12</v>
      </c>
      <c r="O9" s="49">
        <f>Sprints[[#This Row],[Planned SP Done]]+Sprints[[#This Row],[Unplanned SP Done]]</f>
        <v>67</v>
      </c>
      <c r="P9" s="24">
        <f t="shared" si="1"/>
        <v>24</v>
      </c>
      <c r="Q9" s="43">
        <f t="shared" si="2"/>
        <v>0.86567164179104472</v>
      </c>
      <c r="R9" s="37">
        <f t="shared" si="3"/>
        <v>0.13432835820895522</v>
      </c>
      <c r="S9" s="38">
        <f t="shared" si="4"/>
        <v>0.70731707317073167</v>
      </c>
      <c r="T9" s="3">
        <f>Sprints[[#This Row],[Total SP Done]]/Sprints[[#This Row],[Total Issues Done]]</f>
        <v>3.5263157894736841</v>
      </c>
      <c r="U9" s="39">
        <f t="shared" si="5"/>
        <v>0.20059880239520958</v>
      </c>
      <c r="V9" s="24">
        <v>453</v>
      </c>
      <c r="W9" s="24">
        <f>ROUNDUP(AVERAGE($U9:U$17)*Sprints[[#This Row],[Hours Next Sprint]],0)</f>
        <v>98</v>
      </c>
      <c r="X9" s="2">
        <f t="shared" si="11"/>
        <v>73</v>
      </c>
      <c r="Y9" s="1">
        <f>ROUNDUP(W9*AVERAGE($R2:R9),0)</f>
        <v>25</v>
      </c>
      <c r="Z9" s="38">
        <f>AVERAGE($S2:S9)</f>
        <v>0.61571890604489399</v>
      </c>
      <c r="AA9" s="26">
        <f t="shared" si="6"/>
        <v>9.8566808240820314E-2</v>
      </c>
    </row>
    <row r="10" spans="1:27" s="28" customFormat="1" x14ac:dyDescent="0.2">
      <c r="A10" s="20">
        <v>49</v>
      </c>
      <c r="B10" s="20">
        <f t="shared" si="7"/>
        <v>453</v>
      </c>
      <c r="C10" s="21">
        <v>19</v>
      </c>
      <c r="D10" s="22">
        <v>105</v>
      </c>
      <c r="E10" s="21">
        <v>8</v>
      </c>
      <c r="F10" s="21">
        <v>8</v>
      </c>
      <c r="G10" s="21">
        <v>5</v>
      </c>
      <c r="H10" s="36">
        <f t="shared" si="8"/>
        <v>16</v>
      </c>
      <c r="I10" s="2">
        <f t="shared" si="9"/>
        <v>11</v>
      </c>
      <c r="J10" s="43">
        <f t="shared" si="0"/>
        <v>0.5</v>
      </c>
      <c r="K10" s="37">
        <f t="shared" si="10"/>
        <v>0.5</v>
      </c>
      <c r="L10" s="21">
        <v>75</v>
      </c>
      <c r="M10" s="24">
        <v>17</v>
      </c>
      <c r="N10" s="21">
        <v>12</v>
      </c>
      <c r="O10" s="49">
        <f>Sprints[[#This Row],[Planned SP Done]]+Sprints[[#This Row],[Unplanned SP Done]]</f>
        <v>92</v>
      </c>
      <c r="P10" s="24">
        <f t="shared" si="1"/>
        <v>30</v>
      </c>
      <c r="Q10" s="43">
        <f t="shared" si="2"/>
        <v>0.81521739130434778</v>
      </c>
      <c r="R10" s="37">
        <f t="shared" si="3"/>
        <v>0.18478260869565216</v>
      </c>
      <c r="S10" s="38">
        <f t="shared" si="4"/>
        <v>0.7142857142857143</v>
      </c>
      <c r="T10" s="3">
        <f>Sprints[[#This Row],[Total SP Done]]/Sprints[[#This Row],[Total Issues Done]]</f>
        <v>5.75</v>
      </c>
      <c r="U10" s="39">
        <f t="shared" si="5"/>
        <v>0.20309050772626933</v>
      </c>
      <c r="V10" s="24">
        <v>527</v>
      </c>
      <c r="W10" s="24">
        <f>ROUNDUP(AVERAGE($U10:U$17)*Sprints[[#This Row],[Hours Next Sprint]],0)</f>
        <v>115</v>
      </c>
      <c r="X10" s="2">
        <f t="shared" si="11"/>
        <v>87</v>
      </c>
      <c r="Y10" s="1">
        <f>ROUNDUP(W10*AVERAGE($R3:R10),0)</f>
        <v>28</v>
      </c>
      <c r="Z10" s="38">
        <f>AVERAGE($S3:S10)</f>
        <v>0.62928346648445443</v>
      </c>
      <c r="AA10" s="26">
        <f t="shared" si="6"/>
        <v>2.9253118881399254E-2</v>
      </c>
    </row>
    <row r="11" spans="1:27" s="28" customFormat="1" x14ac:dyDescent="0.2">
      <c r="A11" s="20">
        <v>50</v>
      </c>
      <c r="B11" s="20">
        <f t="shared" si="7"/>
        <v>527</v>
      </c>
      <c r="C11" s="21">
        <v>23</v>
      </c>
      <c r="D11" s="22">
        <v>123</v>
      </c>
      <c r="E11" s="21">
        <v>16</v>
      </c>
      <c r="F11" s="21">
        <v>4</v>
      </c>
      <c r="G11" s="21">
        <v>5</v>
      </c>
      <c r="H11" s="36">
        <f t="shared" si="8"/>
        <v>20</v>
      </c>
      <c r="I11" s="2">
        <f t="shared" si="9"/>
        <v>7</v>
      </c>
      <c r="J11" s="43">
        <f t="shared" si="0"/>
        <v>0.8</v>
      </c>
      <c r="K11" s="37">
        <f t="shared" si="10"/>
        <v>0.2</v>
      </c>
      <c r="L11" s="21">
        <v>81</v>
      </c>
      <c r="M11" s="24">
        <v>29</v>
      </c>
      <c r="N11" s="21">
        <v>15</v>
      </c>
      <c r="O11" s="49">
        <f>Sprints[[#This Row],[Planned SP Done]]+Sprints[[#This Row],[Unplanned SP Done]]</f>
        <v>110</v>
      </c>
      <c r="P11" s="24">
        <f t="shared" si="1"/>
        <v>42</v>
      </c>
      <c r="Q11" s="43">
        <f t="shared" si="2"/>
        <v>0.73636363636363633</v>
      </c>
      <c r="R11" s="37">
        <f t="shared" si="3"/>
        <v>0.26363636363636361</v>
      </c>
      <c r="S11" s="38">
        <f t="shared" si="4"/>
        <v>0.65853658536585369</v>
      </c>
      <c r="T11" s="3">
        <f>Sprints[[#This Row],[Total SP Done]]/Sprints[[#This Row],[Total Issues Done]]</f>
        <v>5.5</v>
      </c>
      <c r="U11" s="39">
        <f t="shared" si="5"/>
        <v>0.20872865275142316</v>
      </c>
      <c r="V11" s="24">
        <v>343</v>
      </c>
      <c r="W11" s="24">
        <f>ROUNDUP(AVERAGE($U11:U$17)*Sprints[[#This Row],[Hours Next Sprint]],0)</f>
        <v>76</v>
      </c>
      <c r="X11" s="2">
        <f t="shared" si="11"/>
        <v>61</v>
      </c>
      <c r="Y11" s="1">
        <f>ROUNDUP(W11*AVERAGE($R7:R11),0)</f>
        <v>15</v>
      </c>
      <c r="Z11" s="38">
        <f>AVERAGE($S7:S11)</f>
        <v>0.675466650074664</v>
      </c>
      <c r="AA11" s="26">
        <f t="shared" si="6"/>
        <v>-0.18567073170731707</v>
      </c>
    </row>
    <row r="12" spans="1:27" s="28" customFormat="1" x14ac:dyDescent="0.2">
      <c r="A12" s="20">
        <v>51</v>
      </c>
      <c r="B12" s="20">
        <f t="shared" si="7"/>
        <v>343</v>
      </c>
      <c r="C12" s="21">
        <v>16</v>
      </c>
      <c r="D12" s="22">
        <v>98</v>
      </c>
      <c r="E12" s="21">
        <v>10</v>
      </c>
      <c r="F12" s="21">
        <v>5</v>
      </c>
      <c r="G12" s="21">
        <v>3</v>
      </c>
      <c r="H12" s="36">
        <f t="shared" si="8"/>
        <v>15</v>
      </c>
      <c r="I12" s="2">
        <f t="shared" si="9"/>
        <v>6</v>
      </c>
      <c r="J12" s="43">
        <f t="shared" si="0"/>
        <v>0.66666666666666663</v>
      </c>
      <c r="K12" s="37">
        <f t="shared" si="10"/>
        <v>0.33333333333333331</v>
      </c>
      <c r="L12" s="21">
        <v>48</v>
      </c>
      <c r="M12" s="24">
        <v>25</v>
      </c>
      <c r="N12" s="21">
        <v>14</v>
      </c>
      <c r="O12" s="49">
        <f>Sprints[[#This Row],[Planned SP Done]]+Sprints[[#This Row],[Unplanned SP Done]]</f>
        <v>73</v>
      </c>
      <c r="P12" s="24">
        <f t="shared" si="1"/>
        <v>50</v>
      </c>
      <c r="Q12" s="43">
        <f t="shared" si="2"/>
        <v>0.65753424657534243</v>
      </c>
      <c r="R12" s="37">
        <f t="shared" si="3"/>
        <v>0.34246575342465752</v>
      </c>
      <c r="S12" s="38">
        <f t="shared" si="4"/>
        <v>0.48979591836734693</v>
      </c>
      <c r="T12" s="3">
        <f>Sprints[[#This Row],[Total SP Done]]/Sprints[[#This Row],[Total Issues Done]]</f>
        <v>4.8666666666666663</v>
      </c>
      <c r="U12" s="39">
        <f t="shared" si="5"/>
        <v>0.21282798833819241</v>
      </c>
      <c r="V12" s="24">
        <v>399</v>
      </c>
      <c r="W12" s="24">
        <f>ROUNDUP(AVERAGE($U12:U$17)*Sprints[[#This Row],[Hours Next Sprint]],0)</f>
        <v>89</v>
      </c>
      <c r="X12" s="2">
        <f t="shared" si="11"/>
        <v>69</v>
      </c>
      <c r="Y12" s="1">
        <f>ROUNDUP(W12*AVERAGE($R8:R12),0)</f>
        <v>20</v>
      </c>
      <c r="Z12" s="38">
        <f>AVERAGE($S8:S12)</f>
        <v>0.64077277252364362</v>
      </c>
      <c r="AA12" s="26">
        <f t="shared" si="6"/>
        <v>2.5893894143023011E-2</v>
      </c>
    </row>
    <row r="13" spans="1:27" s="28" customFormat="1" x14ac:dyDescent="0.2">
      <c r="A13" s="20">
        <v>52</v>
      </c>
      <c r="B13" s="20">
        <f t="shared" si="7"/>
        <v>399</v>
      </c>
      <c r="C13" s="21">
        <v>19</v>
      </c>
      <c r="D13" s="22">
        <v>120</v>
      </c>
      <c r="E13" s="21">
        <v>16</v>
      </c>
      <c r="F13" s="21">
        <v>2</v>
      </c>
      <c r="G13" s="21">
        <v>2</v>
      </c>
      <c r="H13" s="36">
        <f t="shared" si="8"/>
        <v>18</v>
      </c>
      <c r="I13" s="2">
        <f t="shared" si="9"/>
        <v>3</v>
      </c>
      <c r="J13" s="43">
        <f t="shared" si="0"/>
        <v>0.88888888888888884</v>
      </c>
      <c r="K13" s="37">
        <f t="shared" si="10"/>
        <v>0.1111111111111111</v>
      </c>
      <c r="L13" s="21">
        <v>80</v>
      </c>
      <c r="M13" s="24">
        <v>6</v>
      </c>
      <c r="N13" s="21">
        <v>6</v>
      </c>
      <c r="O13" s="49">
        <f>Sprints[[#This Row],[Planned SP Done]]+Sprints[[#This Row],[Unplanned SP Done]]</f>
        <v>86</v>
      </c>
      <c r="P13" s="24">
        <f t="shared" si="1"/>
        <v>40</v>
      </c>
      <c r="Q13" s="43">
        <f t="shared" si="2"/>
        <v>0.93023255813953487</v>
      </c>
      <c r="R13" s="37">
        <f t="shared" si="3"/>
        <v>6.9767441860465115E-2</v>
      </c>
      <c r="S13" s="38">
        <f t="shared" si="4"/>
        <v>0.66666666666666663</v>
      </c>
      <c r="T13" s="3">
        <f>Sprints[[#This Row],[Total SP Done]]/Sprints[[#This Row],[Total Issues Done]]</f>
        <v>4.7777777777777777</v>
      </c>
      <c r="U13" s="39">
        <f t="shared" si="5"/>
        <v>0.21553884711779447</v>
      </c>
      <c r="V13" s="24">
        <v>402</v>
      </c>
      <c r="W13" s="24">
        <f>ROUNDUP(AVERAGE($U13:U$17)*Sprints[[#This Row],[Hours Next Sprint]],0)</f>
        <v>90</v>
      </c>
      <c r="X13" s="2">
        <f t="shared" si="11"/>
        <v>72</v>
      </c>
      <c r="Y13" s="1">
        <f>ROUNDUP(W13*AVERAGE($R9:R13),0)</f>
        <v>18</v>
      </c>
      <c r="Z13" s="38">
        <f>AVERAGE($S9:S13)</f>
        <v>0.64732039157126264</v>
      </c>
      <c r="AA13" s="26">
        <f t="shared" si="6"/>
        <v>1.3549173646128621E-2</v>
      </c>
    </row>
    <row r="14" spans="1:27" s="28" customFormat="1" x14ac:dyDescent="0.2">
      <c r="A14" s="20">
        <v>53</v>
      </c>
      <c r="B14" s="20">
        <f t="shared" si="7"/>
        <v>402</v>
      </c>
      <c r="C14" s="21">
        <v>20</v>
      </c>
      <c r="D14" s="22">
        <v>115</v>
      </c>
      <c r="E14" s="21">
        <v>17</v>
      </c>
      <c r="F14" s="21">
        <v>3</v>
      </c>
      <c r="G14" s="21">
        <v>4</v>
      </c>
      <c r="H14" s="36">
        <f t="shared" si="8"/>
        <v>20</v>
      </c>
      <c r="I14" s="2">
        <f t="shared" si="9"/>
        <v>3</v>
      </c>
      <c r="J14" s="43">
        <f t="shared" si="0"/>
        <v>0.85</v>
      </c>
      <c r="K14" s="37">
        <f t="shared" si="10"/>
        <v>0.15</v>
      </c>
      <c r="L14" s="21">
        <v>76</v>
      </c>
      <c r="M14" s="24">
        <v>13</v>
      </c>
      <c r="N14" s="21">
        <v>8</v>
      </c>
      <c r="O14" s="49">
        <f>Sprints[[#This Row],[Planned SP Done]]+Sprints[[#This Row],[Unplanned SP Done]]</f>
        <v>89</v>
      </c>
      <c r="P14" s="24">
        <f t="shared" si="1"/>
        <v>39</v>
      </c>
      <c r="Q14" s="43">
        <f t="shared" si="2"/>
        <v>0.8539325842696629</v>
      </c>
      <c r="R14" s="37">
        <f t="shared" si="3"/>
        <v>0.14606741573033707</v>
      </c>
      <c r="S14" s="38">
        <f t="shared" si="4"/>
        <v>0.66086956521739126</v>
      </c>
      <c r="T14" s="3">
        <f>Sprints[[#This Row],[Total SP Done]]/Sprints[[#This Row],[Total Issues Done]]</f>
        <v>4.45</v>
      </c>
      <c r="U14" s="39">
        <f t="shared" si="5"/>
        <v>0.22139303482587064</v>
      </c>
      <c r="V14" s="24">
        <v>314</v>
      </c>
      <c r="W14" s="24">
        <f>ROUNDUP(AVERAGE($U14:U$17)*Sprints[[#This Row],[Hours Next Sprint]],0)</f>
        <v>71</v>
      </c>
      <c r="X14" s="2">
        <f t="shared" si="11"/>
        <v>56</v>
      </c>
      <c r="Y14" s="1">
        <f>ROUNDUP(W14*AVERAGE($R10:R14),0)</f>
        <v>15</v>
      </c>
      <c r="Z14" s="38">
        <f>AVERAGE($S10:S14)</f>
        <v>0.63803088998059443</v>
      </c>
      <c r="AA14" s="26">
        <f t="shared" si="6"/>
        <v>7.2812483513381432E-2</v>
      </c>
    </row>
    <row r="15" spans="1:27" s="28" customFormat="1" x14ac:dyDescent="0.2">
      <c r="A15" s="20">
        <v>54</v>
      </c>
      <c r="B15" s="20">
        <f t="shared" si="7"/>
        <v>314</v>
      </c>
      <c r="C15" s="21">
        <v>16</v>
      </c>
      <c r="D15" s="22">
        <v>83</v>
      </c>
      <c r="E15" s="21">
        <v>14</v>
      </c>
      <c r="F15" s="21">
        <v>4</v>
      </c>
      <c r="G15" s="21">
        <v>6</v>
      </c>
      <c r="H15" s="36">
        <f t="shared" si="8"/>
        <v>18</v>
      </c>
      <c r="I15" s="2">
        <f t="shared" si="9"/>
        <v>2</v>
      </c>
      <c r="J15" s="43">
        <f t="shared" si="0"/>
        <v>0.77777777777777779</v>
      </c>
      <c r="K15" s="37">
        <f t="shared" si="10"/>
        <v>0.22222222222222221</v>
      </c>
      <c r="L15" s="21">
        <v>59</v>
      </c>
      <c r="M15" s="24">
        <v>12</v>
      </c>
      <c r="N15" s="21">
        <v>8</v>
      </c>
      <c r="O15" s="49">
        <f>Sprints[[#This Row],[Planned SP Done]]+Sprints[[#This Row],[Unplanned SP Done]]</f>
        <v>71</v>
      </c>
      <c r="P15" s="24">
        <f t="shared" si="1"/>
        <v>24</v>
      </c>
      <c r="Q15" s="43">
        <f t="shared" si="2"/>
        <v>0.83098591549295775</v>
      </c>
      <c r="R15" s="37">
        <f t="shared" si="3"/>
        <v>0.16901408450704225</v>
      </c>
      <c r="S15" s="38">
        <f t="shared" si="4"/>
        <v>0.71084337349397586</v>
      </c>
      <c r="T15" s="3">
        <f>Sprints[[#This Row],[Total SP Done]]/Sprints[[#This Row],[Total Issues Done]]</f>
        <v>3.9444444444444446</v>
      </c>
      <c r="U15" s="39">
        <f t="shared" si="5"/>
        <v>0.22611464968152867</v>
      </c>
      <c r="V15" s="24">
        <v>520</v>
      </c>
      <c r="W15" s="24">
        <f>ROUNDUP(AVERAGE($U15:U$17)*Sprints[[#This Row],[Hours Next Sprint]],0)</f>
        <v>118</v>
      </c>
      <c r="X15" s="2">
        <f t="shared" si="11"/>
        <v>94</v>
      </c>
      <c r="Y15" s="1">
        <f>ROUNDUP(W15*AVERAGE($R11:R15),0)</f>
        <v>24</v>
      </c>
      <c r="Z15" s="38">
        <f>AVERAGE($S11:S15)</f>
        <v>0.63734242182224699</v>
      </c>
      <c r="AA15" s="26">
        <f t="shared" si="6"/>
        <v>0.31592860621513619</v>
      </c>
    </row>
    <row r="16" spans="1:27" s="28" customFormat="1" x14ac:dyDescent="0.2">
      <c r="A16" s="20">
        <v>55</v>
      </c>
      <c r="B16" s="20">
        <f t="shared" si="7"/>
        <v>520</v>
      </c>
      <c r="C16" s="21">
        <v>21</v>
      </c>
      <c r="D16" s="22">
        <v>107</v>
      </c>
      <c r="E16" s="21">
        <v>18</v>
      </c>
      <c r="F16" s="21">
        <v>3</v>
      </c>
      <c r="G16" s="21">
        <v>4</v>
      </c>
      <c r="H16" s="36">
        <f t="shared" si="8"/>
        <v>21</v>
      </c>
      <c r="I16" s="2">
        <f t="shared" si="9"/>
        <v>3</v>
      </c>
      <c r="J16" s="43">
        <f t="shared" si="0"/>
        <v>0.8571428571428571</v>
      </c>
      <c r="K16" s="37">
        <f t="shared" si="10"/>
        <v>0.14285714285714285</v>
      </c>
      <c r="L16" s="21">
        <v>102</v>
      </c>
      <c r="M16" s="24">
        <v>17</v>
      </c>
      <c r="N16" s="21">
        <v>12</v>
      </c>
      <c r="O16" s="49">
        <f>Sprints[[#This Row],[Planned SP Done]]+Sprints[[#This Row],[Unplanned SP Done]]</f>
        <v>119</v>
      </c>
      <c r="P16" s="24">
        <f t="shared" si="1"/>
        <v>5</v>
      </c>
      <c r="Q16" s="43">
        <f t="shared" si="2"/>
        <v>0.8571428571428571</v>
      </c>
      <c r="R16" s="37">
        <f t="shared" si="3"/>
        <v>0.14285714285714285</v>
      </c>
      <c r="S16" s="38">
        <f t="shared" si="4"/>
        <v>0.95327102803738317</v>
      </c>
      <c r="T16" s="3">
        <f>Sprints[[#This Row],[Total SP Done]]/Sprints[[#This Row],[Total Issues Done]]</f>
        <v>5.666666666666667</v>
      </c>
      <c r="U16" s="39">
        <f t="shared" si="5"/>
        <v>0.22884615384615384</v>
      </c>
      <c r="V16" s="2">
        <v>535</v>
      </c>
      <c r="W16" s="24">
        <f>ROUNDUP(AVERAGE($U16:U$17)*Sprints[[#This Row],[Hours Next Sprint]],0)</f>
        <v>121</v>
      </c>
      <c r="X16" s="2">
        <f t="shared" si="11"/>
        <v>99</v>
      </c>
      <c r="Y16" s="1">
        <f>ROUNDUP(W16*AVERAGE($R12:R16),0)</f>
        <v>22</v>
      </c>
      <c r="Z16" s="38">
        <f>AVERAGE($S12:S16)</f>
        <v>0.69628931035655273</v>
      </c>
      <c r="AA16" s="26">
        <f t="shared" si="6"/>
        <v>0.24488716023168255</v>
      </c>
    </row>
    <row r="17" spans="1:27" s="28" customFormat="1" x14ac:dyDescent="0.2">
      <c r="A17" s="20">
        <v>56</v>
      </c>
      <c r="B17" s="20">
        <f t="shared" si="7"/>
        <v>535</v>
      </c>
      <c r="C17" s="21">
        <v>23</v>
      </c>
      <c r="D17" s="22">
        <v>102</v>
      </c>
      <c r="E17" s="21">
        <v>20</v>
      </c>
      <c r="F17" s="21">
        <v>4</v>
      </c>
      <c r="G17" s="21">
        <v>1</v>
      </c>
      <c r="H17" s="23">
        <f t="shared" ref="H17:H27" si="16">E17+F17</f>
        <v>24</v>
      </c>
      <c r="I17" s="24">
        <f t="shared" ref="I17:I27" si="17">C17-E17</f>
        <v>3</v>
      </c>
      <c r="J17" s="51">
        <f t="shared" si="0"/>
        <v>0.83333333333333337</v>
      </c>
      <c r="K17" s="25">
        <f t="shared" ref="K17:K27" si="18">F17/H17</f>
        <v>0.16666666666666666</v>
      </c>
      <c r="L17" s="21">
        <v>96</v>
      </c>
      <c r="M17" s="21">
        <v>23</v>
      </c>
      <c r="N17" s="21">
        <v>5</v>
      </c>
      <c r="O17" s="49">
        <f>Sprints[[#This Row],[Planned SP Done]]+Sprints[[#This Row],[Unplanned SP Done]]</f>
        <v>119</v>
      </c>
      <c r="P17" s="24">
        <f t="shared" si="1"/>
        <v>6</v>
      </c>
      <c r="Q17" s="51">
        <f t="shared" si="2"/>
        <v>0.80672268907563027</v>
      </c>
      <c r="R17" s="25">
        <f t="shared" si="3"/>
        <v>0.19327731092436976</v>
      </c>
      <c r="S17" s="26">
        <f t="shared" si="4"/>
        <v>0.94117647058823528</v>
      </c>
      <c r="T17" s="47">
        <f>Sprints[[#This Row],[Total SP Done]]/Sprints[[#This Row],[Total Issues Done]]</f>
        <v>4.958333333333333</v>
      </c>
      <c r="U17" s="27">
        <f t="shared" si="5"/>
        <v>0.22242990654205608</v>
      </c>
      <c r="V17" s="24">
        <v>378</v>
      </c>
      <c r="W17" s="24">
        <f>ROUNDUP(AVERAGE($U$17:U17)*Sprints[[#This Row],[Hours Next Sprint]],0)</f>
        <v>85</v>
      </c>
      <c r="X17" s="24">
        <f t="shared" ref="X17:X27" si="19">W17-Y17</f>
        <v>68</v>
      </c>
      <c r="Y17" s="21">
        <f>ROUNDUP(W17*AVERAGE($R$17:R17),0)</f>
        <v>17</v>
      </c>
      <c r="Z17" s="26">
        <f>AVERAGE($S$17:S17)</f>
        <v>0.94117647058823528</v>
      </c>
      <c r="AA17" s="26">
        <f t="shared" ref="AA17:AA27" si="20">S18-Z17</f>
        <v>4.6165301563663497E-2</v>
      </c>
    </row>
    <row r="18" spans="1:27" s="28" customFormat="1" x14ac:dyDescent="0.2">
      <c r="A18" s="20">
        <v>57</v>
      </c>
      <c r="B18" s="20">
        <f t="shared" ref="B18:B27" si="21">V17</f>
        <v>378</v>
      </c>
      <c r="C18" s="21">
        <v>19</v>
      </c>
      <c r="D18" s="22">
        <v>79</v>
      </c>
      <c r="E18" s="21">
        <v>16</v>
      </c>
      <c r="F18" s="21">
        <v>2</v>
      </c>
      <c r="G18" s="21">
        <v>4</v>
      </c>
      <c r="H18" s="23">
        <f t="shared" si="16"/>
        <v>18</v>
      </c>
      <c r="I18" s="24">
        <f t="shared" si="17"/>
        <v>3</v>
      </c>
      <c r="J18" s="42">
        <f t="shared" si="0"/>
        <v>0.88888888888888884</v>
      </c>
      <c r="K18" s="25">
        <f t="shared" si="18"/>
        <v>0.1111111111111111</v>
      </c>
      <c r="L18" s="21">
        <v>78</v>
      </c>
      <c r="M18" s="21">
        <v>23</v>
      </c>
      <c r="N18" s="21">
        <v>12</v>
      </c>
      <c r="O18" s="49">
        <f>Sprints[[#This Row],[Planned SP Done]]+Sprints[[#This Row],[Unplanned SP Done]]</f>
        <v>101</v>
      </c>
      <c r="P18" s="24">
        <f t="shared" si="1"/>
        <v>1</v>
      </c>
      <c r="Q18" s="42">
        <f t="shared" si="2"/>
        <v>0.7722772277227723</v>
      </c>
      <c r="R18" s="25">
        <f t="shared" si="3"/>
        <v>0.22772277227722773</v>
      </c>
      <c r="S18" s="26">
        <f t="shared" si="4"/>
        <v>0.98734177215189878</v>
      </c>
      <c r="T18" s="47">
        <f>Sprints[[#This Row],[Total SP Done]]/Sprints[[#This Row],[Total Issues Done]]</f>
        <v>5.6111111111111107</v>
      </c>
      <c r="U18" s="27">
        <f t="shared" si="5"/>
        <v>0.26719576719576721</v>
      </c>
      <c r="V18" s="24">
        <v>311</v>
      </c>
      <c r="W18" s="24">
        <f>ROUNDUP(AVERAGE($U$17:U18)*Sprints[[#This Row],[Hours Next Sprint]],0)</f>
        <v>77</v>
      </c>
      <c r="X18" s="24">
        <f t="shared" si="19"/>
        <v>60</v>
      </c>
      <c r="Y18" s="21">
        <f>ROUNDUP(W18*AVERAGE($R$17:R18),0)</f>
        <v>17</v>
      </c>
      <c r="Z18" s="26">
        <f>AVERAGE($S$17:S18)</f>
        <v>0.96425912137006708</v>
      </c>
      <c r="AA18" s="26">
        <f t="shared" si="20"/>
        <v>-0.13309029020123586</v>
      </c>
    </row>
    <row r="19" spans="1:27" s="28" customFormat="1" x14ac:dyDescent="0.2">
      <c r="A19" s="20">
        <v>58</v>
      </c>
      <c r="B19" s="20">
        <f t="shared" si="21"/>
        <v>311</v>
      </c>
      <c r="C19" s="21">
        <v>14</v>
      </c>
      <c r="D19" s="22">
        <v>77</v>
      </c>
      <c r="E19" s="21">
        <v>9</v>
      </c>
      <c r="F19" s="21">
        <v>2</v>
      </c>
      <c r="G19" s="21">
        <v>1</v>
      </c>
      <c r="H19" s="23">
        <f t="shared" si="16"/>
        <v>11</v>
      </c>
      <c r="I19" s="24">
        <f t="shared" si="17"/>
        <v>5</v>
      </c>
      <c r="J19" s="42">
        <f t="shared" si="0"/>
        <v>0.81818181818181823</v>
      </c>
      <c r="K19" s="25">
        <f t="shared" si="18"/>
        <v>0.18181818181818182</v>
      </c>
      <c r="L19" s="21">
        <v>64</v>
      </c>
      <c r="M19" s="21">
        <v>28</v>
      </c>
      <c r="N19" s="21">
        <v>3</v>
      </c>
      <c r="O19" s="49">
        <f>Sprints[[#This Row],[Planned SP Done]]+Sprints[[#This Row],[Unplanned SP Done]]</f>
        <v>92</v>
      </c>
      <c r="P19" s="24">
        <f t="shared" ref="P19:P27" si="22">D19-L19</f>
        <v>13</v>
      </c>
      <c r="Q19" s="42">
        <f t="shared" si="2"/>
        <v>0.69565217391304346</v>
      </c>
      <c r="R19" s="25">
        <f t="shared" si="3"/>
        <v>0.30434782608695654</v>
      </c>
      <c r="S19" s="26">
        <f t="shared" si="4"/>
        <v>0.83116883116883122</v>
      </c>
      <c r="T19" s="47">
        <f>Sprints[[#This Row],[Total SP Done]]/Sprints[[#This Row],[Total Issues Done]]</f>
        <v>8.3636363636363633</v>
      </c>
      <c r="U19" s="27">
        <f t="shared" si="5"/>
        <v>0.29581993569131831</v>
      </c>
      <c r="V19" s="24">
        <v>549</v>
      </c>
      <c r="W19" s="24">
        <f>ROUNDUP(AVERAGE($U$17:U19)*Sprints[[#This Row],[Hours Next Sprint]],0)</f>
        <v>144</v>
      </c>
      <c r="X19" s="24">
        <f t="shared" si="19"/>
        <v>109</v>
      </c>
      <c r="Y19" s="21">
        <f>ROUNDUP(W19*AVERAGE($R$17:R19),0)</f>
        <v>35</v>
      </c>
      <c r="Z19" s="26">
        <f>AVERAGE($S$17:S19)</f>
        <v>0.91989569130298854</v>
      </c>
      <c r="AA19" s="26">
        <f t="shared" si="20"/>
        <v>2.4344057843901368E-3</v>
      </c>
    </row>
    <row r="20" spans="1:27" s="28" customFormat="1" x14ac:dyDescent="0.2">
      <c r="A20" s="20">
        <v>59</v>
      </c>
      <c r="B20" s="20">
        <f t="shared" si="21"/>
        <v>549</v>
      </c>
      <c r="C20" s="21">
        <v>21</v>
      </c>
      <c r="D20" s="22">
        <v>103</v>
      </c>
      <c r="E20" s="21">
        <v>15</v>
      </c>
      <c r="F20" s="21">
        <v>7</v>
      </c>
      <c r="G20" s="21">
        <v>5</v>
      </c>
      <c r="H20" s="23">
        <f t="shared" si="16"/>
        <v>22</v>
      </c>
      <c r="I20" s="24">
        <f t="shared" si="17"/>
        <v>6</v>
      </c>
      <c r="J20" s="42">
        <f t="shared" si="0"/>
        <v>0.68181818181818177</v>
      </c>
      <c r="K20" s="25">
        <f t="shared" si="18"/>
        <v>0.31818181818181818</v>
      </c>
      <c r="L20" s="21">
        <v>95</v>
      </c>
      <c r="M20" s="21">
        <v>23</v>
      </c>
      <c r="N20" s="21">
        <v>10</v>
      </c>
      <c r="O20" s="49">
        <f>Sprints[[#This Row],[Planned SP Done]]+Sprints[[#This Row],[Unplanned SP Done]]</f>
        <v>118</v>
      </c>
      <c r="P20" s="24">
        <f t="shared" si="22"/>
        <v>8</v>
      </c>
      <c r="Q20" s="42">
        <f t="shared" si="2"/>
        <v>0.80508474576271183</v>
      </c>
      <c r="R20" s="25">
        <f t="shared" si="3"/>
        <v>0.19491525423728814</v>
      </c>
      <c r="S20" s="26">
        <f t="shared" si="4"/>
        <v>0.92233009708737868</v>
      </c>
      <c r="T20" s="47">
        <f>Sprints[[#This Row],[Total SP Done]]/Sprints[[#This Row],[Total Issues Done]]</f>
        <v>5.3636363636363633</v>
      </c>
      <c r="U20" s="27">
        <f t="shared" si="5"/>
        <v>0.21493624772313297</v>
      </c>
      <c r="V20" s="24">
        <v>522</v>
      </c>
      <c r="W20" s="24">
        <f>ROUNDUP(AVERAGE($U$17:U20)*Sprints[[#This Row],[Hours Next Sprint]],0)</f>
        <v>131</v>
      </c>
      <c r="X20" s="24">
        <f t="shared" si="19"/>
        <v>100</v>
      </c>
      <c r="Y20" s="21">
        <f>ROUNDUP(W20*AVERAGE($R$17:R20),0)</f>
        <v>31</v>
      </c>
      <c r="Z20" s="26">
        <f>AVERAGE($S$17:S20)</f>
        <v>0.92050429274908607</v>
      </c>
      <c r="AA20" s="26">
        <f t="shared" si="20"/>
        <v>-0.23023880602342239</v>
      </c>
    </row>
    <row r="21" spans="1:27" s="28" customFormat="1" x14ac:dyDescent="0.2">
      <c r="A21" s="20">
        <v>60</v>
      </c>
      <c r="B21" s="20">
        <f t="shared" si="21"/>
        <v>522</v>
      </c>
      <c r="C21" s="21">
        <v>21</v>
      </c>
      <c r="D21" s="22">
        <v>113</v>
      </c>
      <c r="E21" s="21">
        <v>12</v>
      </c>
      <c r="F21" s="21">
        <v>4</v>
      </c>
      <c r="G21" s="21">
        <v>2</v>
      </c>
      <c r="H21" s="23">
        <f t="shared" si="16"/>
        <v>16</v>
      </c>
      <c r="I21" s="24">
        <f t="shared" si="17"/>
        <v>9</v>
      </c>
      <c r="J21" s="42">
        <f t="shared" si="0"/>
        <v>0.75</v>
      </c>
      <c r="K21" s="25">
        <f t="shared" si="18"/>
        <v>0.25</v>
      </c>
      <c r="L21" s="21">
        <v>78</v>
      </c>
      <c r="M21" s="21">
        <v>21</v>
      </c>
      <c r="N21" s="21">
        <v>8</v>
      </c>
      <c r="O21" s="49">
        <f>Sprints[[#This Row],[Planned SP Done]]+Sprints[[#This Row],[Unplanned SP Done]]</f>
        <v>99</v>
      </c>
      <c r="P21" s="24">
        <f t="shared" si="22"/>
        <v>35</v>
      </c>
      <c r="Q21" s="42">
        <f t="shared" si="2"/>
        <v>0.78787878787878785</v>
      </c>
      <c r="R21" s="25">
        <f t="shared" si="3"/>
        <v>0.21212121212121213</v>
      </c>
      <c r="S21" s="26">
        <f t="shared" si="4"/>
        <v>0.69026548672566368</v>
      </c>
      <c r="T21" s="47">
        <f>Sprints[[#This Row],[Total SP Done]]/Sprints[[#This Row],[Total Issues Done]]</f>
        <v>6.1875</v>
      </c>
      <c r="U21" s="27">
        <f t="shared" si="5"/>
        <v>0.18965517241379309</v>
      </c>
      <c r="V21" s="24">
        <v>515</v>
      </c>
      <c r="W21" s="24">
        <f>ROUNDUP(AVERAGE($U$17:U21)*Sprints[[#This Row],[Hours Next Sprint]],0)</f>
        <v>123</v>
      </c>
      <c r="X21" s="24">
        <f t="shared" si="19"/>
        <v>95</v>
      </c>
      <c r="Y21" s="21">
        <f>ROUNDUP(W21*AVERAGE($R$17:R21),0)</f>
        <v>28</v>
      </c>
      <c r="Z21" s="26">
        <f>AVERAGE($S$17:S21)</f>
        <v>0.87445653154440151</v>
      </c>
      <c r="AA21" s="26">
        <f t="shared" si="20"/>
        <v>-2.8868296250283865E-2</v>
      </c>
    </row>
    <row r="22" spans="1:27" s="28" customFormat="1" x14ac:dyDescent="0.2">
      <c r="A22" s="20">
        <v>61</v>
      </c>
      <c r="B22" s="20">
        <f t="shared" si="21"/>
        <v>515</v>
      </c>
      <c r="C22" s="21">
        <v>26</v>
      </c>
      <c r="D22" s="22">
        <v>136</v>
      </c>
      <c r="E22" s="21">
        <v>21</v>
      </c>
      <c r="F22" s="21">
        <v>5</v>
      </c>
      <c r="G22" s="21">
        <v>3</v>
      </c>
      <c r="H22" s="23">
        <f t="shared" si="16"/>
        <v>26</v>
      </c>
      <c r="I22" s="24">
        <f t="shared" si="17"/>
        <v>5</v>
      </c>
      <c r="J22" s="42">
        <f t="shared" si="0"/>
        <v>0.80769230769230771</v>
      </c>
      <c r="K22" s="25">
        <f t="shared" si="18"/>
        <v>0.19230769230769232</v>
      </c>
      <c r="L22" s="21">
        <v>115</v>
      </c>
      <c r="M22" s="21">
        <v>22</v>
      </c>
      <c r="N22" s="21">
        <v>7</v>
      </c>
      <c r="O22" s="49">
        <f>Sprints[[#This Row],[Planned SP Done]]+Sprints[[#This Row],[Unplanned SP Done]]</f>
        <v>137</v>
      </c>
      <c r="P22" s="24">
        <f t="shared" si="22"/>
        <v>21</v>
      </c>
      <c r="Q22" s="42">
        <f t="shared" si="2"/>
        <v>0.83941605839416056</v>
      </c>
      <c r="R22" s="25">
        <f t="shared" si="3"/>
        <v>0.16058394160583941</v>
      </c>
      <c r="S22" s="26">
        <f t="shared" si="4"/>
        <v>0.84558823529411764</v>
      </c>
      <c r="T22" s="47">
        <f>Sprints[[#This Row],[Total SP Done]]/Sprints[[#This Row],[Total Issues Done]]</f>
        <v>5.2692307692307692</v>
      </c>
      <c r="U22" s="27">
        <f t="shared" si="5"/>
        <v>0.26601941747572816</v>
      </c>
      <c r="V22" s="24">
        <v>449</v>
      </c>
      <c r="W22" s="24">
        <f>ROUNDUP(AVERAGE($U$17:U22)*Sprints[[#This Row],[Hours Next Sprint]],0)</f>
        <v>109</v>
      </c>
      <c r="X22" s="24">
        <f t="shared" si="19"/>
        <v>85</v>
      </c>
      <c r="Y22" s="21">
        <f>ROUNDUP(W22*AVERAGE($R17:R22),0)</f>
        <v>24</v>
      </c>
      <c r="Z22" s="26">
        <f>AVERAGE($S17:S22)</f>
        <v>0.86964514883602095</v>
      </c>
      <c r="AA22" s="26">
        <f t="shared" si="20"/>
        <v>-0.22678800597887805</v>
      </c>
    </row>
    <row r="23" spans="1:27" s="28" customFormat="1" x14ac:dyDescent="0.2">
      <c r="A23" s="20">
        <v>62</v>
      </c>
      <c r="B23" s="20">
        <f t="shared" si="21"/>
        <v>449</v>
      </c>
      <c r="C23" s="21">
        <v>19</v>
      </c>
      <c r="D23" s="22">
        <v>84</v>
      </c>
      <c r="E23" s="21">
        <v>10</v>
      </c>
      <c r="F23" s="21">
        <v>3</v>
      </c>
      <c r="G23" s="21">
        <v>2</v>
      </c>
      <c r="H23" s="23">
        <f t="shared" si="16"/>
        <v>13</v>
      </c>
      <c r="I23" s="24">
        <f t="shared" si="17"/>
        <v>9</v>
      </c>
      <c r="J23" s="42">
        <f t="shared" si="0"/>
        <v>0.76923076923076927</v>
      </c>
      <c r="K23" s="25">
        <f t="shared" si="18"/>
        <v>0.23076923076923078</v>
      </c>
      <c r="L23" s="21">
        <v>54</v>
      </c>
      <c r="M23" s="21">
        <v>9</v>
      </c>
      <c r="N23" s="21">
        <v>5</v>
      </c>
      <c r="O23" s="49">
        <f>Sprints[[#This Row],[Planned SP Done]]+Sprints[[#This Row],[Unplanned SP Done]]</f>
        <v>63</v>
      </c>
      <c r="P23" s="24">
        <f t="shared" si="22"/>
        <v>30</v>
      </c>
      <c r="Q23" s="42">
        <f t="shared" si="2"/>
        <v>0.8571428571428571</v>
      </c>
      <c r="R23" s="25">
        <f t="shared" si="3"/>
        <v>0.14285714285714285</v>
      </c>
      <c r="S23" s="26">
        <f t="shared" si="4"/>
        <v>0.6428571428571429</v>
      </c>
      <c r="T23" s="47">
        <f>Sprints[[#This Row],[Total SP Done]]/Sprints[[#This Row],[Total Issues Done]]</f>
        <v>4.8461538461538458</v>
      </c>
      <c r="U23" s="27">
        <f t="shared" si="5"/>
        <v>0.14031180400890869</v>
      </c>
      <c r="V23" s="24">
        <v>509</v>
      </c>
      <c r="W23" s="24">
        <f>ROUNDUP(AVERAGE($U$17:U23)*Sprints[[#This Row],[Hours Next Sprint]],0)</f>
        <v>117</v>
      </c>
      <c r="X23" s="24">
        <f t="shared" si="19"/>
        <v>92</v>
      </c>
      <c r="Y23" s="21">
        <f>ROUNDUP(W23*AVERAGE($R18:R23),0)</f>
        <v>25</v>
      </c>
      <c r="Z23" s="26">
        <f>AVERAGE($S18:S23)</f>
        <v>0.81992526088083884</v>
      </c>
      <c r="AA23" s="26">
        <f t="shared" si="20"/>
        <v>7.2382431426853522E-2</v>
      </c>
    </row>
    <row r="24" spans="1:27" s="28" customFormat="1" x14ac:dyDescent="0.2">
      <c r="A24" s="20">
        <v>63</v>
      </c>
      <c r="B24" s="20">
        <f t="shared" si="21"/>
        <v>509</v>
      </c>
      <c r="C24" s="21">
        <v>18</v>
      </c>
      <c r="D24" s="22">
        <v>65</v>
      </c>
      <c r="E24" s="21">
        <v>6</v>
      </c>
      <c r="F24" s="21">
        <v>4</v>
      </c>
      <c r="G24" s="21">
        <v>1</v>
      </c>
      <c r="H24" s="23">
        <f t="shared" si="16"/>
        <v>10</v>
      </c>
      <c r="I24" s="24">
        <f t="shared" si="17"/>
        <v>12</v>
      </c>
      <c r="J24" s="42">
        <f t="shared" si="0"/>
        <v>0.6</v>
      </c>
      <c r="K24" s="25">
        <f t="shared" si="18"/>
        <v>0.4</v>
      </c>
      <c r="L24" s="21">
        <v>58</v>
      </c>
      <c r="M24" s="21">
        <v>14</v>
      </c>
      <c r="N24" s="21">
        <v>3</v>
      </c>
      <c r="O24" s="49">
        <f>Sprints[[#This Row],[Planned SP Done]]+Sprints[[#This Row],[Unplanned SP Done]]</f>
        <v>72</v>
      </c>
      <c r="P24" s="24">
        <f t="shared" si="22"/>
        <v>7</v>
      </c>
      <c r="Q24" s="42">
        <f t="shared" si="2"/>
        <v>0.80555555555555558</v>
      </c>
      <c r="R24" s="25">
        <f t="shared" si="3"/>
        <v>0.19444444444444445</v>
      </c>
      <c r="S24" s="26">
        <f t="shared" si="4"/>
        <v>0.89230769230769236</v>
      </c>
      <c r="T24" s="47">
        <f>Sprints[[#This Row],[Total SP Done]]/Sprints[[#This Row],[Total Issues Done]]</f>
        <v>7.2</v>
      </c>
      <c r="U24" s="27">
        <f t="shared" si="5"/>
        <v>0.14145383104125736</v>
      </c>
      <c r="V24" s="24">
        <v>394</v>
      </c>
      <c r="W24" s="24">
        <f>ROUNDUP(AVERAGE($U$17:U24)*Sprints[[#This Row],[Hours Next Sprint]],0)</f>
        <v>86</v>
      </c>
      <c r="X24" s="24">
        <f t="shared" si="19"/>
        <v>68</v>
      </c>
      <c r="Y24" s="21">
        <f>ROUNDUP(W24*AVERAGE($R19:R24),0)</f>
        <v>18</v>
      </c>
      <c r="Z24" s="26">
        <f>AVERAGE($S19:S24)</f>
        <v>0.80408624757347102</v>
      </c>
      <c r="AA24" s="26">
        <f t="shared" si="20"/>
        <v>0.10819445418091489</v>
      </c>
    </row>
    <row r="25" spans="1:27" s="28" customFormat="1" x14ac:dyDescent="0.2">
      <c r="A25" s="20">
        <v>64</v>
      </c>
      <c r="B25" s="20">
        <f t="shared" si="21"/>
        <v>394</v>
      </c>
      <c r="C25" s="21">
        <v>13</v>
      </c>
      <c r="D25" s="22">
        <v>57</v>
      </c>
      <c r="E25" s="21">
        <v>12</v>
      </c>
      <c r="F25" s="21">
        <v>3</v>
      </c>
      <c r="G25" s="21">
        <v>1</v>
      </c>
      <c r="H25" s="23">
        <f t="shared" si="16"/>
        <v>15</v>
      </c>
      <c r="I25" s="24">
        <f t="shared" si="17"/>
        <v>1</v>
      </c>
      <c r="J25" s="42">
        <f t="shared" si="0"/>
        <v>0.8</v>
      </c>
      <c r="K25" s="25">
        <f t="shared" si="18"/>
        <v>0.2</v>
      </c>
      <c r="L25" s="21">
        <v>52</v>
      </c>
      <c r="M25" s="21">
        <v>9</v>
      </c>
      <c r="N25" s="21">
        <v>6</v>
      </c>
      <c r="O25" s="49">
        <f>Sprints[[#This Row],[Planned SP Done]]+Sprints[[#This Row],[Unplanned SP Done]]</f>
        <v>61</v>
      </c>
      <c r="P25" s="24">
        <f t="shared" si="22"/>
        <v>5</v>
      </c>
      <c r="Q25" s="42">
        <f t="shared" si="2"/>
        <v>0.85245901639344257</v>
      </c>
      <c r="R25" s="25">
        <f t="shared" si="3"/>
        <v>0.14754098360655737</v>
      </c>
      <c r="S25" s="26">
        <f t="shared" si="4"/>
        <v>0.91228070175438591</v>
      </c>
      <c r="T25" s="47">
        <f>Sprints[[#This Row],[Total SP Done]]/Sprints[[#This Row],[Total Issues Done]]</f>
        <v>4.0666666666666664</v>
      </c>
      <c r="U25" s="27">
        <f t="shared" si="5"/>
        <v>0.1548223350253807</v>
      </c>
      <c r="V25" s="24">
        <v>431</v>
      </c>
      <c r="W25" s="24">
        <f>ROUNDUP(AVERAGE($U$17:U25)*Sprints[[#This Row],[Hours Next Sprint]],0)</f>
        <v>91</v>
      </c>
      <c r="X25" s="24">
        <f t="shared" si="19"/>
        <v>75</v>
      </c>
      <c r="Y25" s="21">
        <f>ROUNDUP(W25*AVERAGE($R20:R25),0)</f>
        <v>16</v>
      </c>
      <c r="Z25" s="26">
        <f>AVERAGE($S20:S25)</f>
        <v>0.81760489267106351</v>
      </c>
      <c r="AA25" s="26">
        <f t="shared" si="20"/>
        <v>3.3141375985652921E-2</v>
      </c>
    </row>
    <row r="26" spans="1:27" s="28" customFormat="1" x14ac:dyDescent="0.2">
      <c r="A26" s="20">
        <v>65</v>
      </c>
      <c r="B26" s="20">
        <f t="shared" si="21"/>
        <v>431</v>
      </c>
      <c r="C26" s="21">
        <v>17</v>
      </c>
      <c r="D26" s="22">
        <v>67</v>
      </c>
      <c r="E26" s="21">
        <v>8</v>
      </c>
      <c r="F26" s="21">
        <v>2</v>
      </c>
      <c r="G26" s="21">
        <v>3</v>
      </c>
      <c r="H26" s="23">
        <f t="shared" si="16"/>
        <v>10</v>
      </c>
      <c r="I26" s="24">
        <f t="shared" si="17"/>
        <v>9</v>
      </c>
      <c r="J26" s="42">
        <f t="shared" si="0"/>
        <v>0.8</v>
      </c>
      <c r="K26" s="25">
        <f t="shared" si="18"/>
        <v>0.2</v>
      </c>
      <c r="L26" s="21">
        <v>57</v>
      </c>
      <c r="M26" s="21">
        <v>6</v>
      </c>
      <c r="N26" s="21">
        <v>5</v>
      </c>
      <c r="O26" s="49">
        <f>Sprints[[#This Row],[Planned SP Done]]+Sprints[[#This Row],[Unplanned SP Done]]</f>
        <v>63</v>
      </c>
      <c r="P26" s="24">
        <f t="shared" si="22"/>
        <v>10</v>
      </c>
      <c r="Q26" s="42">
        <f t="shared" si="2"/>
        <v>0.90476190476190477</v>
      </c>
      <c r="R26" s="25">
        <f t="shared" si="3"/>
        <v>9.5238095238095233E-2</v>
      </c>
      <c r="S26" s="26">
        <f t="shared" si="4"/>
        <v>0.85074626865671643</v>
      </c>
      <c r="T26" s="47">
        <f>Sprints[[#This Row],[Total SP Done]]/Sprints[[#This Row],[Total Issues Done]]</f>
        <v>6.3</v>
      </c>
      <c r="U26" s="27">
        <f t="shared" si="5"/>
        <v>0.14617169373549885</v>
      </c>
      <c r="V26" s="24">
        <v>364</v>
      </c>
      <c r="W26" s="24">
        <f>ROUNDUP(AVERAGE($U$17:U26)*Sprints[[#This Row],[Hours Next Sprint]],0)</f>
        <v>75</v>
      </c>
      <c r="X26" s="24">
        <f t="shared" si="19"/>
        <v>63</v>
      </c>
      <c r="Y26" s="21">
        <f>ROUNDUP(W26*AVERAGE($R21:R26),0)</f>
        <v>12</v>
      </c>
      <c r="Z26" s="26">
        <f>AVERAGE($S21:S26)</f>
        <v>0.80567425459928643</v>
      </c>
      <c r="AA26" s="26">
        <f t="shared" si="20"/>
        <v>0.12875197490891033</v>
      </c>
    </row>
    <row r="27" spans="1:27" s="28" customFormat="1" x14ac:dyDescent="0.2">
      <c r="A27" s="20">
        <v>66</v>
      </c>
      <c r="B27" s="20">
        <f t="shared" si="21"/>
        <v>364</v>
      </c>
      <c r="C27" s="21">
        <v>11</v>
      </c>
      <c r="D27" s="22">
        <v>61</v>
      </c>
      <c r="E27" s="21">
        <v>5</v>
      </c>
      <c r="F27" s="21">
        <v>2</v>
      </c>
      <c r="G27" s="21">
        <v>2</v>
      </c>
      <c r="H27" s="23">
        <f t="shared" si="16"/>
        <v>7</v>
      </c>
      <c r="I27" s="24">
        <f t="shared" si="17"/>
        <v>6</v>
      </c>
      <c r="J27" s="42">
        <f t="shared" si="0"/>
        <v>0.7142857142857143</v>
      </c>
      <c r="K27" s="25">
        <f t="shared" si="18"/>
        <v>0.2857142857142857</v>
      </c>
      <c r="L27" s="21">
        <v>57</v>
      </c>
      <c r="M27" s="21">
        <v>4</v>
      </c>
      <c r="N27" s="21">
        <v>6</v>
      </c>
      <c r="O27" s="49">
        <f>Sprints[[#This Row],[Planned SP Done]]+Sprints[[#This Row],[Unplanned SP Done]]</f>
        <v>61</v>
      </c>
      <c r="P27" s="24">
        <f t="shared" si="22"/>
        <v>4</v>
      </c>
      <c r="Q27" s="42">
        <f t="shared" si="2"/>
        <v>0.93442622950819676</v>
      </c>
      <c r="R27" s="25">
        <f t="shared" si="3"/>
        <v>6.5573770491803282E-2</v>
      </c>
      <c r="S27" s="26">
        <f t="shared" si="4"/>
        <v>0.93442622950819676</v>
      </c>
      <c r="T27" s="47">
        <f>Sprints[[#This Row],[Total SP Done]]/Sprints[[#This Row],[Total Issues Done]]</f>
        <v>8.7142857142857135</v>
      </c>
      <c r="U27" s="27">
        <f t="shared" si="5"/>
        <v>0.16758241758241757</v>
      </c>
      <c r="V27" s="24">
        <v>448</v>
      </c>
      <c r="W27" s="24">
        <f>ROUNDUP(AVERAGE($U$17:U27)*Sprints[[#This Row],[Hours Next Sprint]],0)</f>
        <v>90</v>
      </c>
      <c r="X27" s="24">
        <f t="shared" si="19"/>
        <v>77</v>
      </c>
      <c r="Y27" s="21">
        <f>ROUNDUP(W27*AVERAGE($R22:R27),0)</f>
        <v>13</v>
      </c>
      <c r="Z27" s="26">
        <f>AVERAGE($S22:S27)</f>
        <v>0.8463677117297087</v>
      </c>
      <c r="AA27" s="26">
        <f t="shared" si="20"/>
        <v>-0.8463677117297087</v>
      </c>
    </row>
    <row r="28" spans="1:27" x14ac:dyDescent="0.2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7" x14ac:dyDescent="0.2">
      <c r="A29" s="33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7" x14ac:dyDescent="0.2">
      <c r="A30" s="33"/>
      <c r="B30" s="32"/>
      <c r="C30" s="50"/>
      <c r="D30" s="33"/>
      <c r="E30" s="50"/>
      <c r="F30" s="33"/>
      <c r="G30" s="33"/>
      <c r="H30" s="33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7" x14ac:dyDescent="0.2">
      <c r="A31" s="33"/>
      <c r="B31" s="32"/>
      <c r="C31" s="50"/>
      <c r="D31" s="33"/>
      <c r="E31" s="50"/>
      <c r="F31" s="33"/>
      <c r="G31" s="33"/>
      <c r="H31" s="33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7" x14ac:dyDescent="0.2">
      <c r="A32" s="33"/>
      <c r="B32" s="32"/>
      <c r="C32" s="50"/>
      <c r="D32" s="33"/>
      <c r="E32" s="50"/>
      <c r="F32" s="33"/>
      <c r="G32" s="33"/>
      <c r="H32" s="33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3:8" x14ac:dyDescent="0.2">
      <c r="C33" s="50"/>
      <c r="D33" s="33"/>
      <c r="E33" s="50"/>
      <c r="F33" s="33"/>
      <c r="G33" s="33"/>
      <c r="H33" s="33"/>
    </row>
    <row r="34" spans="3:8" x14ac:dyDescent="0.2">
      <c r="C34" s="50"/>
      <c r="D34" s="33"/>
      <c r="E34" s="50"/>
      <c r="F34" s="33"/>
      <c r="G34" s="33"/>
      <c r="H34" s="33"/>
    </row>
    <row r="35" spans="3:8" x14ac:dyDescent="0.2">
      <c r="C35" s="50"/>
      <c r="D35" s="33"/>
      <c r="E35" s="50"/>
      <c r="F35" s="33"/>
      <c r="G35" s="33"/>
      <c r="H35" s="33"/>
    </row>
    <row r="36" spans="3:8" x14ac:dyDescent="0.2">
      <c r="C36" s="50"/>
      <c r="D36" s="33"/>
      <c r="E36" s="50"/>
      <c r="F36" s="33"/>
      <c r="G36" s="33"/>
      <c r="H36" s="33"/>
    </row>
    <row r="37" spans="3:8" x14ac:dyDescent="0.2">
      <c r="C37" s="50"/>
      <c r="D37" s="33"/>
      <c r="E37" s="50"/>
      <c r="F37" s="33"/>
      <c r="G37" s="33"/>
      <c r="H37" s="33"/>
    </row>
    <row r="38" spans="3:8" x14ac:dyDescent="0.2">
      <c r="C38" s="50"/>
      <c r="D38" s="33"/>
      <c r="E38" s="50"/>
      <c r="F38" s="33"/>
      <c r="G38" s="33"/>
      <c r="H38" s="33"/>
    </row>
    <row r="39" spans="3:8" x14ac:dyDescent="0.2">
      <c r="C39" s="50"/>
      <c r="D39" s="33"/>
      <c r="E39" s="50"/>
      <c r="F39" s="33"/>
      <c r="G39" s="33"/>
      <c r="H39" s="33"/>
    </row>
    <row r="40" spans="3:8" x14ac:dyDescent="0.2">
      <c r="C40" s="50"/>
      <c r="D40" s="33"/>
      <c r="E40" s="50"/>
      <c r="F40" s="33"/>
      <c r="G40" s="33"/>
      <c r="H40" s="33"/>
    </row>
    <row r="41" spans="3:8" x14ac:dyDescent="0.2">
      <c r="C41" s="50"/>
      <c r="D41" s="33"/>
      <c r="E41" s="50"/>
      <c r="F41" s="33"/>
      <c r="G41" s="33"/>
      <c r="H41" s="33"/>
    </row>
    <row r="42" spans="3:8" x14ac:dyDescent="0.2">
      <c r="C42" s="50"/>
      <c r="D42" s="33"/>
      <c r="E42" s="50"/>
      <c r="F42" s="33"/>
      <c r="G42" s="33"/>
      <c r="H42" s="33"/>
    </row>
    <row r="43" spans="3:8" x14ac:dyDescent="0.2">
      <c r="C43" s="50"/>
      <c r="D43" s="33"/>
      <c r="E43" s="50"/>
      <c r="F43" s="33"/>
      <c r="G43" s="33"/>
      <c r="H43" s="33"/>
    </row>
    <row r="44" spans="3:8" x14ac:dyDescent="0.2">
      <c r="C44" s="50"/>
      <c r="D44" s="33"/>
      <c r="E44" s="50"/>
      <c r="F44" s="33"/>
      <c r="G44" s="33"/>
      <c r="H44" s="33"/>
    </row>
  </sheetData>
  <sheetProtection algorithmName="SHA-512" hashValue="KkXgET/1nXnjkd/F++QYyGNmxgpaePx2pn7zQypEHEo9pWqq4FFhWQJuEcHC4S8DfJYwXv7IaukYsUjEbQ8F2w==" saltValue="ZmPdqJgnW/bXQLEHPeHv7g==" spinCount="100000" sheet="1" objects="1" scenarios="1"/>
  <phoneticPr fontId="9" type="noConversion"/>
  <conditionalFormatting sqref="AA2:AA2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E4FC-ABF7-2E4F-B700-B2CA98DB120B}">
  <dimension ref="A1:AO33"/>
  <sheetViews>
    <sheetView zoomScale="130" zoomScaleNormal="130" workbookViewId="0">
      <selection activeCell="L26" sqref="L26"/>
    </sheetView>
  </sheetViews>
  <sheetFormatPr baseColWidth="10" defaultRowHeight="15" x14ac:dyDescent="0.2"/>
  <cols>
    <col min="1" max="1" width="13.1640625" bestFit="1" customWidth="1"/>
    <col min="2" max="2" width="9.33203125" bestFit="1" customWidth="1"/>
    <col min="3" max="3" width="9.83203125" bestFit="1" customWidth="1"/>
    <col min="4" max="4" width="9.6640625" bestFit="1" customWidth="1"/>
    <col min="5" max="5" width="13.1640625" bestFit="1" customWidth="1"/>
    <col min="6" max="6" width="9.33203125" bestFit="1" customWidth="1"/>
    <col min="7" max="7" width="9.83203125" bestFit="1" customWidth="1"/>
    <col min="8" max="8" width="9.6640625" bestFit="1" customWidth="1"/>
    <col min="9" max="10" width="10.83203125" customWidth="1"/>
    <col min="11" max="12" width="10.5" bestFit="1" customWidth="1"/>
    <col min="13" max="13" width="13.1640625" bestFit="1" customWidth="1"/>
    <col min="14" max="14" width="7.5" bestFit="1" customWidth="1"/>
    <col min="15" max="15" width="9.6640625" bestFit="1" customWidth="1"/>
    <col min="16" max="16" width="13.1640625" bestFit="1" customWidth="1"/>
    <col min="17" max="17" width="7.5" bestFit="1" customWidth="1"/>
    <col min="18" max="18" width="9.6640625" bestFit="1" customWidth="1"/>
    <col min="19" max="19" width="10.5" bestFit="1" customWidth="1"/>
    <col min="20" max="20" width="10.83203125" customWidth="1"/>
    <col min="21" max="25" width="10.5" bestFit="1" customWidth="1"/>
    <col min="26" max="26" width="22.33203125" bestFit="1" customWidth="1"/>
    <col min="27" max="27" width="10.5" bestFit="1" customWidth="1"/>
    <col min="28" max="28" width="9.5" bestFit="1" customWidth="1"/>
    <col min="29" max="29" width="4.5" bestFit="1" customWidth="1"/>
    <col min="30" max="30" width="9.5" bestFit="1" customWidth="1"/>
    <col min="31" max="31" width="4.5" bestFit="1" customWidth="1"/>
    <col min="32" max="32" width="13.1640625" bestFit="1" customWidth="1"/>
    <col min="33" max="33" width="9.6640625" bestFit="1" customWidth="1"/>
    <col min="34" max="34" width="7.1640625" bestFit="1" customWidth="1"/>
    <col min="35" max="35" width="9.6640625" bestFit="1" customWidth="1"/>
    <col min="36" max="36" width="10.6640625" bestFit="1" customWidth="1"/>
    <col min="37" max="37" width="10.5" bestFit="1" customWidth="1"/>
    <col min="38" max="38" width="13.1640625" bestFit="1" customWidth="1"/>
    <col min="39" max="39" width="10.83203125" customWidth="1"/>
    <col min="40" max="40" width="13.1640625" bestFit="1" customWidth="1"/>
    <col min="41" max="41" width="12.1640625" bestFit="1" customWidth="1"/>
  </cols>
  <sheetData>
    <row r="1" spans="1:41" s="57" customFormat="1" ht="80" x14ac:dyDescent="0.2">
      <c r="A1" s="56" t="s">
        <v>44</v>
      </c>
      <c r="B1" s="57" t="s">
        <v>49</v>
      </c>
      <c r="C1" s="57" t="s">
        <v>43</v>
      </c>
      <c r="D1" s="57" t="s">
        <v>52</v>
      </c>
      <c r="E1" s="58" t="s">
        <v>44</v>
      </c>
      <c r="F1" s="58" t="s">
        <v>49</v>
      </c>
      <c r="G1" s="58" t="s">
        <v>43</v>
      </c>
      <c r="H1" s="58" t="s">
        <v>52</v>
      </c>
      <c r="I1" s="57" t="s">
        <v>47</v>
      </c>
      <c r="J1" s="58" t="s">
        <v>50</v>
      </c>
      <c r="K1" s="57" t="s">
        <v>48</v>
      </c>
      <c r="L1" s="59" t="s">
        <v>53</v>
      </c>
      <c r="M1" s="56" t="s">
        <v>44</v>
      </c>
      <c r="N1" s="57" t="s">
        <v>51</v>
      </c>
      <c r="O1" s="57" t="s">
        <v>52</v>
      </c>
      <c r="P1" s="58" t="s">
        <v>44</v>
      </c>
      <c r="Q1" s="58" t="s">
        <v>51</v>
      </c>
      <c r="R1" s="58" t="s">
        <v>52</v>
      </c>
      <c r="S1" s="57" t="s">
        <v>54</v>
      </c>
      <c r="T1" s="58" t="s">
        <v>77</v>
      </c>
      <c r="U1" s="57" t="s">
        <v>55</v>
      </c>
      <c r="V1" s="58" t="s">
        <v>58</v>
      </c>
      <c r="W1" s="57" t="s">
        <v>56</v>
      </c>
      <c r="X1" s="58" t="s">
        <v>57</v>
      </c>
      <c r="Y1" s="57" t="s">
        <v>60</v>
      </c>
      <c r="Z1" s="60" t="s">
        <v>59</v>
      </c>
      <c r="AA1" s="57" t="s">
        <v>61</v>
      </c>
      <c r="AB1" s="60" t="s">
        <v>63</v>
      </c>
      <c r="AC1" s="60"/>
      <c r="AD1" s="61" t="s">
        <v>63</v>
      </c>
      <c r="AE1" s="62"/>
      <c r="AF1" s="58" t="s">
        <v>44</v>
      </c>
      <c r="AG1" s="58" t="s">
        <v>70</v>
      </c>
      <c r="AH1" s="58" t="s">
        <v>65</v>
      </c>
      <c r="AI1" s="58" t="s">
        <v>66</v>
      </c>
      <c r="AJ1" s="58" t="s">
        <v>68</v>
      </c>
      <c r="AK1" s="58" t="s">
        <v>67</v>
      </c>
      <c r="AL1" s="56" t="s">
        <v>44</v>
      </c>
      <c r="AM1" s="57" t="s">
        <v>47</v>
      </c>
      <c r="AN1" s="58" t="s">
        <v>44</v>
      </c>
      <c r="AO1" s="59" t="s">
        <v>78</v>
      </c>
    </row>
    <row r="2" spans="1:41" x14ac:dyDescent="0.2">
      <c r="A2" s="34">
        <v>43</v>
      </c>
      <c r="B2">
        <v>12</v>
      </c>
      <c r="C2">
        <v>17</v>
      </c>
      <c r="D2">
        <v>6</v>
      </c>
      <c r="E2" s="34">
        <v>43</v>
      </c>
      <c r="F2">
        <v>80</v>
      </c>
      <c r="G2">
        <v>67</v>
      </c>
      <c r="H2">
        <v>22</v>
      </c>
      <c r="I2">
        <v>53</v>
      </c>
      <c r="J2" s="29">
        <v>3.1176470588235294</v>
      </c>
      <c r="K2" s="35">
        <v>0.72139267337811785</v>
      </c>
      <c r="L2" s="35">
        <v>0.25909034408397008</v>
      </c>
      <c r="M2" s="34">
        <v>43</v>
      </c>
      <c r="N2">
        <v>11</v>
      </c>
      <c r="O2">
        <v>6</v>
      </c>
      <c r="P2" s="34">
        <v>43</v>
      </c>
      <c r="Q2">
        <v>45</v>
      </c>
      <c r="R2">
        <v>22</v>
      </c>
      <c r="S2" s="35">
        <v>0.21500821192045896</v>
      </c>
      <c r="T2" s="48">
        <v>5.1372102696975217</v>
      </c>
      <c r="U2" s="29">
        <v>418.76470588235293</v>
      </c>
      <c r="V2" s="29">
        <v>17.823529411764707</v>
      </c>
      <c r="W2" s="29">
        <v>17.529411764705884</v>
      </c>
      <c r="X2" s="29">
        <v>98.117647058823536</v>
      </c>
      <c r="Y2" s="29">
        <v>4.5294117647058822</v>
      </c>
      <c r="Z2" s="29">
        <v>89.529411764705884</v>
      </c>
      <c r="AA2" s="29">
        <v>18.941176470588236</v>
      </c>
      <c r="AB2" s="44" t="s">
        <v>51</v>
      </c>
      <c r="AC2" s="35">
        <v>0.7409096559160302</v>
      </c>
      <c r="AD2" s="44" t="s">
        <v>51</v>
      </c>
      <c r="AE2" s="35">
        <v>0.78499178807954118</v>
      </c>
      <c r="AF2" s="34">
        <v>43</v>
      </c>
      <c r="AG2">
        <v>411</v>
      </c>
      <c r="AH2">
        <v>72</v>
      </c>
      <c r="AI2">
        <v>49</v>
      </c>
      <c r="AJ2">
        <v>23</v>
      </c>
      <c r="AK2" s="35">
        <v>0.58695394112060784</v>
      </c>
      <c r="AL2" s="34">
        <v>43</v>
      </c>
      <c r="AM2">
        <v>2</v>
      </c>
      <c r="AN2" s="34">
        <v>43</v>
      </c>
      <c r="AO2" s="35">
        <v>0.5625</v>
      </c>
    </row>
    <row r="3" spans="1:41" x14ac:dyDescent="0.2">
      <c r="A3" s="34">
        <v>44</v>
      </c>
      <c r="B3">
        <v>14</v>
      </c>
      <c r="C3">
        <v>19</v>
      </c>
      <c r="D3">
        <v>8</v>
      </c>
      <c r="E3" s="34">
        <v>44</v>
      </c>
      <c r="F3">
        <v>89</v>
      </c>
      <c r="G3">
        <v>75</v>
      </c>
      <c r="H3">
        <v>27</v>
      </c>
      <c r="M3" s="34">
        <v>44</v>
      </c>
      <c r="N3">
        <v>11</v>
      </c>
      <c r="O3">
        <v>8</v>
      </c>
      <c r="P3" s="34">
        <v>44</v>
      </c>
      <c r="Q3">
        <v>48</v>
      </c>
      <c r="R3">
        <v>27</v>
      </c>
      <c r="AB3" s="44" t="s">
        <v>52</v>
      </c>
      <c r="AC3" s="35">
        <v>0.25909034408397008</v>
      </c>
      <c r="AD3" s="44" t="s">
        <v>52</v>
      </c>
      <c r="AE3" s="35">
        <v>0.21500821192045896</v>
      </c>
      <c r="AF3" s="34">
        <v>44</v>
      </c>
      <c r="AG3">
        <v>397</v>
      </c>
      <c r="AH3">
        <v>70</v>
      </c>
      <c r="AI3">
        <v>47</v>
      </c>
      <c r="AJ3">
        <v>23</v>
      </c>
      <c r="AK3" s="35">
        <v>0.57504691651461315</v>
      </c>
      <c r="AL3" s="34">
        <v>44</v>
      </c>
      <c r="AM3">
        <v>1</v>
      </c>
      <c r="AN3" s="34">
        <v>44</v>
      </c>
      <c r="AO3" s="35">
        <v>0.5393258426966292</v>
      </c>
    </row>
    <row r="4" spans="1:41" x14ac:dyDescent="0.2">
      <c r="A4" s="34">
        <v>45</v>
      </c>
      <c r="B4">
        <v>14</v>
      </c>
      <c r="C4">
        <v>17</v>
      </c>
      <c r="D4">
        <v>5</v>
      </c>
      <c r="E4" s="34">
        <v>45</v>
      </c>
      <c r="F4">
        <v>95</v>
      </c>
      <c r="G4">
        <v>74</v>
      </c>
      <c r="H4">
        <v>15</v>
      </c>
      <c r="M4" s="34">
        <v>45</v>
      </c>
      <c r="N4">
        <v>12</v>
      </c>
      <c r="O4">
        <v>5</v>
      </c>
      <c r="P4" s="34">
        <v>45</v>
      </c>
      <c r="Q4">
        <v>59</v>
      </c>
      <c r="R4">
        <v>15</v>
      </c>
      <c r="AF4" s="34">
        <v>45</v>
      </c>
      <c r="AG4">
        <v>437</v>
      </c>
      <c r="AH4">
        <v>78</v>
      </c>
      <c r="AI4">
        <v>54</v>
      </c>
      <c r="AJ4">
        <v>24</v>
      </c>
      <c r="AK4" s="35">
        <v>0.58424805952748005</v>
      </c>
      <c r="AL4" s="34">
        <v>45</v>
      </c>
      <c r="AM4">
        <v>3</v>
      </c>
      <c r="AN4" s="34">
        <v>45</v>
      </c>
      <c r="AO4" s="35">
        <v>0.62105263157894741</v>
      </c>
    </row>
    <row r="5" spans="1:41" x14ac:dyDescent="0.2">
      <c r="A5" s="34">
        <v>46</v>
      </c>
      <c r="B5">
        <v>16</v>
      </c>
      <c r="C5">
        <v>12</v>
      </c>
      <c r="D5">
        <v>4</v>
      </c>
      <c r="E5" s="34">
        <v>46</v>
      </c>
      <c r="F5">
        <v>98</v>
      </c>
      <c r="G5">
        <v>84</v>
      </c>
      <c r="H5">
        <v>19</v>
      </c>
      <c r="M5" s="34">
        <v>46</v>
      </c>
      <c r="N5">
        <v>8</v>
      </c>
      <c r="O5">
        <v>4</v>
      </c>
      <c r="P5" s="34">
        <v>46</v>
      </c>
      <c r="Q5">
        <v>65</v>
      </c>
      <c r="R5">
        <v>19</v>
      </c>
      <c r="AF5" s="34">
        <v>46</v>
      </c>
      <c r="AG5">
        <v>435</v>
      </c>
      <c r="AH5">
        <v>79</v>
      </c>
      <c r="AI5">
        <v>56</v>
      </c>
      <c r="AJ5">
        <v>23</v>
      </c>
      <c r="AK5" s="35">
        <v>0.59741760062664151</v>
      </c>
      <c r="AL5" s="34">
        <v>46</v>
      </c>
      <c r="AM5">
        <v>1</v>
      </c>
      <c r="AN5" s="34">
        <v>46</v>
      </c>
      <c r="AO5" s="35">
        <v>0.66326530612244894</v>
      </c>
    </row>
    <row r="6" spans="1:41" x14ac:dyDescent="0.2">
      <c r="A6" s="34">
        <v>47</v>
      </c>
      <c r="B6">
        <v>17</v>
      </c>
      <c r="C6">
        <v>16</v>
      </c>
      <c r="D6">
        <v>4</v>
      </c>
      <c r="E6" s="34">
        <v>47</v>
      </c>
      <c r="F6">
        <v>112</v>
      </c>
      <c r="G6">
        <v>85</v>
      </c>
      <c r="H6">
        <v>14</v>
      </c>
      <c r="M6" s="34">
        <v>47</v>
      </c>
      <c r="N6">
        <v>12</v>
      </c>
      <c r="O6">
        <v>4</v>
      </c>
      <c r="P6" s="34">
        <v>47</v>
      </c>
      <c r="Q6">
        <v>71</v>
      </c>
      <c r="R6">
        <v>14</v>
      </c>
      <c r="AF6" s="34">
        <v>47</v>
      </c>
      <c r="AG6">
        <v>334</v>
      </c>
      <c r="AH6">
        <v>72</v>
      </c>
      <c r="AI6">
        <v>52</v>
      </c>
      <c r="AJ6">
        <v>20</v>
      </c>
      <c r="AK6" s="35">
        <v>0.60263345359834575</v>
      </c>
      <c r="AL6" s="34">
        <v>47</v>
      </c>
      <c r="AM6">
        <v>2</v>
      </c>
      <c r="AN6" s="34">
        <v>47</v>
      </c>
      <c r="AO6" s="35">
        <v>0.6339285714285714</v>
      </c>
    </row>
    <row r="7" spans="1:41" x14ac:dyDescent="0.2">
      <c r="A7" s="34">
        <v>48</v>
      </c>
      <c r="B7">
        <v>14</v>
      </c>
      <c r="C7">
        <v>19</v>
      </c>
      <c r="D7">
        <v>6</v>
      </c>
      <c r="E7" s="34">
        <v>48</v>
      </c>
      <c r="F7">
        <v>82</v>
      </c>
      <c r="G7">
        <v>67</v>
      </c>
      <c r="H7">
        <v>9</v>
      </c>
      <c r="M7" s="34">
        <v>48</v>
      </c>
      <c r="N7">
        <v>13</v>
      </c>
      <c r="O7">
        <v>6</v>
      </c>
      <c r="P7" s="34">
        <v>48</v>
      </c>
      <c r="Q7">
        <v>58</v>
      </c>
      <c r="R7">
        <v>9</v>
      </c>
      <c r="AF7" s="34">
        <v>48</v>
      </c>
      <c r="AG7">
        <v>453</v>
      </c>
      <c r="AH7">
        <v>98</v>
      </c>
      <c r="AI7">
        <v>73</v>
      </c>
      <c r="AJ7">
        <v>25</v>
      </c>
      <c r="AK7" s="35">
        <v>0.61571890604489399</v>
      </c>
      <c r="AL7" s="34">
        <v>48</v>
      </c>
      <c r="AM7">
        <v>4</v>
      </c>
      <c r="AN7" s="34">
        <v>48</v>
      </c>
      <c r="AO7" s="35">
        <v>0.70731707317073167</v>
      </c>
    </row>
    <row r="8" spans="1:41" x14ac:dyDescent="0.2">
      <c r="A8" s="34">
        <v>49</v>
      </c>
      <c r="B8">
        <v>19</v>
      </c>
      <c r="C8">
        <v>16</v>
      </c>
      <c r="D8">
        <v>8</v>
      </c>
      <c r="E8" s="34">
        <v>49</v>
      </c>
      <c r="F8">
        <v>105</v>
      </c>
      <c r="G8">
        <v>92</v>
      </c>
      <c r="H8">
        <v>17</v>
      </c>
      <c r="M8" s="34">
        <v>49</v>
      </c>
      <c r="N8">
        <v>8</v>
      </c>
      <c r="O8">
        <v>8</v>
      </c>
      <c r="P8" s="34">
        <v>49</v>
      </c>
      <c r="Q8">
        <v>75</v>
      </c>
      <c r="R8">
        <v>17</v>
      </c>
      <c r="AF8" s="34">
        <v>49</v>
      </c>
      <c r="AG8">
        <v>527</v>
      </c>
      <c r="AH8">
        <v>115</v>
      </c>
      <c r="AI8">
        <v>87</v>
      </c>
      <c r="AJ8">
        <v>28</v>
      </c>
      <c r="AK8" s="35">
        <v>0.62928346648445443</v>
      </c>
      <c r="AL8" s="34">
        <v>49</v>
      </c>
      <c r="AM8">
        <v>5</v>
      </c>
      <c r="AN8" s="34">
        <v>49</v>
      </c>
      <c r="AO8" s="35">
        <v>0.7142857142857143</v>
      </c>
    </row>
    <row r="9" spans="1:41" x14ac:dyDescent="0.2">
      <c r="A9" s="34">
        <v>50</v>
      </c>
      <c r="B9">
        <v>23</v>
      </c>
      <c r="C9">
        <v>20</v>
      </c>
      <c r="D9">
        <v>4</v>
      </c>
      <c r="E9" s="34">
        <v>50</v>
      </c>
      <c r="F9">
        <v>123</v>
      </c>
      <c r="G9">
        <v>110</v>
      </c>
      <c r="H9">
        <v>29</v>
      </c>
      <c r="M9" s="34">
        <v>50</v>
      </c>
      <c r="N9">
        <v>16</v>
      </c>
      <c r="O9">
        <v>4</v>
      </c>
      <c r="P9" s="34">
        <v>50</v>
      </c>
      <c r="Q9">
        <v>81</v>
      </c>
      <c r="R9">
        <v>29</v>
      </c>
      <c r="AF9" s="34">
        <v>50</v>
      </c>
      <c r="AG9">
        <v>343</v>
      </c>
      <c r="AH9">
        <v>76</v>
      </c>
      <c r="AI9">
        <v>61</v>
      </c>
      <c r="AJ9">
        <v>15</v>
      </c>
      <c r="AK9" s="35">
        <v>0.675466650074664</v>
      </c>
      <c r="AL9" s="34">
        <v>50</v>
      </c>
      <c r="AM9">
        <v>5</v>
      </c>
      <c r="AN9" s="34">
        <v>50</v>
      </c>
      <c r="AO9" s="35">
        <v>0.65853658536585369</v>
      </c>
    </row>
    <row r="10" spans="1:41" x14ac:dyDescent="0.2">
      <c r="A10" s="34">
        <v>51</v>
      </c>
      <c r="B10">
        <v>16</v>
      </c>
      <c r="C10">
        <v>15</v>
      </c>
      <c r="D10">
        <v>5</v>
      </c>
      <c r="E10" s="34">
        <v>51</v>
      </c>
      <c r="F10">
        <v>98</v>
      </c>
      <c r="G10">
        <v>73</v>
      </c>
      <c r="H10">
        <v>25</v>
      </c>
      <c r="M10" s="34">
        <v>51</v>
      </c>
      <c r="N10">
        <v>10</v>
      </c>
      <c r="O10">
        <v>5</v>
      </c>
      <c r="P10" s="34">
        <v>51</v>
      </c>
      <c r="Q10">
        <v>48</v>
      </c>
      <c r="R10">
        <v>25</v>
      </c>
      <c r="AF10" s="34">
        <v>51</v>
      </c>
      <c r="AG10">
        <v>399</v>
      </c>
      <c r="AH10">
        <v>89</v>
      </c>
      <c r="AI10">
        <v>69</v>
      </c>
      <c r="AJ10">
        <v>20</v>
      </c>
      <c r="AK10" s="35">
        <v>0.64077277252364362</v>
      </c>
      <c r="AL10" s="34">
        <v>51</v>
      </c>
      <c r="AM10">
        <v>3</v>
      </c>
      <c r="AN10" s="34">
        <v>51</v>
      </c>
      <c r="AO10" s="35">
        <v>0.48979591836734693</v>
      </c>
    </row>
    <row r="11" spans="1:41" x14ac:dyDescent="0.2">
      <c r="A11" s="34">
        <v>52</v>
      </c>
      <c r="B11">
        <v>19</v>
      </c>
      <c r="C11">
        <v>18</v>
      </c>
      <c r="D11">
        <v>2</v>
      </c>
      <c r="E11" s="34">
        <v>52</v>
      </c>
      <c r="F11">
        <v>120</v>
      </c>
      <c r="G11">
        <v>86</v>
      </c>
      <c r="H11">
        <v>6</v>
      </c>
      <c r="M11" s="34">
        <v>52</v>
      </c>
      <c r="N11">
        <v>16</v>
      </c>
      <c r="O11">
        <v>2</v>
      </c>
      <c r="P11" s="34">
        <v>52</v>
      </c>
      <c r="Q11">
        <v>80</v>
      </c>
      <c r="R11">
        <v>6</v>
      </c>
      <c r="AF11" s="34">
        <v>52</v>
      </c>
      <c r="AG11">
        <v>402</v>
      </c>
      <c r="AH11">
        <v>90</v>
      </c>
      <c r="AI11">
        <v>72</v>
      </c>
      <c r="AJ11">
        <v>18</v>
      </c>
      <c r="AK11" s="35">
        <v>0.64732039157126264</v>
      </c>
      <c r="AL11" s="34">
        <v>52</v>
      </c>
      <c r="AM11">
        <v>2</v>
      </c>
      <c r="AN11" s="34">
        <v>52</v>
      </c>
      <c r="AO11" s="35">
        <v>0.66666666666666663</v>
      </c>
    </row>
    <row r="12" spans="1:41" x14ac:dyDescent="0.2">
      <c r="A12" s="34">
        <v>53</v>
      </c>
      <c r="B12">
        <v>20</v>
      </c>
      <c r="C12">
        <v>20</v>
      </c>
      <c r="D12">
        <v>3</v>
      </c>
      <c r="E12" s="34">
        <v>53</v>
      </c>
      <c r="F12">
        <v>115</v>
      </c>
      <c r="G12">
        <v>89</v>
      </c>
      <c r="H12">
        <v>13</v>
      </c>
      <c r="M12" s="34">
        <v>53</v>
      </c>
      <c r="N12">
        <v>17</v>
      </c>
      <c r="O12">
        <v>3</v>
      </c>
      <c r="P12" s="34">
        <v>53</v>
      </c>
      <c r="Q12">
        <v>76</v>
      </c>
      <c r="R12">
        <v>13</v>
      </c>
      <c r="AF12" s="34">
        <v>53</v>
      </c>
      <c r="AG12">
        <v>314</v>
      </c>
      <c r="AH12">
        <v>71</v>
      </c>
      <c r="AI12">
        <v>56</v>
      </c>
      <c r="AJ12">
        <v>15</v>
      </c>
      <c r="AK12" s="35">
        <v>0.63803088998059443</v>
      </c>
      <c r="AL12" s="34">
        <v>53</v>
      </c>
      <c r="AM12">
        <v>4</v>
      </c>
      <c r="AN12" s="34">
        <v>53</v>
      </c>
      <c r="AO12" s="35">
        <v>0.66086956521739126</v>
      </c>
    </row>
    <row r="13" spans="1:41" x14ac:dyDescent="0.2">
      <c r="A13" s="34">
        <v>54</v>
      </c>
      <c r="B13">
        <v>16</v>
      </c>
      <c r="C13">
        <v>18</v>
      </c>
      <c r="D13">
        <v>4</v>
      </c>
      <c r="E13" s="34">
        <v>54</v>
      </c>
      <c r="F13">
        <v>83</v>
      </c>
      <c r="G13">
        <v>71</v>
      </c>
      <c r="H13">
        <v>12</v>
      </c>
      <c r="M13" s="34">
        <v>54</v>
      </c>
      <c r="N13">
        <v>14</v>
      </c>
      <c r="O13">
        <v>4</v>
      </c>
      <c r="P13" s="34">
        <v>54</v>
      </c>
      <c r="Q13">
        <v>59</v>
      </c>
      <c r="R13">
        <v>12</v>
      </c>
      <c r="AF13" s="34">
        <v>54</v>
      </c>
      <c r="AG13">
        <v>520</v>
      </c>
      <c r="AH13">
        <v>118</v>
      </c>
      <c r="AI13">
        <v>94</v>
      </c>
      <c r="AJ13">
        <v>24</v>
      </c>
      <c r="AK13" s="35">
        <v>0.63734242182224699</v>
      </c>
      <c r="AL13" s="34">
        <v>54</v>
      </c>
      <c r="AM13">
        <v>6</v>
      </c>
      <c r="AN13" s="34">
        <v>54</v>
      </c>
      <c r="AO13" s="35">
        <v>0.71084337349397586</v>
      </c>
    </row>
    <row r="14" spans="1:41" x14ac:dyDescent="0.2">
      <c r="A14" s="34">
        <v>55</v>
      </c>
      <c r="B14">
        <v>21</v>
      </c>
      <c r="C14">
        <v>21</v>
      </c>
      <c r="D14">
        <v>3</v>
      </c>
      <c r="E14" s="34">
        <v>55</v>
      </c>
      <c r="F14">
        <v>107</v>
      </c>
      <c r="G14">
        <v>119</v>
      </c>
      <c r="H14">
        <v>17</v>
      </c>
      <c r="M14" s="34">
        <v>55</v>
      </c>
      <c r="N14">
        <v>18</v>
      </c>
      <c r="O14">
        <v>3</v>
      </c>
      <c r="P14" s="34">
        <v>55</v>
      </c>
      <c r="Q14">
        <v>102</v>
      </c>
      <c r="R14">
        <v>17</v>
      </c>
      <c r="AF14" s="34">
        <v>55</v>
      </c>
      <c r="AG14">
        <v>535</v>
      </c>
      <c r="AH14">
        <v>121</v>
      </c>
      <c r="AI14">
        <v>99</v>
      </c>
      <c r="AJ14">
        <v>22</v>
      </c>
      <c r="AK14" s="35">
        <v>0.69628931035655273</v>
      </c>
      <c r="AL14" s="34">
        <v>55</v>
      </c>
      <c r="AM14">
        <v>4</v>
      </c>
      <c r="AN14" s="34">
        <v>55</v>
      </c>
      <c r="AO14" s="35">
        <v>0.95327102803738317</v>
      </c>
    </row>
    <row r="15" spans="1:41" x14ac:dyDescent="0.2">
      <c r="A15" s="34">
        <v>56</v>
      </c>
      <c r="B15">
        <v>23</v>
      </c>
      <c r="C15">
        <v>24</v>
      </c>
      <c r="D15">
        <v>4</v>
      </c>
      <c r="E15" s="34">
        <v>56</v>
      </c>
      <c r="F15">
        <v>102</v>
      </c>
      <c r="G15">
        <v>119</v>
      </c>
      <c r="H15">
        <v>23</v>
      </c>
      <c r="M15" s="34">
        <v>56</v>
      </c>
      <c r="N15">
        <v>20</v>
      </c>
      <c r="O15">
        <v>4</v>
      </c>
      <c r="P15" s="34">
        <v>56</v>
      </c>
      <c r="Q15">
        <v>96</v>
      </c>
      <c r="R15">
        <v>23</v>
      </c>
      <c r="AF15" s="34">
        <v>56</v>
      </c>
      <c r="AG15">
        <v>378</v>
      </c>
      <c r="AH15">
        <v>85</v>
      </c>
      <c r="AI15">
        <v>68</v>
      </c>
      <c r="AJ15">
        <v>17</v>
      </c>
      <c r="AK15" s="35">
        <v>0.94117647058823528</v>
      </c>
      <c r="AL15" s="34">
        <v>56</v>
      </c>
      <c r="AM15">
        <v>1</v>
      </c>
      <c r="AN15" s="34">
        <v>56</v>
      </c>
      <c r="AO15" s="35">
        <v>0.94117647058823528</v>
      </c>
    </row>
    <row r="16" spans="1:41" x14ac:dyDescent="0.2">
      <c r="A16" s="34">
        <v>57</v>
      </c>
      <c r="B16">
        <v>19</v>
      </c>
      <c r="C16">
        <v>18</v>
      </c>
      <c r="D16">
        <v>2</v>
      </c>
      <c r="E16" s="34">
        <v>57</v>
      </c>
      <c r="F16">
        <v>79</v>
      </c>
      <c r="G16">
        <v>101</v>
      </c>
      <c r="H16">
        <v>23</v>
      </c>
      <c r="M16" s="34">
        <v>57</v>
      </c>
      <c r="N16">
        <v>16</v>
      </c>
      <c r="O16">
        <v>2</v>
      </c>
      <c r="P16" s="34">
        <v>57</v>
      </c>
      <c r="Q16">
        <v>78</v>
      </c>
      <c r="R16">
        <v>23</v>
      </c>
      <c r="AF16" s="34">
        <v>57</v>
      </c>
      <c r="AG16">
        <v>311</v>
      </c>
      <c r="AH16">
        <v>77</v>
      </c>
      <c r="AI16">
        <v>60</v>
      </c>
      <c r="AJ16">
        <v>17</v>
      </c>
      <c r="AK16" s="35">
        <v>0.96425912137006708</v>
      </c>
      <c r="AL16" s="34">
        <v>57</v>
      </c>
      <c r="AM16">
        <v>4</v>
      </c>
      <c r="AN16" s="34">
        <v>57</v>
      </c>
      <c r="AO16" s="35">
        <v>0.98734177215189878</v>
      </c>
    </row>
    <row r="17" spans="1:41" x14ac:dyDescent="0.2">
      <c r="A17" s="34">
        <v>58</v>
      </c>
      <c r="B17">
        <v>14</v>
      </c>
      <c r="C17">
        <v>11</v>
      </c>
      <c r="D17">
        <v>2</v>
      </c>
      <c r="E17" s="34">
        <v>58</v>
      </c>
      <c r="F17">
        <v>77</v>
      </c>
      <c r="G17">
        <v>92</v>
      </c>
      <c r="H17">
        <v>28</v>
      </c>
      <c r="M17" s="34">
        <v>58</v>
      </c>
      <c r="N17">
        <v>9</v>
      </c>
      <c r="O17">
        <v>2</v>
      </c>
      <c r="P17" s="34">
        <v>58</v>
      </c>
      <c r="Q17">
        <v>64</v>
      </c>
      <c r="R17">
        <v>28</v>
      </c>
      <c r="AF17" s="34">
        <v>58</v>
      </c>
      <c r="AG17">
        <v>549</v>
      </c>
      <c r="AH17">
        <v>144</v>
      </c>
      <c r="AI17">
        <v>109</v>
      </c>
      <c r="AJ17">
        <v>35</v>
      </c>
      <c r="AK17" s="35">
        <v>0.91989569130298854</v>
      </c>
      <c r="AL17" s="34">
        <v>58</v>
      </c>
      <c r="AM17">
        <v>1</v>
      </c>
      <c r="AN17" s="34">
        <v>58</v>
      </c>
      <c r="AO17" s="35">
        <v>0.83116883116883122</v>
      </c>
    </row>
    <row r="18" spans="1:41" x14ac:dyDescent="0.2">
      <c r="A18" s="34">
        <v>59</v>
      </c>
      <c r="B18">
        <v>21</v>
      </c>
      <c r="C18">
        <v>22</v>
      </c>
      <c r="D18">
        <v>7</v>
      </c>
      <c r="E18" s="34">
        <v>59</v>
      </c>
      <c r="F18">
        <v>103</v>
      </c>
      <c r="G18">
        <v>118</v>
      </c>
      <c r="H18">
        <v>23</v>
      </c>
      <c r="M18" s="34">
        <v>59</v>
      </c>
      <c r="N18">
        <v>15</v>
      </c>
      <c r="O18">
        <v>7</v>
      </c>
      <c r="P18" s="34">
        <v>59</v>
      </c>
      <c r="Q18">
        <v>95</v>
      </c>
      <c r="R18">
        <v>23</v>
      </c>
      <c r="AF18" s="34">
        <v>59</v>
      </c>
      <c r="AG18">
        <v>522</v>
      </c>
      <c r="AH18">
        <v>131</v>
      </c>
      <c r="AI18">
        <v>100</v>
      </c>
      <c r="AJ18">
        <v>31</v>
      </c>
      <c r="AK18" s="35">
        <v>0.92050429274908607</v>
      </c>
      <c r="AL18" s="34">
        <v>59</v>
      </c>
      <c r="AM18">
        <v>5</v>
      </c>
      <c r="AN18" s="34">
        <v>59</v>
      </c>
      <c r="AO18" s="35">
        <v>0.92233009708737868</v>
      </c>
    </row>
    <row r="19" spans="1:41" x14ac:dyDescent="0.2">
      <c r="A19" s="34" t="s">
        <v>45</v>
      </c>
      <c r="B19">
        <v>298</v>
      </c>
      <c r="C19">
        <v>303</v>
      </c>
      <c r="D19">
        <v>77</v>
      </c>
      <c r="E19" s="34" t="s">
        <v>45</v>
      </c>
      <c r="F19">
        <v>1668</v>
      </c>
      <c r="G19">
        <v>1522</v>
      </c>
      <c r="H19">
        <v>322</v>
      </c>
      <c r="M19" s="34" t="s">
        <v>45</v>
      </c>
      <c r="N19">
        <v>226</v>
      </c>
      <c r="O19">
        <v>77</v>
      </c>
      <c r="P19" s="34" t="s">
        <v>45</v>
      </c>
      <c r="Q19">
        <v>1200</v>
      </c>
      <c r="R19">
        <v>322</v>
      </c>
      <c r="AL19" s="34" t="s">
        <v>45</v>
      </c>
      <c r="AM19">
        <v>53</v>
      </c>
      <c r="AN19" s="34" t="s">
        <v>45</v>
      </c>
      <c r="AO19">
        <v>12.263675447428005</v>
      </c>
    </row>
    <row r="32" spans="1:41" x14ac:dyDescent="0.2">
      <c r="AD32" s="35"/>
    </row>
    <row r="33" spans="30:30" x14ac:dyDescent="0.2">
      <c r="AD33" s="35"/>
    </row>
  </sheetData>
  <sheetProtection algorithmName="SHA-512" hashValue="X6C/8gqI/wZZf7jULmVzvqa0j3mdYddYw3c5kkqCreMjak5lUGDeKclfAiUAQRWHEAICycKepGVrJ06c7oq9YQ==" saltValue="2g7VIwoQIKEknVnPtrk/GQ==" spinCount="100000" sheet="1" pivotTables="0"/>
  <pageMargins left="0.7" right="0.7" top="0.75" bottom="0.75" header="0.3" footer="0.3"/>
  <drawing r:id="rId23"/>
  <extLst>
    <ext xmlns:x14="http://schemas.microsoft.com/office/spreadsheetml/2009/9/main" uri="{A8765BA9-456A-4dab-B4F3-ACF838C121DE}">
      <x14:slicerList>
        <x14:slicer r:id="rId24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4D4B-BA66-744B-A975-CAF4D3D8D451}">
  <dimension ref="A1:BT75"/>
  <sheetViews>
    <sheetView showGridLines="0" tabSelected="1" topLeftCell="A17" zoomScaleNormal="100" workbookViewId="0">
      <selection activeCell="CA72" sqref="CA72"/>
    </sheetView>
  </sheetViews>
  <sheetFormatPr baseColWidth="10" defaultColWidth="3.83203125" defaultRowHeight="15" x14ac:dyDescent="0.2"/>
  <cols>
    <col min="1" max="57" width="3.83203125" style="40"/>
    <col min="58" max="58" width="7.5" style="40" bestFit="1" customWidth="1"/>
    <col min="59" max="62" width="3.83203125" style="40"/>
    <col min="63" max="63" width="8.1640625" style="40" bestFit="1" customWidth="1"/>
    <col min="64" max="16384" width="3.83203125" style="40"/>
  </cols>
  <sheetData>
    <row r="1" s="63" customFormat="1" ht="5.25" customHeight="1" x14ac:dyDescent="0.2"/>
    <row r="2" s="63" customFormat="1" x14ac:dyDescent="0.2"/>
    <row r="3" s="63" customFormat="1" x14ac:dyDescent="0.2"/>
    <row r="4" s="63" customFormat="1" x14ac:dyDescent="0.2"/>
    <row r="5" s="63" customFormat="1" x14ac:dyDescent="0.2"/>
    <row r="6" s="63" customFormat="1" x14ac:dyDescent="0.2"/>
    <row r="7" s="63" customFormat="1" x14ac:dyDescent="0.2"/>
    <row r="8" s="63" customFormat="1" x14ac:dyDescent="0.2"/>
    <row r="9" s="63" customFormat="1" x14ac:dyDescent="0.2"/>
    <row r="10" s="63" customFormat="1" x14ac:dyDescent="0.2"/>
    <row r="11" s="63" customFormat="1" x14ac:dyDescent="0.2"/>
    <row r="12" s="63" customFormat="1" ht="15" customHeight="1" x14ac:dyDescent="0.2"/>
    <row r="13" s="63" customFormat="1" ht="15" customHeight="1" x14ac:dyDescent="0.2"/>
    <row r="14" s="63" customFormat="1" ht="15" customHeight="1" x14ac:dyDescent="0.2"/>
    <row r="15" s="63" customFormat="1" ht="15" customHeight="1" x14ac:dyDescent="0.2"/>
    <row r="16" s="63" customFormat="1" ht="15" customHeight="1" x14ac:dyDescent="0.2"/>
    <row r="17" spans="14:14" s="63" customFormat="1" ht="15" customHeight="1" x14ac:dyDescent="0.2"/>
    <row r="18" spans="14:14" s="63" customFormat="1" ht="15" customHeight="1" x14ac:dyDescent="0.2">
      <c r="N18" s="64"/>
    </row>
    <row r="19" spans="14:14" s="63" customFormat="1" ht="15" customHeight="1" x14ac:dyDescent="0.2"/>
    <row r="20" spans="14:14" s="63" customFormat="1" x14ac:dyDescent="0.2"/>
    <row r="21" spans="14:14" s="63" customFormat="1" x14ac:dyDescent="0.2"/>
    <row r="22" spans="14:14" s="63" customFormat="1" x14ac:dyDescent="0.2"/>
    <row r="23" spans="14:14" s="63" customFormat="1" x14ac:dyDescent="0.2"/>
    <row r="24" spans="14:14" s="63" customFormat="1" x14ac:dyDescent="0.2"/>
    <row r="25" spans="14:14" s="63" customFormat="1" x14ac:dyDescent="0.2"/>
    <row r="26" spans="14:14" s="63" customFormat="1" x14ac:dyDescent="0.2"/>
    <row r="27" spans="14:14" s="63" customFormat="1" x14ac:dyDescent="0.2"/>
    <row r="28" spans="14:14" s="63" customFormat="1" x14ac:dyDescent="0.2"/>
    <row r="29" spans="14:14" s="63" customFormat="1" x14ac:dyDescent="0.2"/>
    <row r="30" spans="14:14" s="63" customFormat="1" x14ac:dyDescent="0.2"/>
    <row r="31" spans="14:14" s="63" customFormat="1" x14ac:dyDescent="0.2"/>
    <row r="32" spans="14:14" s="63" customFormat="1" x14ac:dyDescent="0.2"/>
    <row r="33" s="63" customFormat="1" x14ac:dyDescent="0.2"/>
    <row r="34" s="63" customFormat="1" x14ac:dyDescent="0.2"/>
    <row r="35" s="63" customFormat="1" x14ac:dyDescent="0.2"/>
    <row r="36" s="63" customFormat="1" x14ac:dyDescent="0.2"/>
    <row r="37" s="63" customFormat="1" x14ac:dyDescent="0.2"/>
    <row r="38" s="63" customFormat="1" x14ac:dyDescent="0.2"/>
    <row r="39" s="63" customFormat="1" x14ac:dyDescent="0.2"/>
    <row r="40" s="63" customFormat="1" x14ac:dyDescent="0.2"/>
    <row r="41" s="63" customFormat="1" x14ac:dyDescent="0.2"/>
    <row r="42" s="63" customFormat="1" x14ac:dyDescent="0.2"/>
    <row r="43" s="63" customFormat="1" x14ac:dyDescent="0.2"/>
    <row r="44" s="63" customFormat="1" x14ac:dyDescent="0.2"/>
    <row r="45" s="63" customFormat="1" x14ac:dyDescent="0.2"/>
    <row r="46" s="63" customFormat="1" x14ac:dyDescent="0.2"/>
    <row r="47" s="63" customFormat="1" x14ac:dyDescent="0.2"/>
    <row r="48" s="63" customFormat="1" x14ac:dyDescent="0.2"/>
    <row r="49" spans="1:72" s="63" customFormat="1" x14ac:dyDescent="0.2"/>
    <row r="50" spans="1:72" s="63" customFormat="1" x14ac:dyDescent="0.2"/>
    <row r="51" spans="1:72" s="63" customFormat="1" x14ac:dyDescent="0.2"/>
    <row r="52" spans="1:72" s="63" customFormat="1" x14ac:dyDescent="0.2"/>
    <row r="53" spans="1:72" s="63" customFormat="1" x14ac:dyDescent="0.2"/>
    <row r="54" spans="1:72" s="63" customFormat="1" x14ac:dyDescent="0.2"/>
    <row r="55" spans="1:72" s="63" customFormat="1" x14ac:dyDescent="0.2"/>
    <row r="56" spans="1:72" s="63" customFormat="1" x14ac:dyDescent="0.2"/>
    <row r="57" spans="1:72" s="63" customFormat="1" x14ac:dyDescent="0.2"/>
    <row r="58" spans="1:72" s="63" customFormat="1" x14ac:dyDescent="0.2"/>
    <row r="59" spans="1:72" s="63" customFormat="1" x14ac:dyDescent="0.2"/>
    <row r="60" spans="1:72" s="63" customFormat="1" x14ac:dyDescent="0.2"/>
    <row r="61" spans="1:72" s="63" customFormat="1" ht="32" customHeight="1" x14ac:dyDescent="0.2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</row>
    <row r="62" spans="1:72" s="63" customFormat="1" ht="43" customHeight="1" x14ac:dyDescent="0.2">
      <c r="A62" s="45"/>
      <c r="B62" s="45"/>
      <c r="C62" s="45"/>
      <c r="D62" s="45"/>
      <c r="E62" s="55"/>
      <c r="F62" s="55"/>
      <c r="G62" s="55"/>
      <c r="H62" s="55"/>
      <c r="I62" s="65" t="s">
        <v>1</v>
      </c>
      <c r="J62" s="65"/>
      <c r="K62" s="65"/>
      <c r="L62" s="65"/>
      <c r="M62" s="65"/>
      <c r="N62" s="45"/>
      <c r="O62" s="45"/>
      <c r="P62" s="65" t="s">
        <v>71</v>
      </c>
      <c r="Q62" s="65"/>
      <c r="R62" s="65"/>
      <c r="S62" s="65"/>
      <c r="T62" s="65"/>
      <c r="U62" s="45"/>
      <c r="V62" s="45"/>
      <c r="W62" s="65" t="s">
        <v>72</v>
      </c>
      <c r="X62" s="65"/>
      <c r="Y62" s="65"/>
      <c r="Z62" s="65"/>
      <c r="AA62" s="65"/>
      <c r="AB62" s="45"/>
      <c r="AC62" s="45"/>
      <c r="AD62" s="65" t="s">
        <v>73</v>
      </c>
      <c r="AE62" s="65"/>
      <c r="AF62" s="65"/>
      <c r="AG62" s="65"/>
      <c r="AH62" s="65"/>
      <c r="AI62" s="45"/>
      <c r="AJ62" s="45"/>
      <c r="AK62" s="65" t="s">
        <v>74</v>
      </c>
      <c r="AL62" s="65"/>
      <c r="AM62" s="65"/>
      <c r="AN62" s="65"/>
      <c r="AO62" s="65"/>
      <c r="AP62" s="45"/>
      <c r="AQ62" s="45"/>
      <c r="AR62" s="65" t="s">
        <v>75</v>
      </c>
      <c r="AS62" s="65"/>
      <c r="AT62" s="65"/>
      <c r="AU62" s="65"/>
      <c r="AV62" s="6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</row>
    <row r="63" spans="1:72" s="63" customFormat="1" ht="12" customHeight="1" x14ac:dyDescent="0.2">
      <c r="A63" s="45"/>
      <c r="B63" s="45"/>
      <c r="C63" s="45"/>
      <c r="D63" s="45"/>
      <c r="E63" s="55"/>
      <c r="F63" s="55"/>
      <c r="G63" s="55"/>
      <c r="H63" s="5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</row>
    <row r="64" spans="1:72" s="63" customFormat="1" ht="15" customHeight="1" x14ac:dyDescent="0.2">
      <c r="A64" s="45"/>
      <c r="B64" s="45"/>
      <c r="C64" s="45"/>
      <c r="D64" s="45"/>
      <c r="E64" s="55"/>
      <c r="F64" s="55"/>
      <c r="G64" s="55"/>
      <c r="H64" s="55"/>
      <c r="I64" s="66" cm="1">
        <f t="array" ref="I64">LOOKUP(2,1/(Data!$A:$A&lt;&gt;""),Data!$A:$A)</f>
        <v>66</v>
      </c>
      <c r="J64" s="66"/>
      <c r="K64" s="66"/>
      <c r="L64" s="66"/>
      <c r="M64" s="66"/>
      <c r="N64" s="45"/>
      <c r="O64" s="45"/>
      <c r="P64" s="67" cm="1">
        <f t="array" ref="P64">LOOKUP(2,1/(Data!$V:$V&lt;&gt;""),Data!$V:$V)</f>
        <v>448</v>
      </c>
      <c r="Q64" s="67"/>
      <c r="R64" s="67"/>
      <c r="S64" s="67"/>
      <c r="T64" s="67"/>
      <c r="U64" s="45"/>
      <c r="V64" s="45"/>
      <c r="W64" s="68" cm="1">
        <f t="array" ref="W64">LOOKUP(2,1/(Data!$W:$W&lt;&gt;""),Data!$W:$W)</f>
        <v>90</v>
      </c>
      <c r="X64" s="68"/>
      <c r="Y64" s="68"/>
      <c r="Z64" s="68"/>
      <c r="AA64" s="68"/>
      <c r="AB64" s="45"/>
      <c r="AC64" s="45"/>
      <c r="AD64" s="69" cm="1">
        <f t="array" ref="AD64">LOOKUP(2,1/(Data!$Y:$Y&lt;&gt;""),Data!$Y:$Y)</f>
        <v>13</v>
      </c>
      <c r="AE64" s="69"/>
      <c r="AF64" s="69"/>
      <c r="AG64" s="69"/>
      <c r="AH64" s="69"/>
      <c r="AI64" s="45"/>
      <c r="AJ64" s="45"/>
      <c r="AK64" s="70" cm="1">
        <f t="array" ref="AK64">LOOKUP(2,1/(Data!$X:$X&lt;&gt;""),Data!$X:$X)</f>
        <v>77</v>
      </c>
      <c r="AL64" s="70"/>
      <c r="AM64" s="70"/>
      <c r="AN64" s="70"/>
      <c r="AO64" s="70"/>
      <c r="AP64" s="45"/>
      <c r="AQ64" s="45"/>
      <c r="AR64" s="72" cm="1">
        <f t="array" ref="AR64">LOOKUP(2,1/(Data!$Z:$Z&lt;&gt;""),Data!$Z:$Z)</f>
        <v>0.8463677117297087</v>
      </c>
      <c r="AS64" s="72"/>
      <c r="AT64" s="72"/>
      <c r="AU64" s="72"/>
      <c r="AV64" s="72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</row>
    <row r="65" spans="1:72" s="63" customFormat="1" ht="15" customHeight="1" x14ac:dyDescent="0.2">
      <c r="A65" s="45"/>
      <c r="B65" s="45"/>
      <c r="C65" s="45"/>
      <c r="D65" s="45"/>
      <c r="E65" s="55"/>
      <c r="F65" s="55"/>
      <c r="G65" s="55"/>
      <c r="H65" s="55"/>
      <c r="I65" s="66"/>
      <c r="J65" s="66"/>
      <c r="K65" s="66"/>
      <c r="L65" s="66"/>
      <c r="M65" s="66"/>
      <c r="N65" s="45"/>
      <c r="O65" s="45"/>
      <c r="P65" s="67"/>
      <c r="Q65" s="67"/>
      <c r="R65" s="67"/>
      <c r="S65" s="67"/>
      <c r="T65" s="67"/>
      <c r="U65" s="45"/>
      <c r="V65" s="45"/>
      <c r="W65" s="68"/>
      <c r="X65" s="68"/>
      <c r="Y65" s="68"/>
      <c r="Z65" s="68"/>
      <c r="AA65" s="68"/>
      <c r="AB65" s="45"/>
      <c r="AC65" s="45"/>
      <c r="AD65" s="69"/>
      <c r="AE65" s="69"/>
      <c r="AF65" s="69"/>
      <c r="AG65" s="69"/>
      <c r="AH65" s="69"/>
      <c r="AI65" s="45"/>
      <c r="AJ65" s="45"/>
      <c r="AK65" s="70"/>
      <c r="AL65" s="70"/>
      <c r="AM65" s="70"/>
      <c r="AN65" s="70"/>
      <c r="AO65" s="70"/>
      <c r="AP65" s="45"/>
      <c r="AQ65" s="45"/>
      <c r="AR65" s="72"/>
      <c r="AS65" s="72"/>
      <c r="AT65" s="72"/>
      <c r="AU65" s="72"/>
      <c r="AV65" s="72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</row>
    <row r="66" spans="1:72" s="63" customFormat="1" ht="15" customHeight="1" x14ac:dyDescent="0.2">
      <c r="A66" s="45"/>
      <c r="B66" s="45"/>
      <c r="C66" s="45"/>
      <c r="D66" s="45"/>
      <c r="E66" s="55"/>
      <c r="F66" s="55"/>
      <c r="G66" s="55"/>
      <c r="H66" s="55"/>
      <c r="I66" s="66"/>
      <c r="J66" s="66"/>
      <c r="K66" s="66"/>
      <c r="L66" s="66"/>
      <c r="M66" s="66"/>
      <c r="N66" s="45"/>
      <c r="O66" s="45"/>
      <c r="P66" s="67"/>
      <c r="Q66" s="67"/>
      <c r="R66" s="67"/>
      <c r="S66" s="67"/>
      <c r="T66" s="67"/>
      <c r="U66" s="45"/>
      <c r="V66" s="45"/>
      <c r="W66" s="68"/>
      <c r="X66" s="68"/>
      <c r="Y66" s="68"/>
      <c r="Z66" s="68"/>
      <c r="AA66" s="68"/>
      <c r="AB66" s="45"/>
      <c r="AC66" s="45"/>
      <c r="AD66" s="69"/>
      <c r="AE66" s="69"/>
      <c r="AF66" s="69"/>
      <c r="AG66" s="69"/>
      <c r="AH66" s="69"/>
      <c r="AI66" s="45"/>
      <c r="AJ66" s="45"/>
      <c r="AK66" s="70"/>
      <c r="AL66" s="70"/>
      <c r="AM66" s="70"/>
      <c r="AN66" s="70"/>
      <c r="AO66" s="70"/>
      <c r="AP66" s="45"/>
      <c r="AQ66" s="45"/>
      <c r="AR66" s="72"/>
      <c r="AS66" s="72"/>
      <c r="AT66" s="72"/>
      <c r="AU66" s="72"/>
      <c r="AV66" s="72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</row>
    <row r="67" spans="1:72" s="63" customFormat="1" ht="15" customHeight="1" x14ac:dyDescent="0.2">
      <c r="A67" s="45"/>
      <c r="B67" s="45"/>
      <c r="C67" s="45"/>
      <c r="D67" s="45"/>
      <c r="E67" s="55"/>
      <c r="F67" s="55"/>
      <c r="G67" s="55"/>
      <c r="H67" s="55"/>
      <c r="I67" s="66"/>
      <c r="J67" s="66"/>
      <c r="K67" s="66"/>
      <c r="L67" s="66"/>
      <c r="M67" s="66"/>
      <c r="N67" s="45"/>
      <c r="O67" s="45"/>
      <c r="P67" s="67"/>
      <c r="Q67" s="67"/>
      <c r="R67" s="67"/>
      <c r="S67" s="67"/>
      <c r="T67" s="67"/>
      <c r="U67" s="45"/>
      <c r="V67" s="45"/>
      <c r="W67" s="68"/>
      <c r="X67" s="68"/>
      <c r="Y67" s="68"/>
      <c r="Z67" s="68"/>
      <c r="AA67" s="68"/>
      <c r="AB67" s="45"/>
      <c r="AC67" s="45"/>
      <c r="AD67" s="69"/>
      <c r="AE67" s="69"/>
      <c r="AF67" s="69"/>
      <c r="AG67" s="69"/>
      <c r="AH67" s="69"/>
      <c r="AI67" s="45"/>
      <c r="AJ67" s="45"/>
      <c r="AK67" s="70"/>
      <c r="AL67" s="70"/>
      <c r="AM67" s="70"/>
      <c r="AN67" s="70"/>
      <c r="AO67" s="70"/>
      <c r="AP67" s="45"/>
      <c r="AQ67" s="45"/>
      <c r="AR67" s="72"/>
      <c r="AS67" s="72"/>
      <c r="AT67" s="72"/>
      <c r="AU67" s="72"/>
      <c r="AV67" s="72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</row>
    <row r="68" spans="1:72" s="63" customFormat="1" ht="15" customHeight="1" x14ac:dyDescent="0.2">
      <c r="A68" s="45"/>
      <c r="B68" s="45"/>
      <c r="C68" s="45"/>
      <c r="D68" s="45"/>
      <c r="E68" s="46"/>
      <c r="F68" s="46"/>
      <c r="G68" s="46"/>
      <c r="H68" s="46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</row>
    <row r="69" spans="1:72" s="63" customFormat="1" ht="15" customHeight="1" x14ac:dyDescent="0.2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</row>
    <row r="70" spans="1:72" s="63" customFormat="1" x14ac:dyDescent="0.2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</row>
    <row r="71" spans="1:72" s="63" customFormat="1" x14ac:dyDescent="0.2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</row>
    <row r="72" spans="1:72" s="63" customFormat="1" x14ac:dyDescent="0.2"/>
    <row r="73" spans="1:72" s="63" customFormat="1" x14ac:dyDescent="0.2"/>
    <row r="74" spans="1:72" s="63" customFormat="1" x14ac:dyDescent="0.2"/>
    <row r="75" spans="1:72" s="63" customFormat="1" x14ac:dyDescent="0.2"/>
  </sheetData>
  <sheetProtection algorithmName="SHA-512" hashValue="T4pGK9N9NYr8H9uhJDWmsDITopfz0iPGy3Ul/tIOJZqDl7tFvhdmfVU/8L9qRn77olscpH7hiV9BL6A0LpSynQ==" saltValue="u++LfFNKNFtelteiFqOX2g==" spinCount="100000" sheet="1" objects="1" scenarios="1"/>
  <mergeCells count="12">
    <mergeCell ref="AR64:AV67"/>
    <mergeCell ref="I62:M62"/>
    <mergeCell ref="P62:T62"/>
    <mergeCell ref="W62:AA62"/>
    <mergeCell ref="AD62:AH62"/>
    <mergeCell ref="AK62:AO62"/>
    <mergeCell ref="AR62:AV62"/>
    <mergeCell ref="I64:M67"/>
    <mergeCell ref="P64:T67"/>
    <mergeCell ref="W64:AA67"/>
    <mergeCell ref="AD64:AH67"/>
    <mergeCell ref="AK64:AO67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Metadata/LabelInfo.xml><?xml version="1.0" encoding="utf-8"?>
<clbl:labelList xmlns:clbl="http://schemas.microsoft.com/office/2020/mipLabelMetadata">
  <clbl:label id="{03295685-2385-4a6a-8368-cb4a937acc28}" enabled="1" method="Privileged" siteId="{c8e8bdb6-8e7c-41d5-bc41-37fff3c33b7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 Backup</vt:lpstr>
      <vt:lpstr>PivotTables Backup</vt:lpstr>
      <vt:lpstr>Dashboard Backup</vt:lpstr>
      <vt:lpstr>Data</vt:lpstr>
      <vt:lpstr>PivotTables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2024-03-05T18:22:34Z</dcterms:created>
  <dcterms:modified xsi:type="dcterms:W3CDTF">2024-08-17T08:21:47Z</dcterms:modified>
  <cp:category/>
  <cp:contentStatus/>
</cp:coreProperties>
</file>