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Efe Kaan Doğan\Desktop\Makine\3.Sınıf\2.Dönem\Redüktör\"/>
    </mc:Choice>
  </mc:AlternateContent>
  <xr:revisionPtr revIDLastSave="0" documentId="13_ncr:1_{977FBEA5-558A-478C-A6FC-F49BDBCA916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7" i="1" l="1"/>
  <c r="C24" i="1"/>
  <c r="N81" i="1"/>
  <c r="N82" i="1" s="1"/>
  <c r="N78" i="1"/>
  <c r="I81" i="1"/>
  <c r="I82" i="1" s="1"/>
  <c r="I78" i="1"/>
  <c r="D78" i="1"/>
  <c r="D81" i="1"/>
  <c r="D82" i="1" s="1"/>
  <c r="F45" i="1"/>
  <c r="I45" i="1"/>
  <c r="H45" i="1"/>
  <c r="G45" i="1"/>
  <c r="F35" i="1"/>
  <c r="F24" i="1"/>
  <c r="F25" i="1"/>
  <c r="I35" i="1"/>
  <c r="H35" i="1"/>
  <c r="G35" i="1"/>
  <c r="M1" i="1"/>
  <c r="Q17" i="1"/>
  <c r="Q15" i="1"/>
  <c r="Q14" i="1"/>
  <c r="E23" i="1"/>
  <c r="G23" i="1" s="1"/>
  <c r="K15" i="1"/>
  <c r="C29" i="1" s="1"/>
  <c r="H15" i="1"/>
  <c r="I15" i="1" s="1"/>
  <c r="A1" i="1"/>
  <c r="M9" i="1" s="1"/>
  <c r="L6" i="1"/>
  <c r="L5" i="1"/>
  <c r="L7" i="1" s="1"/>
  <c r="F46" i="1" s="1"/>
  <c r="H8" i="1"/>
  <c r="C16" i="1" s="1"/>
  <c r="C17" i="1" s="1"/>
  <c r="D74" i="1" l="1"/>
  <c r="D77" i="1" s="1"/>
  <c r="H47" i="1"/>
  <c r="I49" i="1"/>
  <c r="I47" i="1"/>
  <c r="F43" i="1"/>
  <c r="G46" i="1"/>
  <c r="P6" i="1"/>
  <c r="G39" i="1"/>
  <c r="G40" i="1" s="1"/>
  <c r="H39" i="1"/>
  <c r="F48" i="1"/>
  <c r="H49" i="1"/>
  <c r="G37" i="1"/>
  <c r="H43" i="1"/>
  <c r="F47" i="1"/>
  <c r="I43" i="1"/>
  <c r="G47" i="1"/>
  <c r="F49" i="1"/>
  <c r="G43" i="1"/>
  <c r="G49" i="1"/>
  <c r="H37" i="1"/>
  <c r="I37" i="1"/>
  <c r="F37" i="1"/>
  <c r="F36" i="1"/>
  <c r="F38" i="1" s="1"/>
  <c r="I36" i="1"/>
  <c r="I38" i="1" s="1"/>
  <c r="H36" i="1"/>
  <c r="H38" i="1" s="1"/>
  <c r="G36" i="1"/>
  <c r="G38" i="1" s="1"/>
  <c r="F39" i="1"/>
  <c r="H16" i="1"/>
  <c r="H17" i="1" s="1"/>
  <c r="Q5" i="1"/>
  <c r="L8" i="1"/>
  <c r="J26" i="1"/>
  <c r="J29" i="1"/>
  <c r="J1" i="1"/>
  <c r="I16" i="1" l="1"/>
  <c r="K16" i="1" s="1"/>
  <c r="I74" i="1" s="1"/>
  <c r="I77" i="1" s="1"/>
  <c r="M40" i="1"/>
  <c r="M43" i="1" s="1"/>
  <c r="Q9" i="1"/>
  <c r="R9" i="1" s="1"/>
  <c r="P9" i="1"/>
  <c r="I39" i="1" s="1"/>
  <c r="I41" i="1" s="1"/>
  <c r="I46" i="1"/>
  <c r="H46" i="1"/>
  <c r="G42" i="1"/>
  <c r="K17" i="1"/>
  <c r="G48" i="1"/>
  <c r="N35" i="1" s="1"/>
  <c r="M35" i="1"/>
  <c r="F41" i="1"/>
  <c r="G41" i="1"/>
  <c r="F42" i="1"/>
  <c r="F44" i="1"/>
  <c r="F40" i="1"/>
  <c r="H41" i="1"/>
  <c r="H40" i="1"/>
  <c r="H42" i="1"/>
  <c r="R8" i="1"/>
  <c r="R5" i="1"/>
  <c r="I17" i="1"/>
  <c r="H18" i="1"/>
  <c r="I18" i="1" s="1"/>
  <c r="K18" i="1" s="1"/>
  <c r="N40" i="1" l="1"/>
  <c r="N43" i="1" s="1"/>
  <c r="I42" i="1"/>
  <c r="I48" i="1"/>
  <c r="N74" i="1"/>
  <c r="N77" i="1" s="1"/>
  <c r="H44" i="1"/>
  <c r="J44" i="1" s="1"/>
  <c r="N37" i="1"/>
  <c r="N41" i="1"/>
  <c r="N44" i="1" s="1"/>
  <c r="N36" i="1"/>
  <c r="G59" i="1"/>
  <c r="M37" i="1"/>
  <c r="M36" i="1"/>
  <c r="H48" i="1"/>
  <c r="O35" i="1" s="1"/>
  <c r="M26" i="1"/>
  <c r="M29" i="1"/>
  <c r="P35" i="1"/>
  <c r="P40" i="1"/>
  <c r="P43" i="1" s="1"/>
  <c r="I40" i="1"/>
  <c r="M41" i="1"/>
  <c r="M44" i="1" s="1"/>
  <c r="Q18" i="1"/>
  <c r="Q6" i="1"/>
  <c r="R6" i="1" s="1"/>
  <c r="C95" i="1" l="1"/>
  <c r="G62" i="1"/>
  <c r="G60" i="1"/>
  <c r="G61" i="1" s="1"/>
  <c r="P41" i="1"/>
  <c r="P44" i="1" s="1"/>
  <c r="U59" i="1"/>
  <c r="U60" i="1" s="1"/>
  <c r="P36" i="1"/>
  <c r="P37" i="1"/>
  <c r="O41" i="1"/>
  <c r="O44" i="1" s="1"/>
  <c r="O37" i="1"/>
  <c r="O36" i="1"/>
  <c r="L59" i="1" s="1"/>
  <c r="E59" i="1"/>
  <c r="O40" i="1"/>
  <c r="O43" i="1" s="1"/>
  <c r="N59" i="1"/>
  <c r="N60" i="1" s="1"/>
  <c r="N54" i="1" s="1"/>
  <c r="L60" i="1" l="1"/>
  <c r="N65" i="1" s="1"/>
  <c r="H91" i="1" s="1"/>
  <c r="H92" i="1" s="1"/>
  <c r="N64" i="1"/>
  <c r="E60" i="1"/>
  <c r="G65" i="1" s="1"/>
  <c r="C91" i="1" s="1"/>
  <c r="C92" i="1" s="1"/>
  <c r="G64" i="1"/>
  <c r="C88" i="1" s="1"/>
  <c r="H95" i="1"/>
  <c r="U62" i="1"/>
  <c r="U61" i="1"/>
  <c r="N61" i="1"/>
  <c r="N62" i="1"/>
  <c r="S59" i="1"/>
  <c r="M54" i="1" l="1"/>
  <c r="L61" i="1" s="1"/>
  <c r="H88" i="1"/>
  <c r="E62" i="1"/>
  <c r="E63" i="1" s="1"/>
  <c r="D75" i="1" s="1"/>
  <c r="D83" i="1" s="1"/>
  <c r="D84" i="1" s="1"/>
  <c r="E84" i="1" s="1"/>
  <c r="E61" i="1"/>
  <c r="S60" i="1"/>
  <c r="U65" i="1" s="1"/>
  <c r="M88" i="1" s="1"/>
  <c r="U64" i="1"/>
  <c r="M91" i="1" s="1"/>
  <c r="M92" i="1" s="1"/>
  <c r="M95" i="1" s="1"/>
  <c r="S62" i="1"/>
  <c r="S63" i="1" s="1"/>
  <c r="N75" i="1" s="1"/>
  <c r="N83" i="1" s="1"/>
  <c r="N84" i="1" s="1"/>
  <c r="O84" i="1" s="1"/>
  <c r="S61" i="1"/>
  <c r="L62" i="1" l="1"/>
  <c r="L63" i="1" s="1"/>
  <c r="I75" i="1" s="1"/>
  <c r="I83" i="1" s="1"/>
  <c r="I84" i="1" s="1"/>
  <c r="J84" i="1" s="1"/>
</calcChain>
</file>

<file path=xl/sharedStrings.xml><?xml version="1.0" encoding="utf-8"?>
<sst xmlns="http://schemas.openxmlformats.org/spreadsheetml/2006/main" count="259" uniqueCount="160">
  <si>
    <t>P</t>
  </si>
  <si>
    <t>Devir</t>
  </si>
  <si>
    <t>i</t>
  </si>
  <si>
    <t>verimler</t>
  </si>
  <si>
    <t>2. adım</t>
  </si>
  <si>
    <t>1.adım</t>
  </si>
  <si>
    <t>3.adım</t>
  </si>
  <si>
    <t>Dişli sayılarının hesabı</t>
  </si>
  <si>
    <t>n çıkış</t>
  </si>
  <si>
    <t>n çıkış =</t>
  </si>
  <si>
    <t>i12</t>
  </si>
  <si>
    <t>i34</t>
  </si>
  <si>
    <t>Helis açı</t>
  </si>
  <si>
    <t>z1</t>
  </si>
  <si>
    <t>z2</t>
  </si>
  <si>
    <t>z3</t>
  </si>
  <si>
    <t>z4</t>
  </si>
  <si>
    <t>e</t>
  </si>
  <si>
    <t>Gerçek</t>
  </si>
  <si>
    <t>4. Adım Güç Hesabı</t>
  </si>
  <si>
    <t>P gerçek</t>
  </si>
  <si>
    <t>Kayıp</t>
  </si>
  <si>
    <t>5. Adım Döndürme Momentleri Hesabı</t>
  </si>
  <si>
    <t>n giriş</t>
  </si>
  <si>
    <t>n2</t>
  </si>
  <si>
    <t>n3</t>
  </si>
  <si>
    <t>Momentler</t>
  </si>
  <si>
    <t>------------</t>
  </si>
  <si>
    <t>Net</t>
  </si>
  <si>
    <t>poseidon mızrağı</t>
  </si>
  <si>
    <t>epsilon</t>
  </si>
  <si>
    <t>Malzeme</t>
  </si>
  <si>
    <t>Çelik döküm</t>
  </si>
  <si>
    <t>modül</t>
  </si>
  <si>
    <t>d0</t>
  </si>
  <si>
    <t>modul</t>
  </si>
  <si>
    <t>fi</t>
  </si>
  <si>
    <t>Sem</t>
  </si>
  <si>
    <t>Pem</t>
  </si>
  <si>
    <t>form</t>
  </si>
  <si>
    <t>Çevre hızı</t>
  </si>
  <si>
    <t>taksimat yarıçapı</t>
  </si>
  <si>
    <t>Kv</t>
  </si>
  <si>
    <t>Moment</t>
  </si>
  <si>
    <t>Modul Hesabı</t>
  </si>
  <si>
    <t>ka</t>
  </si>
  <si>
    <t>Sanal</t>
  </si>
  <si>
    <t>sem</t>
  </si>
  <si>
    <t>pem</t>
  </si>
  <si>
    <t>Modül Hesabı 2</t>
  </si>
  <si>
    <t>1. kademe</t>
  </si>
  <si>
    <t>2. kademe</t>
  </si>
  <si>
    <t>35NiCr18</t>
  </si>
  <si>
    <t>Diş dibi mukavemeti</t>
  </si>
  <si>
    <t>Yüzey Zorlaması mukavemeti</t>
  </si>
  <si>
    <t>Taksimat Dairesi Çapı</t>
  </si>
  <si>
    <t>1. Kademe</t>
  </si>
  <si>
    <t>1. dişli</t>
  </si>
  <si>
    <t>2. dişli</t>
  </si>
  <si>
    <t>Normal Modül</t>
  </si>
  <si>
    <t>mn</t>
  </si>
  <si>
    <t>Alın Modülü</t>
  </si>
  <si>
    <t>ms/mt</t>
  </si>
  <si>
    <t xml:space="preserve">Normal Taksimat  </t>
  </si>
  <si>
    <t>tn</t>
  </si>
  <si>
    <t>Cos20</t>
  </si>
  <si>
    <t xml:space="preserve">Alın Taksimat  </t>
  </si>
  <si>
    <t>ta</t>
  </si>
  <si>
    <t>Temel Dairesi Çapı</t>
  </si>
  <si>
    <t>dg</t>
  </si>
  <si>
    <t>Baş Dairesi Çapı</t>
  </si>
  <si>
    <t>db</t>
  </si>
  <si>
    <t>Taban Dairesi Çapı</t>
  </si>
  <si>
    <t>dt</t>
  </si>
  <si>
    <t>sn</t>
  </si>
  <si>
    <t>Taksimat diş kalınlığı</t>
  </si>
  <si>
    <t>Eksenler Arası Mesafe</t>
  </si>
  <si>
    <t>a0</t>
  </si>
  <si>
    <t>2. Kademe</t>
  </si>
  <si>
    <t>3. dişli</t>
  </si>
  <si>
    <t>4. dişli</t>
  </si>
  <si>
    <t>Kuvvet Analizi</t>
  </si>
  <si>
    <t>1.dişli</t>
  </si>
  <si>
    <t>ft</t>
  </si>
  <si>
    <t>fr</t>
  </si>
  <si>
    <t>tan 20</t>
  </si>
  <si>
    <t>3.dişli</t>
  </si>
  <si>
    <t>4.dişli</t>
  </si>
  <si>
    <t>ntoplam</t>
  </si>
  <si>
    <t>fa</t>
  </si>
  <si>
    <t>Ke</t>
  </si>
  <si>
    <t>Ki</t>
  </si>
  <si>
    <t>Ka</t>
  </si>
  <si>
    <t>M1</t>
  </si>
  <si>
    <t>M2</t>
  </si>
  <si>
    <t>M3</t>
  </si>
  <si>
    <t>M4</t>
  </si>
  <si>
    <t>mbc1</t>
  </si>
  <si>
    <t>Diş genişliği</t>
  </si>
  <si>
    <t>b</t>
  </si>
  <si>
    <t>Pyüzey</t>
  </si>
  <si>
    <t>elastisite</t>
  </si>
  <si>
    <t>Ygerilme</t>
  </si>
  <si>
    <t>Mil Hesapları</t>
  </si>
  <si>
    <t>1. Mil</t>
  </si>
  <si>
    <t>x1</t>
  </si>
  <si>
    <t>x2</t>
  </si>
  <si>
    <t>Moment hesabı</t>
  </si>
  <si>
    <t>Fdy</t>
  </si>
  <si>
    <t>Fcy</t>
  </si>
  <si>
    <t>Mmax</t>
  </si>
  <si>
    <t>2. Mil</t>
  </si>
  <si>
    <t>3. Mil</t>
  </si>
  <si>
    <t>Mnet</t>
  </si>
  <si>
    <t>Mgrafik</t>
  </si>
  <si>
    <t>x3</t>
  </si>
  <si>
    <t>Uzunluk</t>
  </si>
  <si>
    <t>Fay</t>
  </si>
  <si>
    <t>Fby</t>
  </si>
  <si>
    <t>Mil Malzemesi</t>
  </si>
  <si>
    <t>Max Eğilme</t>
  </si>
  <si>
    <t>Max Burulma</t>
  </si>
  <si>
    <t>Güvenlik faktörü</t>
  </si>
  <si>
    <t>Seçilen</t>
  </si>
  <si>
    <t>T em</t>
  </si>
  <si>
    <t>we</t>
  </si>
  <si>
    <t>ky</t>
  </si>
  <si>
    <t>kç</t>
  </si>
  <si>
    <t>kb</t>
  </si>
  <si>
    <t>Sigma D*</t>
  </si>
  <si>
    <t>Sigma D</t>
  </si>
  <si>
    <t>50 CrMo 4</t>
  </si>
  <si>
    <t>Sigma Akma</t>
  </si>
  <si>
    <t>Bileşke Moment</t>
  </si>
  <si>
    <t>Sigma toplam</t>
  </si>
  <si>
    <t>S em</t>
  </si>
  <si>
    <t>Teorik Çap</t>
  </si>
  <si>
    <t>Fa/Fr</t>
  </si>
  <si>
    <t>x</t>
  </si>
  <si>
    <t>y</t>
  </si>
  <si>
    <t>Dinamik eşdeğer yük</t>
  </si>
  <si>
    <t>cf</t>
  </si>
  <si>
    <t xml:space="preserve">C </t>
  </si>
  <si>
    <t>6910 seçildi</t>
  </si>
  <si>
    <t>C0</t>
  </si>
  <si>
    <t>fe/C0</t>
  </si>
  <si>
    <t>Fcnet</t>
  </si>
  <si>
    <t>Fdnet</t>
  </si>
  <si>
    <t>HR 32906 J seçildi</t>
  </si>
  <si>
    <t>emniyetlidir</t>
  </si>
  <si>
    <t>fe/c0</t>
  </si>
  <si>
    <t>Rulmanlar 1. mil</t>
  </si>
  <si>
    <t>Rulmanlar 2. mil</t>
  </si>
  <si>
    <t>Rulmanlar 3. mil</t>
  </si>
  <si>
    <t>Efe Kaan Doğan</t>
  </si>
  <si>
    <t>no</t>
  </si>
  <si>
    <t>d</t>
  </si>
  <si>
    <t>D</t>
  </si>
  <si>
    <t>r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</si>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</sst>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0"/>
    <numFmt numFmtId="166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1"/>
      <color rgb="FF00B050"/>
      <name val="Calibri"/>
      <family val="2"/>
      <scheme val="minor"/>
    </font>
    <font>
      <b/>
      <sz val="10"/>
      <color rgb="FF000000"/>
      <name val="Verdana"/>
      <family val="2"/>
      <charset val="162"/>
    </font>
    <font>
      <b/>
      <sz val="12"/>
      <color theme="1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2" borderId="1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10" xfId="0" applyFill="1" applyBorder="1"/>
    <xf numFmtId="0" fontId="0" fillId="2" borderId="3" xfId="0" applyFill="1" applyBorder="1"/>
    <xf numFmtId="0" fontId="4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6" xfId="0" applyFont="1" applyBorder="1"/>
    <xf numFmtId="0" fontId="3" fillId="0" borderId="3" xfId="0" applyFont="1" applyBorder="1"/>
    <xf numFmtId="0" fontId="2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1" xfId="0" applyFont="1" applyBorder="1"/>
    <xf numFmtId="0" fontId="3" fillId="5" borderId="6" xfId="0" applyFont="1" applyFill="1" applyBorder="1"/>
    <xf numFmtId="0" fontId="0" fillId="5" borderId="0" xfId="0" applyFill="1"/>
    <xf numFmtId="0" fontId="3" fillId="5" borderId="3" xfId="0" applyFont="1" applyFill="1" applyBorder="1"/>
    <xf numFmtId="0" fontId="4" fillId="0" borderId="5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64" fontId="3" fillId="0" borderId="3" xfId="0" applyNumberFormat="1" applyFont="1" applyBorder="1"/>
    <xf numFmtId="165" fontId="3" fillId="0" borderId="3" xfId="0" applyNumberFormat="1" applyFont="1" applyBorder="1"/>
    <xf numFmtId="1" fontId="3" fillId="0" borderId="3" xfId="0" applyNumberFormat="1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3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4" xfId="0" applyBorder="1"/>
    <xf numFmtId="0" fontId="3" fillId="0" borderId="0" xfId="0" applyFont="1"/>
    <xf numFmtId="0" fontId="3" fillId="0" borderId="22" xfId="0" applyFont="1" applyBorder="1"/>
    <xf numFmtId="0" fontId="3" fillId="0" borderId="25" xfId="0" applyFont="1" applyBorder="1"/>
    <xf numFmtId="0" fontId="3" fillId="0" borderId="26" xfId="0" applyFont="1" applyBorder="1"/>
    <xf numFmtId="164" fontId="3" fillId="0" borderId="3" xfId="0" applyNumberFormat="1" applyFont="1" applyBorder="1" applyAlignment="1">
      <alignment horizontal="center"/>
    </xf>
    <xf numFmtId="166" fontId="3" fillId="0" borderId="3" xfId="0" applyNumberFormat="1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0" fillId="0" borderId="0" xfId="0" applyNumberFormat="1"/>
    <xf numFmtId="0" fontId="3" fillId="0" borderId="1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27" xfId="0" applyBorder="1"/>
    <xf numFmtId="0" fontId="0" fillId="0" borderId="22" xfId="0" applyBorder="1" applyAlignment="1">
      <alignment horizontal="center"/>
    </xf>
    <xf numFmtId="0" fontId="5" fillId="0" borderId="0" xfId="0" applyFont="1"/>
    <xf numFmtId="0" fontId="0" fillId="0" borderId="12" xfId="0" applyBorder="1"/>
    <xf numFmtId="0" fontId="6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/>
    <xf numFmtId="0" fontId="3" fillId="0" borderId="27" xfId="0" applyFont="1" applyBorder="1"/>
    <xf numFmtId="0" fontId="3" fillId="0" borderId="12" xfId="0" applyFont="1" applyBorder="1"/>
    <xf numFmtId="0" fontId="3" fillId="0" borderId="23" xfId="0" applyFont="1" applyBorder="1"/>
    <xf numFmtId="0" fontId="3" fillId="0" borderId="27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5" borderId="0" xfId="0" applyFont="1" applyFill="1"/>
    <xf numFmtId="0" fontId="0" fillId="0" borderId="0" xfId="0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</cellXfs>
  <cellStyles count="1">
    <cellStyle name="Normal" xfId="0" builtinId="0"/>
  </cellStyles>
  <dxfs count="9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494530</xdr:colOff>
      <xdr:row>95</xdr:row>
      <xdr:rowOff>129540</xdr:rowOff>
    </xdr:from>
    <xdr:to>
      <xdr:col>14</xdr:col>
      <xdr:colOff>337666</xdr:colOff>
      <xdr:row>121</xdr:row>
      <xdr:rowOff>53340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13A5E772-2CD0-C123-1923-CA5FF1E7A0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6570" y="18181320"/>
          <a:ext cx="3449936" cy="4678680"/>
        </a:xfrm>
        <a:prstGeom prst="rect">
          <a:avLst/>
        </a:prstGeom>
      </xdr:spPr>
    </xdr:pic>
    <xdr:clientData/>
  </xdr:twoCellAnchor>
  <xdr:twoCellAnchor editAs="oneCell">
    <xdr:from>
      <xdr:col>6</xdr:col>
      <xdr:colOff>665321</xdr:colOff>
      <xdr:row>95</xdr:row>
      <xdr:rowOff>124320</xdr:rowOff>
    </xdr:from>
    <xdr:to>
      <xdr:col>11</xdr:col>
      <xdr:colOff>358140</xdr:colOff>
      <xdr:row>121</xdr:row>
      <xdr:rowOff>48554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9F653144-6734-00D7-B6F1-C015788F8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6421" y="18176100"/>
          <a:ext cx="3403759" cy="4679114"/>
        </a:xfrm>
        <a:prstGeom prst="rect">
          <a:avLst/>
        </a:prstGeom>
      </xdr:spPr>
    </xdr:pic>
    <xdr:clientData/>
  </xdr:twoCellAnchor>
  <xdr:twoCellAnchor editAs="oneCell">
    <xdr:from>
      <xdr:col>2</xdr:col>
      <xdr:colOff>331253</xdr:colOff>
      <xdr:row>95</xdr:row>
      <xdr:rowOff>129540</xdr:rowOff>
    </xdr:from>
    <xdr:to>
      <xdr:col>6</xdr:col>
      <xdr:colOff>533400</xdr:colOff>
      <xdr:row>121</xdr:row>
      <xdr:rowOff>29033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F54F5B08-A2CE-9FBE-DA77-9FB8B26BA7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3853" y="18181320"/>
          <a:ext cx="3440647" cy="4654373"/>
        </a:xfrm>
        <a:prstGeom prst="rect">
          <a:avLst/>
        </a:prstGeom>
      </xdr:spPr>
    </xdr:pic>
    <xdr:clientData/>
  </xdr:twoCellAnchor>
  <xdr:twoCellAnchor editAs="oneCell">
    <xdr:from>
      <xdr:col>9</xdr:col>
      <xdr:colOff>103723</xdr:colOff>
      <xdr:row>124</xdr:row>
      <xdr:rowOff>44906</xdr:rowOff>
    </xdr:from>
    <xdr:to>
      <xdr:col>15</xdr:col>
      <xdr:colOff>315896</xdr:colOff>
      <xdr:row>140</xdr:row>
      <xdr:rowOff>99995</xdr:rowOff>
    </xdr:to>
    <xdr:pic>
      <xdr:nvPicPr>
        <xdr:cNvPr id="9" name="Resim 8">
          <a:extLst>
            <a:ext uri="{FF2B5EF4-FFF2-40B4-BE49-F238E27FC236}">
              <a16:creationId xmlns:a16="http://schemas.microsoft.com/office/drawing/2014/main" id="{2613B24D-D11A-B468-D549-1CE268406D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69723" y="23613432"/>
          <a:ext cx="5953910" cy="2942668"/>
        </a:xfrm>
        <a:prstGeom prst="rect">
          <a:avLst/>
        </a:prstGeom>
      </xdr:spPr>
    </xdr:pic>
    <xdr:clientData/>
  </xdr:twoCellAnchor>
  <xdr:twoCellAnchor editAs="oneCell">
    <xdr:from>
      <xdr:col>2</xdr:col>
      <xdr:colOff>294781</xdr:colOff>
      <xdr:row>121</xdr:row>
      <xdr:rowOff>167640</xdr:rowOff>
    </xdr:from>
    <xdr:to>
      <xdr:col>8</xdr:col>
      <xdr:colOff>419101</xdr:colOff>
      <xdr:row>141</xdr:row>
      <xdr:rowOff>172431</xdr:rowOff>
    </xdr:to>
    <xdr:pic>
      <xdr:nvPicPr>
        <xdr:cNvPr id="11" name="Resim 10">
          <a:extLst>
            <a:ext uri="{FF2B5EF4-FFF2-40B4-BE49-F238E27FC236}">
              <a16:creationId xmlns:a16="http://schemas.microsoft.com/office/drawing/2014/main" id="{E3ACA5B5-5171-E002-ABD3-717CA194CF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7381" y="22974300"/>
          <a:ext cx="5138280" cy="36623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5"/>
  <sheetViews>
    <sheetView tabSelected="1" defaultGridColor="0" topLeftCell="A53" colorId="8" zoomScale="80" zoomScaleNormal="80" workbookViewId="0">
      <selection activeCell="M153" sqref="M153"/>
    </sheetView>
  </sheetViews>
  <sheetFormatPr defaultRowHeight="14.4" x14ac:dyDescent="0.3"/>
  <cols>
    <col min="2" max="2" width="16.6640625" bestFit="1" customWidth="1"/>
    <col min="3" max="3" width="12" bestFit="1" customWidth="1"/>
    <col min="4" max="4" width="11.44140625" customWidth="1"/>
    <col min="5" max="5" width="14.88671875" bestFit="1" customWidth="1"/>
    <col min="7" max="7" width="17" customWidth="1"/>
    <col min="8" max="8" width="8.88671875" customWidth="1"/>
    <col min="10" max="10" width="10.44140625" customWidth="1"/>
    <col min="12" max="12" width="12.5546875" bestFit="1" customWidth="1"/>
    <col min="13" max="13" width="26.44140625" bestFit="1" customWidth="1"/>
    <col min="14" max="14" width="13.44140625" bestFit="1" customWidth="1"/>
    <col min="15" max="15" width="12" bestFit="1" customWidth="1"/>
    <col min="19" max="19" width="12.88671875" bestFit="1" customWidth="1"/>
    <col min="21" max="21" width="13.44140625" bestFit="1" customWidth="1"/>
  </cols>
  <sheetData>
    <row r="1" spans="1:18" ht="15" thickBot="1" x14ac:dyDescent="0.35">
      <c r="A1" s="2">
        <f>PI()</f>
        <v>3.1415926535897931</v>
      </c>
      <c r="B1" s="3">
        <v>9550</v>
      </c>
      <c r="D1" s="71" t="s">
        <v>154</v>
      </c>
      <c r="E1" s="72"/>
      <c r="F1" s="72"/>
      <c r="H1" s="5" t="s">
        <v>29</v>
      </c>
      <c r="I1" s="4"/>
      <c r="J1" s="3">
        <f>C24</f>
        <v>7</v>
      </c>
      <c r="L1" s="1" t="s">
        <v>30</v>
      </c>
      <c r="M1" s="1">
        <f>C23</f>
        <v>1.6</v>
      </c>
    </row>
    <row r="2" spans="1:18" ht="15" thickBot="1" x14ac:dyDescent="0.35"/>
    <row r="3" spans="1:18" ht="15" thickBot="1" x14ac:dyDescent="0.35">
      <c r="B3" s="57" t="s">
        <v>5</v>
      </c>
      <c r="C3" s="53"/>
      <c r="D3" s="43"/>
      <c r="E3" s="53"/>
      <c r="F3" s="57"/>
      <c r="G3" s="53" t="s">
        <v>4</v>
      </c>
      <c r="H3" s="53"/>
      <c r="I3" s="43"/>
      <c r="J3" s="53"/>
      <c r="K3" s="57" t="s">
        <v>6</v>
      </c>
      <c r="L3" s="53" t="s">
        <v>7</v>
      </c>
      <c r="M3" s="53"/>
      <c r="N3" s="53"/>
      <c r="O3" s="53"/>
      <c r="P3" s="53"/>
      <c r="Q3" s="53"/>
      <c r="R3" s="43"/>
    </row>
    <row r="4" spans="1:18" ht="15" thickBot="1" x14ac:dyDescent="0.35">
      <c r="B4" s="54"/>
      <c r="C4" s="14"/>
      <c r="D4" s="58"/>
      <c r="E4" s="14"/>
      <c r="F4" s="54"/>
      <c r="G4" s="14"/>
      <c r="H4" s="14"/>
      <c r="I4" s="58"/>
      <c r="J4" s="14"/>
      <c r="K4" s="54"/>
      <c r="L4" s="14"/>
      <c r="M4" s="14"/>
      <c r="N4" s="14"/>
      <c r="O4" s="14"/>
      <c r="P4" s="7" t="s">
        <v>18</v>
      </c>
      <c r="Q4" s="14"/>
      <c r="R4" s="7" t="s">
        <v>46</v>
      </c>
    </row>
    <row r="5" spans="1:18" ht="15" thickBot="1" x14ac:dyDescent="0.35">
      <c r="B5" s="7" t="s">
        <v>0</v>
      </c>
      <c r="C5" s="7" t="s">
        <v>1</v>
      </c>
      <c r="D5" s="7" t="s">
        <v>2</v>
      </c>
      <c r="E5" s="14"/>
      <c r="F5" s="54"/>
      <c r="G5" s="14"/>
      <c r="H5" s="14"/>
      <c r="I5" s="58"/>
      <c r="J5" s="14"/>
      <c r="K5" s="7" t="s">
        <v>2</v>
      </c>
      <c r="L5" s="7">
        <f>D6</f>
        <v>2.9</v>
      </c>
      <c r="M5" s="14"/>
      <c r="N5" s="14"/>
      <c r="O5" s="7" t="s">
        <v>13</v>
      </c>
      <c r="P5" s="7">
        <v>15</v>
      </c>
      <c r="Q5" s="7">
        <f>P5/M9</f>
        <v>18.077310171138517</v>
      </c>
      <c r="R5" s="7">
        <f>Q5</f>
        <v>18.077310171138517</v>
      </c>
    </row>
    <row r="6" spans="1:18" ht="15" thickBot="1" x14ac:dyDescent="0.35">
      <c r="B6" s="7">
        <v>9.6</v>
      </c>
      <c r="C6" s="7">
        <v>1500</v>
      </c>
      <c r="D6" s="7">
        <v>2.9</v>
      </c>
      <c r="E6" s="14"/>
      <c r="F6" s="54"/>
      <c r="G6" s="7" t="s">
        <v>3</v>
      </c>
      <c r="H6" s="7" t="s">
        <v>88</v>
      </c>
      <c r="I6" s="58"/>
      <c r="J6" s="14"/>
      <c r="K6" s="7" t="s">
        <v>9</v>
      </c>
      <c r="L6" s="7">
        <f>C6/D6</f>
        <v>517.24137931034488</v>
      </c>
      <c r="M6" s="14"/>
      <c r="N6" s="14"/>
      <c r="O6" s="7" t="s">
        <v>14</v>
      </c>
      <c r="P6" s="7">
        <f>ROUNDUP(P5*L7,0)</f>
        <v>31</v>
      </c>
      <c r="Q6" s="7">
        <f>R5*L7</f>
        <v>36.941459923321062</v>
      </c>
      <c r="R6" s="7">
        <f>Q6</f>
        <v>36.941459923321062</v>
      </c>
    </row>
    <row r="7" spans="1:18" ht="15" thickBot="1" x14ac:dyDescent="0.35">
      <c r="B7" s="54"/>
      <c r="C7" s="14"/>
      <c r="D7" s="58"/>
      <c r="E7" s="14"/>
      <c r="F7" s="54"/>
      <c r="G7" s="7">
        <v>0.98</v>
      </c>
      <c r="H7" s="14"/>
      <c r="I7" s="58"/>
      <c r="J7" s="14"/>
      <c r="K7" s="7" t="s">
        <v>10</v>
      </c>
      <c r="L7" s="7">
        <f>1.2*SQRT(L5)</f>
        <v>2.0435263639111678</v>
      </c>
      <c r="M7" s="14"/>
      <c r="N7" s="14"/>
      <c r="O7" s="14"/>
      <c r="P7" s="14"/>
      <c r="Q7" s="14"/>
      <c r="R7" s="58"/>
    </row>
    <row r="8" spans="1:18" ht="15" thickBot="1" x14ac:dyDescent="0.35">
      <c r="B8" s="54"/>
      <c r="C8" s="14"/>
      <c r="D8" s="58"/>
      <c r="E8" s="14"/>
      <c r="F8" s="54"/>
      <c r="G8" s="7">
        <v>0.97</v>
      </c>
      <c r="H8" s="7">
        <f>G7*G8*G9</f>
        <v>0.92208199999999996</v>
      </c>
      <c r="I8" s="58"/>
      <c r="J8" s="14"/>
      <c r="K8" s="7" t="s">
        <v>11</v>
      </c>
      <c r="L8" s="7">
        <f>L5/L7</f>
        <v>1.419115530493867</v>
      </c>
      <c r="M8" s="14"/>
      <c r="N8" s="14"/>
      <c r="O8" s="7" t="s">
        <v>15</v>
      </c>
      <c r="P8" s="7">
        <v>15</v>
      </c>
      <c r="Q8" s="14"/>
      <c r="R8" s="7">
        <f>Q5</f>
        <v>18.077310171138517</v>
      </c>
    </row>
    <row r="9" spans="1:18" ht="15" thickBot="1" x14ac:dyDescent="0.35">
      <c r="B9" s="54"/>
      <c r="C9" s="14"/>
      <c r="D9" s="58"/>
      <c r="E9" s="14"/>
      <c r="F9" s="54"/>
      <c r="G9" s="7">
        <v>0.97</v>
      </c>
      <c r="H9" s="14"/>
      <c r="I9" s="58"/>
      <c r="J9" s="14"/>
      <c r="K9" s="7" t="s">
        <v>12</v>
      </c>
      <c r="L9" s="7">
        <v>20</v>
      </c>
      <c r="M9" s="7">
        <f>COS(L9*A1/180)*COS(L9*A1/180)*COS(L9*A1/180)</f>
        <v>0.82976946558943132</v>
      </c>
      <c r="N9" s="14"/>
      <c r="O9" s="7" t="s">
        <v>16</v>
      </c>
      <c r="P9" s="7">
        <f>ROUNDUP(P8*L8,0)</f>
        <v>22</v>
      </c>
      <c r="Q9" s="7">
        <f>18*L8</f>
        <v>25.544079548889606</v>
      </c>
      <c r="R9" s="7">
        <f>Q9</f>
        <v>25.544079548889606</v>
      </c>
    </row>
    <row r="10" spans="1:18" ht="15" thickBot="1" x14ac:dyDescent="0.35">
      <c r="B10" s="56"/>
      <c r="C10" s="55"/>
      <c r="D10" s="63"/>
      <c r="E10" s="14"/>
      <c r="F10" s="54"/>
      <c r="G10" s="14"/>
      <c r="H10" s="14"/>
      <c r="I10" s="58"/>
      <c r="J10" s="14"/>
      <c r="K10" s="56"/>
      <c r="L10" s="55"/>
      <c r="M10" s="55"/>
      <c r="N10" s="55"/>
      <c r="O10" s="55"/>
      <c r="P10" s="55"/>
      <c r="Q10" s="55"/>
      <c r="R10" s="63"/>
    </row>
    <row r="11" spans="1:18" ht="15" thickBot="1" x14ac:dyDescent="0.35">
      <c r="B11" s="54"/>
      <c r="C11" s="14"/>
      <c r="D11" s="14"/>
      <c r="E11" s="14"/>
      <c r="F11" s="56"/>
      <c r="G11" s="55"/>
      <c r="H11" s="55"/>
      <c r="I11" s="63"/>
      <c r="J11" s="14"/>
      <c r="K11" s="14"/>
      <c r="L11" s="14"/>
      <c r="M11" s="14"/>
      <c r="N11" s="14"/>
      <c r="O11" s="14"/>
      <c r="P11" s="14"/>
      <c r="Q11" s="14"/>
      <c r="R11" s="58"/>
    </row>
    <row r="12" spans="1:18" ht="15" thickBot="1" x14ac:dyDescent="0.35">
      <c r="B12" s="5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57"/>
      <c r="P12" s="7" t="s">
        <v>52</v>
      </c>
      <c r="Q12" s="53"/>
      <c r="R12" s="43"/>
    </row>
    <row r="13" spans="1:18" ht="15" thickBot="1" x14ac:dyDescent="0.35">
      <c r="B13" s="57" t="s">
        <v>19</v>
      </c>
      <c r="C13" s="53"/>
      <c r="D13" s="43"/>
      <c r="E13" s="14"/>
      <c r="F13" s="57"/>
      <c r="G13" s="53" t="s">
        <v>22</v>
      </c>
      <c r="H13" s="53"/>
      <c r="I13" s="53"/>
      <c r="J13" s="53"/>
      <c r="K13" s="53"/>
      <c r="L13" s="43"/>
      <c r="M13" s="14"/>
      <c r="N13" s="14"/>
      <c r="O13" s="54"/>
      <c r="P13" s="7" t="s">
        <v>31</v>
      </c>
      <c r="Q13" s="7" t="s">
        <v>32</v>
      </c>
      <c r="R13" s="58"/>
    </row>
    <row r="14" spans="1:18" ht="15" thickBot="1" x14ac:dyDescent="0.35">
      <c r="B14" s="54"/>
      <c r="C14" s="14"/>
      <c r="D14" s="58"/>
      <c r="E14" s="14"/>
      <c r="F14" s="54"/>
      <c r="G14" s="14"/>
      <c r="H14" s="14"/>
      <c r="I14" s="7" t="s">
        <v>28</v>
      </c>
      <c r="J14" s="14"/>
      <c r="K14" s="7" t="s">
        <v>26</v>
      </c>
      <c r="L14" s="58"/>
      <c r="M14" s="14"/>
      <c r="N14" s="14"/>
      <c r="O14" s="54"/>
      <c r="P14" s="7" t="s">
        <v>47</v>
      </c>
      <c r="Q14" s="7">
        <f>C25</f>
        <v>200</v>
      </c>
      <c r="R14" s="58"/>
    </row>
    <row r="15" spans="1:18" ht="15" thickBot="1" x14ac:dyDescent="0.35">
      <c r="B15" s="54"/>
      <c r="C15" s="14"/>
      <c r="D15" s="58"/>
      <c r="E15" s="14"/>
      <c r="F15" s="54"/>
      <c r="G15" s="7" t="s">
        <v>23</v>
      </c>
      <c r="H15" s="7">
        <f>C6</f>
        <v>1500</v>
      </c>
      <c r="I15" s="7">
        <f>H15</f>
        <v>1500</v>
      </c>
      <c r="J15" s="7" t="s">
        <v>27</v>
      </c>
      <c r="K15" s="7">
        <f>B1*B6*1000/C6</f>
        <v>61120</v>
      </c>
      <c r="L15" s="7" t="s">
        <v>93</v>
      </c>
      <c r="M15" s="14"/>
      <c r="N15" s="14"/>
      <c r="O15" s="54"/>
      <c r="P15" s="7" t="s">
        <v>48</v>
      </c>
      <c r="Q15" s="7">
        <f>C26</f>
        <v>900</v>
      </c>
      <c r="R15" s="58"/>
    </row>
    <row r="16" spans="1:18" ht="15" thickBot="1" x14ac:dyDescent="0.35">
      <c r="B16" s="7" t="s">
        <v>20</v>
      </c>
      <c r="C16" s="7">
        <f>B6*1000*H8</f>
        <v>8851.9871999999996</v>
      </c>
      <c r="D16" s="58"/>
      <c r="E16" s="14"/>
      <c r="F16" s="54"/>
      <c r="G16" s="7" t="s">
        <v>24</v>
      </c>
      <c r="H16" s="7">
        <f>H15/L7</f>
        <v>734.0252743933795</v>
      </c>
      <c r="I16" s="7">
        <f>H16</f>
        <v>734.0252743933795</v>
      </c>
      <c r="J16" s="7" t="s">
        <v>27</v>
      </c>
      <c r="K16" s="7">
        <f>B1*B6*1000*G7/I16</f>
        <v>122402.32473500556</v>
      </c>
      <c r="L16" s="7" t="s">
        <v>94</v>
      </c>
      <c r="M16" s="14"/>
      <c r="N16" s="14"/>
      <c r="O16" s="54"/>
      <c r="P16" s="7" t="s">
        <v>101</v>
      </c>
      <c r="Q16" s="7">
        <v>200000</v>
      </c>
      <c r="R16" s="58"/>
    </row>
    <row r="17" spans="2:18" ht="15" thickBot="1" x14ac:dyDescent="0.35">
      <c r="B17" s="7" t="s">
        <v>21</v>
      </c>
      <c r="C17" s="7">
        <f>B6*1000-C16</f>
        <v>748.01280000000042</v>
      </c>
      <c r="D17" s="58"/>
      <c r="E17" s="14"/>
      <c r="F17" s="54"/>
      <c r="G17" s="7" t="s">
        <v>25</v>
      </c>
      <c r="H17" s="7">
        <f>H16</f>
        <v>734.0252743933795</v>
      </c>
      <c r="I17" s="7">
        <f>H17</f>
        <v>734.0252743933795</v>
      </c>
      <c r="J17" s="7" t="s">
        <v>27</v>
      </c>
      <c r="K17" s="7">
        <f>K16</f>
        <v>122402.32473500556</v>
      </c>
      <c r="L17" s="7" t="s">
        <v>95</v>
      </c>
      <c r="M17" s="14"/>
      <c r="N17" s="14"/>
      <c r="O17" s="54"/>
      <c r="P17" s="7" t="s">
        <v>33</v>
      </c>
      <c r="Q17" s="7">
        <f>C22</f>
        <v>3</v>
      </c>
      <c r="R17" s="58"/>
    </row>
    <row r="18" spans="2:18" ht="15" thickBot="1" x14ac:dyDescent="0.35">
      <c r="B18" s="54"/>
      <c r="C18" s="14"/>
      <c r="D18" s="58"/>
      <c r="E18" s="14"/>
      <c r="F18" s="54"/>
      <c r="G18" s="7" t="s">
        <v>8</v>
      </c>
      <c r="H18" s="7">
        <f>H17/L8</f>
        <v>517.24137931034488</v>
      </c>
      <c r="I18" s="7">
        <f>H18</f>
        <v>517.24137931034488</v>
      </c>
      <c r="J18" s="7" t="s">
        <v>27</v>
      </c>
      <c r="K18" s="7">
        <f>9550*1000*B6*H8/I18</f>
        <v>163437.19033599997</v>
      </c>
      <c r="L18" s="7" t="s">
        <v>96</v>
      </c>
      <c r="M18" s="14"/>
      <c r="N18" s="14"/>
      <c r="O18" s="54"/>
      <c r="P18" s="7" t="s">
        <v>34</v>
      </c>
      <c r="Q18" s="7">
        <f>R5/Q17</f>
        <v>6.0257700570461727</v>
      </c>
      <c r="R18" s="58"/>
    </row>
    <row r="19" spans="2:18" ht="15" thickBot="1" x14ac:dyDescent="0.35">
      <c r="B19" s="56"/>
      <c r="C19" s="55"/>
      <c r="D19" s="63"/>
      <c r="E19" s="14"/>
      <c r="F19" s="54"/>
      <c r="G19" s="14"/>
      <c r="H19" s="14"/>
      <c r="I19" s="14"/>
      <c r="J19" s="14"/>
      <c r="K19" s="14"/>
      <c r="L19" s="58"/>
      <c r="M19" s="14"/>
      <c r="N19" s="14"/>
      <c r="O19" s="54"/>
      <c r="P19" s="14"/>
      <c r="Q19" s="14"/>
      <c r="R19" s="58"/>
    </row>
    <row r="20" spans="2:18" ht="15" thickBot="1" x14ac:dyDescent="0.35">
      <c r="B20" s="54"/>
      <c r="C20" s="14"/>
      <c r="D20" s="14"/>
      <c r="E20" s="14"/>
      <c r="F20" s="56"/>
      <c r="G20" s="55"/>
      <c r="H20" s="55"/>
      <c r="I20" s="55"/>
      <c r="J20" s="55"/>
      <c r="K20" s="55"/>
      <c r="L20" s="63"/>
      <c r="M20" s="14"/>
      <c r="N20" s="14"/>
      <c r="O20" s="56"/>
      <c r="P20" s="55"/>
      <c r="Q20" s="55"/>
      <c r="R20" s="63"/>
    </row>
    <row r="21" spans="2:18" ht="15" thickBot="1" x14ac:dyDescent="0.35">
      <c r="B21" s="5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58"/>
    </row>
    <row r="22" spans="2:18" ht="15" thickBot="1" x14ac:dyDescent="0.35">
      <c r="B22" s="59" t="s">
        <v>35</v>
      </c>
      <c r="C22" s="60">
        <v>3</v>
      </c>
      <c r="D22" s="14"/>
      <c r="E22" s="60" t="s">
        <v>41</v>
      </c>
      <c r="F22" s="60"/>
      <c r="G22" s="60" t="s">
        <v>40</v>
      </c>
      <c r="H22" s="14"/>
      <c r="I22" s="57"/>
      <c r="J22" s="53"/>
      <c r="K22" s="53"/>
      <c r="L22" s="53"/>
      <c r="M22" s="53"/>
      <c r="N22" s="53"/>
      <c r="O22" s="43"/>
      <c r="P22" s="14"/>
      <c r="Q22" s="14"/>
      <c r="R22" s="58"/>
    </row>
    <row r="23" spans="2:18" ht="15" thickBot="1" x14ac:dyDescent="0.35">
      <c r="B23" s="59" t="s">
        <v>17</v>
      </c>
      <c r="C23" s="60">
        <v>1.6</v>
      </c>
      <c r="D23" s="14"/>
      <c r="E23" s="60">
        <f>C22*15/2</f>
        <v>22.5</v>
      </c>
      <c r="F23" s="60"/>
      <c r="G23" s="60">
        <f>25*2*PI()*E23/100</f>
        <v>35.342917352885173</v>
      </c>
      <c r="I23" s="7"/>
      <c r="J23" s="7" t="s">
        <v>53</v>
      </c>
      <c r="K23" s="7"/>
      <c r="L23" s="7"/>
      <c r="M23" s="7" t="s">
        <v>54</v>
      </c>
      <c r="N23" s="7"/>
      <c r="O23" s="58"/>
      <c r="P23" s="14"/>
      <c r="Q23" s="14"/>
      <c r="R23" s="58"/>
    </row>
    <row r="24" spans="2:18" ht="15" thickBot="1" x14ac:dyDescent="0.35">
      <c r="B24" s="59" t="s">
        <v>36</v>
      </c>
      <c r="C24" s="60">
        <f>7</f>
        <v>7</v>
      </c>
      <c r="D24" s="14"/>
      <c r="E24" s="60" t="s">
        <v>85</v>
      </c>
      <c r="F24" s="60">
        <f>TAN(20*PI()/180)</f>
        <v>0.36397023426620234</v>
      </c>
      <c r="G24" s="60"/>
      <c r="I24" s="54"/>
      <c r="J24" s="7" t="s">
        <v>50</v>
      </c>
      <c r="K24" s="14"/>
      <c r="L24" s="14"/>
      <c r="M24" s="7" t="s">
        <v>51</v>
      </c>
      <c r="N24" s="14"/>
      <c r="O24" s="58"/>
      <c r="P24" s="14"/>
      <c r="Q24" s="14"/>
      <c r="R24" s="58"/>
    </row>
    <row r="25" spans="2:18" ht="15" thickBot="1" x14ac:dyDescent="0.35">
      <c r="B25" s="59" t="s">
        <v>37</v>
      </c>
      <c r="C25" s="60">
        <v>200</v>
      </c>
      <c r="D25" s="14"/>
      <c r="E25" s="60" t="s">
        <v>65</v>
      </c>
      <c r="F25" s="60">
        <f>COS(20*PI()/180)</f>
        <v>0.93969262078590843</v>
      </c>
      <c r="G25" s="60"/>
      <c r="I25" s="54"/>
      <c r="J25" s="7" t="s">
        <v>44</v>
      </c>
      <c r="K25" s="14"/>
      <c r="L25" s="14"/>
      <c r="M25" s="7" t="s">
        <v>49</v>
      </c>
      <c r="N25" s="14"/>
      <c r="O25" s="58"/>
      <c r="P25" s="14"/>
      <c r="Q25" s="14"/>
      <c r="R25" s="58"/>
    </row>
    <row r="26" spans="2:18" ht="15" thickBot="1" x14ac:dyDescent="0.35">
      <c r="B26" s="59" t="s">
        <v>38</v>
      </c>
      <c r="C26" s="60">
        <v>900</v>
      </c>
      <c r="D26" s="14"/>
      <c r="E26" s="14"/>
      <c r="F26" s="14"/>
      <c r="G26" s="14"/>
      <c r="I26" s="54"/>
      <c r="J26" s="7">
        <f>0.6*((C30*C28*C29*C27*F25)/(15*C25*C23*C24))^(1/3)</f>
        <v>1.8261282533704708</v>
      </c>
      <c r="K26" s="14"/>
      <c r="L26" s="14"/>
      <c r="M26" s="7">
        <f>0.6*((C30*C28*K17*C27*F25)/(15*C25*C23*C24))^(1/3)</f>
        <v>2.3017953905997199</v>
      </c>
      <c r="N26" s="14"/>
      <c r="O26" s="58"/>
      <c r="P26" s="14"/>
      <c r="Q26" s="14"/>
      <c r="R26" s="58"/>
    </row>
    <row r="27" spans="2:18" ht="15" thickBot="1" x14ac:dyDescent="0.35">
      <c r="B27" s="59" t="s">
        <v>39</v>
      </c>
      <c r="C27" s="60">
        <v>8.4</v>
      </c>
      <c r="D27" s="14"/>
      <c r="E27" s="14"/>
      <c r="F27" s="14"/>
      <c r="G27" s="14"/>
      <c r="I27" s="54"/>
      <c r="J27" s="14"/>
      <c r="K27" s="14"/>
      <c r="L27" s="14"/>
      <c r="M27" s="14"/>
      <c r="N27" s="14"/>
      <c r="O27" s="58"/>
      <c r="P27" s="14"/>
      <c r="Q27" s="14"/>
      <c r="R27" s="58"/>
    </row>
    <row r="28" spans="2:18" ht="15" thickBot="1" x14ac:dyDescent="0.35">
      <c r="B28" s="59" t="s">
        <v>42</v>
      </c>
      <c r="C28" s="60">
        <v>1.19</v>
      </c>
      <c r="D28" s="14"/>
      <c r="E28" s="14"/>
      <c r="F28" s="14"/>
      <c r="G28" s="14"/>
      <c r="I28" s="13"/>
      <c r="J28" s="7" t="s">
        <v>44</v>
      </c>
      <c r="K28" s="41"/>
      <c r="L28" s="7"/>
      <c r="M28" s="7" t="s">
        <v>49</v>
      </c>
      <c r="N28" s="42"/>
      <c r="O28" s="58"/>
      <c r="P28" s="14"/>
      <c r="Q28" s="14"/>
      <c r="R28" s="58"/>
    </row>
    <row r="29" spans="2:18" ht="15" thickBot="1" x14ac:dyDescent="0.35">
      <c r="B29" s="61" t="s">
        <v>43</v>
      </c>
      <c r="C29" s="62">
        <f>K15</f>
        <v>61120</v>
      </c>
      <c r="D29" s="14"/>
      <c r="E29" s="14"/>
      <c r="F29" s="14"/>
      <c r="G29" s="14"/>
      <c r="I29" s="54"/>
      <c r="J29" s="67">
        <f>0.9*((C30*C28*C29*200000*(3.04)*F25*F25*F25*F25)/(15*15*C26*C26*2.04*C24))^(1/3)</f>
        <v>2.5165040095864684</v>
      </c>
      <c r="K29" s="68">
        <v>6</v>
      </c>
      <c r="L29" s="14"/>
      <c r="M29" s="67">
        <f>0.9*((C30*C28*K17*200000*(L8+1)*F25*F25*F25*F25)/(15*15*C26*C26*L8*C24))^(1/3)</f>
        <v>3.317402852622823</v>
      </c>
      <c r="N29" s="68">
        <v>7.46</v>
      </c>
      <c r="O29" s="58"/>
      <c r="P29" s="14"/>
      <c r="Q29" s="14"/>
      <c r="R29" s="58"/>
    </row>
    <row r="30" spans="2:18" ht="15" thickBot="1" x14ac:dyDescent="0.35">
      <c r="B30" s="59" t="s">
        <v>45</v>
      </c>
      <c r="C30" s="60">
        <v>1.65</v>
      </c>
      <c r="D30" s="14"/>
      <c r="E30" s="14"/>
      <c r="F30" s="14"/>
      <c r="G30" s="14"/>
      <c r="H30" s="14"/>
      <c r="I30" s="54"/>
      <c r="J30" s="14"/>
      <c r="K30" s="14"/>
      <c r="L30" s="14"/>
      <c r="M30" s="14"/>
      <c r="N30" s="14"/>
      <c r="O30" s="58"/>
      <c r="P30" s="14"/>
      <c r="Q30" s="14"/>
      <c r="R30" s="58"/>
    </row>
    <row r="31" spans="2:18" ht="15" thickBot="1" x14ac:dyDescent="0.35">
      <c r="B31" s="56"/>
      <c r="C31" s="55"/>
      <c r="D31" s="55"/>
      <c r="E31" s="55"/>
      <c r="F31" s="55"/>
      <c r="G31" s="55"/>
      <c r="H31" s="55"/>
      <c r="I31" s="64"/>
      <c r="J31" s="65"/>
      <c r="K31" s="65"/>
      <c r="L31" s="65"/>
      <c r="M31" s="65"/>
      <c r="N31" s="65"/>
      <c r="O31" s="66"/>
      <c r="P31" s="55"/>
      <c r="Q31" s="55"/>
      <c r="R31" s="63"/>
    </row>
    <row r="32" spans="2:18" ht="15" thickBot="1" x14ac:dyDescent="0.35"/>
    <row r="33" spans="2:18" ht="15" thickBot="1" x14ac:dyDescent="0.35">
      <c r="F33" s="76" t="s">
        <v>56</v>
      </c>
      <c r="G33" s="77"/>
      <c r="H33" s="84" t="s">
        <v>78</v>
      </c>
      <c r="I33" s="85"/>
      <c r="L33" s="76" t="s">
        <v>81</v>
      </c>
      <c r="M33" s="77"/>
    </row>
    <row r="34" spans="2:18" ht="15" thickBot="1" x14ac:dyDescent="0.35">
      <c r="F34" s="9" t="s">
        <v>57</v>
      </c>
      <c r="G34" s="12" t="s">
        <v>58</v>
      </c>
      <c r="H34" s="9" t="s">
        <v>79</v>
      </c>
      <c r="I34" s="9" t="s">
        <v>80</v>
      </c>
      <c r="M34" s="15" t="s">
        <v>82</v>
      </c>
      <c r="N34" s="9" t="s">
        <v>58</v>
      </c>
      <c r="O34" s="9" t="s">
        <v>86</v>
      </c>
      <c r="P34" s="9" t="s">
        <v>87</v>
      </c>
    </row>
    <row r="35" spans="2:18" ht="15" thickBot="1" x14ac:dyDescent="0.35">
      <c r="B35" s="89" t="s">
        <v>59</v>
      </c>
      <c r="C35" s="90"/>
      <c r="D35" s="91"/>
      <c r="E35" s="6" t="s">
        <v>60</v>
      </c>
      <c r="F35" s="6">
        <f>K29</f>
        <v>6</v>
      </c>
      <c r="G35" s="13">
        <f>K29</f>
        <v>6</v>
      </c>
      <c r="H35" s="7">
        <f>N29</f>
        <v>7.46</v>
      </c>
      <c r="I35" s="7">
        <f>N29</f>
        <v>7.46</v>
      </c>
      <c r="L35" s="11" t="s">
        <v>83</v>
      </c>
      <c r="M35" s="18">
        <f>F48/F39*2</f>
        <v>1914.4670994144906</v>
      </c>
      <c r="N35" s="10">
        <f>G48/G39*2</f>
        <v>1855.1703438794386</v>
      </c>
      <c r="O35" s="18">
        <f>H48/H39*2</f>
        <v>3083.6611614081821</v>
      </c>
      <c r="P35" s="10">
        <f>I48/I39*2</f>
        <v>2807.3492880950739</v>
      </c>
    </row>
    <row r="36" spans="2:18" ht="15" thickBot="1" x14ac:dyDescent="0.35">
      <c r="B36" s="86" t="s">
        <v>61</v>
      </c>
      <c r="C36" s="87"/>
      <c r="D36" s="92"/>
      <c r="E36" s="6" t="s">
        <v>62</v>
      </c>
      <c r="F36" s="6">
        <f>F35/F25</f>
        <v>6.3850666348554723</v>
      </c>
      <c r="G36" s="13">
        <f>G35/F25</f>
        <v>6.3850666348554723</v>
      </c>
      <c r="H36" s="6">
        <f>H35/F25</f>
        <v>7.938766182670304</v>
      </c>
      <c r="I36" s="7">
        <f>I35/F25</f>
        <v>7.938766182670304</v>
      </c>
      <c r="L36" s="11" t="s">
        <v>84</v>
      </c>
      <c r="M36" s="18">
        <f>F24*M35/F25</f>
        <v>741.5286906116761</v>
      </c>
      <c r="N36" s="10">
        <f>F24*N35/F25</f>
        <v>718.5613356214152</v>
      </c>
      <c r="O36" s="18">
        <f>F24*O35/F25</f>
        <v>1194.3914962071781</v>
      </c>
      <c r="P36" s="10">
        <f>F24*P35/F25</f>
        <v>1087.3678854692387</v>
      </c>
    </row>
    <row r="37" spans="2:18" ht="15" thickBot="1" x14ac:dyDescent="0.35">
      <c r="B37" s="86" t="s">
        <v>63</v>
      </c>
      <c r="C37" s="87"/>
      <c r="D37" s="92"/>
      <c r="E37" s="6" t="s">
        <v>64</v>
      </c>
      <c r="F37" s="6">
        <f>PI()*F35</f>
        <v>18.849555921538759</v>
      </c>
      <c r="G37" s="13">
        <f>G35*A1</f>
        <v>18.849555921538759</v>
      </c>
      <c r="H37" s="13">
        <f>H35*A1</f>
        <v>23.436281195779856</v>
      </c>
      <c r="I37" s="7">
        <f>I35*A1</f>
        <v>23.436281195779856</v>
      </c>
      <c r="L37" s="11" t="s">
        <v>89</v>
      </c>
      <c r="M37" s="18">
        <f>$F$24*M35</f>
        <v>696.80903866882898</v>
      </c>
      <c r="N37" s="18">
        <f>$F$24*N35</f>
        <v>675.22678466551042</v>
      </c>
      <c r="O37" s="18">
        <f>$F$24*O35</f>
        <v>1122.3608753153255</v>
      </c>
      <c r="P37" s="18">
        <f>$F$24*P35</f>
        <v>1021.7915780550204</v>
      </c>
      <c r="R37" s="69">
        <f>O37-N37</f>
        <v>447.13409064981511</v>
      </c>
    </row>
    <row r="38" spans="2:18" ht="15" thickBot="1" x14ac:dyDescent="0.35">
      <c r="B38" s="93" t="s">
        <v>66</v>
      </c>
      <c r="C38" s="94"/>
      <c r="D38" s="95"/>
      <c r="E38" s="6" t="s">
        <v>67</v>
      </c>
      <c r="F38" s="6">
        <f>A1*F36</f>
        <v>20.059278432743255</v>
      </c>
      <c r="G38" s="13">
        <f>G36*A1</f>
        <v>20.059278432743255</v>
      </c>
      <c r="H38" s="6">
        <f>A1*H36</f>
        <v>24.940369518044111</v>
      </c>
      <c r="I38" s="7">
        <f>I36*A1</f>
        <v>24.940369518044111</v>
      </c>
      <c r="M38" s="19"/>
      <c r="O38" s="19"/>
    </row>
    <row r="39" spans="2:18" ht="15" thickBot="1" x14ac:dyDescent="0.35">
      <c r="B39" s="86" t="s">
        <v>55</v>
      </c>
      <c r="C39" s="87"/>
      <c r="D39" s="88"/>
      <c r="E39" s="8" t="s">
        <v>34</v>
      </c>
      <c r="F39" s="8">
        <f>P5*K29/F25</f>
        <v>95.775999522832095</v>
      </c>
      <c r="G39" s="14">
        <f>31*K29/F25</f>
        <v>197.93706568051965</v>
      </c>
      <c r="H39" s="8">
        <f>P5*N29/F25</f>
        <v>119.08149274005457</v>
      </c>
      <c r="I39" s="8">
        <f>P9*N29/F25</f>
        <v>174.65285601874669</v>
      </c>
      <c r="M39" s="19"/>
      <c r="O39" s="19"/>
    </row>
    <row r="40" spans="2:18" ht="15" thickBot="1" x14ac:dyDescent="0.35">
      <c r="B40" s="73" t="s">
        <v>68</v>
      </c>
      <c r="C40" s="75"/>
      <c r="D40" s="75"/>
      <c r="E40" s="6" t="s">
        <v>69</v>
      </c>
      <c r="F40" s="6">
        <f>F39*F25</f>
        <v>90</v>
      </c>
      <c r="G40" s="13">
        <f>F25*G39</f>
        <v>186</v>
      </c>
      <c r="H40" s="6">
        <f>H39*F25</f>
        <v>111.9</v>
      </c>
      <c r="I40" s="7">
        <f>F25*I39</f>
        <v>164.12</v>
      </c>
      <c r="L40" s="11" t="s">
        <v>100</v>
      </c>
      <c r="M40" s="20">
        <f>F45*F47*F46*SQRT((2*F48*C28)/(F49*F39*F39))</f>
        <v>425.39994187842831</v>
      </c>
      <c r="N40" s="11">
        <f>G45*G47*G46*SQRT((2*G48*C28)/(G49*G39*G39))</f>
        <v>291.29306940761921</v>
      </c>
      <c r="O40" s="20">
        <f>H45*H47*H46*SQRT((2*H48*C28)/(H49*H39*H39))</f>
        <v>464.55831494224157</v>
      </c>
      <c r="P40" s="11">
        <f>I45*I47*I46*SQRT((2*I48*C28)/(I49*I39*I39))</f>
        <v>366.00702966621265</v>
      </c>
    </row>
    <row r="41" spans="2:18" ht="15" thickBot="1" x14ac:dyDescent="0.35">
      <c r="B41" s="86" t="s">
        <v>70</v>
      </c>
      <c r="C41" s="87"/>
      <c r="D41" s="92"/>
      <c r="E41" s="6" t="s">
        <v>71</v>
      </c>
      <c r="F41" s="6">
        <f>F39+2*F35</f>
        <v>107.77599952283209</v>
      </c>
      <c r="G41" s="6">
        <f>G39+2*G35</f>
        <v>209.93706568051965</v>
      </c>
      <c r="H41" s="6">
        <f>H39+2*H35</f>
        <v>134.00149274005457</v>
      </c>
      <c r="I41" s="6">
        <f>I39+2*I35</f>
        <v>189.57285601874668</v>
      </c>
      <c r="L41" s="11" t="s">
        <v>102</v>
      </c>
      <c r="M41" s="20">
        <f>M35/F49/F35*C27*C28</f>
        <v>24.172620912517122</v>
      </c>
      <c r="N41" s="20">
        <f>N35/G49/G35*C27*C28</f>
        <v>23.423922753468378</v>
      </c>
      <c r="O41" s="20">
        <f>O35/H49/H35*C27*C28</f>
        <v>25.186471583512102</v>
      </c>
      <c r="P41" s="20">
        <f>P35/I49/I35*C27*C28</f>
        <v>22.929634408117135</v>
      </c>
    </row>
    <row r="42" spans="2:18" ht="15" thickBot="1" x14ac:dyDescent="0.35">
      <c r="B42" s="86" t="s">
        <v>72</v>
      </c>
      <c r="C42" s="87"/>
      <c r="D42" s="92"/>
      <c r="E42" s="6" t="s">
        <v>73</v>
      </c>
      <c r="F42" s="6">
        <f>F39-1.25*F35*2</f>
        <v>80.775999522832095</v>
      </c>
      <c r="G42" s="21">
        <f>G39-1.25*G35*2</f>
        <v>182.93706568051965</v>
      </c>
      <c r="H42" s="6">
        <f>H39-1.25*H35*2</f>
        <v>100.43149274005458</v>
      </c>
      <c r="I42" s="6">
        <f>I39-1.25*I35*2</f>
        <v>156.00285601874668</v>
      </c>
    </row>
    <row r="43" spans="2:18" ht="15" thickBot="1" x14ac:dyDescent="0.35">
      <c r="B43" s="86" t="s">
        <v>75</v>
      </c>
      <c r="C43" s="87"/>
      <c r="D43" s="92"/>
      <c r="E43" s="6" t="s">
        <v>74</v>
      </c>
      <c r="F43" s="7">
        <f>A1*F35/2</f>
        <v>9.4247779607693793</v>
      </c>
      <c r="G43" s="13">
        <f>A1*G35/2</f>
        <v>9.4247779607693793</v>
      </c>
      <c r="H43" s="11">
        <f>A1*H35/2</f>
        <v>11.718140597889928</v>
      </c>
      <c r="I43" s="11">
        <f>A1*I35/2</f>
        <v>11.718140597889928</v>
      </c>
      <c r="M43" t="str">
        <f>IF(Q15&gt;M40,"emniyetli","emniyetsiz")</f>
        <v>emniyetli</v>
      </c>
      <c r="N43" t="str">
        <f>IF(Q15&gt;N40,"emniyetli","emniyetsiz")</f>
        <v>emniyetli</v>
      </c>
      <c r="O43" t="str">
        <f>IF(Q15&gt;O40,"emniyetli","emniyetsiz")</f>
        <v>emniyetli</v>
      </c>
      <c r="P43" t="str">
        <f>IF(Q15&gt;P40,"emniyetli","emniyetsiz")</f>
        <v>emniyetli</v>
      </c>
    </row>
    <row r="44" spans="2:18" ht="15" thickBot="1" x14ac:dyDescent="0.35">
      <c r="B44" s="86" t="s">
        <v>76</v>
      </c>
      <c r="C44" s="87"/>
      <c r="D44" s="92"/>
      <c r="E44" s="6" t="s">
        <v>77</v>
      </c>
      <c r="F44" s="82">
        <f>(F39+G39)/2</f>
        <v>146.85653260167587</v>
      </c>
      <c r="G44" s="83"/>
      <c r="H44" s="82">
        <f>(H39+I39)/2</f>
        <v>146.86717437940064</v>
      </c>
      <c r="I44" s="83"/>
      <c r="J44" s="46" t="str">
        <f>IF(ABS(F44-H44)&lt;0.1,"yeşil","eşit değil")</f>
        <v>yeşil</v>
      </c>
      <c r="M44" t="str">
        <f>IF(Q14&gt;M41,"emniyetli","emniyetsiz")</f>
        <v>emniyetli</v>
      </c>
      <c r="N44" t="str">
        <f>IF(Q14&gt;N41,"emniyetli","emniyetsiz")</f>
        <v>emniyetli</v>
      </c>
      <c r="O44" t="str">
        <f>IF(Q14&gt;O41,"emniyetli","emniyetsiz")</f>
        <v>emniyetli</v>
      </c>
      <c r="P44" t="str">
        <f>IF(Q14&gt;P41,"emniyetli","emniyetsiz")</f>
        <v>emniyetli</v>
      </c>
    </row>
    <row r="45" spans="2:18" ht="15" thickBot="1" x14ac:dyDescent="0.35">
      <c r="B45" s="73"/>
      <c r="C45" s="75"/>
      <c r="D45" s="74"/>
      <c r="E45" s="16" t="s">
        <v>90</v>
      </c>
      <c r="F45" s="16">
        <f>0.59*SQRT(Q16)</f>
        <v>263.85602134497515</v>
      </c>
      <c r="G45" s="7">
        <f>0.59*SQRT(Q16)</f>
        <v>263.85602134497515</v>
      </c>
      <c r="H45" s="11">
        <f>0.59*SQRT(Q16)</f>
        <v>263.85602134497515</v>
      </c>
      <c r="I45" s="17">
        <f>0.59*SQRT(Q16)</f>
        <v>263.85602134497515</v>
      </c>
    </row>
    <row r="46" spans="2:18" ht="15" thickBot="1" x14ac:dyDescent="0.35">
      <c r="E46" s="7" t="s">
        <v>91</v>
      </c>
      <c r="F46" s="7">
        <f>SQRT((L7+1)/L7)</f>
        <v>1.2203893571024453</v>
      </c>
      <c r="G46" s="7">
        <f>SQRT((L7+1)/L7)</f>
        <v>1.2203893571024453</v>
      </c>
      <c r="H46" s="11">
        <f>SQRT((L8+1)/L8)</f>
        <v>1.3056279192088549</v>
      </c>
      <c r="I46" s="11">
        <f>SQRT((L8+1)/L8)</f>
        <v>1.3056279192088549</v>
      </c>
    </row>
    <row r="47" spans="2:18" ht="15" thickBot="1" x14ac:dyDescent="0.35">
      <c r="E47" s="7" t="s">
        <v>92</v>
      </c>
      <c r="F47" s="7">
        <f>1/(F25*F25*F24)</f>
        <v>3.1114476537208247</v>
      </c>
      <c r="G47" s="7">
        <f>1/(F25*F25*F24)</f>
        <v>3.1114476537208247</v>
      </c>
      <c r="H47" s="11">
        <f>1/(F25*F25*F24)</f>
        <v>3.1114476537208247</v>
      </c>
      <c r="I47" s="11">
        <f>1/(F25*F25*F24)</f>
        <v>3.1114476537208247</v>
      </c>
    </row>
    <row r="48" spans="2:18" ht="15" thickBot="1" x14ac:dyDescent="0.35">
      <c r="E48" s="7" t="s">
        <v>97</v>
      </c>
      <c r="F48" s="7">
        <f>1.5*K15</f>
        <v>91680</v>
      </c>
      <c r="G48" s="7">
        <f>1.5*K16</f>
        <v>183603.48710250834</v>
      </c>
      <c r="H48" s="11">
        <f>1.5*K17</f>
        <v>183603.48710250834</v>
      </c>
      <c r="I48" s="11">
        <f>1.5*K18</f>
        <v>245155.78550399997</v>
      </c>
    </row>
    <row r="49" spans="2:21" ht="15" thickBot="1" x14ac:dyDescent="0.35">
      <c r="B49" s="73" t="s">
        <v>98</v>
      </c>
      <c r="C49" s="75"/>
      <c r="D49" s="74"/>
      <c r="E49" s="7" t="s">
        <v>99</v>
      </c>
      <c r="F49" s="7">
        <f>C24*PI()*F35</f>
        <v>131.94689145077132</v>
      </c>
      <c r="G49" s="7">
        <f>C24*PI()*G35</f>
        <v>131.94689145077132</v>
      </c>
      <c r="H49" s="11">
        <f>C24*PI()*H35</f>
        <v>164.05396837045899</v>
      </c>
      <c r="I49" s="11">
        <f>C24*PI()*I35</f>
        <v>164.05396837045899</v>
      </c>
    </row>
    <row r="54" spans="2:21" ht="15" thickBot="1" x14ac:dyDescent="0.35">
      <c r="M54" s="40">
        <f>L60-N36</f>
        <v>110.46057299312338</v>
      </c>
      <c r="N54" s="40">
        <f>N60-N35</f>
        <v>285.1853683548868</v>
      </c>
    </row>
    <row r="55" spans="2:21" ht="15" thickBot="1" x14ac:dyDescent="0.35">
      <c r="B55" s="73" t="s">
        <v>103</v>
      </c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4"/>
    </row>
    <row r="56" spans="2:21" ht="15" thickBot="1" x14ac:dyDescent="0.35">
      <c r="B56" s="27"/>
      <c r="U56" s="28"/>
    </row>
    <row r="57" spans="2:21" ht="15" thickBot="1" x14ac:dyDescent="0.35">
      <c r="B57" s="76" t="s">
        <v>104</v>
      </c>
      <c r="C57" s="80"/>
      <c r="D57" s="80"/>
      <c r="E57" s="80"/>
      <c r="F57" s="80"/>
      <c r="G57" s="77"/>
      <c r="H57" s="44"/>
      <c r="I57" s="76" t="s">
        <v>111</v>
      </c>
      <c r="J57" s="80"/>
      <c r="K57" s="80"/>
      <c r="L57" s="80"/>
      <c r="M57" s="80"/>
      <c r="N57" s="77"/>
      <c r="O57" s="44"/>
      <c r="P57" s="76" t="s">
        <v>112</v>
      </c>
      <c r="Q57" s="80"/>
      <c r="R57" s="80"/>
      <c r="S57" s="80"/>
      <c r="T57" s="80"/>
      <c r="U57" s="77"/>
    </row>
    <row r="58" spans="2:21" ht="15" thickBot="1" x14ac:dyDescent="0.35">
      <c r="B58" s="73" t="s">
        <v>116</v>
      </c>
      <c r="C58" s="74"/>
      <c r="D58" s="73" t="s">
        <v>107</v>
      </c>
      <c r="E58" s="81"/>
      <c r="F58" s="73" t="s">
        <v>107</v>
      </c>
      <c r="G58" s="74"/>
      <c r="I58" s="73" t="s">
        <v>116</v>
      </c>
      <c r="J58" s="74"/>
      <c r="K58" s="73" t="s">
        <v>107</v>
      </c>
      <c r="L58" s="81"/>
      <c r="M58" s="73" t="s">
        <v>107</v>
      </c>
      <c r="N58" s="81"/>
      <c r="P58" s="78" t="s">
        <v>116</v>
      </c>
      <c r="Q58" s="79"/>
      <c r="R58" s="73" t="s">
        <v>107</v>
      </c>
      <c r="S58" s="81"/>
      <c r="T58" s="73" t="s">
        <v>107</v>
      </c>
      <c r="U58" s="81"/>
    </row>
    <row r="59" spans="2:21" ht="15" thickBot="1" x14ac:dyDescent="0.35">
      <c r="B59" s="7" t="s">
        <v>105</v>
      </c>
      <c r="C59" s="22">
        <v>130</v>
      </c>
      <c r="D59" s="11" t="s">
        <v>118</v>
      </c>
      <c r="E59" s="37">
        <f>(M37*F39/2-M36*C59)/(C59+C60)*-1</f>
        <v>242.42284116150947</v>
      </c>
      <c r="F59" s="11" t="s">
        <v>108</v>
      </c>
      <c r="G59" s="38">
        <f>(M35*C59)/(C59+C60)</f>
        <v>957.23354970724529</v>
      </c>
      <c r="I59" s="7" t="s">
        <v>105</v>
      </c>
      <c r="J59" s="22">
        <v>130</v>
      </c>
      <c r="K59" s="11" t="s">
        <v>108</v>
      </c>
      <c r="L59" s="37">
        <f>(N36*J59+O36*(J59+J60))/(J59+J60+J61)</f>
        <v>1083.9309232140547</v>
      </c>
      <c r="M59" s="11" t="s">
        <v>108</v>
      </c>
      <c r="N59" s="37">
        <f>(N35*J59+O35*(J59+J60))/(J59+J60+J61)</f>
        <v>2798.4757930532951</v>
      </c>
      <c r="P59" s="7" t="s">
        <v>105</v>
      </c>
      <c r="Q59" s="22">
        <v>130</v>
      </c>
      <c r="R59" s="11" t="s">
        <v>108</v>
      </c>
      <c r="S59" s="23">
        <f>(P36*Q59+P37*I39/2)/(Q59+Q60)</f>
        <v>886.87397612541054</v>
      </c>
      <c r="T59" s="11" t="s">
        <v>108</v>
      </c>
      <c r="U59" s="23">
        <f>P35*Q59/(Q59+Q60)</f>
        <v>1403.674644047537</v>
      </c>
    </row>
    <row r="60" spans="2:21" ht="15" thickBot="1" x14ac:dyDescent="0.35">
      <c r="B60" s="7" t="s">
        <v>106</v>
      </c>
      <c r="C60" s="22">
        <v>130</v>
      </c>
      <c r="D60" s="17" t="s">
        <v>117</v>
      </c>
      <c r="E60" s="39">
        <f>M36-E59</f>
        <v>499.1058494501666</v>
      </c>
      <c r="F60" s="17" t="s">
        <v>109</v>
      </c>
      <c r="G60" s="25">
        <f>(G59-M35)*-1</f>
        <v>957.23354970724529</v>
      </c>
      <c r="I60" s="7" t="s">
        <v>106</v>
      </c>
      <c r="J60" s="22">
        <v>300</v>
      </c>
      <c r="K60" s="17" t="s">
        <v>109</v>
      </c>
      <c r="L60" s="39">
        <f>-1*(L59-N36-O36)</f>
        <v>829.02190861453857</v>
      </c>
      <c r="M60" s="17" t="s">
        <v>109</v>
      </c>
      <c r="N60" s="39">
        <f>N35+O35-N59</f>
        <v>2140.3557122343254</v>
      </c>
      <c r="P60" s="7" t="s">
        <v>106</v>
      </c>
      <c r="Q60" s="22">
        <v>130</v>
      </c>
      <c r="R60" s="17" t="s">
        <v>109</v>
      </c>
      <c r="S60" s="24">
        <f>P36-S59</f>
        <v>200.49390934382814</v>
      </c>
      <c r="T60" s="17" t="s">
        <v>109</v>
      </c>
      <c r="U60" s="24">
        <f>P35-U59</f>
        <v>1403.674644047537</v>
      </c>
    </row>
    <row r="61" spans="2:21" ht="15" thickBot="1" x14ac:dyDescent="0.35">
      <c r="B61" s="34"/>
      <c r="C61" s="33"/>
      <c r="D61" s="11" t="s">
        <v>114</v>
      </c>
      <c r="E61" s="26">
        <f>E60*C59-E59*C60-M37*F39/2</f>
        <v>0</v>
      </c>
      <c r="F61" s="11" t="s">
        <v>114</v>
      </c>
      <c r="G61" s="26">
        <f>G60*C59-G59*C60</f>
        <v>0</v>
      </c>
      <c r="I61" s="7" t="s">
        <v>115</v>
      </c>
      <c r="J61" s="22">
        <v>130</v>
      </c>
      <c r="K61" s="11" t="s">
        <v>114</v>
      </c>
      <c r="L61" s="26">
        <f>L60*J59+M54*J60-L59*J61</f>
        <v>0</v>
      </c>
      <c r="M61" s="11" t="s">
        <v>114</v>
      </c>
      <c r="N61" s="26">
        <f>N60*(J59+J60+J61)-N35*(J60+J61)-O35*J61</f>
        <v>0</v>
      </c>
      <c r="P61" s="27"/>
      <c r="R61" s="11" t="s">
        <v>114</v>
      </c>
      <c r="S61" s="26">
        <f>S60*Q59-Q60*S59+P37*I39/2</f>
        <v>0</v>
      </c>
      <c r="T61" s="11" t="s">
        <v>114</v>
      </c>
      <c r="U61" s="26">
        <f>U60*Q59-U59*Q60</f>
        <v>0</v>
      </c>
    </row>
    <row r="62" spans="2:21" ht="15" thickBot="1" x14ac:dyDescent="0.35">
      <c r="B62" s="34"/>
      <c r="C62" s="33"/>
      <c r="D62" s="11" t="s">
        <v>110</v>
      </c>
      <c r="E62" s="7">
        <f>E60*C59</f>
        <v>64883.760428521658</v>
      </c>
      <c r="F62" s="11" t="s">
        <v>110</v>
      </c>
      <c r="G62" s="7">
        <f>G59*C60</f>
        <v>124440.36146194188</v>
      </c>
      <c r="I62" s="27"/>
      <c r="K62" s="11" t="s">
        <v>110</v>
      </c>
      <c r="L62" s="7">
        <f>L60*J59+M54*J60+N36*G39/2</f>
        <v>212025.981160016</v>
      </c>
      <c r="M62" s="11" t="s">
        <v>110</v>
      </c>
      <c r="N62" s="7">
        <f>N60*(J59+J60+J61)</f>
        <v>1198599.1988512222</v>
      </c>
      <c r="P62" s="27"/>
      <c r="R62" s="11" t="s">
        <v>110</v>
      </c>
      <c r="S62" s="11">
        <f>S60*Q59+P37*I39/2</f>
        <v>115293.61689630339</v>
      </c>
      <c r="T62" s="11" t="s">
        <v>110</v>
      </c>
      <c r="U62" s="11">
        <f>U60*Q59</f>
        <v>182477.70372617981</v>
      </c>
    </row>
    <row r="63" spans="2:21" ht="15" thickBot="1" x14ac:dyDescent="0.35">
      <c r="B63" s="34"/>
      <c r="C63" s="33"/>
      <c r="D63" s="11" t="s">
        <v>113</v>
      </c>
      <c r="E63" s="75">
        <f>(E62*E62+G62*G62)^(1/2)</f>
        <v>140339.9655412689</v>
      </c>
      <c r="F63" s="75"/>
      <c r="G63" s="74"/>
      <c r="I63" s="27"/>
      <c r="K63" s="11" t="s">
        <v>113</v>
      </c>
      <c r="L63" s="75">
        <f>((L62*L62+N62*N62)^(1/2))</f>
        <v>1217207.893571866</v>
      </c>
      <c r="M63" s="75"/>
      <c r="N63" s="74"/>
      <c r="P63" s="27"/>
      <c r="R63" s="11" t="s">
        <v>113</v>
      </c>
      <c r="S63" s="75">
        <f>((S62*S62+U62*U62)^(1/2))</f>
        <v>215848.86021059047</v>
      </c>
      <c r="T63" s="75"/>
      <c r="U63" s="74"/>
    </row>
    <row r="64" spans="2:21" ht="15" thickBot="1" x14ac:dyDescent="0.35">
      <c r="B64" s="34"/>
      <c r="C64" s="33"/>
      <c r="D64" s="33"/>
      <c r="E64" s="33"/>
      <c r="F64" s="11" t="s">
        <v>147</v>
      </c>
      <c r="G64" s="11">
        <f>(E59*E59+G59*G59)^(1/2)</f>
        <v>987.45374706968005</v>
      </c>
      <c r="I64" s="27"/>
      <c r="M64" s="11" t="s">
        <v>147</v>
      </c>
      <c r="N64" s="11">
        <f>(L59*L59+N59*N59)^(1/2)</f>
        <v>3001.0619804670714</v>
      </c>
      <c r="P64" s="27"/>
      <c r="T64" s="11" t="s">
        <v>147</v>
      </c>
      <c r="U64" s="11">
        <f>(S59*S59+U59*U59)^(1/2)</f>
        <v>1660.3758477737729</v>
      </c>
    </row>
    <row r="65" spans="2:21" ht="15" thickBot="1" x14ac:dyDescent="0.35">
      <c r="B65" s="29"/>
      <c r="C65" s="35"/>
      <c r="D65" s="35"/>
      <c r="E65" s="35"/>
      <c r="F65" s="11" t="s">
        <v>146</v>
      </c>
      <c r="G65" s="36">
        <f>(E60*E60+G60*G60)^(1/2)</f>
        <v>1079.5381964712992</v>
      </c>
      <c r="H65" s="30"/>
      <c r="I65" s="32"/>
      <c r="J65" s="30"/>
      <c r="K65" s="30"/>
      <c r="L65" s="30"/>
      <c r="M65" s="11" t="s">
        <v>146</v>
      </c>
      <c r="N65" s="36">
        <f>(L60*L60+N60*N60)^(1/2)</f>
        <v>2295.2995229069779</v>
      </c>
      <c r="O65" s="30"/>
      <c r="P65" s="32"/>
      <c r="Q65" s="30"/>
      <c r="R65" s="30"/>
      <c r="S65" s="30"/>
      <c r="T65" s="11" t="s">
        <v>146</v>
      </c>
      <c r="U65" s="36">
        <f>(S60*S60+U60*U60)^(1/2)</f>
        <v>1417.921124049554</v>
      </c>
    </row>
    <row r="66" spans="2:21" x14ac:dyDescent="0.3">
      <c r="B66" s="27"/>
      <c r="U66" s="28"/>
    </row>
    <row r="67" spans="2:21" ht="15" thickBot="1" x14ac:dyDescent="0.35">
      <c r="B67" s="27"/>
      <c r="U67" s="28"/>
    </row>
    <row r="68" spans="2:21" ht="15" thickBot="1" x14ac:dyDescent="0.35">
      <c r="B68" s="76" t="s">
        <v>119</v>
      </c>
      <c r="C68" s="77"/>
      <c r="D68" s="44"/>
      <c r="E68" s="48" t="s">
        <v>131</v>
      </c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7"/>
      <c r="U68" s="28"/>
    </row>
    <row r="69" spans="2:21" ht="15" thickBot="1" x14ac:dyDescent="0.35">
      <c r="B69" s="11" t="s">
        <v>135</v>
      </c>
      <c r="C69" s="49">
        <v>100</v>
      </c>
      <c r="G69" s="11" t="s">
        <v>135</v>
      </c>
      <c r="H69" s="49">
        <v>100</v>
      </c>
      <c r="L69" s="11" t="s">
        <v>135</v>
      </c>
      <c r="M69" s="49">
        <v>100</v>
      </c>
      <c r="P69" s="28"/>
      <c r="U69" s="28"/>
    </row>
    <row r="70" spans="2:21" ht="15" thickBot="1" x14ac:dyDescent="0.35">
      <c r="B70" s="11" t="s">
        <v>124</v>
      </c>
      <c r="C70" s="49">
        <v>50</v>
      </c>
      <c r="G70" s="11" t="s">
        <v>124</v>
      </c>
      <c r="H70" s="49">
        <v>50</v>
      </c>
      <c r="L70" s="11" t="s">
        <v>124</v>
      </c>
      <c r="M70" s="49">
        <v>50</v>
      </c>
      <c r="P70" s="28"/>
      <c r="U70" s="28"/>
    </row>
    <row r="71" spans="2:21" ht="15" thickBot="1" x14ac:dyDescent="0.35">
      <c r="B71" s="11" t="s">
        <v>130</v>
      </c>
      <c r="C71" s="49">
        <v>1100</v>
      </c>
      <c r="G71" s="11" t="s">
        <v>130</v>
      </c>
      <c r="H71" s="49">
        <v>1100</v>
      </c>
      <c r="L71" s="11" t="s">
        <v>130</v>
      </c>
      <c r="M71" s="49">
        <v>1100</v>
      </c>
      <c r="P71" s="28"/>
      <c r="U71" s="28"/>
    </row>
    <row r="72" spans="2:21" ht="15" thickBot="1" x14ac:dyDescent="0.35">
      <c r="B72" s="11" t="s">
        <v>132</v>
      </c>
      <c r="C72" s="49">
        <v>780</v>
      </c>
      <c r="G72" s="11" t="s">
        <v>132</v>
      </c>
      <c r="H72" s="49">
        <v>780</v>
      </c>
      <c r="L72" s="11" t="s">
        <v>132</v>
      </c>
      <c r="M72" s="49">
        <v>780</v>
      </c>
      <c r="P72" s="28"/>
      <c r="U72" s="28"/>
    </row>
    <row r="73" spans="2:21" ht="15" thickBot="1" x14ac:dyDescent="0.35">
      <c r="B73" s="73" t="s">
        <v>122</v>
      </c>
      <c r="C73" s="74"/>
      <c r="D73" s="22">
        <v>1.5</v>
      </c>
      <c r="G73" s="73" t="s">
        <v>122</v>
      </c>
      <c r="H73" s="74"/>
      <c r="I73" s="22">
        <v>1.5</v>
      </c>
      <c r="L73" s="73" t="s">
        <v>122</v>
      </c>
      <c r="M73" s="74"/>
      <c r="N73" s="22">
        <v>1.25</v>
      </c>
      <c r="P73" s="28"/>
      <c r="U73" s="28"/>
    </row>
    <row r="74" spans="2:21" ht="15" thickBot="1" x14ac:dyDescent="0.35">
      <c r="B74" s="73" t="s">
        <v>121</v>
      </c>
      <c r="C74" s="74"/>
      <c r="D74" s="7">
        <f>D73*K15</f>
        <v>91680</v>
      </c>
      <c r="G74" s="73" t="s">
        <v>121</v>
      </c>
      <c r="H74" s="74"/>
      <c r="I74" s="7">
        <f>I73*K16</f>
        <v>183603.48710250834</v>
      </c>
      <c r="L74" s="73" t="s">
        <v>121</v>
      </c>
      <c r="M74" s="74"/>
      <c r="N74" s="7">
        <f>N73*K18</f>
        <v>204296.48791999996</v>
      </c>
      <c r="P74" s="28"/>
      <c r="U74" s="28"/>
    </row>
    <row r="75" spans="2:21" ht="15" thickBot="1" x14ac:dyDescent="0.35">
      <c r="B75" s="73" t="s">
        <v>120</v>
      </c>
      <c r="C75" s="74"/>
      <c r="D75" s="7">
        <f>E63</f>
        <v>140339.9655412689</v>
      </c>
      <c r="G75" s="73" t="s">
        <v>120</v>
      </c>
      <c r="H75" s="74"/>
      <c r="I75" s="7">
        <f>L63</f>
        <v>1217207.893571866</v>
      </c>
      <c r="L75" s="73" t="s">
        <v>120</v>
      </c>
      <c r="M75" s="74"/>
      <c r="N75" s="7">
        <f>S63</f>
        <v>215848.86021059047</v>
      </c>
      <c r="P75" s="28"/>
      <c r="U75" s="28"/>
    </row>
    <row r="76" spans="2:21" ht="15" thickBot="1" x14ac:dyDescent="0.35">
      <c r="B76" s="73"/>
      <c r="C76" s="74"/>
      <c r="D76" s="7"/>
      <c r="E76" s="7" t="s">
        <v>123</v>
      </c>
      <c r="G76" s="73"/>
      <c r="H76" s="74"/>
      <c r="I76" s="7"/>
      <c r="J76" s="7" t="s">
        <v>123</v>
      </c>
      <c r="L76" s="73"/>
      <c r="M76" s="74"/>
      <c r="N76" s="7"/>
      <c r="O76" s="7" t="s">
        <v>123</v>
      </c>
      <c r="P76" s="28"/>
      <c r="U76" s="28"/>
    </row>
    <row r="77" spans="2:21" ht="15" thickBot="1" x14ac:dyDescent="0.35">
      <c r="B77" s="73" t="s">
        <v>136</v>
      </c>
      <c r="C77" s="74"/>
      <c r="D77" s="7">
        <f>(    (   16   /   PI()    )     *   (  D74/C70)    )   ^     (1/3)</f>
        <v>21.058377338924831</v>
      </c>
      <c r="E77" s="22">
        <v>25</v>
      </c>
      <c r="G77" s="73" t="s">
        <v>136</v>
      </c>
      <c r="H77" s="74"/>
      <c r="I77" s="7">
        <f>(    (   16   /   PI()    )     *   (  I74/H70)    )   ^     (1/3)</f>
        <v>26.543631753565077</v>
      </c>
      <c r="J77" s="22">
        <v>50</v>
      </c>
      <c r="L77" s="73" t="s">
        <v>136</v>
      </c>
      <c r="M77" s="74"/>
      <c r="N77" s="7">
        <f>(    (   16   /   PI()    )     *   (  N74/M70)    )   ^     (1/3)</f>
        <v>27.505550122371787</v>
      </c>
      <c r="O77" s="22">
        <v>30</v>
      </c>
      <c r="P77" s="28"/>
      <c r="U77" s="28"/>
    </row>
    <row r="78" spans="2:21" ht="15" thickBot="1" x14ac:dyDescent="0.35">
      <c r="B78" s="45"/>
      <c r="C78" s="7" t="s">
        <v>125</v>
      </c>
      <c r="D78" s="11">
        <f>PI()*E77*E77*E77/32</f>
        <v>1533.9807878856411</v>
      </c>
      <c r="H78" s="7" t="s">
        <v>125</v>
      </c>
      <c r="I78" s="11">
        <f>PI()*J77*J77*J77/32</f>
        <v>12271.846303085129</v>
      </c>
      <c r="M78" s="7" t="s">
        <v>125</v>
      </c>
      <c r="N78" s="11">
        <f>PI()*O77*O77*O77/32</f>
        <v>2650.718801466388</v>
      </c>
      <c r="P78" s="28"/>
      <c r="U78" s="28"/>
    </row>
    <row r="79" spans="2:21" ht="15" thickBot="1" x14ac:dyDescent="0.35">
      <c r="B79" s="96" t="s">
        <v>133</v>
      </c>
      <c r="C79" s="7" t="s">
        <v>126</v>
      </c>
      <c r="D79" s="22">
        <v>0.98</v>
      </c>
      <c r="G79" s="96" t="s">
        <v>133</v>
      </c>
      <c r="H79" s="7" t="s">
        <v>126</v>
      </c>
      <c r="I79" s="22">
        <v>0.98</v>
      </c>
      <c r="L79" s="96" t="s">
        <v>133</v>
      </c>
      <c r="M79" s="7" t="s">
        <v>126</v>
      </c>
      <c r="N79" s="22">
        <v>0.98</v>
      </c>
      <c r="P79" s="28"/>
      <c r="U79" s="28"/>
    </row>
    <row r="80" spans="2:21" ht="15" thickBot="1" x14ac:dyDescent="0.35">
      <c r="B80" s="97"/>
      <c r="C80" s="7" t="s">
        <v>127</v>
      </c>
      <c r="D80" s="22">
        <v>0.92</v>
      </c>
      <c r="G80" s="97"/>
      <c r="H80" s="7" t="s">
        <v>127</v>
      </c>
      <c r="I80" s="22">
        <v>0.92</v>
      </c>
      <c r="L80" s="97"/>
      <c r="M80" s="7" t="s">
        <v>127</v>
      </c>
      <c r="N80" s="22">
        <v>0.92</v>
      </c>
      <c r="P80" s="28"/>
      <c r="U80" s="28"/>
    </row>
    <row r="81" spans="2:21" ht="15" thickBot="1" x14ac:dyDescent="0.35">
      <c r="B81" s="98"/>
      <c r="C81" s="7" t="s">
        <v>128</v>
      </c>
      <c r="D81" s="7">
        <f>1.5*(E77^(-0.157))</f>
        <v>0.90492935744914549</v>
      </c>
      <c r="G81" s="98"/>
      <c r="H81" s="7" t="s">
        <v>128</v>
      </c>
      <c r="I81" s="7">
        <f>1.5*(J77^(-0.157))</f>
        <v>0.81162042602669349</v>
      </c>
      <c r="L81" s="98"/>
      <c r="M81" s="7" t="s">
        <v>128</v>
      </c>
      <c r="N81" s="7">
        <f>1.5*(O77^(-0.157))</f>
        <v>0.87939344095152427</v>
      </c>
      <c r="P81" s="28"/>
      <c r="U81" s="28"/>
    </row>
    <row r="82" spans="2:21" ht="15" thickBot="1" x14ac:dyDescent="0.35">
      <c r="B82" s="73" t="s">
        <v>129</v>
      </c>
      <c r="C82" s="74"/>
      <c r="D82" s="7">
        <f>D79*D81/D80*C71</f>
        <v>1060.3411384023682</v>
      </c>
      <c r="G82" s="73" t="s">
        <v>129</v>
      </c>
      <c r="H82" s="74"/>
      <c r="I82" s="7">
        <f>I79*I81/I80*H71</f>
        <v>951.00741223562557</v>
      </c>
      <c r="L82" s="73" t="s">
        <v>129</v>
      </c>
      <c r="M82" s="74"/>
      <c r="N82" s="7">
        <f>N79*N81/N80*M71</f>
        <v>1030.4197058105904</v>
      </c>
      <c r="P82" s="28"/>
      <c r="U82" s="28"/>
    </row>
    <row r="83" spans="2:21" ht="15" thickBot="1" x14ac:dyDescent="0.35">
      <c r="B83" s="73" t="s">
        <v>133</v>
      </c>
      <c r="C83" s="74"/>
      <c r="D83" s="7">
        <f>(       ((C72/D82)*D75)^(2)  +0.75*D74*D74             )^(1/2)</f>
        <v>130236.51042509187</v>
      </c>
      <c r="G83" s="73" t="s">
        <v>133</v>
      </c>
      <c r="H83" s="74"/>
      <c r="I83" s="7">
        <f>(       ((H72/I82)*I75)^(2)  +0.75*I74*I74             )^(1/2)</f>
        <v>1010916.2254287151</v>
      </c>
      <c r="L83" s="73" t="s">
        <v>133</v>
      </c>
      <c r="M83" s="74"/>
      <c r="N83" s="7">
        <f>(       ((M72/N82)*N75)^(2)  +0.75*N74*N74             )^(1/2)</f>
        <v>240831.19679130104</v>
      </c>
      <c r="P83" s="28"/>
      <c r="U83" s="28"/>
    </row>
    <row r="84" spans="2:21" ht="15" thickBot="1" x14ac:dyDescent="0.35">
      <c r="B84" s="73" t="s">
        <v>134</v>
      </c>
      <c r="C84" s="74"/>
      <c r="D84" s="11">
        <f>D83/D78</f>
        <v>84.901004923668609</v>
      </c>
      <c r="E84" s="7" t="str">
        <f>IF(D84&lt;C69,"emniyetli","emniyetsiz")</f>
        <v>emniyetli</v>
      </c>
      <c r="F84" s="30"/>
      <c r="G84" s="73" t="s">
        <v>134</v>
      </c>
      <c r="H84" s="74"/>
      <c r="I84" s="11">
        <f>I83/I78</f>
        <v>82.376864936335764</v>
      </c>
      <c r="J84" s="7" t="str">
        <f>IF(I84&lt;H69,"emniyetli","emniyetsiz")</f>
        <v>emniyetli</v>
      </c>
      <c r="K84" s="30"/>
      <c r="L84" s="73" t="s">
        <v>134</v>
      </c>
      <c r="M84" s="74"/>
      <c r="N84" s="11">
        <f>N83/N78</f>
        <v>90.855052847579415</v>
      </c>
      <c r="O84" s="7" t="str">
        <f>IF(N84&lt;M69,"emniyetli","emniyetsiz")</f>
        <v>emniyetli</v>
      </c>
      <c r="P84" s="31"/>
      <c r="U84" s="28"/>
    </row>
    <row r="85" spans="2:21" x14ac:dyDescent="0.3">
      <c r="B85" s="27"/>
      <c r="U85" s="28"/>
    </row>
    <row r="86" spans="2:21" ht="15" thickBot="1" x14ac:dyDescent="0.35">
      <c r="B86" s="27"/>
      <c r="U86" s="28"/>
    </row>
    <row r="87" spans="2:21" ht="15" thickBot="1" x14ac:dyDescent="0.35">
      <c r="B87" s="73" t="s">
        <v>151</v>
      </c>
      <c r="C87" s="74"/>
      <c r="D87" s="7" t="s">
        <v>138</v>
      </c>
      <c r="E87" s="7" t="s">
        <v>139</v>
      </c>
      <c r="F87" s="50"/>
      <c r="G87" s="73" t="s">
        <v>152</v>
      </c>
      <c r="H87" s="74"/>
      <c r="I87" s="7" t="s">
        <v>138</v>
      </c>
      <c r="J87" s="7" t="s">
        <v>139</v>
      </c>
      <c r="K87" s="50"/>
      <c r="L87" s="73" t="s">
        <v>153</v>
      </c>
      <c r="M87" s="74"/>
      <c r="N87" s="7" t="s">
        <v>138</v>
      </c>
      <c r="O87" s="7" t="s">
        <v>139</v>
      </c>
      <c r="P87" s="50"/>
      <c r="Q87" s="51"/>
      <c r="U87" s="28"/>
    </row>
    <row r="88" spans="2:21" ht="15" thickBot="1" x14ac:dyDescent="0.35">
      <c r="B88" s="11" t="s">
        <v>137</v>
      </c>
      <c r="C88" s="11">
        <f>M37/G64</f>
        <v>0.70566245835477936</v>
      </c>
      <c r="D88" s="11">
        <v>0.4</v>
      </c>
      <c r="E88" s="11">
        <v>1.1000000000000001</v>
      </c>
      <c r="F88" s="33"/>
      <c r="G88" s="11" t="s">
        <v>137</v>
      </c>
      <c r="H88" s="11">
        <f>(O37-N37)/N65</f>
        <v>0.1948042450178892</v>
      </c>
      <c r="I88" s="11">
        <v>0.4</v>
      </c>
      <c r="J88" s="11">
        <v>2</v>
      </c>
      <c r="K88" s="33"/>
      <c r="L88" s="11" t="s">
        <v>137</v>
      </c>
      <c r="M88" s="11">
        <f>P37/U65</f>
        <v>0.72062652902497448</v>
      </c>
      <c r="N88" s="11">
        <v>0.4</v>
      </c>
      <c r="O88" s="11">
        <v>0.88</v>
      </c>
      <c r="P88" s="33"/>
      <c r="Q88" s="52"/>
      <c r="U88" s="28"/>
    </row>
    <row r="89" spans="2:21" ht="15" thickBot="1" x14ac:dyDescent="0.35">
      <c r="B89" s="73" t="s">
        <v>140</v>
      </c>
      <c r="C89" s="74"/>
      <c r="D89" s="33"/>
      <c r="E89" s="33"/>
      <c r="F89" s="33"/>
      <c r="G89" s="73" t="s">
        <v>140</v>
      </c>
      <c r="H89" s="74"/>
      <c r="I89" s="33"/>
      <c r="J89" s="33"/>
      <c r="K89" s="33"/>
      <c r="L89" s="73" t="s">
        <v>140</v>
      </c>
      <c r="M89" s="74"/>
      <c r="N89" s="33"/>
      <c r="O89" s="33"/>
      <c r="P89" s="33"/>
      <c r="Q89" s="52"/>
      <c r="U89" s="28"/>
    </row>
    <row r="90" spans="2:21" ht="15" thickBot="1" x14ac:dyDescent="0.35">
      <c r="B90" s="11" t="s">
        <v>141</v>
      </c>
      <c r="C90" s="11">
        <v>11.2</v>
      </c>
      <c r="D90" s="33"/>
      <c r="E90" s="33"/>
      <c r="F90" s="33"/>
      <c r="G90" s="11" t="s">
        <v>141</v>
      </c>
      <c r="H90" s="11">
        <v>8.81</v>
      </c>
      <c r="I90" s="33"/>
      <c r="J90" s="33"/>
      <c r="K90" s="33"/>
      <c r="L90" s="11" t="s">
        <v>141</v>
      </c>
      <c r="M90" s="11">
        <v>7.81</v>
      </c>
      <c r="N90" s="33"/>
      <c r="O90" s="33"/>
      <c r="P90" s="33"/>
      <c r="Q90" s="52"/>
      <c r="U90" s="28"/>
    </row>
    <row r="91" spans="2:21" ht="15" thickBot="1" x14ac:dyDescent="0.35">
      <c r="B91" s="7" t="s">
        <v>0</v>
      </c>
      <c r="C91" s="11">
        <f>D88*G65+E88*M37</f>
        <v>1198.3052211242316</v>
      </c>
      <c r="D91" s="33"/>
      <c r="F91" s="33"/>
      <c r="G91" s="7" t="s">
        <v>0</v>
      </c>
      <c r="H91" s="11">
        <f>I88*N65+J88*(O37-N37)</f>
        <v>1812.3879904624214</v>
      </c>
      <c r="I91" s="33"/>
      <c r="J91" s="33"/>
      <c r="K91" s="33"/>
      <c r="L91" s="7" t="s">
        <v>0</v>
      </c>
      <c r="M91" s="11">
        <f>N88*U64+O88*P37</f>
        <v>1563.3269277979271</v>
      </c>
      <c r="N91" s="33"/>
      <c r="O91" s="33"/>
      <c r="P91" s="33"/>
      <c r="Q91" s="52"/>
      <c r="U91" s="28"/>
    </row>
    <row r="92" spans="2:21" ht="15" thickBot="1" x14ac:dyDescent="0.35">
      <c r="B92" s="7" t="s">
        <v>142</v>
      </c>
      <c r="C92" s="11">
        <f>C91*C90</f>
        <v>13421.018476591393</v>
      </c>
      <c r="D92" s="33"/>
      <c r="E92" s="33"/>
      <c r="F92" s="33"/>
      <c r="G92" s="7" t="s">
        <v>142</v>
      </c>
      <c r="H92" s="11">
        <f>H91*H90</f>
        <v>15967.138195973934</v>
      </c>
      <c r="I92" s="33"/>
      <c r="K92" s="33"/>
      <c r="L92" s="7" t="s">
        <v>142</v>
      </c>
      <c r="M92" s="11">
        <f>M91*M90</f>
        <v>12209.583306101809</v>
      </c>
      <c r="N92" s="33"/>
      <c r="O92" s="33"/>
      <c r="P92" s="33"/>
      <c r="Q92" s="52"/>
      <c r="U92" s="28"/>
    </row>
    <row r="93" spans="2:21" ht="15" thickBot="1" x14ac:dyDescent="0.35">
      <c r="B93" s="73" t="s">
        <v>148</v>
      </c>
      <c r="C93" s="74"/>
      <c r="D93" s="33"/>
      <c r="E93" s="33"/>
      <c r="F93" s="33"/>
      <c r="G93" s="73" t="s">
        <v>143</v>
      </c>
      <c r="H93" s="74"/>
      <c r="I93" s="33"/>
      <c r="J93" s="33"/>
      <c r="K93" s="33"/>
      <c r="L93" s="73" t="s">
        <v>148</v>
      </c>
      <c r="M93" s="74"/>
      <c r="N93" s="33"/>
      <c r="O93" s="33"/>
      <c r="P93" s="33"/>
      <c r="Q93" s="52"/>
      <c r="U93" s="28"/>
    </row>
    <row r="94" spans="2:21" ht="15" thickBot="1" x14ac:dyDescent="0.35">
      <c r="B94" s="56" t="s">
        <v>144</v>
      </c>
      <c r="C94" s="11">
        <v>24400</v>
      </c>
      <c r="D94" s="73" t="s">
        <v>149</v>
      </c>
      <c r="E94" s="74"/>
      <c r="F94" s="35"/>
      <c r="G94" s="7" t="s">
        <v>144</v>
      </c>
      <c r="H94" s="11">
        <v>11700</v>
      </c>
      <c r="I94" s="73" t="s">
        <v>149</v>
      </c>
      <c r="J94" s="74"/>
      <c r="K94" s="35"/>
      <c r="L94" s="7" t="s">
        <v>144</v>
      </c>
      <c r="M94" s="11">
        <v>24400</v>
      </c>
      <c r="N94" s="73" t="s">
        <v>149</v>
      </c>
      <c r="O94" s="74"/>
      <c r="P94" s="35"/>
      <c r="Q94" s="36"/>
      <c r="R94" s="30"/>
      <c r="S94" s="30"/>
      <c r="T94" s="30"/>
      <c r="U94" s="31"/>
    </row>
    <row r="95" spans="2:21" ht="15" thickBot="1" x14ac:dyDescent="0.35">
      <c r="B95" s="7" t="s">
        <v>150</v>
      </c>
      <c r="C95" s="11">
        <f>M37/C94</f>
        <v>2.8557747486427417E-2</v>
      </c>
      <c r="G95" s="7" t="s">
        <v>145</v>
      </c>
      <c r="H95" s="11">
        <f>(O37-N37)/H94</f>
        <v>3.8216588944428642E-2</v>
      </c>
      <c r="L95" s="7" t="s">
        <v>150</v>
      </c>
      <c r="M95" s="11">
        <f>P37/M92</f>
        <v>8.3687669958758884E-2</v>
      </c>
    </row>
    <row r="144" ht="15" thickBot="1" x14ac:dyDescent="0.35"/>
    <row r="145" spans="2:20" ht="15" thickBot="1" x14ac:dyDescent="0.35">
      <c r="B145" s="76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77"/>
    </row>
    <row r="149" spans="2:20" x14ac:dyDescent="0.3">
      <c r="D149" s="70" t="s">
        <v>155</v>
      </c>
      <c r="E149" s="70" t="s">
        <v>156</v>
      </c>
      <c r="F149" s="70" t="s">
        <v>157</v>
      </c>
      <c r="G149" s="70" t="s">
        <v>158</v>
      </c>
      <c r="H149" s="70" t="s">
        <v>159</v>
      </c>
    </row>
    <row r="150" spans="2:20" x14ac:dyDescent="0.3">
      <c r="C150">
        <v>1</v>
      </c>
      <c r="D150">
        <v>6205</v>
      </c>
      <c r="E150">
        <v>25</v>
      </c>
      <c r="F150">
        <v>52</v>
      </c>
      <c r="G150">
        <v>1</v>
      </c>
      <c r="H150">
        <v>15</v>
      </c>
    </row>
    <row r="151" spans="2:20" x14ac:dyDescent="0.3">
      <c r="C151">
        <v>2</v>
      </c>
      <c r="D151">
        <v>6905</v>
      </c>
      <c r="E151">
        <v>25</v>
      </c>
      <c r="F151">
        <v>42</v>
      </c>
      <c r="G151">
        <v>0.3</v>
      </c>
      <c r="H151">
        <v>9</v>
      </c>
    </row>
    <row r="152" spans="2:20" x14ac:dyDescent="0.3">
      <c r="C152">
        <v>3</v>
      </c>
      <c r="D152">
        <v>6905</v>
      </c>
      <c r="E152">
        <v>50</v>
      </c>
      <c r="F152">
        <v>80</v>
      </c>
      <c r="G152">
        <v>0.6</v>
      </c>
      <c r="H152">
        <v>10</v>
      </c>
    </row>
    <row r="153" spans="2:20" x14ac:dyDescent="0.3">
      <c r="C153">
        <v>4</v>
      </c>
      <c r="D153">
        <v>16010</v>
      </c>
      <c r="E153">
        <v>50</v>
      </c>
      <c r="F153">
        <v>80</v>
      </c>
      <c r="G153">
        <v>1</v>
      </c>
      <c r="H153">
        <v>16</v>
      </c>
    </row>
    <row r="154" spans="2:20" x14ac:dyDescent="0.3">
      <c r="C154">
        <v>5</v>
      </c>
      <c r="D154">
        <v>6006</v>
      </c>
      <c r="E154">
        <v>30</v>
      </c>
      <c r="F154">
        <v>55</v>
      </c>
      <c r="G154">
        <v>1</v>
      </c>
      <c r="H154">
        <v>13</v>
      </c>
    </row>
    <row r="155" spans="2:20" x14ac:dyDescent="0.3">
      <c r="C155">
        <v>6</v>
      </c>
      <c r="D155">
        <v>6006</v>
      </c>
      <c r="E155">
        <v>30</v>
      </c>
      <c r="F155">
        <v>55</v>
      </c>
      <c r="G155">
        <v>1</v>
      </c>
      <c r="H155">
        <v>13</v>
      </c>
    </row>
  </sheetData>
  <mergeCells count="75">
    <mergeCell ref="L83:M83"/>
    <mergeCell ref="L84:M84"/>
    <mergeCell ref="L73:M73"/>
    <mergeCell ref="L74:M74"/>
    <mergeCell ref="L75:M75"/>
    <mergeCell ref="L76:M76"/>
    <mergeCell ref="L77:M77"/>
    <mergeCell ref="G76:H76"/>
    <mergeCell ref="G77:H77"/>
    <mergeCell ref="G79:G81"/>
    <mergeCell ref="G82:H82"/>
    <mergeCell ref="L79:L81"/>
    <mergeCell ref="L82:M82"/>
    <mergeCell ref="L33:M33"/>
    <mergeCell ref="B55:U55"/>
    <mergeCell ref="B45:D45"/>
    <mergeCell ref="G83:H83"/>
    <mergeCell ref="G84:H84"/>
    <mergeCell ref="B83:C83"/>
    <mergeCell ref="B84:C84"/>
    <mergeCell ref="B68:C68"/>
    <mergeCell ref="B74:C74"/>
    <mergeCell ref="B75:C75"/>
    <mergeCell ref="B73:C73"/>
    <mergeCell ref="B77:C77"/>
    <mergeCell ref="B76:C76"/>
    <mergeCell ref="B82:C82"/>
    <mergeCell ref="B79:B81"/>
    <mergeCell ref="G73:H73"/>
    <mergeCell ref="B49:D49"/>
    <mergeCell ref="F44:G44"/>
    <mergeCell ref="H33:I33"/>
    <mergeCell ref="H44:I44"/>
    <mergeCell ref="B39:D39"/>
    <mergeCell ref="B35:D35"/>
    <mergeCell ref="B36:D36"/>
    <mergeCell ref="B37:D37"/>
    <mergeCell ref="B38:D38"/>
    <mergeCell ref="B40:D40"/>
    <mergeCell ref="B41:D41"/>
    <mergeCell ref="B42:D42"/>
    <mergeCell ref="B43:D43"/>
    <mergeCell ref="B44:D44"/>
    <mergeCell ref="P58:Q58"/>
    <mergeCell ref="N94:O94"/>
    <mergeCell ref="B145:T145"/>
    <mergeCell ref="S63:U63"/>
    <mergeCell ref="B57:G57"/>
    <mergeCell ref="I57:N57"/>
    <mergeCell ref="K58:L58"/>
    <mergeCell ref="P57:U57"/>
    <mergeCell ref="R58:S58"/>
    <mergeCell ref="B58:C58"/>
    <mergeCell ref="D58:E58"/>
    <mergeCell ref="F58:G58"/>
    <mergeCell ref="M58:N58"/>
    <mergeCell ref="T58:U58"/>
    <mergeCell ref="G74:H74"/>
    <mergeCell ref="G75:H75"/>
    <mergeCell ref="D1:F1"/>
    <mergeCell ref="L93:M93"/>
    <mergeCell ref="G93:H93"/>
    <mergeCell ref="B93:C93"/>
    <mergeCell ref="I94:J94"/>
    <mergeCell ref="D94:E94"/>
    <mergeCell ref="B87:C87"/>
    <mergeCell ref="B89:C89"/>
    <mergeCell ref="G87:H87"/>
    <mergeCell ref="G89:H89"/>
    <mergeCell ref="L87:M87"/>
    <mergeCell ref="L89:M89"/>
    <mergeCell ref="L63:N63"/>
    <mergeCell ref="E63:G63"/>
    <mergeCell ref="I58:J58"/>
    <mergeCell ref="F33:G33"/>
  </mergeCells>
  <conditionalFormatting sqref="M43:P44">
    <cfRule type="containsText" dxfId="8" priority="11" operator="containsText" text="emniyetli">
      <formula>NOT(ISERROR(SEARCH("emniyetli",M43)))</formula>
    </cfRule>
    <cfRule type="containsText" dxfId="7" priority="12" operator="containsText" text="emniyetsiz">
      <formula>NOT(ISERROR(SEARCH("emniyetsiz",M43)))</formula>
    </cfRule>
  </conditionalFormatting>
  <conditionalFormatting sqref="E84">
    <cfRule type="containsText" dxfId="6" priority="8" operator="containsText" text="emniyetsiz">
      <formula>NOT(ISERROR(SEARCH("emniyetsiz",E84)))</formula>
    </cfRule>
    <cfRule type="containsText" dxfId="5" priority="9" operator="containsText" text="emniyetli">
      <formula>NOT(ISERROR(SEARCH("emniyetli",E84)))</formula>
    </cfRule>
  </conditionalFormatting>
  <conditionalFormatting sqref="J84">
    <cfRule type="containsText" dxfId="4" priority="4" operator="containsText" text="emniyetsiz">
      <formula>NOT(ISERROR(SEARCH("emniyetsiz",J84)))</formula>
    </cfRule>
    <cfRule type="containsText" dxfId="3" priority="5" operator="containsText" text="emniyetli">
      <formula>NOT(ISERROR(SEARCH("emniyetli",J84)))</formula>
    </cfRule>
  </conditionalFormatting>
  <conditionalFormatting sqref="O84">
    <cfRule type="containsText" dxfId="2" priority="2" operator="containsText" text="emniyetsiz">
      <formula>NOT(ISERROR(SEARCH("emniyetsiz",O84)))</formula>
    </cfRule>
    <cfRule type="containsText" dxfId="1" priority="3" operator="containsText" text="emniyetli">
      <formula>NOT(ISERROR(SEARCH("emniyetli",O84)))</formula>
    </cfRule>
  </conditionalFormatting>
  <conditionalFormatting sqref="J44">
    <cfRule type="containsText" dxfId="0" priority="1" operator="containsText" text="yeşil">
      <formula>NOT(ISERROR(SEARCH("yeşil",J44)))</formula>
    </cfRule>
  </conditionalFormatting>
  <pageMargins left="0.7" right="0.7" top="0.75" bottom="0.75" header="0.3" footer="0.3"/>
  <pageSetup paperSize="9" orientation="portrait" horizontalDpi="1200" verticalDpi="1200" r:id="rId1"/>
  <ignoredErrors>
    <ignoredError sqref="G37 H38 G40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efe dgn</dc:creator>
  <cp:lastModifiedBy>Efe Kaan Doğan</cp:lastModifiedBy>
  <dcterms:created xsi:type="dcterms:W3CDTF">2015-06-05T18:19:34Z</dcterms:created>
  <dcterms:modified xsi:type="dcterms:W3CDTF">2022-05-17T19:55:16Z</dcterms:modified>
</cp:coreProperties>
</file>