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D:\Mark\Documents\TIPPERKIT\APP\"/>
    </mc:Choice>
  </mc:AlternateContent>
  <workbookProtection workbookAlgorithmName="SHA-512" workbookHashValue="TgYk9QGzx/qQUlSJHLtHgFCdYNUV6AmXk3qlvEBUR9KRog4UVl+7fXQMAsN04NzPLZWPPG0DMtxz8KeZFrHcDQ==" workbookSaltValue="EtCLNB24gC+WuKSkDTqykA==" workbookSpinCount="100000" lockStructure="1"/>
  <bookViews>
    <workbookView xWindow="0" yWindow="0" windowWidth="21600" windowHeight="10095"/>
  </bookViews>
  <sheets>
    <sheet name="Tipper Calculations" sheetId="9" r:id="rId1"/>
    <sheet name="Data Sheet - Cyls &amp; Packs" sheetId="7" r:id="rId2"/>
    <sheet name="Cylinder Force - Calcs" sheetId="2" r:id="rId3"/>
    <sheet name="Sheet1" sheetId="10" state="hidden" r:id="rId4"/>
  </sheets>
  <definedNames>
    <definedName name="_xlnm.Print_Area" localSheetId="0">'Tipper Calculations'!$A$1:$S$48</definedName>
  </definedNames>
  <calcPr calcId="171027" iterate="1"/>
</workbook>
</file>

<file path=xl/calcChain.xml><?xml version="1.0" encoding="utf-8"?>
<calcChain xmlns="http://schemas.openxmlformats.org/spreadsheetml/2006/main">
  <c r="N43" i="7" l="1"/>
  <c r="A1" i="10" l="1"/>
  <c r="T12" i="9"/>
  <c r="T13" i="9"/>
  <c r="T11" i="9" l="1"/>
  <c r="Q14" i="9" s="1"/>
  <c r="Q10" i="9"/>
  <c r="T46" i="9" l="1"/>
  <c r="T47" i="9"/>
  <c r="G55" i="2"/>
  <c r="G56" i="2" s="1"/>
  <c r="C55" i="2"/>
  <c r="C56" i="2" s="1"/>
  <c r="G57" i="2" s="1"/>
  <c r="G58" i="2" s="1"/>
  <c r="G59" i="2" s="1"/>
  <c r="G47" i="2"/>
  <c r="G48" i="2" s="1"/>
  <c r="C47" i="2"/>
  <c r="C48" i="2" s="1"/>
  <c r="G39" i="2"/>
  <c r="G40" i="2" s="1"/>
  <c r="C39" i="2"/>
  <c r="C40" i="2" s="1"/>
  <c r="C32" i="2"/>
  <c r="G31" i="2"/>
  <c r="G32" i="2" s="1"/>
  <c r="C31" i="2"/>
  <c r="G23" i="2"/>
  <c r="G24" i="2" s="1"/>
  <c r="C23" i="2"/>
  <c r="C24" i="2" s="1"/>
  <c r="T48" i="9" l="1"/>
  <c r="F46" i="9" s="1"/>
  <c r="G41" i="2"/>
  <c r="G42" i="2" s="1"/>
  <c r="G43" i="2" s="1"/>
  <c r="G49" i="2"/>
  <c r="G50" i="2" s="1"/>
  <c r="G51" i="2" s="1"/>
  <c r="G33" i="2"/>
  <c r="G34" i="2" s="1"/>
  <c r="G35" i="2" s="1"/>
  <c r="G25" i="2"/>
  <c r="G26" i="2" s="1"/>
  <c r="G27" i="2" s="1"/>
  <c r="G15" i="2" l="1"/>
  <c r="G16" i="2" s="1"/>
  <c r="P81" i="9" l="1"/>
  <c r="O43" i="9" l="1"/>
  <c r="O42" i="9"/>
  <c r="O41" i="9"/>
  <c r="AD34" i="7"/>
  <c r="AD35" i="7"/>
  <c r="AD36" i="7"/>
  <c r="AD32" i="7"/>
  <c r="P3" i="9" l="1"/>
  <c r="E30" i="9" s="1"/>
  <c r="G43" i="7"/>
  <c r="X32" i="7" s="1"/>
  <c r="S36" i="7"/>
  <c r="T36" i="7" s="1"/>
  <c r="S35" i="7"/>
  <c r="S32" i="7"/>
  <c r="Q24" i="9" l="1"/>
  <c r="Q23" i="9"/>
  <c r="D78" i="9" s="1"/>
  <c r="D79" i="9" s="1"/>
  <c r="D80" i="9" s="1"/>
  <c r="X36" i="7"/>
  <c r="Z36" i="7"/>
  <c r="Q22" i="9"/>
  <c r="Z34" i="7"/>
  <c r="Y35" i="7"/>
  <c r="AC34" i="7"/>
  <c r="Y36" i="7"/>
  <c r="T35" i="7"/>
  <c r="AA34" i="7"/>
  <c r="X35" i="7"/>
  <c r="Y32" i="7"/>
  <c r="Y34" i="7"/>
  <c r="AB34" i="7"/>
  <c r="X34" i="7"/>
  <c r="U36" i="7"/>
  <c r="AA36" i="7" s="1"/>
  <c r="T32" i="7"/>
  <c r="Z32" i="7" s="1"/>
  <c r="T43" i="9" l="1"/>
  <c r="T41" i="9"/>
  <c r="Q41" i="9" s="1"/>
  <c r="T42" i="9"/>
  <c r="Q42" i="9" s="1"/>
  <c r="Q58" i="9"/>
  <c r="Z35" i="7"/>
  <c r="U35" i="7"/>
  <c r="U32" i="7"/>
  <c r="V36" i="7"/>
  <c r="AB36" i="7" s="1"/>
  <c r="Q43" i="9" l="1"/>
  <c r="AA32" i="7"/>
  <c r="E70" i="9"/>
  <c r="V35" i="7"/>
  <c r="AA35" i="7"/>
  <c r="W36" i="7"/>
  <c r="AC36" i="7" s="1"/>
  <c r="AB35" i="7" l="1"/>
  <c r="W35" i="7"/>
  <c r="AC35" i="7" s="1"/>
  <c r="P78" i="9" l="1"/>
  <c r="E82" i="9"/>
  <c r="L32" i="9" s="1"/>
  <c r="H78" i="9"/>
  <c r="H79" i="9" s="1"/>
  <c r="H80" i="9" s="1"/>
  <c r="E71" i="9"/>
  <c r="E72" i="9" s="1"/>
  <c r="E61" i="9"/>
  <c r="E60" i="9"/>
  <c r="E59" i="9"/>
  <c r="N67" i="9" s="1"/>
  <c r="Q59" i="9"/>
  <c r="M59" i="9" s="1"/>
  <c r="O61" i="9" s="1"/>
  <c r="E51" i="9"/>
  <c r="E53" i="9" s="1"/>
  <c r="N51" i="9"/>
  <c r="N54" i="9" s="1"/>
  <c r="Q67" i="9" s="1"/>
  <c r="Q32" i="9"/>
  <c r="E55" i="9" l="1"/>
  <c r="E58" i="9" s="1"/>
  <c r="E66" i="9" s="1"/>
  <c r="L31" i="9" s="1"/>
  <c r="N68" i="9"/>
  <c r="O70" i="9" s="1"/>
  <c r="H82" i="9"/>
  <c r="T37" i="9" l="1"/>
  <c r="E67" i="9"/>
  <c r="O72" i="9"/>
  <c r="Q72" i="9" s="1"/>
  <c r="Q70" i="9"/>
  <c r="E73" i="9"/>
  <c r="C75" i="9" s="1"/>
  <c r="E75" i="9" s="1"/>
  <c r="H83" i="9"/>
  <c r="F32" i="9" s="1"/>
  <c r="F36" i="9" l="1"/>
  <c r="T38" i="9"/>
  <c r="F41" i="9" s="1"/>
  <c r="Q31" i="9"/>
  <c r="J29" i="2" l="1"/>
  <c r="C15" i="2" l="1"/>
  <c r="C16" i="2" s="1"/>
  <c r="G17" i="2" l="1"/>
  <c r="G18" i="2" s="1"/>
  <c r="G19" i="2" s="1"/>
  <c r="J31" i="2" l="1"/>
  <c r="J38" i="2"/>
  <c r="P77" i="9" l="1"/>
  <c r="Q84" i="9" l="1"/>
  <c r="Q83" i="9"/>
  <c r="Q61" i="9" l="1"/>
  <c r="O63" i="9"/>
  <c r="Q63" i="9" s="1"/>
  <c r="T39" i="9" l="1"/>
  <c r="T68" i="9" s="1"/>
  <c r="O45" i="9" s="1"/>
  <c r="Q36" i="9" l="1"/>
</calcChain>
</file>

<file path=xl/sharedStrings.xml><?xml version="1.0" encoding="utf-8"?>
<sst xmlns="http://schemas.openxmlformats.org/spreadsheetml/2006/main" count="474" uniqueCount="249">
  <si>
    <t>W =</t>
  </si>
  <si>
    <t xml:space="preserve">m = </t>
  </si>
  <si>
    <t xml:space="preserve">g = </t>
  </si>
  <si>
    <t xml:space="preserve">Overload = </t>
  </si>
  <si>
    <t>W =mg x Overload</t>
  </si>
  <si>
    <t>N</t>
  </si>
  <si>
    <t>mm</t>
  </si>
  <si>
    <t>Y1 = W-Y2</t>
  </si>
  <si>
    <t>L1 =</t>
  </si>
  <si>
    <t>L2 =</t>
  </si>
  <si>
    <t>L3 =</t>
  </si>
  <si>
    <t xml:space="preserve">Y2 = (W x L1)/L2 </t>
  </si>
  <si>
    <t>Y2 =</t>
  </si>
  <si>
    <t>Y1 =</t>
  </si>
  <si>
    <t xml:space="preserve">W =mg </t>
  </si>
  <si>
    <t xml:space="preserve">Cylinder can produce a maximum force of </t>
  </si>
  <si>
    <t>P = W/A</t>
  </si>
  <si>
    <t>Max. force Required (Y2) =</t>
  </si>
  <si>
    <t>m</t>
  </si>
  <si>
    <t>N/m</t>
  </si>
  <si>
    <t>FORCE APPLIED (FULL LOAD)</t>
  </si>
  <si>
    <t xml:space="preserve">FORCE REQUIRED TO LIFT A FULL LOAD </t>
  </si>
  <si>
    <t>FORCE APPLIED (NO LOAD)</t>
  </si>
  <si>
    <t xml:space="preserve">PRESSURE REQUIRED TO LIFT A FULL LOAD </t>
  </si>
  <si>
    <t>Bar</t>
  </si>
  <si>
    <t xml:space="preserve">at a pressure of </t>
  </si>
  <si>
    <t>L</t>
  </si>
  <si>
    <t xml:space="preserve">1 min = </t>
  </si>
  <si>
    <t>t=</t>
  </si>
  <si>
    <t>sec</t>
  </si>
  <si>
    <t>Raise</t>
  </si>
  <si>
    <t>TIPPER CALCULATION SHEET</t>
  </si>
  <si>
    <t>Theo.P.(P)=</t>
  </si>
  <si>
    <t>F = P x A</t>
  </si>
  <si>
    <t xml:space="preserve">MAX. FORCE PRODCUED BY CYLINDER </t>
  </si>
  <si>
    <t>STAGE 1</t>
  </si>
  <si>
    <t>STAGE 2</t>
  </si>
  <si>
    <t>STAGE 3</t>
  </si>
  <si>
    <t>STAGE 4</t>
  </si>
  <si>
    <t>STAGE 5</t>
  </si>
  <si>
    <t>STAGE 6</t>
  </si>
  <si>
    <t>Pa</t>
  </si>
  <si>
    <t xml:space="preserve"> 1 Bar =</t>
  </si>
  <si>
    <t xml:space="preserve"> 1 Pa =</t>
  </si>
  <si>
    <t>Bar - Pa</t>
  </si>
  <si>
    <t>Pa - N/m</t>
  </si>
  <si>
    <t xml:space="preserve">N </t>
  </si>
  <si>
    <t>CYLINDER FORCE CALCULATION SHEET</t>
  </si>
  <si>
    <t>1 Mpa =</t>
  </si>
  <si>
    <t>=</t>
  </si>
  <si>
    <t xml:space="preserve">MAX. FORCE PRODUCED BY CYLINDER </t>
  </si>
  <si>
    <t>L4 =</t>
  </si>
  <si>
    <t>Ycyl =</t>
  </si>
  <si>
    <t xml:space="preserve">Pcyl = </t>
  </si>
  <si>
    <t>FORCE RESISTANCE OF CYLINDER</t>
  </si>
  <si>
    <t xml:space="preserve">FORCE APPIED ON CYLINDER BY NO LOAD (EQUALLY DISTRIBUTED) </t>
  </si>
  <si>
    <t xml:space="preserve">CYLINDER PRESSURE RESISTANCE (Pcyl) = Ycyl /A </t>
  </si>
  <si>
    <t xml:space="preserve">FORCE MIMIMUM (Ycyl) = (Pmin x A) </t>
  </si>
  <si>
    <t xml:space="preserve">m </t>
  </si>
  <si>
    <t>t=V/Q</t>
  </si>
  <si>
    <t>to be able to produce a force of</t>
  </si>
  <si>
    <t xml:space="preserve">Est. (Pmin) = </t>
  </si>
  <si>
    <t>SYSTEM OK = Fmax &gt; Y2</t>
  </si>
  <si>
    <t>SYSTEM OK = P &lt; Pmax</t>
  </si>
  <si>
    <t>Tipper Kit Part No.</t>
  </si>
  <si>
    <t>V</t>
  </si>
  <si>
    <t>IS CYLINDER FORCE ACCEPTABLE FOR APPLICATION?</t>
  </si>
  <si>
    <t>Requires Manual Input</t>
  </si>
  <si>
    <t>Automatically Calculated</t>
  </si>
  <si>
    <t>Stroke Volume of Cylinder =</t>
  </si>
  <si>
    <t xml:space="preserve">Pressure Applied </t>
  </si>
  <si>
    <t>Cylinder Diameter</t>
  </si>
  <si>
    <t>Sy = Y1 + Y2 - W = 0</t>
  </si>
  <si>
    <t xml:space="preserve">SYSTEM OK (tact &lt; tmax)  = </t>
  </si>
  <si>
    <t>W1 =</t>
  </si>
  <si>
    <t>Ycyl1 =</t>
  </si>
  <si>
    <t xml:space="preserve">PRESSURE APPLIED ON CYLINDER (Pcyl) = Ycyl1/A </t>
  </si>
  <si>
    <t xml:space="preserve">Pcyl1 = </t>
  </si>
  <si>
    <t>Lower Tray at No Load</t>
  </si>
  <si>
    <t>POWER PACK - Raise/Lower TIME (in Seconds)</t>
  </si>
  <si>
    <t xml:space="preserve"> which includes an underload of </t>
  </si>
  <si>
    <t>Lower</t>
  </si>
  <si>
    <t>SYSTEM OK? =</t>
  </si>
  <si>
    <t>IS CYLINDER PRESSURE ACCEPTABLE FOR APPLICATION?</t>
  </si>
  <si>
    <t>IS CYLINDER SYSTEM LOCATION ACCEPTABLE?</t>
  </si>
  <si>
    <t xml:space="preserve">             Hydraulic Telescopic Cylinder</t>
  </si>
  <si>
    <t>No.</t>
  </si>
  <si>
    <t>Model</t>
  </si>
  <si>
    <t>Extension</t>
  </si>
  <si>
    <t>Stroke</t>
  </si>
  <si>
    <t>Capacity(t)</t>
  </si>
  <si>
    <t>Volume (L)</t>
  </si>
  <si>
    <t>Weight (Kg)</t>
  </si>
  <si>
    <t>A</t>
  </si>
  <si>
    <t>B</t>
  </si>
  <si>
    <t>D</t>
  </si>
  <si>
    <t>E</t>
  </si>
  <si>
    <t>F</t>
  </si>
  <si>
    <t>H</t>
  </si>
  <si>
    <t>I</t>
  </si>
  <si>
    <t>6TG-E105*1000QZ</t>
  </si>
  <si>
    <t xml:space="preserve">Flow Rate of Power Pack (Raise) = </t>
  </si>
  <si>
    <t xml:space="preserve">Flow Rate of Power Pack (Lower) = </t>
  </si>
  <si>
    <t>Raise Tray at Full Load</t>
  </si>
  <si>
    <t>%</t>
  </si>
  <si>
    <t>Newtons</t>
  </si>
  <si>
    <t>t</t>
  </si>
  <si>
    <t>time</t>
  </si>
  <si>
    <t>metres</t>
  </si>
  <si>
    <t>seconds</t>
  </si>
  <si>
    <t>millimetres</t>
  </si>
  <si>
    <t>Pascals</t>
  </si>
  <si>
    <r>
      <t>m</t>
    </r>
    <r>
      <rPr>
        <b/>
        <vertAlign val="superscript"/>
        <sz val="11"/>
        <rFont val="Calibri"/>
        <family val="2"/>
        <scheme val="minor"/>
      </rPr>
      <t>2</t>
    </r>
  </si>
  <si>
    <r>
      <rPr>
        <sz val="11"/>
        <rFont val="Calibri"/>
        <family val="2"/>
      </rPr>
      <t xml:space="preserve">π </t>
    </r>
    <r>
      <rPr>
        <sz val="11"/>
        <rFont val="Calibri"/>
        <family val="2"/>
        <scheme val="minor"/>
      </rPr>
      <t>=</t>
    </r>
  </si>
  <si>
    <t>min</t>
  </si>
  <si>
    <t>minutes</t>
  </si>
  <si>
    <t>kN</t>
  </si>
  <si>
    <t>l/min</t>
  </si>
  <si>
    <t>l</t>
  </si>
  <si>
    <t>kiloNewtons</t>
  </si>
  <si>
    <t>litres</t>
  </si>
  <si>
    <t>kg</t>
  </si>
  <si>
    <t xml:space="preserve">g </t>
  </si>
  <si>
    <t>kilogram</t>
  </si>
  <si>
    <t xml:space="preserve">OVERALL APPLICATION SET-UP IS </t>
  </si>
  <si>
    <t>SET-UP</t>
  </si>
  <si>
    <r>
      <rPr>
        <sz val="12"/>
        <rFont val="Calibri"/>
        <family val="2"/>
      </rPr>
      <t>π</t>
    </r>
    <r>
      <rPr>
        <sz val="12"/>
        <rFont val="Calibri"/>
        <family val="2"/>
        <scheme val="minor"/>
      </rPr>
      <t xml:space="preserve"> =</t>
    </r>
  </si>
  <si>
    <t>TK*SHORT</t>
  </si>
  <si>
    <t>TK*LONG</t>
  </si>
  <si>
    <t>TK*XLONG</t>
  </si>
  <si>
    <t>4TG-E90*800QZ</t>
  </si>
  <si>
    <t>6TG-E120*1250QZ</t>
  </si>
  <si>
    <t>6TG-E120*1500QZ</t>
  </si>
  <si>
    <t>Rod Diameter (per stage)</t>
  </si>
  <si>
    <t>Ton Force @ 160 Bar (per stage)</t>
  </si>
  <si>
    <t xml:space="preserve">1st </t>
  </si>
  <si>
    <t>2nd</t>
  </si>
  <si>
    <t>3rd</t>
  </si>
  <si>
    <t>4th</t>
  </si>
  <si>
    <t>5th</t>
  </si>
  <si>
    <t>6th</t>
  </si>
  <si>
    <t>-</t>
  </si>
  <si>
    <t>Pi</t>
  </si>
  <si>
    <t>Pressure</t>
  </si>
  <si>
    <t>TK*XXLONG</t>
  </si>
  <si>
    <t>Overall Cylinder Diameter =</t>
  </si>
  <si>
    <t>Fixed Value</t>
  </si>
  <si>
    <r>
      <t>m/s</t>
    </r>
    <r>
      <rPr>
        <b/>
        <vertAlign val="superscript"/>
        <sz val="11"/>
        <rFont val="Calibri"/>
        <family val="2"/>
        <scheme val="minor"/>
      </rPr>
      <t>2</t>
    </r>
  </si>
  <si>
    <t>gravitational acceleration</t>
  </si>
  <si>
    <t xml:space="preserve">FORCE APPLED ON CYLINDER (Ycyl) = (W x L1)/L2 </t>
  </si>
  <si>
    <t>Sm1 =  -W x L1 + Y2 X L2 = 0</t>
  </si>
  <si>
    <t>Standard (10) Tank</t>
  </si>
  <si>
    <t xml:space="preserve">Optional (6L) Tank </t>
  </si>
  <si>
    <t>TANK - VH (DeliFlex)</t>
  </si>
  <si>
    <t>Steel Round - Horizontal (SRH)</t>
  </si>
  <si>
    <t>Length (mm)</t>
  </si>
  <si>
    <t>KR45W</t>
  </si>
  <si>
    <t>YBZ-TRYX-6L-W</t>
  </si>
  <si>
    <t>YBZ-TRYX-8L-W</t>
  </si>
  <si>
    <t>YBZ-TRYX-10L-W</t>
  </si>
  <si>
    <t>YBZ-TRYX-12L-W</t>
  </si>
  <si>
    <t>Steel Rectangular - Horizontal (SSH)</t>
  </si>
  <si>
    <t>Height (mm)</t>
  </si>
  <si>
    <t>Width (mm)</t>
  </si>
  <si>
    <t>TK-36C</t>
  </si>
  <si>
    <t>TK-03</t>
  </si>
  <si>
    <t>TK-120-15L-66-W-A</t>
  </si>
  <si>
    <t>TK-15</t>
  </si>
  <si>
    <t>TK-34</t>
  </si>
  <si>
    <t>Larger (15L) Tank</t>
  </si>
  <si>
    <t>IS POWER PACK TANK ACCEPTABLE FOR APPLICATION?</t>
  </si>
  <si>
    <t>Min Oil Tank Cap</t>
  </si>
  <si>
    <t>(Cyl Cap + 10%)</t>
  </si>
  <si>
    <t xml:space="preserve">Smallest Rod Diameter = </t>
  </si>
  <si>
    <t>v</t>
  </si>
  <si>
    <t>volume</t>
  </si>
  <si>
    <t>Tray Length</t>
  </si>
  <si>
    <t>Centre of Gravity</t>
  </si>
  <si>
    <t>Referenced Value</t>
  </si>
  <si>
    <t>Allowance for Overload</t>
  </si>
  <si>
    <t xml:space="preserve">with a max working press of </t>
  </si>
  <si>
    <t>Result</t>
  </si>
  <si>
    <t>Distance between Pivot Points</t>
  </si>
  <si>
    <t>Acceptable</t>
  </si>
  <si>
    <t>NOT Acceptable</t>
  </si>
  <si>
    <t>Cylinder Diameter =</t>
  </si>
  <si>
    <t>Cylinder Radius =</t>
  </si>
  <si>
    <t>Area (A) = π(r x r) =</t>
  </si>
  <si>
    <t xml:space="preserve">Stroke Volume (v) = </t>
  </si>
  <si>
    <t>Flow (Q) =</t>
  </si>
  <si>
    <t>Nom.</t>
  </si>
  <si>
    <r>
      <t xml:space="preserve">6L SRH </t>
    </r>
    <r>
      <rPr>
        <sz val="11"/>
        <color rgb="FFFF0000"/>
        <rFont val="Calibri"/>
        <family val="2"/>
        <scheme val="minor"/>
      </rPr>
      <t xml:space="preserve"> (Option)</t>
    </r>
  </si>
  <si>
    <t>10L SSH Standard)</t>
  </si>
  <si>
    <r>
      <t>15L</t>
    </r>
    <r>
      <rPr>
        <sz val="11"/>
        <color theme="1"/>
        <rFont val="Calibri"/>
        <family val="2"/>
        <scheme val="minor"/>
      </rPr>
      <t xml:space="preserve"> SSH </t>
    </r>
    <r>
      <rPr>
        <sz val="11"/>
        <color rgb="FFFF0000"/>
        <rFont val="Calibri"/>
        <family val="2"/>
        <scheme val="minor"/>
      </rPr>
      <t>(Option)</t>
    </r>
  </si>
  <si>
    <t>Tank Vol. (usable) =</t>
  </si>
  <si>
    <t xml:space="preserve">Maximum Force with a Underload of </t>
  </si>
  <si>
    <t xml:space="preserve">Using Cylinder Part No </t>
  </si>
  <si>
    <r>
      <t>Cylinder Stroke</t>
    </r>
    <r>
      <rPr>
        <sz val="10"/>
        <color rgb="FFFF0000"/>
        <rFont val="Calibri"/>
        <family val="2"/>
        <scheme val="minor"/>
      </rPr>
      <t xml:space="preserve"> (Refer Data Sheet)</t>
    </r>
  </si>
  <si>
    <t xml:space="preserve">Max Working Pressure of Cylinder (Pmax) = </t>
  </si>
  <si>
    <t>Tonne</t>
  </si>
  <si>
    <t>KIT</t>
  </si>
  <si>
    <t>Nom Vol (l)</t>
  </si>
  <si>
    <t>Part No</t>
  </si>
  <si>
    <t>Usable Vol</t>
  </si>
  <si>
    <t>Dia. (mm)</t>
  </si>
  <si>
    <t>Area = π(r x r) =</t>
  </si>
  <si>
    <t>Cylinder Force (Stage 2) =</t>
  </si>
  <si>
    <t>Cylinder Force (Stage 1 - Largest Cylinder) =</t>
  </si>
  <si>
    <t>Cylinder Force (Stage 3) =</t>
  </si>
  <si>
    <t>Cylinder Force (Stage 4) =</t>
  </si>
  <si>
    <t>Cylinder Force (Stage 5) =</t>
  </si>
  <si>
    <t>Cylinder Force (Stage 6) =</t>
  </si>
  <si>
    <t xml:space="preserve">Tray Weight (Empty) = </t>
  </si>
  <si>
    <t xml:space="preserve">Gross Tray Weight (Loaded) = </t>
  </si>
  <si>
    <t>Tipping Angle</t>
  </si>
  <si>
    <t>Tilt=</t>
  </si>
  <si>
    <t>degrees</t>
  </si>
  <si>
    <t>IS TIPPING ANGLE ACCEPTABLE FOR APPLICATION?</t>
  </si>
  <si>
    <t>d</t>
  </si>
  <si>
    <r>
      <t>SYSTEM OK = d &gt;39</t>
    </r>
    <r>
      <rPr>
        <b/>
        <sz val="11"/>
        <rFont val="Calibri"/>
        <family val="2"/>
      </rPr>
      <t xml:space="preserve">ᴼ &amp; </t>
    </r>
    <r>
      <rPr>
        <b/>
        <i/>
        <sz val="11"/>
        <rFont val="Calibri"/>
        <family val="2"/>
        <scheme val="minor"/>
      </rPr>
      <t>&lt;58</t>
    </r>
    <r>
      <rPr>
        <b/>
        <sz val="11"/>
        <rFont val="Calibri"/>
        <family val="2"/>
      </rPr>
      <t>ᴼ</t>
    </r>
  </si>
  <si>
    <t>Standard Tanks</t>
  </si>
  <si>
    <t>Asphalt</t>
  </si>
  <si>
    <t>Clay</t>
  </si>
  <si>
    <t>Concrete</t>
  </si>
  <si>
    <t>30ᴼ</t>
  </si>
  <si>
    <t>Earth - Dry</t>
  </si>
  <si>
    <t>28ᴼ</t>
  </si>
  <si>
    <t>50ᴼ</t>
  </si>
  <si>
    <t xml:space="preserve">Rubble </t>
  </si>
  <si>
    <t>Sand</t>
  </si>
  <si>
    <t>Earth - Moist</t>
  </si>
  <si>
    <t>45ᴼ</t>
  </si>
  <si>
    <t>Stone</t>
  </si>
  <si>
    <t>35ᴼ</t>
  </si>
  <si>
    <t>Materials - Minimum Tipping Angles (Standard Floor)</t>
  </si>
  <si>
    <t>Materials - Minimum Tipping Angles (Textured Floor)</t>
  </si>
  <si>
    <t>34ᴼ</t>
  </si>
  <si>
    <t>57ᴼ</t>
  </si>
  <si>
    <t>40ᴼ</t>
  </si>
  <si>
    <t>51ᴼ</t>
  </si>
  <si>
    <t>32ᴼ</t>
  </si>
  <si>
    <t>Grain</t>
  </si>
  <si>
    <t>Mud</t>
  </si>
  <si>
    <t>Crushed Rock</t>
  </si>
  <si>
    <t>Sand - Moist</t>
  </si>
  <si>
    <r>
      <t>45</t>
    </r>
    <r>
      <rPr>
        <b/>
        <sz val="12"/>
        <rFont val="Calibri"/>
        <family val="2"/>
      </rPr>
      <t>ᴼ</t>
    </r>
  </si>
  <si>
    <r>
      <t>51</t>
    </r>
    <r>
      <rPr>
        <b/>
        <sz val="12"/>
        <rFont val="Calibri"/>
        <family val="2"/>
      </rPr>
      <t>ᴼ</t>
    </r>
  </si>
  <si>
    <r>
      <t>Material Weights (tonne / m</t>
    </r>
    <r>
      <rPr>
        <b/>
        <vertAlign val="superscript"/>
        <sz val="12"/>
        <rFont val="Calibri"/>
        <family val="2"/>
        <scheme val="minor"/>
      </rPr>
      <t>3)</t>
    </r>
  </si>
  <si>
    <r>
      <rPr>
        <b/>
        <sz val="12"/>
        <color rgb="FF0000FF"/>
        <rFont val="Calibri"/>
        <family val="2"/>
        <scheme val="minor"/>
      </rPr>
      <t xml:space="preserve">WEIGHTS &amp; MEASURES </t>
    </r>
    <r>
      <rPr>
        <b/>
        <sz val="12"/>
        <color rgb="FFFF0000"/>
        <rFont val="Calibri"/>
        <family val="2"/>
        <scheme val="minor"/>
      </rPr>
      <t>(to be used as a guide ONLY)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</si>
</sst>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\$#,##0_);[Red]\(\$#,##0\)"/>
    <numFmt numFmtId="166" formatCode="0.0_ ;[Red]\-0.0\ "/>
    <numFmt numFmtId="167" formatCode="#,##0.0"/>
  </numFmts>
  <fonts count="4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i/>
      <sz val="11"/>
      <name val="Calibri"/>
      <family val="2"/>
      <scheme val="minor"/>
    </font>
    <font>
      <sz val="12"/>
      <name val="宋体"/>
      <charset val="134"/>
    </font>
    <font>
      <b/>
      <sz val="10"/>
      <color theme="1"/>
      <name val="Calibri"/>
      <family val="2"/>
      <scheme val="minor"/>
    </font>
    <font>
      <b/>
      <sz val="28"/>
      <color rgb="FF0000FF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11"/>
      <name val="Calibri"/>
      <family val="2"/>
    </font>
    <font>
      <b/>
      <sz val="12"/>
      <color indexed="1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i/>
      <sz val="12"/>
      <name val="Calibri"/>
      <family val="2"/>
      <scheme val="minor"/>
    </font>
    <font>
      <sz val="12"/>
      <name val="Calibri"/>
      <family val="2"/>
    </font>
    <font>
      <sz val="12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CCFFFF"/>
      <name val="Calibri"/>
      <family val="2"/>
      <scheme val="minor"/>
    </font>
    <font>
      <b/>
      <sz val="16"/>
      <color theme="4" tint="0.79998168889431442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2"/>
      <color theme="6" tint="0.79998168889431442"/>
      <name val="Calibri"/>
      <family val="2"/>
      <scheme val="minor"/>
    </font>
    <font>
      <b/>
      <sz val="12"/>
      <color rgb="FFCCFFFF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rgb="FF363636"/>
      <name val="Segoe UI Light"/>
      <family val="2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b/>
      <sz val="12"/>
      <name val="Calibri"/>
      <family val="2"/>
    </font>
    <font>
      <sz val="12"/>
      <color rgb="FFFF0000"/>
      <name val="Calibri"/>
      <family val="2"/>
      <scheme val="minor"/>
    </font>
    <font>
      <b/>
      <sz val="12"/>
      <color theme="4" tint="0.79998168889431442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9999"/>
        <bgColor indexed="64"/>
      </patternFill>
    </fill>
  </fills>
  <borders count="16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0000FF"/>
      </left>
      <right/>
      <top style="thick">
        <color rgb="FF0000FF"/>
      </top>
      <bottom/>
      <diagonal/>
    </border>
    <border>
      <left/>
      <right/>
      <top style="thick">
        <color rgb="FF0000FF"/>
      </top>
      <bottom/>
      <diagonal/>
    </border>
    <border>
      <left/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/>
      <top/>
      <bottom/>
      <diagonal/>
    </border>
    <border>
      <left/>
      <right style="thick">
        <color rgb="FF0000FF"/>
      </right>
      <top/>
      <bottom/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/>
      <right/>
      <top/>
      <bottom style="thick">
        <color rgb="FF0000FF"/>
      </bottom>
      <diagonal/>
    </border>
    <border>
      <left/>
      <right style="thick">
        <color rgb="FF0000FF"/>
      </right>
      <top/>
      <bottom style="thick">
        <color rgb="FF0000FF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medium">
        <color rgb="FF0000FF"/>
      </left>
      <right/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/>
      <top/>
      <bottom/>
      <diagonal/>
    </border>
    <border>
      <left style="thin">
        <color indexed="64"/>
      </left>
      <right style="medium">
        <color rgb="FF0000FF"/>
      </right>
      <top style="thin">
        <color indexed="64"/>
      </top>
      <bottom/>
      <diagonal/>
    </border>
    <border>
      <left style="medium">
        <color rgb="FF0000FF"/>
      </left>
      <right/>
      <top/>
      <bottom style="medium">
        <color rgb="FF0000FF"/>
      </bottom>
      <diagonal/>
    </border>
    <border>
      <left/>
      <right style="thin">
        <color indexed="64"/>
      </right>
      <top/>
      <bottom style="medium">
        <color rgb="FF0000FF"/>
      </bottom>
      <diagonal/>
    </border>
    <border>
      <left style="thin">
        <color indexed="64"/>
      </left>
      <right style="thin">
        <color indexed="64"/>
      </right>
      <top/>
      <bottom style="medium">
        <color rgb="FF0000FF"/>
      </bottom>
      <diagonal/>
    </border>
    <border>
      <left style="thin">
        <color indexed="64"/>
      </left>
      <right style="medium">
        <color rgb="FF0000FF"/>
      </right>
      <top/>
      <bottom style="medium">
        <color rgb="FF0000FF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/>
      <top style="thin">
        <color indexed="64"/>
      </top>
      <bottom/>
      <diagonal/>
    </border>
    <border>
      <left/>
      <right style="medium">
        <color rgb="FF0000FF"/>
      </right>
      <top style="thin">
        <color indexed="64"/>
      </top>
      <bottom/>
      <diagonal/>
    </border>
    <border>
      <left/>
      <right style="medium">
        <color rgb="FF0000FF"/>
      </right>
      <top/>
      <bottom/>
      <diagonal/>
    </border>
    <border>
      <left style="thin">
        <color indexed="64"/>
      </left>
      <right/>
      <top/>
      <bottom style="medium">
        <color rgb="FF0000FF"/>
      </bottom>
      <diagonal/>
    </border>
    <border>
      <left style="thin">
        <color indexed="64"/>
      </left>
      <right style="medium">
        <color indexed="64"/>
      </right>
      <top/>
      <bottom style="medium">
        <color rgb="FF0000FF"/>
      </bottom>
      <diagonal/>
    </border>
    <border>
      <left style="medium">
        <color indexed="64"/>
      </left>
      <right/>
      <top style="thin">
        <color indexed="64"/>
      </top>
      <bottom style="medium">
        <color rgb="FF0000FF"/>
      </bottom>
      <diagonal/>
    </border>
    <border>
      <left/>
      <right style="thin">
        <color indexed="64"/>
      </right>
      <top style="thin">
        <color indexed="64"/>
      </top>
      <bottom style="medium">
        <color rgb="FF0000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FF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medium">
        <color rgb="FF0000FF"/>
      </bottom>
      <diagonal/>
    </border>
    <border>
      <left/>
      <right/>
      <top/>
      <bottom style="medium">
        <color rgb="FF0000FF"/>
      </bottom>
      <diagonal/>
    </border>
    <border>
      <left/>
      <right style="medium">
        <color rgb="FF0000FF"/>
      </right>
      <top/>
      <bottom style="medium">
        <color rgb="FF0000FF"/>
      </bottom>
      <diagonal/>
    </border>
    <border>
      <left style="thin">
        <color indexed="64"/>
      </left>
      <right style="medium">
        <color rgb="FF0000FF"/>
      </right>
      <top/>
      <bottom/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 style="medium">
        <color rgb="FF0000FF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medium">
        <color rgb="FF0000FF"/>
      </bottom>
      <diagonal/>
    </border>
    <border>
      <left style="thin">
        <color indexed="64"/>
      </left>
      <right/>
      <top style="thin">
        <color indexed="64"/>
      </top>
      <bottom style="medium">
        <color rgb="FF0000FF"/>
      </bottom>
      <diagonal/>
    </border>
    <border>
      <left style="medium">
        <color rgb="FF0000FF"/>
      </left>
      <right/>
      <top style="medium">
        <color rgb="FF0000FF"/>
      </top>
      <bottom/>
      <diagonal/>
    </border>
    <border>
      <left/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/>
      <right/>
      <top style="thin">
        <color indexed="64"/>
      </top>
      <bottom style="medium">
        <color rgb="FF0000FF"/>
      </bottom>
      <diagonal/>
    </border>
    <border>
      <left style="medium">
        <color rgb="FF0000FF"/>
      </left>
      <right/>
      <top style="thin">
        <color indexed="64"/>
      </top>
      <bottom style="medium">
        <color rgb="FF0000FF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medium">
        <color rgb="FF0000FF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medium">
        <color rgb="FFFF0000"/>
      </left>
      <right/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medium">
        <color rgb="FF0000FF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/>
      <diagonal/>
    </border>
    <border>
      <left style="medium">
        <color rgb="FF0000FF"/>
      </left>
      <right style="thin">
        <color indexed="64"/>
      </right>
      <top/>
      <bottom style="medium">
        <color rgb="FF0000FF"/>
      </bottom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theme="1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theme="1"/>
      </bottom>
      <diagonal/>
    </border>
    <border>
      <left/>
      <right style="thin">
        <color indexed="64"/>
      </right>
      <top style="medium">
        <color rgb="FF0000FF"/>
      </top>
      <bottom style="medium">
        <color rgb="FF0000FF"/>
      </bottom>
      <diagonal/>
    </border>
    <border>
      <left/>
      <right/>
      <top style="medium">
        <color rgb="FFFF0000"/>
      </top>
      <bottom style="medium">
        <color rgb="FF0000FF"/>
      </bottom>
      <diagonal/>
    </border>
    <border>
      <left/>
      <right style="thin">
        <color indexed="64"/>
      </right>
      <top style="medium">
        <color rgb="FFFF0000"/>
      </top>
      <bottom style="medium">
        <color rgb="FF0000FF"/>
      </bottom>
      <diagonal/>
    </border>
    <border>
      <left style="medium">
        <color rgb="FF0000FF"/>
      </left>
      <right/>
      <top style="medium">
        <color rgb="FFFF0000"/>
      </top>
      <bottom style="medium">
        <color rgb="FF0000FF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medium">
        <color rgb="FF0000FF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FF"/>
      </left>
      <right/>
      <top style="medium">
        <color indexed="64"/>
      </top>
      <bottom/>
      <diagonal/>
    </border>
    <border>
      <left style="thin">
        <color indexed="64"/>
      </left>
      <right style="medium">
        <color rgb="FF0000FF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medium">
        <color indexed="64"/>
      </top>
      <bottom style="medium">
        <color rgb="FF0000FF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11" fillId="0" borderId="0">
      <alignment vertical="center"/>
    </xf>
  </cellStyleXfs>
  <cellXfs count="650">
    <xf numFmtId="0" fontId="0" fillId="0" borderId="0" xfId="0"/>
    <xf numFmtId="4" fontId="7" fillId="0" borderId="25" xfId="0" applyNumberFormat="1" applyFont="1" applyBorder="1" applyAlignment="1" applyProtection="1">
      <alignment vertical="center"/>
    </xf>
    <xf numFmtId="4" fontId="7" fillId="0" borderId="0" xfId="0" applyNumberFormat="1" applyFont="1" applyAlignment="1" applyProtection="1">
      <alignment vertical="center"/>
    </xf>
    <xf numFmtId="4" fontId="7" fillId="0" borderId="0" xfId="0" applyNumberFormat="1" applyFont="1" applyBorder="1" applyAlignment="1" applyProtection="1">
      <alignment vertical="center"/>
    </xf>
    <xf numFmtId="4" fontId="8" fillId="0" borderId="27" xfId="0" applyNumberFormat="1" applyFont="1" applyBorder="1" applyAlignment="1" applyProtection="1">
      <alignment horizontal="center" vertical="center"/>
    </xf>
    <xf numFmtId="4" fontId="8" fillId="0" borderId="13" xfId="0" applyNumberFormat="1" applyFont="1" applyBorder="1" applyAlignment="1" applyProtection="1">
      <alignment horizontal="center" vertical="center"/>
    </xf>
    <xf numFmtId="4" fontId="7" fillId="0" borderId="0" xfId="0" applyNumberFormat="1" applyFont="1" applyBorder="1" applyAlignment="1" applyProtection="1">
      <alignment horizontal="left" vertical="center"/>
    </xf>
    <xf numFmtId="4" fontId="10" fillId="0" borderId="0" xfId="0" applyNumberFormat="1" applyFont="1" applyBorder="1" applyAlignment="1" applyProtection="1">
      <alignment horizontal="center" vertical="center"/>
    </xf>
    <xf numFmtId="4" fontId="8" fillId="0" borderId="34" xfId="0" applyNumberFormat="1" applyFont="1" applyBorder="1" applyAlignment="1" applyProtection="1">
      <alignment horizontal="center" vertical="center"/>
    </xf>
    <xf numFmtId="4" fontId="7" fillId="0" borderId="0" xfId="0" applyNumberFormat="1" applyFont="1" applyBorder="1" applyAlignment="1" applyProtection="1">
      <alignment horizontal="center" vertical="center"/>
    </xf>
    <xf numFmtId="4" fontId="7" fillId="0" borderId="0" xfId="0" applyNumberFormat="1" applyFont="1" applyFill="1" applyBorder="1" applyAlignment="1" applyProtection="1">
      <alignment vertical="center"/>
    </xf>
    <xf numFmtId="4" fontId="8" fillId="0" borderId="0" xfId="0" applyNumberFormat="1" applyFont="1" applyFill="1" applyBorder="1" applyAlignment="1" applyProtection="1">
      <alignment vertical="center"/>
    </xf>
    <xf numFmtId="4" fontId="8" fillId="0" borderId="0" xfId="0" applyNumberFormat="1" applyFont="1" applyFill="1" applyBorder="1" applyAlignment="1" applyProtection="1">
      <alignment horizontal="right" vertical="center"/>
    </xf>
    <xf numFmtId="4" fontId="8" fillId="0" borderId="0" xfId="0" applyNumberFormat="1" applyFont="1" applyFill="1" applyBorder="1" applyAlignment="1" applyProtection="1">
      <alignment horizontal="left" vertical="center"/>
    </xf>
    <xf numFmtId="0" fontId="12" fillId="0" borderId="0" xfId="0" applyFont="1"/>
    <xf numFmtId="0" fontId="5" fillId="0" borderId="51" xfId="2" applyNumberFormat="1" applyFont="1" applyFill="1" applyBorder="1">
      <alignment vertical="center"/>
    </xf>
    <xf numFmtId="0" fontId="5" fillId="0" borderId="0" xfId="2" applyNumberFormat="1" applyFont="1" applyFill="1" applyBorder="1">
      <alignment vertical="center"/>
    </xf>
    <xf numFmtId="0" fontId="5" fillId="0" borderId="52" xfId="2" applyNumberFormat="1" applyFont="1" applyFill="1" applyBorder="1">
      <alignment vertical="center"/>
    </xf>
    <xf numFmtId="0" fontId="4" fillId="0" borderId="0" xfId="0" applyFont="1" applyAlignment="1">
      <alignment horizontal="center"/>
    </xf>
    <xf numFmtId="0" fontId="5" fillId="0" borderId="55" xfId="2" applyNumberFormat="1" applyFont="1" applyFill="1" applyBorder="1" applyAlignment="1">
      <alignment horizontal="center" vertical="center"/>
    </xf>
    <xf numFmtId="0" fontId="5" fillId="0" borderId="10" xfId="2" applyNumberFormat="1" applyFont="1" applyFill="1" applyBorder="1" applyAlignment="1">
      <alignment horizontal="center" vertical="center"/>
    </xf>
    <xf numFmtId="4" fontId="7" fillId="0" borderId="0" xfId="0" applyNumberFormat="1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17" fillId="0" borderId="0" xfId="2" applyNumberFormat="1" applyFont="1" applyFill="1" applyBorder="1">
      <alignment vertical="center"/>
    </xf>
    <xf numFmtId="0" fontId="17" fillId="0" borderId="0" xfId="2" applyFont="1">
      <alignment vertical="center"/>
    </xf>
    <xf numFmtId="0" fontId="11" fillId="0" borderId="0" xfId="2">
      <alignment vertical="center"/>
    </xf>
    <xf numFmtId="0" fontId="7" fillId="0" borderId="0" xfId="2" applyFont="1">
      <alignment vertical="center"/>
    </xf>
    <xf numFmtId="165" fontId="22" fillId="0" borderId="0" xfId="2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17" fillId="0" borderId="0" xfId="2" applyFont="1" applyAlignment="1" applyProtection="1">
      <alignment horizontal="center" vertical="center"/>
    </xf>
    <xf numFmtId="3" fontId="7" fillId="12" borderId="37" xfId="0" applyNumberFormat="1" applyFont="1" applyFill="1" applyBorder="1" applyAlignment="1" applyProtection="1">
      <alignment horizontal="center" vertical="center"/>
    </xf>
    <xf numFmtId="3" fontId="7" fillId="12" borderId="21" xfId="0" applyNumberFormat="1" applyFont="1" applyFill="1" applyBorder="1" applyAlignment="1" applyProtection="1">
      <alignment horizontal="center" vertical="center"/>
    </xf>
    <xf numFmtId="4" fontId="7" fillId="16" borderId="2" xfId="0" applyNumberFormat="1" applyFont="1" applyFill="1" applyBorder="1" applyAlignment="1" applyProtection="1">
      <alignment horizontal="center" vertical="center"/>
    </xf>
    <xf numFmtId="3" fontId="7" fillId="16" borderId="10" xfId="0" applyNumberFormat="1" applyFont="1" applyFill="1" applyBorder="1" applyAlignment="1" applyProtection="1">
      <alignment horizontal="center" vertical="center"/>
    </xf>
    <xf numFmtId="4" fontId="7" fillId="16" borderId="10" xfId="1" applyNumberFormat="1" applyFont="1" applyFill="1" applyBorder="1" applyAlignment="1" applyProtection="1">
      <alignment horizontal="center" vertical="center"/>
    </xf>
    <xf numFmtId="4" fontId="7" fillId="14" borderId="28" xfId="0" applyNumberFormat="1" applyFont="1" applyFill="1" applyBorder="1" applyAlignment="1" applyProtection="1">
      <alignment horizontal="center" vertical="center"/>
    </xf>
    <xf numFmtId="4" fontId="7" fillId="14" borderId="10" xfId="0" applyNumberFormat="1" applyFont="1" applyFill="1" applyBorder="1" applyAlignment="1" applyProtection="1">
      <alignment horizontal="center" vertical="center"/>
    </xf>
    <xf numFmtId="3" fontId="7" fillId="14" borderId="10" xfId="0" applyNumberFormat="1" applyFont="1" applyFill="1" applyBorder="1" applyAlignment="1" applyProtection="1">
      <alignment horizontal="center" vertical="center"/>
    </xf>
    <xf numFmtId="4" fontId="8" fillId="0" borderId="0" xfId="0" applyNumberFormat="1" applyFont="1" applyFill="1" applyBorder="1" applyAlignment="1" applyProtection="1">
      <alignment horizontal="center" vertical="center"/>
    </xf>
    <xf numFmtId="4" fontId="7" fillId="14" borderId="2" xfId="0" applyNumberFormat="1" applyFont="1" applyFill="1" applyBorder="1" applyAlignment="1" applyProtection="1">
      <alignment horizontal="center" vertical="center"/>
    </xf>
    <xf numFmtId="3" fontId="7" fillId="12" borderId="39" xfId="0" applyNumberFormat="1" applyFont="1" applyFill="1" applyBorder="1" applyAlignment="1" applyProtection="1">
      <alignment horizontal="center" vertical="center"/>
    </xf>
    <xf numFmtId="3" fontId="7" fillId="16" borderId="21" xfId="0" applyNumberFormat="1" applyFont="1" applyFill="1" applyBorder="1" applyAlignment="1" applyProtection="1">
      <alignment horizontal="center" vertical="center"/>
    </xf>
    <xf numFmtId="4" fontId="8" fillId="8" borderId="39" xfId="0" applyNumberFormat="1" applyFont="1" applyFill="1" applyBorder="1" applyAlignment="1" applyProtection="1">
      <alignment horizontal="center" vertical="center"/>
    </xf>
    <xf numFmtId="4" fontId="8" fillId="0" borderId="6" xfId="0" applyNumberFormat="1" applyFont="1" applyFill="1" applyBorder="1" applyAlignment="1" applyProtection="1">
      <alignment horizontal="center" vertical="center"/>
    </xf>
    <xf numFmtId="4" fontId="7" fillId="0" borderId="3" xfId="0" applyNumberFormat="1" applyFont="1" applyFill="1" applyBorder="1" applyAlignment="1" applyProtection="1">
      <alignment horizontal="right" vertical="center"/>
    </xf>
    <xf numFmtId="4" fontId="7" fillId="0" borderId="1" xfId="0" applyNumberFormat="1" applyFont="1" applyFill="1" applyBorder="1" applyAlignment="1" applyProtection="1">
      <alignment horizontal="right" vertical="center"/>
    </xf>
    <xf numFmtId="4" fontId="7" fillId="0" borderId="5" xfId="0" applyNumberFormat="1" applyFont="1" applyFill="1" applyBorder="1" applyAlignment="1" applyProtection="1">
      <alignment horizontal="right" vertical="center"/>
    </xf>
    <xf numFmtId="4" fontId="8" fillId="0" borderId="68" xfId="0" applyNumberFormat="1" applyFont="1" applyBorder="1" applyAlignment="1" applyProtection="1">
      <alignment horizontal="center" vertical="center"/>
    </xf>
    <xf numFmtId="4" fontId="8" fillId="0" borderId="70" xfId="0" applyNumberFormat="1" applyFont="1" applyBorder="1" applyAlignment="1" applyProtection="1">
      <alignment horizontal="center" vertical="center"/>
    </xf>
    <xf numFmtId="3" fontId="8" fillId="8" borderId="73" xfId="0" applyNumberFormat="1" applyFont="1" applyFill="1" applyBorder="1" applyAlignment="1" applyProtection="1">
      <alignment horizontal="center" vertical="center"/>
    </xf>
    <xf numFmtId="4" fontId="8" fillId="0" borderId="74" xfId="0" applyNumberFormat="1" applyFont="1" applyBorder="1" applyAlignment="1" applyProtection="1">
      <alignment horizontal="center" vertical="center"/>
    </xf>
    <xf numFmtId="4" fontId="8" fillId="0" borderId="78" xfId="0" applyNumberFormat="1" applyFont="1" applyBorder="1" applyAlignment="1" applyProtection="1">
      <alignment horizontal="center" vertical="center"/>
    </xf>
    <xf numFmtId="4" fontId="8" fillId="0" borderId="68" xfId="0" applyNumberFormat="1" applyFont="1" applyFill="1" applyBorder="1" applyAlignment="1" applyProtection="1">
      <alignment horizontal="center" vertical="center"/>
    </xf>
    <xf numFmtId="4" fontId="8" fillId="0" borderId="83" xfId="0" applyNumberFormat="1" applyFont="1" applyFill="1" applyBorder="1" applyAlignment="1" applyProtection="1">
      <alignment horizontal="center" vertical="center"/>
    </xf>
    <xf numFmtId="4" fontId="7" fillId="0" borderId="84" xfId="0" applyNumberFormat="1" applyFont="1" applyBorder="1" applyAlignment="1" applyProtection="1">
      <alignment horizontal="right" vertical="center"/>
    </xf>
    <xf numFmtId="3" fontId="7" fillId="16" borderId="86" xfId="0" applyNumberFormat="1" applyFont="1" applyFill="1" applyBorder="1" applyAlignment="1" applyProtection="1">
      <alignment horizontal="center" vertical="center"/>
    </xf>
    <xf numFmtId="4" fontId="8" fillId="0" borderId="87" xfId="0" applyNumberFormat="1" applyFont="1" applyBorder="1" applyAlignment="1" applyProtection="1">
      <alignment horizontal="center" vertical="center"/>
    </xf>
    <xf numFmtId="4" fontId="7" fillId="14" borderId="36" xfId="0" applyNumberFormat="1" applyFont="1" applyFill="1" applyBorder="1" applyAlignment="1" applyProtection="1">
      <alignment horizontal="center" vertical="center"/>
    </xf>
    <xf numFmtId="4" fontId="7" fillId="12" borderId="21" xfId="0" applyNumberFormat="1" applyFont="1" applyFill="1" applyBorder="1" applyAlignment="1" applyProtection="1">
      <alignment horizontal="center" vertical="center"/>
    </xf>
    <xf numFmtId="4" fontId="8" fillId="0" borderId="71" xfId="0" applyNumberFormat="1" applyFont="1" applyBorder="1" applyAlignment="1" applyProtection="1">
      <alignment horizontal="right" vertical="center"/>
    </xf>
    <xf numFmtId="4" fontId="8" fillId="0" borderId="88" xfId="0" applyNumberFormat="1" applyFont="1" applyFill="1" applyBorder="1" applyAlignment="1" applyProtection="1">
      <alignment horizontal="center" vertical="center"/>
    </xf>
    <xf numFmtId="4" fontId="8" fillId="8" borderId="73" xfId="0" applyNumberFormat="1" applyFont="1" applyFill="1" applyBorder="1" applyAlignment="1" applyProtection="1">
      <alignment horizontal="center" vertical="center"/>
    </xf>
    <xf numFmtId="4" fontId="8" fillId="0" borderId="89" xfId="0" applyNumberFormat="1" applyFont="1" applyBorder="1" applyAlignment="1" applyProtection="1">
      <alignment horizontal="center" vertical="center"/>
    </xf>
    <xf numFmtId="4" fontId="8" fillId="0" borderId="90" xfId="0" applyNumberFormat="1" applyFont="1" applyFill="1" applyBorder="1" applyAlignment="1" applyProtection="1">
      <alignment horizontal="center" vertical="center"/>
    </xf>
    <xf numFmtId="4" fontId="7" fillId="0" borderId="91" xfId="0" applyNumberFormat="1" applyFont="1" applyBorder="1" applyAlignment="1" applyProtection="1">
      <alignment horizontal="right" vertical="center"/>
    </xf>
    <xf numFmtId="3" fontId="7" fillId="12" borderId="93" xfId="0" applyNumberFormat="1" applyFont="1" applyFill="1" applyBorder="1" applyAlignment="1" applyProtection="1">
      <alignment horizontal="center" vertical="center"/>
    </xf>
    <xf numFmtId="4" fontId="8" fillId="0" borderId="93" xfId="0" applyNumberFormat="1" applyFont="1" applyBorder="1" applyAlignment="1" applyProtection="1">
      <alignment horizontal="center" vertical="center"/>
    </xf>
    <xf numFmtId="4" fontId="8" fillId="0" borderId="95" xfId="0" applyNumberFormat="1" applyFont="1" applyFill="1" applyBorder="1" applyAlignment="1" applyProtection="1">
      <alignment horizontal="center" vertical="center"/>
    </xf>
    <xf numFmtId="4" fontId="7" fillId="14" borderId="73" xfId="0" applyNumberFormat="1" applyFont="1" applyFill="1" applyBorder="1" applyAlignment="1" applyProtection="1">
      <alignment horizontal="center" vertical="center"/>
    </xf>
    <xf numFmtId="4" fontId="8" fillId="0" borderId="73" xfId="0" applyNumberFormat="1" applyFont="1" applyFill="1" applyBorder="1" applyAlignment="1" applyProtection="1">
      <alignment vertical="center"/>
    </xf>
    <xf numFmtId="4" fontId="8" fillId="0" borderId="95" xfId="0" applyNumberFormat="1" applyFont="1" applyBorder="1" applyAlignment="1" applyProtection="1">
      <alignment horizontal="center" vertical="center"/>
    </xf>
    <xf numFmtId="3" fontId="8" fillId="14" borderId="82" xfId="0" applyNumberFormat="1" applyFont="1" applyFill="1" applyBorder="1" applyAlignment="1" applyProtection="1">
      <alignment horizontal="center" vertical="center"/>
    </xf>
    <xf numFmtId="4" fontId="7" fillId="0" borderId="73" xfId="0" applyNumberFormat="1" applyFont="1" applyBorder="1" applyAlignment="1" applyProtection="1">
      <alignment horizontal="center" vertical="center"/>
    </xf>
    <xf numFmtId="3" fontId="8" fillId="12" borderId="73" xfId="0" applyNumberFormat="1" applyFont="1" applyFill="1" applyBorder="1" applyAlignment="1" applyProtection="1">
      <alignment horizontal="center" vertical="center"/>
    </xf>
    <xf numFmtId="4" fontId="7" fillId="0" borderId="104" xfId="0" applyNumberFormat="1" applyFont="1" applyBorder="1" applyAlignment="1" applyProtection="1">
      <alignment horizontal="right" vertical="center"/>
    </xf>
    <xf numFmtId="4" fontId="7" fillId="0" borderId="3" xfId="0" applyNumberFormat="1" applyFont="1" applyBorder="1" applyAlignment="1" applyProtection="1">
      <alignment horizontal="center" vertical="center"/>
    </xf>
    <xf numFmtId="4" fontId="7" fillId="0" borderId="20" xfId="0" applyNumberFormat="1" applyFont="1" applyBorder="1" applyAlignment="1" applyProtection="1">
      <alignment horizontal="center" vertical="center"/>
    </xf>
    <xf numFmtId="4" fontId="7" fillId="0" borderId="30" xfId="0" applyNumberFormat="1" applyFont="1" applyBorder="1" applyAlignment="1" applyProtection="1">
      <alignment horizontal="center" vertical="center"/>
    </xf>
    <xf numFmtId="4" fontId="7" fillId="17" borderId="43" xfId="0" applyNumberFormat="1" applyFont="1" applyFill="1" applyBorder="1" applyAlignment="1" applyProtection="1">
      <alignment vertical="center"/>
    </xf>
    <xf numFmtId="4" fontId="7" fillId="17" borderId="44" xfId="0" applyNumberFormat="1" applyFont="1" applyFill="1" applyBorder="1" applyAlignment="1" applyProtection="1">
      <alignment vertical="center"/>
    </xf>
    <xf numFmtId="4" fontId="7" fillId="17" borderId="40" xfId="0" applyNumberFormat="1" applyFont="1" applyFill="1" applyBorder="1" applyAlignment="1" applyProtection="1">
      <alignment vertical="center"/>
    </xf>
    <xf numFmtId="4" fontId="7" fillId="17" borderId="41" xfId="0" applyNumberFormat="1" applyFont="1" applyFill="1" applyBorder="1" applyAlignment="1" applyProtection="1">
      <alignment vertical="center"/>
    </xf>
    <xf numFmtId="4" fontId="7" fillId="17" borderId="42" xfId="0" applyNumberFormat="1" applyFont="1" applyFill="1" applyBorder="1" applyAlignment="1" applyProtection="1">
      <alignment vertical="center"/>
    </xf>
    <xf numFmtId="4" fontId="7" fillId="17" borderId="0" xfId="0" applyNumberFormat="1" applyFont="1" applyFill="1" applyBorder="1" applyAlignment="1" applyProtection="1">
      <alignment vertical="center"/>
    </xf>
    <xf numFmtId="4" fontId="7" fillId="17" borderId="47" xfId="0" applyNumberFormat="1" applyFont="1" applyFill="1" applyBorder="1" applyAlignment="1" applyProtection="1">
      <alignment vertical="center"/>
    </xf>
    <xf numFmtId="4" fontId="7" fillId="17" borderId="45" xfId="0" applyNumberFormat="1" applyFont="1" applyFill="1" applyBorder="1" applyAlignment="1" applyProtection="1">
      <alignment vertical="center"/>
    </xf>
    <xf numFmtId="4" fontId="7" fillId="17" borderId="46" xfId="0" applyNumberFormat="1" applyFont="1" applyFill="1" applyBorder="1" applyAlignment="1" applyProtection="1">
      <alignment vertical="center"/>
    </xf>
    <xf numFmtId="4" fontId="25" fillId="17" borderId="44" xfId="0" applyNumberFormat="1" applyFont="1" applyFill="1" applyBorder="1" applyAlignment="1" applyProtection="1">
      <alignment vertical="center"/>
    </xf>
    <xf numFmtId="4" fontId="25" fillId="17" borderId="47" xfId="0" applyNumberFormat="1" applyFont="1" applyFill="1" applyBorder="1" applyAlignment="1" applyProtection="1">
      <alignment vertical="center"/>
    </xf>
    <xf numFmtId="4" fontId="8" fillId="0" borderId="96" xfId="0" applyNumberFormat="1" applyFont="1" applyFill="1" applyBorder="1" applyAlignment="1" applyProtection="1">
      <alignment horizontal="center" vertical="center"/>
    </xf>
    <xf numFmtId="4" fontId="8" fillId="0" borderId="75" xfId="0" applyNumberFormat="1" applyFont="1" applyBorder="1" applyAlignment="1" applyProtection="1">
      <alignment horizontal="right" vertical="center"/>
    </xf>
    <xf numFmtId="4" fontId="7" fillId="0" borderId="37" xfId="0" applyNumberFormat="1" applyFont="1" applyBorder="1" applyAlignment="1" applyProtection="1">
      <alignment vertical="center"/>
    </xf>
    <xf numFmtId="4" fontId="7" fillId="0" borderId="7" xfId="0" applyNumberFormat="1" applyFont="1" applyBorder="1" applyAlignment="1" applyProtection="1">
      <alignment vertical="center"/>
    </xf>
    <xf numFmtId="4" fontId="7" fillId="0" borderId="80" xfId="0" applyNumberFormat="1" applyFont="1" applyBorder="1" applyAlignment="1" applyProtection="1">
      <alignment vertical="center"/>
    </xf>
    <xf numFmtId="4" fontId="7" fillId="16" borderId="10" xfId="0" applyNumberFormat="1" applyFont="1" applyFill="1" applyBorder="1" applyAlignment="1" applyProtection="1">
      <alignment horizontal="center" vertical="center"/>
    </xf>
    <xf numFmtId="3" fontId="7" fillId="12" borderId="10" xfId="0" applyNumberFormat="1" applyFont="1" applyFill="1" applyBorder="1" applyAlignment="1" applyProtection="1">
      <alignment horizontal="center" vertical="center"/>
    </xf>
    <xf numFmtId="4" fontId="7" fillId="12" borderId="10" xfId="0" applyNumberFormat="1" applyFont="1" applyFill="1" applyBorder="1" applyAlignment="1" applyProtection="1">
      <alignment horizontal="center" vertical="center"/>
    </xf>
    <xf numFmtId="4" fontId="8" fillId="0" borderId="10" xfId="0" applyNumberFormat="1" applyFont="1" applyBorder="1" applyAlignment="1" applyProtection="1">
      <alignment horizontal="center" vertical="center"/>
    </xf>
    <xf numFmtId="4" fontId="8" fillId="8" borderId="10" xfId="0" applyNumberFormat="1" applyFont="1" applyFill="1" applyBorder="1" applyAlignment="1" applyProtection="1">
      <alignment horizontal="center" vertical="center"/>
    </xf>
    <xf numFmtId="4" fontId="7" fillId="16" borderId="93" xfId="0" applyNumberFormat="1" applyFont="1" applyFill="1" applyBorder="1" applyAlignment="1" applyProtection="1">
      <alignment horizontal="center" vertical="center"/>
    </xf>
    <xf numFmtId="3" fontId="7" fillId="14" borderId="2" xfId="0" applyNumberFormat="1" applyFont="1" applyFill="1" applyBorder="1" applyAlignment="1" applyProtection="1">
      <alignment horizontal="center" vertical="center"/>
    </xf>
    <xf numFmtId="3" fontId="7" fillId="12" borderId="2" xfId="0" applyNumberFormat="1" applyFont="1" applyFill="1" applyBorder="1" applyAlignment="1" applyProtection="1">
      <alignment horizontal="center" vertical="center"/>
    </xf>
    <xf numFmtId="3" fontId="8" fillId="8" borderId="21" xfId="0" applyNumberFormat="1" applyFont="1" applyFill="1" applyBorder="1" applyAlignment="1" applyProtection="1">
      <alignment horizontal="center" vertical="center"/>
    </xf>
    <xf numFmtId="3" fontId="7" fillId="16" borderId="93" xfId="1" applyNumberFormat="1" applyFont="1" applyFill="1" applyBorder="1" applyAlignment="1" applyProtection="1">
      <alignment horizontal="center" vertical="center"/>
    </xf>
    <xf numFmtId="4" fontId="8" fillId="0" borderId="74" xfId="0" applyNumberFormat="1" applyFont="1" applyFill="1" applyBorder="1" applyAlignment="1" applyProtection="1">
      <alignment horizontal="center" vertical="center"/>
    </xf>
    <xf numFmtId="3" fontId="7" fillId="12" borderId="93" xfId="1" applyNumberFormat="1" applyFont="1" applyFill="1" applyBorder="1" applyAlignment="1" applyProtection="1">
      <alignment horizontal="center" vertical="center"/>
    </xf>
    <xf numFmtId="4" fontId="7" fillId="0" borderId="95" xfId="0" applyNumberFormat="1" applyFont="1" applyBorder="1" applyAlignment="1" applyProtection="1">
      <alignment horizontal="center" vertical="center"/>
    </xf>
    <xf numFmtId="3" fontId="8" fillId="8" borderId="86" xfId="0" applyNumberFormat="1" applyFont="1" applyFill="1" applyBorder="1" applyAlignment="1" applyProtection="1">
      <alignment horizontal="center" vertical="center"/>
    </xf>
    <xf numFmtId="4" fontId="8" fillId="0" borderId="87" xfId="0" applyNumberFormat="1" applyFont="1" applyFill="1" applyBorder="1" applyAlignment="1" applyProtection="1">
      <alignment horizontal="center" vertical="center"/>
    </xf>
    <xf numFmtId="4" fontId="8" fillId="0" borderId="78" xfId="0" applyNumberFormat="1" applyFont="1" applyFill="1" applyBorder="1" applyAlignment="1" applyProtection="1">
      <alignment horizontal="center" vertical="center"/>
    </xf>
    <xf numFmtId="4" fontId="7" fillId="12" borderId="93" xfId="0" applyNumberFormat="1" applyFont="1" applyFill="1" applyBorder="1" applyAlignment="1" applyProtection="1">
      <alignment horizontal="center" vertical="center"/>
    </xf>
    <xf numFmtId="4" fontId="8" fillId="0" borderId="94" xfId="0" applyNumberFormat="1" applyFont="1" applyBorder="1" applyAlignment="1" applyProtection="1">
      <alignment horizontal="right" vertical="center"/>
    </xf>
    <xf numFmtId="4" fontId="8" fillId="0" borderId="2" xfId="0" applyNumberFormat="1" applyFont="1" applyFill="1" applyBorder="1" applyAlignment="1" applyProtection="1">
      <alignment horizontal="center" vertical="center"/>
    </xf>
    <xf numFmtId="3" fontId="8" fillId="8" borderId="39" xfId="0" applyNumberFormat="1" applyFont="1" applyFill="1" applyBorder="1" applyAlignment="1" applyProtection="1">
      <alignment horizontal="center" vertical="center"/>
    </xf>
    <xf numFmtId="4" fontId="8" fillId="0" borderId="39" xfId="0" applyNumberFormat="1" applyFont="1" applyFill="1" applyBorder="1" applyAlignment="1" applyProtection="1">
      <alignment horizontal="center" vertical="center"/>
    </xf>
    <xf numFmtId="4" fontId="8" fillId="0" borderId="90" xfId="0" applyNumberFormat="1" applyFont="1" applyBorder="1" applyAlignment="1" applyProtection="1">
      <alignment horizontal="center" vertical="center"/>
    </xf>
    <xf numFmtId="4" fontId="8" fillId="0" borderId="73" xfId="0" applyNumberFormat="1" applyFont="1" applyFill="1" applyBorder="1" applyAlignment="1" applyProtection="1">
      <alignment horizontal="center" vertical="center"/>
    </xf>
    <xf numFmtId="4" fontId="8" fillId="0" borderId="10" xfId="0" applyNumberFormat="1" applyFont="1" applyFill="1" applyBorder="1" applyAlignment="1" applyProtection="1">
      <alignment horizontal="right" vertical="center"/>
    </xf>
    <xf numFmtId="4" fontId="8" fillId="0" borderId="92" xfId="0" applyNumberFormat="1" applyFont="1" applyFill="1" applyBorder="1" applyAlignment="1" applyProtection="1">
      <alignment horizontal="right" vertical="center"/>
    </xf>
    <xf numFmtId="3" fontId="8" fillId="16" borderId="95" xfId="1" applyNumberFormat="1" applyFont="1" applyFill="1" applyBorder="1" applyAlignment="1" applyProtection="1">
      <alignment horizontal="center" vertical="center"/>
    </xf>
    <xf numFmtId="4" fontId="7" fillId="0" borderId="68" xfId="0" applyNumberFormat="1" applyFont="1" applyBorder="1" applyAlignment="1" applyProtection="1">
      <alignment vertical="center"/>
    </xf>
    <xf numFmtId="4" fontId="8" fillId="0" borderId="86" xfId="0" applyNumberFormat="1" applyFont="1" applyFill="1" applyBorder="1" applyAlignment="1" applyProtection="1">
      <alignment horizontal="right" vertical="center"/>
    </xf>
    <xf numFmtId="4" fontId="8" fillId="8" borderId="86" xfId="0" applyNumberFormat="1" applyFont="1" applyFill="1" applyBorder="1" applyAlignment="1" applyProtection="1">
      <alignment horizontal="center" vertical="center"/>
    </xf>
    <xf numFmtId="3" fontId="8" fillId="14" borderId="21" xfId="0" applyNumberFormat="1" applyFont="1" applyFill="1" applyBorder="1" applyAlignment="1" applyProtection="1">
      <alignment horizontal="center" vertical="center"/>
    </xf>
    <xf numFmtId="4" fontId="8" fillId="0" borderId="70" xfId="0" applyNumberFormat="1" applyFont="1" applyFill="1" applyBorder="1" applyAlignment="1" applyProtection="1">
      <alignment horizontal="center" vertical="center"/>
    </xf>
    <xf numFmtId="4" fontId="7" fillId="17" borderId="40" xfId="0" applyNumberFormat="1" applyFont="1" applyFill="1" applyBorder="1" applyAlignment="1" applyProtection="1">
      <alignment horizontal="center" vertical="center"/>
    </xf>
    <xf numFmtId="3" fontId="8" fillId="14" borderId="94" xfId="0" applyNumberFormat="1" applyFont="1" applyFill="1" applyBorder="1" applyAlignment="1" applyProtection="1">
      <alignment horizontal="center" vertical="center"/>
    </xf>
    <xf numFmtId="3" fontId="8" fillId="14" borderId="93" xfId="0" applyNumberFormat="1" applyFont="1" applyFill="1" applyBorder="1" applyAlignment="1" applyProtection="1">
      <alignment horizontal="center" vertical="center"/>
    </xf>
    <xf numFmtId="167" fontId="8" fillId="15" borderId="92" xfId="0" applyNumberFormat="1" applyFont="1" applyFill="1" applyBorder="1" applyAlignment="1" applyProtection="1">
      <alignment horizontal="center" vertical="center"/>
    </xf>
    <xf numFmtId="167" fontId="8" fillId="15" borderId="19" xfId="0" applyNumberFormat="1" applyFont="1" applyFill="1" applyBorder="1" applyAlignment="1" applyProtection="1">
      <alignment horizontal="center" vertical="center"/>
    </xf>
    <xf numFmtId="167" fontId="8" fillId="15" borderId="85" xfId="0" applyNumberFormat="1" applyFont="1" applyFill="1" applyBorder="1" applyAlignment="1" applyProtection="1">
      <alignment horizontal="center" vertical="center"/>
    </xf>
    <xf numFmtId="164" fontId="8" fillId="16" borderId="92" xfId="0" applyNumberFormat="1" applyFont="1" applyFill="1" applyBorder="1" applyAlignment="1" applyProtection="1">
      <alignment horizontal="center" vertical="center"/>
    </xf>
    <xf numFmtId="164" fontId="8" fillId="16" borderId="35" xfId="0" applyNumberFormat="1" applyFont="1" applyFill="1" applyBorder="1" applyAlignment="1" applyProtection="1">
      <alignment horizontal="center" vertical="center"/>
    </xf>
    <xf numFmtId="164" fontId="8" fillId="16" borderId="85" xfId="0" applyNumberFormat="1" applyFont="1" applyFill="1" applyBorder="1" applyAlignment="1" applyProtection="1">
      <alignment horizontal="center" vertical="center"/>
    </xf>
    <xf numFmtId="164" fontId="8" fillId="7" borderId="92" xfId="0" applyNumberFormat="1" applyFont="1" applyFill="1" applyBorder="1" applyAlignment="1" applyProtection="1">
      <alignment horizontal="center" vertical="center"/>
    </xf>
    <xf numFmtId="164" fontId="8" fillId="7" borderId="35" xfId="0" applyNumberFormat="1" applyFont="1" applyFill="1" applyBorder="1" applyAlignment="1" applyProtection="1">
      <alignment horizontal="center" vertical="center"/>
    </xf>
    <xf numFmtId="164" fontId="8" fillId="7" borderId="85" xfId="0" applyNumberFormat="1" applyFont="1" applyFill="1" applyBorder="1" applyAlignment="1" applyProtection="1">
      <alignment horizontal="center" vertical="center"/>
    </xf>
    <xf numFmtId="4" fontId="8" fillId="0" borderId="128" xfId="0" applyNumberFormat="1" applyFont="1" applyFill="1" applyBorder="1" applyAlignment="1" applyProtection="1">
      <alignment horizontal="center" vertical="center"/>
    </xf>
    <xf numFmtId="0" fontId="5" fillId="0" borderId="129" xfId="2" applyNumberFormat="1" applyFont="1" applyFill="1" applyBorder="1">
      <alignment vertical="center"/>
    </xf>
    <xf numFmtId="0" fontId="5" fillId="0" borderId="28" xfId="2" applyNumberFormat="1" applyFont="1" applyFill="1" applyBorder="1" applyAlignment="1">
      <alignment horizontal="center" vertical="center"/>
    </xf>
    <xf numFmtId="0" fontId="5" fillId="0" borderId="137" xfId="2" applyNumberFormat="1" applyFont="1" applyFill="1" applyBorder="1" applyAlignment="1">
      <alignment horizontal="center" vertical="center"/>
    </xf>
    <xf numFmtId="0" fontId="5" fillId="0" borderId="138" xfId="2" applyNumberFormat="1" applyFont="1" applyFill="1" applyBorder="1" applyAlignment="1">
      <alignment horizontal="center" vertical="center"/>
    </xf>
    <xf numFmtId="0" fontId="5" fillId="0" borderId="143" xfId="2" applyNumberFormat="1" applyFont="1" applyFill="1" applyBorder="1" applyAlignment="1">
      <alignment horizontal="center" vertical="center"/>
    </xf>
    <xf numFmtId="0" fontId="12" fillId="0" borderId="57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52" xfId="0" applyFont="1" applyBorder="1" applyAlignment="1">
      <alignment horizontal="center" vertical="center"/>
    </xf>
    <xf numFmtId="0" fontId="5" fillId="0" borderId="133" xfId="2" applyFont="1" applyBorder="1" applyAlignment="1">
      <alignment horizontal="center" vertical="center"/>
    </xf>
    <xf numFmtId="0" fontId="5" fillId="0" borderId="21" xfId="2" applyFont="1" applyBorder="1" applyAlignment="1">
      <alignment horizontal="center" vertical="center"/>
    </xf>
    <xf numFmtId="0" fontId="5" fillId="0" borderId="134" xfId="2" applyFont="1" applyBorder="1" applyAlignment="1">
      <alignment horizontal="center" vertical="center"/>
    </xf>
    <xf numFmtId="166" fontId="5" fillId="0" borderId="133" xfId="2" applyNumberFormat="1" applyFont="1" applyBorder="1" applyAlignment="1">
      <alignment horizontal="center" vertical="center"/>
    </xf>
    <xf numFmtId="166" fontId="5" fillId="0" borderId="21" xfId="2" applyNumberFormat="1" applyFont="1" applyBorder="1" applyAlignment="1">
      <alignment horizontal="center" vertical="center"/>
    </xf>
    <xf numFmtId="165" fontId="33" fillId="0" borderId="0" xfId="2" applyNumberFormat="1" applyFont="1">
      <alignment vertical="center"/>
    </xf>
    <xf numFmtId="0" fontId="5" fillId="0" borderId="55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56" xfId="2" applyFont="1" applyBorder="1" applyAlignment="1">
      <alignment horizontal="center" vertical="center"/>
    </xf>
    <xf numFmtId="166" fontId="5" fillId="0" borderId="55" xfId="2" applyNumberFormat="1" applyFont="1" applyBorder="1" applyAlignment="1">
      <alignment horizontal="center" vertical="center"/>
    </xf>
    <xf numFmtId="166" fontId="5" fillId="0" borderId="10" xfId="2" applyNumberFormat="1" applyFont="1" applyBorder="1" applyAlignment="1">
      <alignment horizontal="center" vertical="center"/>
    </xf>
    <xf numFmtId="0" fontId="5" fillId="0" borderId="137" xfId="2" applyFont="1" applyBorder="1" applyAlignment="1">
      <alignment horizontal="center" vertical="center"/>
    </xf>
    <xf numFmtId="0" fontId="5" fillId="0" borderId="138" xfId="2" applyFont="1" applyBorder="1" applyAlignment="1">
      <alignment horizontal="center" vertical="center"/>
    </xf>
    <xf numFmtId="0" fontId="5" fillId="0" borderId="139" xfId="2" applyFont="1" applyBorder="1" applyAlignment="1">
      <alignment horizontal="center" vertical="center"/>
    </xf>
    <xf numFmtId="166" fontId="5" fillId="0" borderId="137" xfId="2" applyNumberFormat="1" applyFont="1" applyBorder="1" applyAlignment="1">
      <alignment horizontal="center" vertical="center"/>
    </xf>
    <xf numFmtId="166" fontId="5" fillId="0" borderId="138" xfId="2" applyNumberFormat="1" applyFont="1" applyBorder="1" applyAlignment="1">
      <alignment horizontal="center" vertical="center"/>
    </xf>
    <xf numFmtId="0" fontId="5" fillId="4" borderId="53" xfId="2" applyFont="1" applyFill="1" applyBorder="1" applyAlignment="1">
      <alignment horizontal="center" vertical="center"/>
    </xf>
    <xf numFmtId="0" fontId="5" fillId="4" borderId="31" xfId="2" applyFont="1" applyFill="1" applyBorder="1" applyAlignment="1">
      <alignment horizontal="center" vertical="center"/>
    </xf>
    <xf numFmtId="0" fontId="5" fillId="4" borderId="130" xfId="2" applyFont="1" applyFill="1" applyBorder="1" applyAlignment="1">
      <alignment horizontal="center" vertical="center"/>
    </xf>
    <xf numFmtId="166" fontId="5" fillId="0" borderId="36" xfId="2" applyNumberFormat="1" applyFont="1" applyBorder="1" applyAlignment="1">
      <alignment horizontal="center" vertical="center"/>
    </xf>
    <xf numFmtId="166" fontId="5" fillId="0" borderId="28" xfId="2" applyNumberFormat="1" applyFont="1" applyBorder="1" applyAlignment="1">
      <alignment horizontal="center" vertical="center"/>
    </xf>
    <xf numFmtId="166" fontId="5" fillId="0" borderId="143" xfId="2" applyNumberFormat="1" applyFont="1" applyBorder="1" applyAlignment="1">
      <alignment horizontal="center" vertical="center"/>
    </xf>
    <xf numFmtId="0" fontId="5" fillId="5" borderId="151" xfId="2" applyNumberFormat="1" applyFont="1" applyFill="1" applyBorder="1" applyAlignment="1">
      <alignment horizontal="center" vertical="center"/>
    </xf>
    <xf numFmtId="0" fontId="5" fillId="5" borderId="16" xfId="2" applyNumberFormat="1" applyFont="1" applyFill="1" applyBorder="1" applyAlignment="1">
      <alignment horizontal="center" vertical="center"/>
    </xf>
    <xf numFmtId="0" fontId="5" fillId="5" borderId="16" xfId="2" applyFont="1" applyFill="1" applyBorder="1" applyAlignment="1">
      <alignment horizontal="center" vertical="center"/>
    </xf>
    <xf numFmtId="0" fontId="5" fillId="5" borderId="153" xfId="2" applyNumberFormat="1" applyFont="1" applyFill="1" applyBorder="1" applyAlignment="1">
      <alignment horizontal="center" vertical="center"/>
    </xf>
    <xf numFmtId="0" fontId="12" fillId="5" borderId="14" xfId="0" applyFont="1" applyFill="1" applyBorder="1" applyAlignment="1">
      <alignment horizontal="center"/>
    </xf>
    <xf numFmtId="0" fontId="5" fillId="0" borderId="131" xfId="2" applyNumberFormat="1" applyFont="1" applyFill="1" applyBorder="1">
      <alignment vertical="center"/>
    </xf>
    <xf numFmtId="0" fontId="5" fillId="0" borderId="15" xfId="2" applyNumberFormat="1" applyFont="1" applyFill="1" applyBorder="1">
      <alignment vertical="center"/>
    </xf>
    <xf numFmtId="0" fontId="5" fillId="12" borderId="10" xfId="2" applyFont="1" applyFill="1" applyBorder="1">
      <alignment vertical="center"/>
    </xf>
    <xf numFmtId="0" fontId="5" fillId="12" borderId="138" xfId="2" applyFont="1" applyFill="1" applyBorder="1">
      <alignment vertical="center"/>
    </xf>
    <xf numFmtId="0" fontId="5" fillId="12" borderId="5" xfId="2" applyFont="1" applyFill="1" applyBorder="1" applyAlignment="1">
      <alignment horizontal="center" vertical="center"/>
    </xf>
    <xf numFmtId="0" fontId="5" fillId="12" borderId="3" xfId="2" applyFont="1" applyFill="1" applyBorder="1" applyAlignment="1">
      <alignment horizontal="center" vertical="center"/>
    </xf>
    <xf numFmtId="0" fontId="12" fillId="12" borderId="149" xfId="0" applyFont="1" applyFill="1" applyBorder="1" applyAlignment="1">
      <alignment horizontal="center"/>
    </xf>
    <xf numFmtId="0" fontId="5" fillId="18" borderId="53" xfId="2" applyFont="1" applyFill="1" applyBorder="1" applyAlignment="1">
      <alignment horizontal="center" vertical="center"/>
    </xf>
    <xf numFmtId="0" fontId="5" fillId="18" borderId="31" xfId="2" applyFont="1" applyFill="1" applyBorder="1" applyAlignment="1">
      <alignment horizontal="center" vertical="center"/>
    </xf>
    <xf numFmtId="0" fontId="5" fillId="18" borderId="54" xfId="2" applyFont="1" applyFill="1" applyBorder="1" applyAlignment="1">
      <alignment horizontal="center" vertical="center"/>
    </xf>
    <xf numFmtId="0" fontId="16" fillId="0" borderId="0" xfId="0" applyFont="1" applyBorder="1" applyAlignment="1" applyProtection="1">
      <alignment horizontal="center" vertical="center"/>
    </xf>
    <xf numFmtId="0" fontId="17" fillId="0" borderId="0" xfId="0" applyFont="1" applyBorder="1" applyAlignment="1" applyProtection="1">
      <alignment vertical="center"/>
    </xf>
    <xf numFmtId="0" fontId="17" fillId="0" borderId="0" xfId="0" applyFont="1" applyAlignment="1" applyProtection="1">
      <alignment vertical="center"/>
    </xf>
    <xf numFmtId="0" fontId="17" fillId="17" borderId="51" xfId="0" applyFont="1" applyFill="1" applyBorder="1" applyAlignment="1" applyProtection="1">
      <alignment vertical="center"/>
    </xf>
    <xf numFmtId="0" fontId="17" fillId="17" borderId="52" xfId="0" applyFont="1" applyFill="1" applyBorder="1" applyAlignment="1" applyProtection="1">
      <alignment vertical="center"/>
    </xf>
    <xf numFmtId="0" fontId="17" fillId="17" borderId="0" xfId="0" applyFont="1" applyFill="1" applyBorder="1" applyAlignment="1" applyProtection="1">
      <alignment vertical="center"/>
    </xf>
    <xf numFmtId="0" fontId="17" fillId="0" borderId="0" xfId="0" applyFont="1" applyFill="1" applyBorder="1" applyAlignment="1" applyProtection="1">
      <alignment vertical="center"/>
    </xf>
    <xf numFmtId="0" fontId="17" fillId="0" borderId="113" xfId="0" applyFont="1" applyFill="1" applyBorder="1" applyAlignment="1" applyProtection="1">
      <alignment horizontal="right" vertical="center"/>
    </xf>
    <xf numFmtId="2" fontId="17" fillId="5" borderId="93" xfId="0" applyNumberFormat="1" applyFont="1" applyFill="1" applyBorder="1" applyAlignment="1" applyProtection="1">
      <alignment horizontal="center" vertical="center"/>
    </xf>
    <xf numFmtId="0" fontId="17" fillId="0" borderId="95" xfId="0" applyFont="1" applyBorder="1" applyAlignment="1" applyProtection="1">
      <alignment horizontal="center" vertical="center"/>
    </xf>
    <xf numFmtId="0" fontId="17" fillId="0" borderId="120" xfId="0" applyFont="1" applyFill="1" applyBorder="1" applyAlignment="1" applyProtection="1">
      <alignment horizontal="right" vertical="center"/>
    </xf>
    <xf numFmtId="2" fontId="17" fillId="5" borderId="21" xfId="1" applyNumberFormat="1" applyFont="1" applyFill="1" applyBorder="1" applyAlignment="1" applyProtection="1">
      <alignment horizontal="center" vertical="center"/>
    </xf>
    <xf numFmtId="0" fontId="17" fillId="0" borderId="78" xfId="0" applyFont="1" applyBorder="1" applyAlignment="1" applyProtection="1">
      <alignment horizontal="center" vertical="center"/>
    </xf>
    <xf numFmtId="0" fontId="17" fillId="0" borderId="112" xfId="0" applyFont="1" applyFill="1" applyBorder="1" applyAlignment="1" applyProtection="1">
      <alignment horizontal="right" vertical="center"/>
    </xf>
    <xf numFmtId="2" fontId="17" fillId="5" borderId="86" xfId="0" applyNumberFormat="1" applyFont="1" applyFill="1" applyBorder="1" applyAlignment="1" applyProtection="1">
      <alignment horizontal="center" vertical="center"/>
    </xf>
    <xf numFmtId="0" fontId="17" fillId="0" borderId="87" xfId="0" applyFont="1" applyBorder="1" applyAlignment="1" applyProtection="1">
      <alignment horizontal="center" vertical="center"/>
    </xf>
    <xf numFmtId="2" fontId="17" fillId="0" borderId="0" xfId="0" applyNumberFormat="1" applyFont="1" applyBorder="1" applyAlignment="1" applyProtection="1">
      <alignment vertical="center"/>
    </xf>
    <xf numFmtId="0" fontId="17" fillId="0" borderId="113" xfId="0" applyFont="1" applyBorder="1" applyAlignment="1" applyProtection="1">
      <alignment horizontal="right" vertical="center"/>
    </xf>
    <xf numFmtId="0" fontId="17" fillId="0" borderId="93" xfId="0" applyFont="1" applyBorder="1" applyAlignment="1" applyProtection="1">
      <alignment horizontal="center" vertical="center"/>
    </xf>
    <xf numFmtId="0" fontId="18" fillId="5" borderId="93" xfId="0" applyFont="1" applyFill="1" applyBorder="1" applyAlignment="1" applyProtection="1">
      <alignment horizontal="center" vertical="center"/>
    </xf>
    <xf numFmtId="0" fontId="18" fillId="0" borderId="95" xfId="0" applyFont="1" applyBorder="1" applyAlignment="1" applyProtection="1">
      <alignment horizontal="center" vertical="center"/>
    </xf>
    <xf numFmtId="1" fontId="17" fillId="0" borderId="0" xfId="0" applyNumberFormat="1" applyFont="1" applyFill="1" applyBorder="1" applyAlignment="1" applyProtection="1">
      <alignment horizontal="left" vertical="center"/>
    </xf>
    <xf numFmtId="0" fontId="17" fillId="0" borderId="111" xfId="0" applyFont="1" applyBorder="1" applyAlignment="1" applyProtection="1">
      <alignment horizontal="right" vertical="center"/>
    </xf>
    <xf numFmtId="2" fontId="17" fillId="14" borderId="10" xfId="0" applyNumberFormat="1" applyFont="1" applyFill="1" applyBorder="1" applyAlignment="1" applyProtection="1">
      <alignment horizontal="center" vertical="center"/>
    </xf>
    <xf numFmtId="0" fontId="17" fillId="0" borderId="10" xfId="0" applyFont="1" applyBorder="1" applyAlignment="1" applyProtection="1">
      <alignment horizontal="center" vertical="center"/>
    </xf>
    <xf numFmtId="0" fontId="17" fillId="14" borderId="10" xfId="0" applyFont="1" applyFill="1" applyBorder="1" applyAlignment="1" applyProtection="1">
      <alignment horizontal="center" vertical="center"/>
    </xf>
    <xf numFmtId="0" fontId="18" fillId="0" borderId="68" xfId="0" applyFont="1" applyBorder="1" applyAlignment="1" applyProtection="1">
      <alignment horizontal="center" vertical="center"/>
    </xf>
    <xf numFmtId="0" fontId="17" fillId="0" borderId="118" xfId="0" applyFont="1" applyBorder="1" applyAlignment="1" applyProtection="1">
      <alignment horizontal="right" vertical="center"/>
    </xf>
    <xf numFmtId="2" fontId="17" fillId="14" borderId="2" xfId="0" applyNumberFormat="1" applyFont="1" applyFill="1" applyBorder="1" applyAlignment="1" applyProtection="1">
      <alignment horizontal="center" vertical="center"/>
    </xf>
    <xf numFmtId="0" fontId="17" fillId="0" borderId="2" xfId="0" applyFont="1" applyFill="1" applyBorder="1" applyAlignment="1" applyProtection="1">
      <alignment horizontal="center" vertical="center"/>
    </xf>
    <xf numFmtId="0" fontId="17" fillId="14" borderId="2" xfId="0" applyFont="1" applyFill="1" applyBorder="1" applyAlignment="1" applyProtection="1">
      <alignment horizontal="center" vertical="center"/>
    </xf>
    <xf numFmtId="0" fontId="18" fillId="0" borderId="70" xfId="0" applyFont="1" applyFill="1" applyBorder="1" applyAlignment="1" applyProtection="1">
      <alignment horizontal="center" vertical="center"/>
    </xf>
    <xf numFmtId="0" fontId="18" fillId="0" borderId="156" xfId="0" applyFont="1" applyBorder="1" applyAlignment="1" applyProtection="1">
      <alignment horizontal="center" vertical="center"/>
    </xf>
    <xf numFmtId="0" fontId="18" fillId="0" borderId="74" xfId="0" applyFont="1" applyBorder="1" applyAlignment="1" applyProtection="1">
      <alignment horizontal="center" vertical="center"/>
    </xf>
    <xf numFmtId="0" fontId="19" fillId="17" borderId="0" xfId="0" applyFont="1" applyFill="1" applyBorder="1" applyAlignment="1" applyProtection="1">
      <alignment horizontal="center" vertical="center"/>
    </xf>
    <xf numFmtId="2" fontId="17" fillId="17" borderId="0" xfId="0" applyNumberFormat="1" applyFont="1" applyFill="1" applyBorder="1" applyAlignment="1" applyProtection="1">
      <alignment horizontal="center" vertical="center"/>
    </xf>
    <xf numFmtId="0" fontId="17" fillId="17" borderId="0" xfId="0" applyFont="1" applyFill="1" applyBorder="1" applyAlignment="1" applyProtection="1">
      <alignment horizontal="center" vertical="center"/>
    </xf>
    <xf numFmtId="0" fontId="17" fillId="17" borderId="0" xfId="0" applyFont="1" applyFill="1" applyBorder="1" applyAlignment="1" applyProtection="1">
      <alignment horizontal="right" vertical="center"/>
    </xf>
    <xf numFmtId="0" fontId="18" fillId="17" borderId="0" xfId="0" applyFont="1" applyFill="1" applyBorder="1" applyAlignment="1" applyProtection="1">
      <alignment horizontal="center" vertical="center"/>
    </xf>
    <xf numFmtId="0" fontId="19" fillId="0" borderId="0" xfId="0" applyFont="1" applyFill="1" applyBorder="1" applyAlignment="1" applyProtection="1">
      <alignment horizontal="center" vertical="center"/>
    </xf>
    <xf numFmtId="0" fontId="18" fillId="0" borderId="0" xfId="0" applyFont="1" applyFill="1" applyBorder="1" applyAlignment="1" applyProtection="1">
      <alignment horizontal="right" vertical="center"/>
    </xf>
    <xf numFmtId="1" fontId="18" fillId="0" borderId="0" xfId="0" applyNumberFormat="1" applyFont="1" applyFill="1" applyBorder="1" applyAlignment="1" applyProtection="1">
      <alignment horizontal="center" vertical="center"/>
    </xf>
    <xf numFmtId="0" fontId="18" fillId="0" borderId="0" xfId="0" applyFont="1" applyFill="1" applyBorder="1" applyAlignment="1" applyProtection="1">
      <alignment vertical="center"/>
    </xf>
    <xf numFmtId="2" fontId="18" fillId="0" borderId="0" xfId="0" applyNumberFormat="1" applyFont="1" applyFill="1" applyBorder="1" applyAlignment="1" applyProtection="1">
      <alignment horizontal="right" vertical="center"/>
    </xf>
    <xf numFmtId="2" fontId="17" fillId="0" borderId="0" xfId="0" applyNumberFormat="1" applyFont="1" applyAlignment="1" applyProtection="1">
      <alignment vertical="center"/>
    </xf>
    <xf numFmtId="164" fontId="17" fillId="0" borderId="0" xfId="0" applyNumberFormat="1" applyFont="1" applyAlignment="1" applyProtection="1">
      <alignment vertical="center"/>
    </xf>
    <xf numFmtId="0" fontId="17" fillId="17" borderId="157" xfId="0" applyFont="1" applyFill="1" applyBorder="1" applyAlignment="1" applyProtection="1">
      <alignment vertical="center"/>
    </xf>
    <xf numFmtId="0" fontId="19" fillId="17" borderId="158" xfId="0" applyFont="1" applyFill="1" applyBorder="1" applyAlignment="1" applyProtection="1">
      <alignment horizontal="center" vertical="center"/>
    </xf>
    <xf numFmtId="2" fontId="17" fillId="17" borderId="158" xfId="0" applyNumberFormat="1" applyFont="1" applyFill="1" applyBorder="1" applyAlignment="1" applyProtection="1">
      <alignment horizontal="center" vertical="center"/>
    </xf>
    <xf numFmtId="0" fontId="17" fillId="17" borderId="158" xfId="0" applyFont="1" applyFill="1" applyBorder="1" applyAlignment="1" applyProtection="1">
      <alignment horizontal="center" vertical="center"/>
    </xf>
    <xf numFmtId="0" fontId="17" fillId="17" borderId="158" xfId="0" applyFont="1" applyFill="1" applyBorder="1" applyAlignment="1" applyProtection="1">
      <alignment horizontal="right" vertical="center"/>
    </xf>
    <xf numFmtId="0" fontId="18" fillId="17" borderId="158" xfId="0" applyFont="1" applyFill="1" applyBorder="1" applyAlignment="1" applyProtection="1">
      <alignment horizontal="center" vertical="center"/>
    </xf>
    <xf numFmtId="0" fontId="17" fillId="17" borderId="159" xfId="0" applyFont="1" applyFill="1" applyBorder="1" applyAlignment="1" applyProtection="1">
      <alignment vertical="center"/>
    </xf>
    <xf numFmtId="2" fontId="17" fillId="0" borderId="0" xfId="0" applyNumberFormat="1" applyFont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</xf>
    <xf numFmtId="0" fontId="17" fillId="0" borderId="0" xfId="0" applyFont="1" applyAlignment="1" applyProtection="1">
      <alignment horizontal="right" vertical="center"/>
    </xf>
    <xf numFmtId="0" fontId="18" fillId="0" borderId="0" xfId="0" applyFont="1" applyAlignment="1" applyProtection="1">
      <alignment horizontal="center" vertical="center"/>
    </xf>
    <xf numFmtId="1" fontId="17" fillId="3" borderId="93" xfId="0" applyNumberFormat="1" applyFont="1" applyFill="1" applyBorder="1" applyAlignment="1" applyProtection="1">
      <alignment horizontal="center" vertical="center"/>
      <protection locked="0"/>
    </xf>
    <xf numFmtId="0" fontId="18" fillId="17" borderId="0" xfId="0" applyFont="1" applyFill="1" applyBorder="1" applyAlignment="1" applyProtection="1">
      <alignment vertical="center"/>
    </xf>
    <xf numFmtId="0" fontId="17" fillId="17" borderId="160" xfId="0" applyFont="1" applyFill="1" applyBorder="1" applyAlignment="1" applyProtection="1">
      <alignment vertical="center"/>
    </xf>
    <xf numFmtId="0" fontId="17" fillId="17" borderId="76" xfId="0" applyFont="1" applyFill="1" applyBorder="1" applyAlignment="1" applyProtection="1">
      <alignment vertical="center"/>
    </xf>
    <xf numFmtId="0" fontId="18" fillId="17" borderId="76" xfId="0" applyFont="1" applyFill="1" applyBorder="1" applyAlignment="1" applyProtection="1">
      <alignment vertical="center"/>
    </xf>
    <xf numFmtId="1" fontId="17" fillId="14" borderId="17" xfId="0" applyNumberFormat="1" applyFont="1" applyFill="1" applyBorder="1" applyAlignment="1" applyProtection="1">
      <alignment horizontal="center" vertical="center"/>
    </xf>
    <xf numFmtId="164" fontId="17" fillId="14" borderId="10" xfId="0" applyNumberFormat="1" applyFont="1" applyFill="1" applyBorder="1" applyAlignment="1" applyProtection="1">
      <alignment horizontal="center" vertical="center"/>
    </xf>
    <xf numFmtId="164" fontId="17" fillId="14" borderId="73" xfId="0" applyNumberFormat="1" applyFont="1" applyFill="1" applyBorder="1" applyAlignment="1" applyProtection="1">
      <alignment horizontal="center" vertical="center"/>
    </xf>
    <xf numFmtId="3" fontId="36" fillId="14" borderId="6" xfId="0" applyNumberFormat="1" applyFont="1" applyFill="1" applyBorder="1" applyAlignment="1" applyProtection="1">
      <alignment horizontal="center" vertical="center"/>
      <protection locked="0"/>
    </xf>
    <xf numFmtId="4" fontId="7" fillId="0" borderId="10" xfId="0" applyNumberFormat="1" applyFont="1" applyBorder="1" applyAlignment="1" applyProtection="1">
      <alignment horizontal="right" vertical="center"/>
    </xf>
    <xf numFmtId="3" fontId="36" fillId="22" borderId="93" xfId="0" applyNumberFormat="1" applyFont="1" applyFill="1" applyBorder="1" applyAlignment="1" applyProtection="1">
      <alignment horizontal="center" vertical="center"/>
      <protection locked="0"/>
    </xf>
    <xf numFmtId="3" fontId="36" fillId="22" borderId="35" xfId="0" applyNumberFormat="1" applyFont="1" applyFill="1" applyBorder="1" applyAlignment="1" applyProtection="1">
      <alignment horizontal="center" vertical="center"/>
      <protection locked="0"/>
    </xf>
    <xf numFmtId="3" fontId="36" fillId="22" borderId="1" xfId="0" applyNumberFormat="1" applyFont="1" applyFill="1" applyBorder="1" applyAlignment="1" applyProtection="1">
      <alignment horizontal="center" vertical="center"/>
      <protection locked="0"/>
    </xf>
    <xf numFmtId="3" fontId="36" fillId="22" borderId="7" xfId="0" applyNumberFormat="1" applyFont="1" applyFill="1" applyBorder="1" applyAlignment="1" applyProtection="1">
      <alignment horizontal="center" vertical="center"/>
      <protection locked="0"/>
    </xf>
    <xf numFmtId="1" fontId="7" fillId="0" borderId="25" xfId="0" applyNumberFormat="1" applyFont="1" applyBorder="1" applyAlignment="1" applyProtection="1">
      <alignment vertical="center"/>
    </xf>
    <xf numFmtId="1" fontId="7" fillId="0" borderId="0" xfId="0" applyNumberFormat="1" applyFont="1" applyAlignment="1" applyProtection="1">
      <alignment vertical="center"/>
    </xf>
    <xf numFmtId="1" fontId="7" fillId="0" borderId="0" xfId="0" applyNumberFormat="1" applyFont="1" applyBorder="1" applyAlignment="1" applyProtection="1">
      <alignment vertical="center"/>
    </xf>
    <xf numFmtId="1" fontId="7" fillId="0" borderId="0" xfId="0" applyNumberFormat="1" applyFont="1" applyBorder="1" applyAlignment="1" applyProtection="1">
      <alignment horizontal="left" vertical="center"/>
    </xf>
    <xf numFmtId="1" fontId="7" fillId="0" borderId="0" xfId="0" applyNumberFormat="1" applyFont="1" applyFill="1" applyBorder="1" applyAlignment="1" applyProtection="1">
      <alignment vertical="center"/>
    </xf>
    <xf numFmtId="2" fontId="7" fillId="0" borderId="0" xfId="0" applyNumberFormat="1" applyFont="1" applyAlignment="1" applyProtection="1">
      <alignment horizontal="center" vertical="center"/>
    </xf>
    <xf numFmtId="2" fontId="7" fillId="0" borderId="0" xfId="0" applyNumberFormat="1" applyFont="1" applyBorder="1" applyAlignment="1" applyProtection="1">
      <alignment horizontal="center" vertical="center"/>
    </xf>
    <xf numFmtId="0" fontId="38" fillId="0" borderId="0" xfId="0" applyFont="1"/>
    <xf numFmtId="3" fontId="36" fillId="22" borderId="19" xfId="0" applyNumberFormat="1" applyFont="1" applyFill="1" applyBorder="1" applyAlignment="1" applyProtection="1">
      <alignment horizontal="center" vertical="center"/>
      <protection locked="0"/>
    </xf>
    <xf numFmtId="4" fontId="7" fillId="0" borderId="85" xfId="0" applyNumberFormat="1" applyFont="1" applyBorder="1" applyAlignment="1" applyProtection="1">
      <alignment horizontal="right" vertical="center"/>
    </xf>
    <xf numFmtId="2" fontId="7" fillId="0" borderId="0" xfId="0" quotePrefix="1" applyNumberFormat="1" applyFont="1" applyAlignment="1" applyProtection="1">
      <alignment horizontal="center" vertical="center"/>
    </xf>
    <xf numFmtId="167" fontId="36" fillId="14" borderId="86" xfId="0" applyNumberFormat="1" applyFont="1" applyFill="1" applyBorder="1" applyAlignment="1" applyProtection="1">
      <alignment horizontal="center" vertical="center"/>
    </xf>
    <xf numFmtId="4" fontId="28" fillId="6" borderId="116" xfId="0" applyNumberFormat="1" applyFont="1" applyFill="1" applyBorder="1" applyAlignment="1" applyProtection="1">
      <alignment horizontal="center" vertical="center"/>
    </xf>
    <xf numFmtId="4" fontId="28" fillId="6" borderId="98" xfId="0" applyNumberFormat="1" applyFont="1" applyFill="1" applyBorder="1" applyAlignment="1" applyProtection="1">
      <alignment horizontal="center" vertical="center"/>
    </xf>
    <xf numFmtId="4" fontId="28" fillId="6" borderId="117" xfId="0" applyNumberFormat="1" applyFont="1" applyFill="1" applyBorder="1" applyAlignment="1" applyProtection="1">
      <alignment horizontal="center" vertical="center"/>
    </xf>
    <xf numFmtId="4" fontId="7" fillId="0" borderId="3" xfId="0" applyNumberFormat="1" applyFont="1" applyBorder="1" applyAlignment="1" applyProtection="1">
      <alignment horizontal="center" vertical="center"/>
    </xf>
    <xf numFmtId="4" fontId="29" fillId="4" borderId="116" xfId="0" applyNumberFormat="1" applyFont="1" applyFill="1" applyBorder="1" applyAlignment="1" applyProtection="1">
      <alignment horizontal="center" vertical="center"/>
    </xf>
    <xf numFmtId="4" fontId="29" fillId="4" borderId="98" xfId="0" applyNumberFormat="1" applyFont="1" applyFill="1" applyBorder="1" applyAlignment="1" applyProtection="1">
      <alignment horizontal="center" vertical="center"/>
    </xf>
    <xf numFmtId="4" fontId="29" fillId="4" borderId="117" xfId="0" applyNumberFormat="1" applyFont="1" applyFill="1" applyBorder="1" applyAlignment="1" applyProtection="1">
      <alignment horizontal="center" vertical="center"/>
    </xf>
    <xf numFmtId="0" fontId="3" fillId="0" borderId="0" xfId="0" applyFont="1"/>
    <xf numFmtId="3" fontId="7" fillId="0" borderId="0" xfId="0" applyNumberFormat="1" applyFont="1" applyAlignment="1" applyProtection="1">
      <alignment vertical="center"/>
    </xf>
    <xf numFmtId="4" fontId="7" fillId="0" borderId="25" xfId="0" applyNumberFormat="1" applyFont="1" applyBorder="1" applyAlignment="1" applyProtection="1">
      <alignment horizontal="center" vertical="center"/>
    </xf>
    <xf numFmtId="1" fontId="7" fillId="0" borderId="0" xfId="0" applyNumberFormat="1" applyFont="1" applyAlignment="1" applyProtection="1">
      <alignment horizontal="center" vertical="center"/>
    </xf>
    <xf numFmtId="4" fontId="7" fillId="0" borderId="0" xfId="0" applyNumberFormat="1" applyFont="1" applyFill="1" applyBorder="1" applyAlignment="1" applyProtection="1">
      <alignment horizontal="center" vertical="center"/>
    </xf>
    <xf numFmtId="4" fontId="8" fillId="0" borderId="113" xfId="0" applyNumberFormat="1" applyFont="1" applyFill="1" applyBorder="1" applyAlignment="1" applyProtection="1">
      <alignment horizontal="right" vertical="center"/>
    </xf>
    <xf numFmtId="0" fontId="4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32" xfId="0" applyFont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3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4" fillId="0" borderId="135" xfId="0" applyFont="1" applyBorder="1" applyAlignment="1">
      <alignment horizontal="center" vertical="center"/>
    </xf>
    <xf numFmtId="0" fontId="7" fillId="0" borderId="135" xfId="0" applyFont="1" applyBorder="1" applyAlignment="1">
      <alignment horizontal="center" vertical="center"/>
    </xf>
    <xf numFmtId="0" fontId="7" fillId="0" borderId="136" xfId="0" applyFont="1" applyBorder="1" applyAlignment="1">
      <alignment horizontal="center" vertical="center"/>
    </xf>
    <xf numFmtId="0" fontId="4" fillId="0" borderId="138" xfId="0" applyFont="1" applyBorder="1" applyAlignment="1">
      <alignment horizontal="center" vertical="center"/>
    </xf>
    <xf numFmtId="0" fontId="7" fillId="0" borderId="138" xfId="0" applyFont="1" applyBorder="1" applyAlignment="1">
      <alignment horizontal="center" vertical="center"/>
    </xf>
    <xf numFmtId="0" fontId="7" fillId="0" borderId="143" xfId="0" applyFont="1" applyBorder="1" applyAlignment="1">
      <alignment horizontal="center" vertical="center"/>
    </xf>
    <xf numFmtId="0" fontId="7" fillId="0" borderId="139" xfId="0" applyFont="1" applyBorder="1" applyAlignment="1">
      <alignment horizontal="center" vertical="center"/>
    </xf>
    <xf numFmtId="0" fontId="18" fillId="0" borderId="18" xfId="2" applyFont="1" applyBorder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0" fontId="40" fillId="0" borderId="24" xfId="0" applyFont="1" applyBorder="1" applyAlignment="1">
      <alignment horizontal="center"/>
    </xf>
    <xf numFmtId="0" fontId="40" fillId="0" borderId="27" xfId="0" applyFont="1" applyBorder="1" applyAlignment="1">
      <alignment horizontal="center" vertical="center"/>
    </xf>
    <xf numFmtId="0" fontId="18" fillId="0" borderId="0" xfId="2" applyFont="1" applyAlignment="1">
      <alignment horizontal="center" vertical="center"/>
    </xf>
    <xf numFmtId="0" fontId="42" fillId="0" borderId="18" xfId="2" applyFont="1" applyBorder="1" applyAlignment="1">
      <alignment horizontal="center" vertical="center"/>
    </xf>
    <xf numFmtId="0" fontId="42" fillId="0" borderId="12" xfId="2" applyFont="1" applyBorder="1" applyAlignment="1">
      <alignment horizontal="center" vertical="center"/>
    </xf>
    <xf numFmtId="0" fontId="42" fillId="0" borderId="24" xfId="2" applyFont="1" applyBorder="1" applyAlignment="1">
      <alignment horizontal="center" vertical="center"/>
    </xf>
    <xf numFmtId="164" fontId="5" fillId="12" borderId="133" xfId="2" applyNumberFormat="1" applyFont="1" applyFill="1" applyBorder="1" applyAlignment="1">
      <alignment horizontal="center" vertical="center"/>
    </xf>
    <xf numFmtId="164" fontId="5" fillId="12" borderId="134" xfId="2" applyNumberFormat="1" applyFont="1" applyFill="1" applyBorder="1" applyAlignment="1">
      <alignment horizontal="center" vertical="center"/>
    </xf>
    <xf numFmtId="1" fontId="17" fillId="22" borderId="93" xfId="0" applyNumberFormat="1" applyFont="1" applyFill="1" applyBorder="1" applyAlignment="1" applyProtection="1">
      <alignment horizontal="center" vertical="center"/>
      <protection locked="0"/>
    </xf>
    <xf numFmtId="2" fontId="17" fillId="22" borderId="10" xfId="0" applyNumberFormat="1" applyFont="1" applyFill="1" applyBorder="1" applyAlignment="1" applyProtection="1">
      <alignment horizontal="center" vertical="center"/>
    </xf>
    <xf numFmtId="4" fontId="26" fillId="9" borderId="58" xfId="0" applyNumberFormat="1" applyFont="1" applyFill="1" applyBorder="1" applyAlignment="1" applyProtection="1">
      <alignment horizontal="center" vertical="center"/>
    </xf>
    <xf numFmtId="4" fontId="26" fillId="9" borderId="59" xfId="0" applyNumberFormat="1" applyFont="1" applyFill="1" applyBorder="1" applyAlignment="1" applyProtection="1">
      <alignment horizontal="center" vertical="center"/>
    </xf>
    <xf numFmtId="4" fontId="26" fillId="9" borderId="60" xfId="0" applyNumberFormat="1" applyFont="1" applyFill="1" applyBorder="1" applyAlignment="1" applyProtection="1">
      <alignment horizontal="center" vertical="center"/>
    </xf>
    <xf numFmtId="4" fontId="26" fillId="9" borderId="61" xfId="0" applyNumberFormat="1" applyFont="1" applyFill="1" applyBorder="1" applyAlignment="1" applyProtection="1">
      <alignment horizontal="center" vertical="center"/>
    </xf>
    <xf numFmtId="4" fontId="26" fillId="9" borderId="0" xfId="0" applyNumberFormat="1" applyFont="1" applyFill="1" applyBorder="1" applyAlignment="1" applyProtection="1">
      <alignment horizontal="center" vertical="center"/>
    </xf>
    <xf numFmtId="4" fontId="26" fillId="9" borderId="62" xfId="0" applyNumberFormat="1" applyFont="1" applyFill="1" applyBorder="1" applyAlignment="1" applyProtection="1">
      <alignment horizontal="center" vertical="center"/>
    </xf>
    <xf numFmtId="4" fontId="26" fillId="9" borderId="63" xfId="0" applyNumberFormat="1" applyFont="1" applyFill="1" applyBorder="1" applyAlignment="1" applyProtection="1">
      <alignment horizontal="center" vertical="center"/>
    </xf>
    <xf numFmtId="4" fontId="26" fillId="9" borderId="64" xfId="0" applyNumberFormat="1" applyFont="1" applyFill="1" applyBorder="1" applyAlignment="1" applyProtection="1">
      <alignment horizontal="center" vertical="center"/>
    </xf>
    <xf numFmtId="4" fontId="26" fillId="9" borderId="65" xfId="0" applyNumberFormat="1" applyFont="1" applyFill="1" applyBorder="1" applyAlignment="1" applyProtection="1">
      <alignment horizontal="center" vertical="center"/>
    </xf>
    <xf numFmtId="4" fontId="27" fillId="9" borderId="58" xfId="0" applyNumberFormat="1" applyFont="1" applyFill="1" applyBorder="1" applyAlignment="1" applyProtection="1">
      <alignment horizontal="center" vertical="center"/>
    </xf>
    <xf numFmtId="4" fontId="27" fillId="9" borderId="59" xfId="0" applyNumberFormat="1" applyFont="1" applyFill="1" applyBorder="1" applyAlignment="1" applyProtection="1">
      <alignment horizontal="center" vertical="center"/>
    </xf>
    <xf numFmtId="4" fontId="27" fillId="9" borderId="60" xfId="0" applyNumberFormat="1" applyFont="1" applyFill="1" applyBorder="1" applyAlignment="1" applyProtection="1">
      <alignment horizontal="center" vertical="center"/>
    </xf>
    <xf numFmtId="4" fontId="27" fillId="9" borderId="61" xfId="0" applyNumberFormat="1" applyFont="1" applyFill="1" applyBorder="1" applyAlignment="1" applyProtection="1">
      <alignment horizontal="center" vertical="center"/>
    </xf>
    <xf numFmtId="4" fontId="27" fillId="9" borderId="0" xfId="0" applyNumberFormat="1" applyFont="1" applyFill="1" applyBorder="1" applyAlignment="1" applyProtection="1">
      <alignment horizontal="center" vertical="center"/>
    </xf>
    <xf numFmtId="4" fontId="27" fillId="9" borderId="62" xfId="0" applyNumberFormat="1" applyFont="1" applyFill="1" applyBorder="1" applyAlignment="1" applyProtection="1">
      <alignment horizontal="center" vertical="center"/>
    </xf>
    <xf numFmtId="4" fontId="27" fillId="9" borderId="63" xfId="0" applyNumberFormat="1" applyFont="1" applyFill="1" applyBorder="1" applyAlignment="1" applyProtection="1">
      <alignment horizontal="center" vertical="center"/>
    </xf>
    <xf numFmtId="4" fontId="27" fillId="9" borderId="64" xfId="0" applyNumberFormat="1" applyFont="1" applyFill="1" applyBorder="1" applyAlignment="1" applyProtection="1">
      <alignment horizontal="center" vertical="center"/>
    </xf>
    <xf numFmtId="4" fontId="27" fillId="9" borderId="65" xfId="0" applyNumberFormat="1" applyFont="1" applyFill="1" applyBorder="1" applyAlignment="1" applyProtection="1">
      <alignment horizontal="center" vertical="center"/>
    </xf>
    <xf numFmtId="4" fontId="29" fillId="4" borderId="75" xfId="0" applyNumberFormat="1" applyFont="1" applyFill="1" applyBorder="1" applyAlignment="1" applyProtection="1">
      <alignment horizontal="center" vertical="center"/>
    </xf>
    <xf numFmtId="4" fontId="29" fillId="4" borderId="76" xfId="0" applyNumberFormat="1" applyFont="1" applyFill="1" applyBorder="1" applyAlignment="1" applyProtection="1">
      <alignment horizontal="center" vertical="center"/>
    </xf>
    <xf numFmtId="4" fontId="29" fillId="4" borderId="77" xfId="0" applyNumberFormat="1" applyFont="1" applyFill="1" applyBorder="1" applyAlignment="1" applyProtection="1">
      <alignment horizontal="center" vertical="center"/>
    </xf>
    <xf numFmtId="4" fontId="7" fillId="0" borderId="88" xfId="0" applyNumberFormat="1" applyFont="1" applyBorder="1" applyAlignment="1" applyProtection="1">
      <alignment horizontal="center" vertical="center"/>
    </xf>
    <xf numFmtId="4" fontId="7" fillId="0" borderId="72" xfId="0" applyNumberFormat="1" applyFont="1" applyBorder="1" applyAlignment="1" applyProtection="1">
      <alignment horizontal="center" vertical="center"/>
    </xf>
    <xf numFmtId="4" fontId="7" fillId="0" borderId="114" xfId="0" applyNumberFormat="1" applyFont="1" applyBorder="1" applyAlignment="1" applyProtection="1">
      <alignment horizontal="center" vertical="center"/>
    </xf>
    <xf numFmtId="4" fontId="7" fillId="0" borderId="96" xfId="0" applyNumberFormat="1" applyFont="1" applyBorder="1" applyAlignment="1" applyProtection="1">
      <alignment horizontal="center" vertical="center"/>
    </xf>
    <xf numFmtId="4" fontId="7" fillId="0" borderId="92" xfId="0" applyNumberFormat="1" applyFont="1" applyBorder="1" applyAlignment="1" applyProtection="1">
      <alignment horizontal="center" vertical="center"/>
    </xf>
    <xf numFmtId="4" fontId="7" fillId="0" borderId="94" xfId="0" applyNumberFormat="1" applyFont="1" applyBorder="1" applyAlignment="1" applyProtection="1">
      <alignment horizontal="center" vertical="center"/>
    </xf>
    <xf numFmtId="4" fontId="7" fillId="0" borderId="99" xfId="0" applyNumberFormat="1" applyFont="1" applyBorder="1" applyAlignment="1" applyProtection="1">
      <alignment horizontal="center" vertical="center"/>
    </xf>
    <xf numFmtId="4" fontId="7" fillId="0" borderId="103" xfId="0" applyNumberFormat="1" applyFont="1" applyBorder="1" applyAlignment="1" applyProtection="1">
      <alignment horizontal="center" vertical="center"/>
    </xf>
    <xf numFmtId="4" fontId="7" fillId="0" borderId="85" xfId="0" applyNumberFormat="1" applyFont="1" applyBorder="1" applyAlignment="1" applyProtection="1">
      <alignment horizontal="center" vertical="center"/>
    </xf>
    <xf numFmtId="4" fontId="8" fillId="0" borderId="100" xfId="0" applyNumberFormat="1" applyFont="1" applyFill="1" applyBorder="1" applyAlignment="1" applyProtection="1">
      <alignment horizontal="right" vertical="center" wrapText="1"/>
    </xf>
    <xf numFmtId="4" fontId="8" fillId="0" borderId="101" xfId="0" applyNumberFormat="1" applyFont="1" applyFill="1" applyBorder="1" applyAlignment="1" applyProtection="1">
      <alignment horizontal="right" vertical="center" wrapText="1"/>
    </xf>
    <xf numFmtId="4" fontId="8" fillId="0" borderId="102" xfId="0" applyNumberFormat="1" applyFont="1" applyFill="1" applyBorder="1" applyAlignment="1" applyProtection="1">
      <alignment horizontal="right" vertical="center" wrapText="1"/>
    </xf>
    <xf numFmtId="4" fontId="8" fillId="0" borderId="71" xfId="0" applyNumberFormat="1" applyFont="1" applyFill="1" applyBorder="1" applyAlignment="1" applyProtection="1">
      <alignment horizontal="right" vertical="center" wrapText="1"/>
    </xf>
    <xf numFmtId="4" fontId="8" fillId="0" borderId="88" xfId="0" applyNumberFormat="1" applyFont="1" applyFill="1" applyBorder="1" applyAlignment="1" applyProtection="1">
      <alignment horizontal="right" vertical="center" wrapText="1"/>
    </xf>
    <xf numFmtId="4" fontId="8" fillId="0" borderId="89" xfId="0" applyNumberFormat="1" applyFont="1" applyFill="1" applyBorder="1" applyAlignment="1" applyProtection="1">
      <alignment horizontal="right" vertical="center" wrapText="1"/>
    </xf>
    <xf numFmtId="4" fontId="10" fillId="4" borderId="75" xfId="0" applyNumberFormat="1" applyFont="1" applyFill="1" applyBorder="1" applyAlignment="1" applyProtection="1">
      <alignment horizontal="center" vertical="center"/>
    </xf>
    <xf numFmtId="4" fontId="10" fillId="4" borderId="76" xfId="0" applyNumberFormat="1" applyFont="1" applyFill="1" applyBorder="1" applyAlignment="1" applyProtection="1">
      <alignment horizontal="center" vertical="center"/>
    </xf>
    <xf numFmtId="4" fontId="10" fillId="4" borderId="77" xfId="0" applyNumberFormat="1" applyFont="1" applyFill="1" applyBorder="1" applyAlignment="1" applyProtection="1">
      <alignment horizontal="center" vertical="center"/>
    </xf>
    <xf numFmtId="4" fontId="9" fillId="5" borderId="75" xfId="0" applyNumberFormat="1" applyFont="1" applyFill="1" applyBorder="1" applyAlignment="1" applyProtection="1">
      <alignment horizontal="center" vertical="center"/>
    </xf>
    <xf numFmtId="4" fontId="9" fillId="5" borderId="76" xfId="0" applyNumberFormat="1" applyFont="1" applyFill="1" applyBorder="1" applyAlignment="1" applyProtection="1">
      <alignment horizontal="center" vertical="center"/>
    </xf>
    <xf numFmtId="4" fontId="9" fillId="5" borderId="77" xfId="0" applyNumberFormat="1" applyFont="1" applyFill="1" applyBorder="1" applyAlignment="1" applyProtection="1">
      <alignment horizontal="center" vertical="center"/>
    </xf>
    <xf numFmtId="4" fontId="2" fillId="0" borderId="111" xfId="0" applyNumberFormat="1" applyFont="1" applyBorder="1" applyAlignment="1" applyProtection="1">
      <alignment horizontal="center" vertical="center"/>
    </xf>
    <xf numFmtId="4" fontId="2" fillId="0" borderId="10" xfId="0" applyNumberFormat="1" applyFont="1" applyBorder="1" applyAlignment="1" applyProtection="1">
      <alignment horizontal="center" vertical="center"/>
    </xf>
    <xf numFmtId="4" fontId="7" fillId="0" borderId="2" xfId="0" applyNumberFormat="1" applyFont="1" applyBorder="1" applyAlignment="1" applyProtection="1">
      <alignment horizontal="right" vertical="center"/>
    </xf>
    <xf numFmtId="4" fontId="7" fillId="0" borderId="118" xfId="0" applyNumberFormat="1" applyFont="1" applyBorder="1" applyAlignment="1" applyProtection="1">
      <alignment horizontal="right" vertical="center"/>
    </xf>
    <xf numFmtId="4" fontId="7" fillId="0" borderId="93" xfId="0" applyNumberFormat="1" applyFont="1" applyBorder="1" applyAlignment="1" applyProtection="1">
      <alignment horizontal="right" vertical="center"/>
    </xf>
    <xf numFmtId="4" fontId="7" fillId="0" borderId="113" xfId="0" applyNumberFormat="1" applyFont="1" applyBorder="1" applyAlignment="1" applyProtection="1">
      <alignment horizontal="right" vertical="center"/>
    </xf>
    <xf numFmtId="4" fontId="28" fillId="6" borderId="75" xfId="0" applyNumberFormat="1" applyFont="1" applyFill="1" applyBorder="1" applyAlignment="1" applyProtection="1">
      <alignment horizontal="center" vertical="center"/>
    </xf>
    <xf numFmtId="4" fontId="28" fillId="6" borderId="76" xfId="0" applyNumberFormat="1" applyFont="1" applyFill="1" applyBorder="1" applyAlignment="1" applyProtection="1">
      <alignment horizontal="center" vertical="center"/>
    </xf>
    <xf numFmtId="4" fontId="28" fillId="6" borderId="77" xfId="0" applyNumberFormat="1" applyFont="1" applyFill="1" applyBorder="1" applyAlignment="1" applyProtection="1">
      <alignment horizontal="center" vertical="center"/>
    </xf>
    <xf numFmtId="4" fontId="18" fillId="2" borderId="23" xfId="0" applyNumberFormat="1" applyFont="1" applyFill="1" applyBorder="1" applyAlignment="1" applyProtection="1">
      <alignment horizontal="center" vertical="center"/>
    </xf>
    <xf numFmtId="4" fontId="18" fillId="2" borderId="24" xfId="0" applyNumberFormat="1" applyFont="1" applyFill="1" applyBorder="1" applyAlignment="1" applyProtection="1">
      <alignment horizontal="center" vertical="center"/>
    </xf>
    <xf numFmtId="4" fontId="18" fillId="2" borderId="11" xfId="0" applyNumberFormat="1" applyFont="1" applyFill="1" applyBorder="1" applyAlignment="1" applyProtection="1">
      <alignment horizontal="center" vertical="center"/>
    </xf>
    <xf numFmtId="4" fontId="18" fillId="2" borderId="12" xfId="0" applyNumberFormat="1" applyFont="1" applyFill="1" applyBorder="1" applyAlignment="1" applyProtection="1">
      <alignment horizontal="center" vertical="center"/>
    </xf>
    <xf numFmtId="4" fontId="7" fillId="0" borderId="86" xfId="0" applyNumberFormat="1" applyFont="1" applyBorder="1" applyAlignment="1" applyProtection="1">
      <alignment horizontal="center" vertical="center"/>
    </xf>
    <xf numFmtId="4" fontId="7" fillId="0" borderId="10" xfId="0" applyNumberFormat="1" applyFont="1" applyBorder="1" applyAlignment="1" applyProtection="1">
      <alignment horizontal="center" vertical="center"/>
    </xf>
    <xf numFmtId="4" fontId="7" fillId="0" borderId="91" xfId="0" applyNumberFormat="1" applyFont="1" applyBorder="1" applyAlignment="1" applyProtection="1">
      <alignment horizontal="right" vertical="center"/>
    </xf>
    <xf numFmtId="4" fontId="7" fillId="0" borderId="96" xfId="0" applyNumberFormat="1" applyFont="1" applyBorder="1" applyAlignment="1" applyProtection="1">
      <alignment horizontal="right" vertical="center"/>
    </xf>
    <xf numFmtId="4" fontId="7" fillId="0" borderId="92" xfId="0" applyNumberFormat="1" applyFont="1" applyBorder="1" applyAlignment="1" applyProtection="1">
      <alignment horizontal="right" vertical="center"/>
    </xf>
    <xf numFmtId="4" fontId="37" fillId="22" borderId="75" xfId="0" applyNumberFormat="1" applyFont="1" applyFill="1" applyBorder="1" applyAlignment="1" applyProtection="1">
      <alignment horizontal="center" vertical="center"/>
    </xf>
    <xf numFmtId="4" fontId="37" fillId="22" borderId="76" xfId="0" applyNumberFormat="1" applyFont="1" applyFill="1" applyBorder="1" applyAlignment="1" applyProtection="1">
      <alignment horizontal="center" vertical="center"/>
    </xf>
    <xf numFmtId="4" fontId="37" fillId="22" borderId="77" xfId="0" applyNumberFormat="1" applyFont="1" applyFill="1" applyBorder="1" applyAlignment="1" applyProtection="1">
      <alignment horizontal="center" vertical="center"/>
    </xf>
    <xf numFmtId="4" fontId="7" fillId="0" borderId="67" xfId="0" applyNumberFormat="1" applyFont="1" applyBorder="1" applyAlignment="1" applyProtection="1">
      <alignment horizontal="right" vertical="center"/>
    </xf>
    <xf numFmtId="4" fontId="7" fillId="0" borderId="6" xfId="0" applyNumberFormat="1" applyFont="1" applyBorder="1" applyAlignment="1" applyProtection="1">
      <alignment horizontal="right" vertical="center"/>
    </xf>
    <xf numFmtId="4" fontId="7" fillId="0" borderId="35" xfId="0" applyNumberFormat="1" applyFont="1" applyBorder="1" applyAlignment="1" applyProtection="1">
      <alignment horizontal="right" vertical="center"/>
    </xf>
    <xf numFmtId="4" fontId="29" fillId="4" borderId="111" xfId="0" applyNumberFormat="1" applyFont="1" applyFill="1" applyBorder="1" applyAlignment="1" applyProtection="1">
      <alignment horizontal="center" vertical="center"/>
    </xf>
    <xf numFmtId="4" fontId="29" fillId="4" borderId="10" xfId="0" applyNumberFormat="1" applyFont="1" applyFill="1" applyBorder="1" applyAlignment="1" applyProtection="1">
      <alignment horizontal="center" vertical="center"/>
    </xf>
    <xf numFmtId="4" fontId="29" fillId="4" borderId="68" xfId="0" applyNumberFormat="1" applyFont="1" applyFill="1" applyBorder="1" applyAlignment="1" applyProtection="1">
      <alignment horizontal="center" vertical="center"/>
    </xf>
    <xf numFmtId="4" fontId="29" fillId="4" borderId="120" xfId="0" applyNumberFormat="1" applyFont="1" applyFill="1" applyBorder="1" applyAlignment="1" applyProtection="1">
      <alignment horizontal="center" vertical="center"/>
    </xf>
    <xf numFmtId="4" fontId="29" fillId="4" borderId="21" xfId="0" applyNumberFormat="1" applyFont="1" applyFill="1" applyBorder="1" applyAlignment="1" applyProtection="1">
      <alignment horizontal="center" vertical="center"/>
    </xf>
    <xf numFmtId="4" fontId="29" fillId="4" borderId="78" xfId="0" applyNumberFormat="1" applyFont="1" applyFill="1" applyBorder="1" applyAlignment="1" applyProtection="1">
      <alignment horizontal="center" vertical="center"/>
    </xf>
    <xf numFmtId="4" fontId="29" fillId="4" borderId="121" xfId="0" applyNumberFormat="1" applyFont="1" applyFill="1" applyBorder="1" applyAlignment="1" applyProtection="1">
      <alignment horizontal="center" vertical="center"/>
    </xf>
    <xf numFmtId="4" fontId="29" fillId="4" borderId="122" xfId="0" applyNumberFormat="1" applyFont="1" applyFill="1" applyBorder="1" applyAlignment="1" applyProtection="1">
      <alignment horizontal="center" vertical="center"/>
    </xf>
    <xf numFmtId="4" fontId="29" fillId="4" borderId="123" xfId="0" applyNumberFormat="1" applyFont="1" applyFill="1" applyBorder="1" applyAlignment="1" applyProtection="1">
      <alignment horizontal="center" vertical="center"/>
    </xf>
    <xf numFmtId="4" fontId="8" fillId="0" borderId="112" xfId="0" applyNumberFormat="1" applyFont="1" applyBorder="1" applyAlignment="1" applyProtection="1">
      <alignment horizontal="right" vertical="center"/>
    </xf>
    <xf numFmtId="4" fontId="8" fillId="0" borderId="86" xfId="0" applyNumberFormat="1" applyFont="1" applyBorder="1" applyAlignment="1" applyProtection="1">
      <alignment horizontal="right" vertical="center"/>
    </xf>
    <xf numFmtId="4" fontId="8" fillId="0" borderId="120" xfId="0" applyNumberFormat="1" applyFont="1" applyBorder="1" applyAlignment="1" applyProtection="1">
      <alignment horizontal="right" vertical="center"/>
    </xf>
    <xf numFmtId="4" fontId="8" fillId="0" borderId="21" xfId="0" applyNumberFormat="1" applyFont="1" applyBorder="1" applyAlignment="1" applyProtection="1">
      <alignment horizontal="right" vertical="center"/>
    </xf>
    <xf numFmtId="4" fontId="7" fillId="0" borderId="37" xfId="0" applyNumberFormat="1" applyFont="1" applyFill="1" applyBorder="1" applyAlignment="1" applyProtection="1">
      <alignment horizontal="center" vertical="center"/>
    </xf>
    <xf numFmtId="4" fontId="7" fillId="0" borderId="34" xfId="0" applyNumberFormat="1" applyFont="1" applyFill="1" applyBorder="1" applyAlignment="1" applyProtection="1">
      <alignment horizontal="center" vertical="center"/>
    </xf>
    <xf numFmtId="4" fontId="7" fillId="0" borderId="28" xfId="0" applyNumberFormat="1" applyFont="1" applyBorder="1" applyAlignment="1" applyProtection="1">
      <alignment horizontal="center" vertical="center"/>
    </xf>
    <xf numFmtId="4" fontId="7" fillId="0" borderId="19" xfId="0" applyNumberFormat="1" applyFont="1" applyBorder="1" applyAlignment="1" applyProtection="1">
      <alignment horizontal="center" vertical="center"/>
    </xf>
    <xf numFmtId="4" fontId="7" fillId="0" borderId="79" xfId="0" applyNumberFormat="1" applyFont="1" applyFill="1" applyBorder="1" applyAlignment="1" applyProtection="1">
      <alignment horizontal="center" vertical="center"/>
    </xf>
    <xf numFmtId="4" fontId="7" fillId="0" borderId="7" xfId="0" applyNumberFormat="1" applyFont="1" applyFill="1" applyBorder="1" applyAlignment="1" applyProtection="1">
      <alignment horizontal="center" vertical="center"/>
    </xf>
    <xf numFmtId="4" fontId="7" fillId="0" borderId="80" xfId="0" applyNumberFormat="1" applyFont="1" applyFill="1" applyBorder="1" applyAlignment="1" applyProtection="1">
      <alignment horizontal="center" vertical="center"/>
    </xf>
    <xf numFmtId="4" fontId="10" fillId="0" borderId="71" xfId="0" applyNumberFormat="1" applyFont="1" applyFill="1" applyBorder="1" applyAlignment="1" applyProtection="1">
      <alignment horizontal="right" vertical="center"/>
    </xf>
    <xf numFmtId="4" fontId="10" fillId="0" borderId="72" xfId="0" applyNumberFormat="1" applyFont="1" applyFill="1" applyBorder="1" applyAlignment="1" applyProtection="1">
      <alignment horizontal="right" vertical="center"/>
    </xf>
    <xf numFmtId="4" fontId="8" fillId="0" borderId="71" xfId="0" applyNumberFormat="1" applyFont="1" applyBorder="1" applyAlignment="1" applyProtection="1">
      <alignment horizontal="right" vertical="center"/>
    </xf>
    <xf numFmtId="4" fontId="8" fillId="0" borderId="72" xfId="0" applyNumberFormat="1" applyFont="1" applyBorder="1" applyAlignment="1" applyProtection="1">
      <alignment horizontal="right" vertical="center"/>
    </xf>
    <xf numFmtId="4" fontId="7" fillId="0" borderId="97" xfId="0" applyNumberFormat="1" applyFont="1" applyBorder="1" applyAlignment="1" applyProtection="1">
      <alignment horizontal="right" vertical="center"/>
    </xf>
    <xf numFmtId="4" fontId="7" fillId="0" borderId="19" xfId="0" applyNumberFormat="1" applyFont="1" applyBorder="1" applyAlignment="1" applyProtection="1">
      <alignment horizontal="right" vertical="center"/>
    </xf>
    <xf numFmtId="4" fontId="29" fillId="4" borderId="112" xfId="0" applyNumberFormat="1" applyFont="1" applyFill="1" applyBorder="1" applyAlignment="1" applyProtection="1">
      <alignment horizontal="center" vertical="center"/>
    </xf>
    <xf numFmtId="4" fontId="29" fillId="4" borderId="86" xfId="0" applyNumberFormat="1" applyFont="1" applyFill="1" applyBorder="1" applyAlignment="1" applyProtection="1">
      <alignment horizontal="center" vertical="center"/>
    </xf>
    <xf numFmtId="4" fontId="29" fillId="4" borderId="87" xfId="0" applyNumberFormat="1" applyFont="1" applyFill="1" applyBorder="1" applyAlignment="1" applyProtection="1">
      <alignment horizontal="center" vertical="center"/>
    </xf>
    <xf numFmtId="4" fontId="7" fillId="0" borderId="3" xfId="0" applyNumberFormat="1" applyFont="1" applyBorder="1" applyAlignment="1" applyProtection="1">
      <alignment horizontal="center" vertical="center"/>
    </xf>
    <xf numFmtId="4" fontId="7" fillId="0" borderId="4" xfId="0" applyNumberFormat="1" applyFont="1" applyBorder="1" applyAlignment="1" applyProtection="1">
      <alignment horizontal="center" vertical="center"/>
    </xf>
    <xf numFmtId="4" fontId="7" fillId="0" borderId="3" xfId="0" applyNumberFormat="1" applyFont="1" applyFill="1" applyBorder="1" applyAlignment="1" applyProtection="1">
      <alignment horizontal="center" vertical="center"/>
    </xf>
    <xf numFmtId="4" fontId="7" fillId="0" borderId="4" xfId="0" applyNumberFormat="1" applyFont="1" applyFill="1" applyBorder="1" applyAlignment="1" applyProtection="1">
      <alignment horizontal="center" vertical="center"/>
    </xf>
    <xf numFmtId="4" fontId="7" fillId="0" borderId="30" xfId="0" applyNumberFormat="1" applyFont="1" applyBorder="1" applyAlignment="1" applyProtection="1">
      <alignment horizontal="center" vertical="center"/>
    </xf>
    <xf numFmtId="4" fontId="7" fillId="0" borderId="38" xfId="0" applyNumberFormat="1" applyFont="1" applyBorder="1" applyAlignment="1" applyProtection="1">
      <alignment horizontal="center" vertical="center"/>
    </xf>
    <xf numFmtId="4" fontId="13" fillId="17" borderId="40" xfId="0" applyNumberFormat="1" applyFont="1" applyFill="1" applyBorder="1" applyAlignment="1" applyProtection="1">
      <alignment horizontal="center" vertical="center"/>
    </xf>
    <xf numFmtId="4" fontId="13" fillId="17" borderId="41" xfId="0" applyNumberFormat="1" applyFont="1" applyFill="1" applyBorder="1" applyAlignment="1" applyProtection="1">
      <alignment horizontal="center" vertical="center"/>
    </xf>
    <xf numFmtId="4" fontId="13" fillId="17" borderId="42" xfId="0" applyNumberFormat="1" applyFont="1" applyFill="1" applyBorder="1" applyAlignment="1" applyProtection="1">
      <alignment horizontal="center" vertical="center"/>
    </xf>
    <xf numFmtId="4" fontId="13" fillId="17" borderId="43" xfId="0" applyNumberFormat="1" applyFont="1" applyFill="1" applyBorder="1" applyAlignment="1" applyProtection="1">
      <alignment horizontal="center" vertical="center"/>
    </xf>
    <xf numFmtId="4" fontId="13" fillId="17" borderId="0" xfId="0" applyNumberFormat="1" applyFont="1" applyFill="1" applyBorder="1" applyAlignment="1" applyProtection="1">
      <alignment horizontal="center" vertical="center"/>
    </xf>
    <xf numFmtId="4" fontId="13" fillId="17" borderId="44" xfId="0" applyNumberFormat="1" applyFont="1" applyFill="1" applyBorder="1" applyAlignment="1" applyProtection="1">
      <alignment horizontal="center" vertical="center"/>
    </xf>
    <xf numFmtId="4" fontId="7" fillId="17" borderId="46" xfId="0" applyNumberFormat="1" applyFont="1" applyFill="1" applyBorder="1" applyAlignment="1" applyProtection="1">
      <alignment horizontal="center" vertical="center"/>
    </xf>
    <xf numFmtId="4" fontId="28" fillId="6" borderId="116" xfId="0" applyNumberFormat="1" applyFont="1" applyFill="1" applyBorder="1" applyAlignment="1" applyProtection="1">
      <alignment horizontal="center" vertical="center"/>
    </xf>
    <xf numFmtId="4" fontId="28" fillId="6" borderId="98" xfId="0" applyNumberFormat="1" applyFont="1" applyFill="1" applyBorder="1" applyAlignment="1" applyProtection="1">
      <alignment horizontal="center" vertical="center"/>
    </xf>
    <xf numFmtId="4" fontId="28" fillId="6" borderId="117" xfId="0" applyNumberFormat="1" applyFont="1" applyFill="1" applyBorder="1" applyAlignment="1" applyProtection="1">
      <alignment horizontal="center" vertical="center"/>
    </xf>
    <xf numFmtId="4" fontId="8" fillId="0" borderId="119" xfId="0" applyNumberFormat="1" applyFont="1" applyBorder="1" applyAlignment="1" applyProtection="1">
      <alignment horizontal="right" vertical="center"/>
    </xf>
    <xf numFmtId="4" fontId="8" fillId="0" borderId="73" xfId="0" applyNumberFormat="1" applyFont="1" applyBorder="1" applyAlignment="1" applyProtection="1">
      <alignment horizontal="right" vertical="center"/>
    </xf>
    <xf numFmtId="4" fontId="7" fillId="0" borderId="111" xfId="0" applyNumberFormat="1" applyFont="1" applyBorder="1" applyAlignment="1" applyProtection="1">
      <alignment horizontal="right" vertical="center"/>
    </xf>
    <xf numFmtId="4" fontId="7" fillId="0" borderId="10" xfId="0" applyNumberFormat="1" applyFont="1" applyBorder="1" applyAlignment="1" applyProtection="1">
      <alignment horizontal="right" vertical="center"/>
    </xf>
    <xf numFmtId="3" fontId="18" fillId="16" borderId="75" xfId="0" applyNumberFormat="1" applyFont="1" applyFill="1" applyBorder="1" applyAlignment="1" applyProtection="1">
      <alignment horizontal="center" vertical="center"/>
    </xf>
    <xf numFmtId="3" fontId="18" fillId="16" borderId="76" xfId="0" applyNumberFormat="1" applyFont="1" applyFill="1" applyBorder="1" applyAlignment="1" applyProtection="1">
      <alignment horizontal="center" vertical="center"/>
    </xf>
    <xf numFmtId="3" fontId="18" fillId="16" borderId="77" xfId="0" applyNumberFormat="1" applyFont="1" applyFill="1" applyBorder="1" applyAlignment="1" applyProtection="1">
      <alignment horizontal="center" vertical="center"/>
    </xf>
    <xf numFmtId="4" fontId="18" fillId="14" borderId="75" xfId="0" applyNumberFormat="1" applyFont="1" applyFill="1" applyBorder="1" applyAlignment="1" applyProtection="1">
      <alignment horizontal="center" vertical="center"/>
    </xf>
    <xf numFmtId="4" fontId="18" fillId="14" borderId="76" xfId="0" applyNumberFormat="1" applyFont="1" applyFill="1" applyBorder="1" applyAlignment="1" applyProtection="1">
      <alignment horizontal="center" vertical="center"/>
    </xf>
    <xf numFmtId="4" fontId="18" fillId="14" borderId="77" xfId="0" applyNumberFormat="1" applyFont="1" applyFill="1" applyBorder="1" applyAlignment="1" applyProtection="1">
      <alignment horizontal="center" vertical="center"/>
    </xf>
    <xf numFmtId="4" fontId="18" fillId="7" borderId="75" xfId="0" applyNumberFormat="1" applyFont="1" applyFill="1" applyBorder="1" applyAlignment="1" applyProtection="1">
      <alignment horizontal="center" vertical="center"/>
    </xf>
    <xf numFmtId="4" fontId="18" fillId="7" borderId="76" xfId="0" applyNumberFormat="1" applyFont="1" applyFill="1" applyBorder="1" applyAlignment="1" applyProtection="1">
      <alignment horizontal="center" vertical="center"/>
    </xf>
    <xf numFmtId="4" fontId="18" fillId="7" borderId="77" xfId="0" applyNumberFormat="1" applyFont="1" applyFill="1" applyBorder="1" applyAlignment="1" applyProtection="1">
      <alignment horizontal="center" vertical="center"/>
    </xf>
    <xf numFmtId="4" fontId="18" fillId="13" borderId="100" xfId="0" applyNumberFormat="1" applyFont="1" applyFill="1" applyBorder="1" applyAlignment="1" applyProtection="1">
      <alignment horizontal="center" vertical="center"/>
    </xf>
    <xf numFmtId="4" fontId="18" fillId="13" borderId="102" xfId="0" applyNumberFormat="1" applyFont="1" applyFill="1" applyBorder="1" applyAlignment="1" applyProtection="1">
      <alignment horizontal="center" vertical="center"/>
    </xf>
    <xf numFmtId="4" fontId="18" fillId="13" borderId="71" xfId="0" applyNumberFormat="1" applyFont="1" applyFill="1" applyBorder="1" applyAlignment="1" applyProtection="1">
      <alignment horizontal="center" vertical="center"/>
    </xf>
    <xf numFmtId="4" fontId="18" fillId="13" borderId="89" xfId="0" applyNumberFormat="1" applyFont="1" applyFill="1" applyBorder="1" applyAlignment="1" applyProtection="1">
      <alignment horizontal="center" vertical="center"/>
    </xf>
    <xf numFmtId="4" fontId="8" fillId="2" borderId="100" xfId="0" applyNumberFormat="1" applyFont="1" applyFill="1" applyBorder="1" applyAlignment="1" applyProtection="1">
      <alignment horizontal="center" vertical="center"/>
    </xf>
    <xf numFmtId="4" fontId="8" fillId="2" borderId="102" xfId="0" applyNumberFormat="1" applyFont="1" applyFill="1" applyBorder="1" applyAlignment="1" applyProtection="1">
      <alignment horizontal="center" vertical="center"/>
    </xf>
    <xf numFmtId="4" fontId="8" fillId="2" borderId="69" xfId="0" applyNumberFormat="1" applyFont="1" applyFill="1" applyBorder="1" applyAlignment="1" applyProtection="1">
      <alignment horizontal="center" vertical="center"/>
    </xf>
    <xf numFmtId="4" fontId="8" fillId="2" borderId="81" xfId="0" applyNumberFormat="1" applyFont="1" applyFill="1" applyBorder="1" applyAlignment="1" applyProtection="1">
      <alignment horizontal="center" vertical="center"/>
    </xf>
    <xf numFmtId="4" fontId="8" fillId="2" borderId="71" xfId="0" applyNumberFormat="1" applyFont="1" applyFill="1" applyBorder="1" applyAlignment="1" applyProtection="1">
      <alignment horizontal="center" vertical="center"/>
    </xf>
    <xf numFmtId="4" fontId="8" fillId="2" borderId="89" xfId="0" applyNumberFormat="1" applyFont="1" applyFill="1" applyBorder="1" applyAlignment="1" applyProtection="1">
      <alignment horizontal="center" vertical="center"/>
    </xf>
    <xf numFmtId="4" fontId="7" fillId="0" borderId="112" xfId="0" applyNumberFormat="1" applyFont="1" applyBorder="1" applyAlignment="1" applyProtection="1">
      <alignment horizontal="right" vertical="center"/>
    </xf>
    <xf numFmtId="4" fontId="7" fillId="0" borderId="86" xfId="0" applyNumberFormat="1" applyFont="1" applyBorder="1" applyAlignment="1" applyProtection="1">
      <alignment horizontal="right" vertical="center"/>
    </xf>
    <xf numFmtId="4" fontId="9" fillId="5" borderId="101" xfId="0" applyNumberFormat="1" applyFont="1" applyFill="1" applyBorder="1" applyAlignment="1" applyProtection="1">
      <alignment horizontal="center" vertical="center"/>
    </xf>
    <xf numFmtId="4" fontId="9" fillId="5" borderId="102" xfId="0" applyNumberFormat="1" applyFont="1" applyFill="1" applyBorder="1" applyAlignment="1" applyProtection="1">
      <alignment horizontal="center" vertical="center"/>
    </xf>
    <xf numFmtId="4" fontId="8" fillId="8" borderId="100" xfId="0" applyNumberFormat="1" applyFont="1" applyFill="1" applyBorder="1" applyAlignment="1" applyProtection="1">
      <alignment horizontal="center" vertical="center"/>
    </xf>
    <xf numFmtId="4" fontId="8" fillId="8" borderId="102" xfId="0" applyNumberFormat="1" applyFont="1" applyFill="1" applyBorder="1" applyAlignment="1" applyProtection="1">
      <alignment horizontal="center" vertical="center"/>
    </xf>
    <xf numFmtId="4" fontId="8" fillId="8" borderId="69" xfId="0" applyNumberFormat="1" applyFont="1" applyFill="1" applyBorder="1" applyAlignment="1" applyProtection="1">
      <alignment horizontal="center" vertical="center"/>
    </xf>
    <xf numFmtId="4" fontId="8" fillId="8" borderId="81" xfId="0" applyNumberFormat="1" applyFont="1" applyFill="1" applyBorder="1" applyAlignment="1" applyProtection="1">
      <alignment horizontal="center" vertical="center"/>
    </xf>
    <xf numFmtId="4" fontId="8" fillId="8" borderId="71" xfId="0" applyNumberFormat="1" applyFont="1" applyFill="1" applyBorder="1" applyAlignment="1" applyProtection="1">
      <alignment horizontal="center" vertical="center"/>
    </xf>
    <xf numFmtId="4" fontId="8" fillId="8" borderId="89" xfId="0" applyNumberFormat="1" applyFont="1" applyFill="1" applyBorder="1" applyAlignment="1" applyProtection="1">
      <alignment horizontal="center" vertical="center"/>
    </xf>
    <xf numFmtId="4" fontId="7" fillId="0" borderId="112" xfId="0" applyNumberFormat="1" applyFont="1" applyBorder="1" applyAlignment="1" applyProtection="1">
      <alignment horizontal="center" vertical="center"/>
    </xf>
    <xf numFmtId="4" fontId="7" fillId="0" borderId="1" xfId="0" applyNumberFormat="1" applyFont="1" applyBorder="1" applyAlignment="1" applyProtection="1">
      <alignment horizontal="right" vertical="center"/>
    </xf>
    <xf numFmtId="4" fontId="18" fillId="2" borderId="100" xfId="0" applyNumberFormat="1" applyFont="1" applyFill="1" applyBorder="1" applyAlignment="1" applyProtection="1">
      <alignment horizontal="center" vertical="center"/>
    </xf>
    <xf numFmtId="4" fontId="18" fillId="2" borderId="102" xfId="0" applyNumberFormat="1" applyFont="1" applyFill="1" applyBorder="1" applyAlignment="1" applyProtection="1">
      <alignment horizontal="center" vertical="center"/>
    </xf>
    <xf numFmtId="4" fontId="18" fillId="2" borderId="71" xfId="0" applyNumberFormat="1" applyFont="1" applyFill="1" applyBorder="1" applyAlignment="1" applyProtection="1">
      <alignment horizontal="center" vertical="center"/>
    </xf>
    <xf numFmtId="4" fontId="18" fillId="2" borderId="89" xfId="0" applyNumberFormat="1" applyFont="1" applyFill="1" applyBorder="1" applyAlignment="1" applyProtection="1">
      <alignment horizontal="center" vertical="center"/>
    </xf>
    <xf numFmtId="4" fontId="18" fillId="10" borderId="100" xfId="0" applyNumberFormat="1" applyFont="1" applyFill="1" applyBorder="1" applyAlignment="1" applyProtection="1">
      <alignment horizontal="center" vertical="center"/>
    </xf>
    <xf numFmtId="4" fontId="18" fillId="10" borderId="102" xfId="0" applyNumberFormat="1" applyFont="1" applyFill="1" applyBorder="1" applyAlignment="1" applyProtection="1">
      <alignment horizontal="center" vertical="center"/>
    </xf>
    <xf numFmtId="4" fontId="18" fillId="10" borderId="71" xfId="0" applyNumberFormat="1" applyFont="1" applyFill="1" applyBorder="1" applyAlignment="1" applyProtection="1">
      <alignment horizontal="center" vertical="center"/>
    </xf>
    <xf numFmtId="4" fontId="18" fillId="10" borderId="89" xfId="0" applyNumberFormat="1" applyFont="1" applyFill="1" applyBorder="1" applyAlignment="1" applyProtection="1">
      <alignment horizontal="center" vertical="center"/>
    </xf>
    <xf numFmtId="4" fontId="7" fillId="0" borderId="104" xfId="0" applyNumberFormat="1" applyFont="1" applyBorder="1" applyAlignment="1" applyProtection="1">
      <alignment horizontal="right" vertical="center"/>
    </xf>
    <xf numFmtId="4" fontId="7" fillId="0" borderId="103" xfId="0" applyNumberFormat="1" applyFont="1" applyBorder="1" applyAlignment="1" applyProtection="1">
      <alignment horizontal="right" vertical="center"/>
    </xf>
    <xf numFmtId="4" fontId="7" fillId="0" borderId="85" xfId="0" applyNumberFormat="1" applyFont="1" applyBorder="1" applyAlignment="1" applyProtection="1">
      <alignment horizontal="right" vertical="center"/>
    </xf>
    <xf numFmtId="4" fontId="30" fillId="9" borderId="106" xfId="0" applyNumberFormat="1" applyFont="1" applyFill="1" applyBorder="1" applyAlignment="1" applyProtection="1">
      <alignment horizontal="center" vertical="center"/>
    </xf>
    <xf numFmtId="4" fontId="30" fillId="9" borderId="108" xfId="0" applyNumberFormat="1" applyFont="1" applyFill="1" applyBorder="1" applyAlignment="1" applyProtection="1">
      <alignment horizontal="center" vertical="center"/>
    </xf>
    <xf numFmtId="4" fontId="30" fillId="9" borderId="109" xfId="0" applyNumberFormat="1" applyFont="1" applyFill="1" applyBorder="1" applyAlignment="1" applyProtection="1">
      <alignment horizontal="center" vertical="center"/>
    </xf>
    <xf numFmtId="4" fontId="30" fillId="9" borderId="107" xfId="0" applyNumberFormat="1" applyFont="1" applyFill="1" applyBorder="1" applyAlignment="1" applyProtection="1">
      <alignment horizontal="center" vertical="center"/>
    </xf>
    <xf numFmtId="4" fontId="30" fillId="9" borderId="105" xfId="0" applyNumberFormat="1" applyFont="1" applyFill="1" applyBorder="1" applyAlignment="1" applyProtection="1">
      <alignment horizontal="center" vertical="center"/>
    </xf>
    <xf numFmtId="4" fontId="30" fillId="9" borderId="110" xfId="0" applyNumberFormat="1" applyFont="1" applyFill="1" applyBorder="1" applyAlignment="1" applyProtection="1">
      <alignment horizontal="center" vertical="center"/>
    </xf>
    <xf numFmtId="4" fontId="7" fillId="0" borderId="127" xfId="0" applyNumberFormat="1" applyFont="1" applyBorder="1" applyAlignment="1" applyProtection="1">
      <alignment horizontal="center" vertical="center"/>
    </xf>
    <xf numFmtId="4" fontId="7" fillId="0" borderId="125" xfId="0" applyNumberFormat="1" applyFont="1" applyBorder="1" applyAlignment="1" applyProtection="1">
      <alignment horizontal="center" vertical="center"/>
    </xf>
    <xf numFmtId="4" fontId="7" fillId="0" borderId="126" xfId="0" applyNumberFormat="1" applyFont="1" applyBorder="1" applyAlignment="1" applyProtection="1">
      <alignment horizontal="center" vertical="center"/>
    </xf>
    <xf numFmtId="4" fontId="31" fillId="9" borderId="106" xfId="0" applyNumberFormat="1" applyFont="1" applyFill="1" applyBorder="1" applyAlignment="1" applyProtection="1">
      <alignment horizontal="center" vertical="center"/>
    </xf>
    <xf numFmtId="4" fontId="31" fillId="9" borderId="108" xfId="0" applyNumberFormat="1" applyFont="1" applyFill="1" applyBorder="1" applyAlignment="1" applyProtection="1">
      <alignment horizontal="center" vertical="center"/>
    </xf>
    <xf numFmtId="4" fontId="31" fillId="9" borderId="109" xfId="0" applyNumberFormat="1" applyFont="1" applyFill="1" applyBorder="1" applyAlignment="1" applyProtection="1">
      <alignment horizontal="center" vertical="center"/>
    </xf>
    <xf numFmtId="4" fontId="31" fillId="9" borderId="107" xfId="0" applyNumberFormat="1" applyFont="1" applyFill="1" applyBorder="1" applyAlignment="1" applyProtection="1">
      <alignment horizontal="center" vertical="center"/>
    </xf>
    <xf numFmtId="4" fontId="31" fillId="9" borderId="105" xfId="0" applyNumberFormat="1" applyFont="1" applyFill="1" applyBorder="1" applyAlignment="1" applyProtection="1">
      <alignment horizontal="center" vertical="center"/>
    </xf>
    <xf numFmtId="4" fontId="31" fillId="9" borderId="110" xfId="0" applyNumberFormat="1" applyFont="1" applyFill="1" applyBorder="1" applyAlignment="1" applyProtection="1">
      <alignment horizontal="center" vertical="center"/>
    </xf>
    <xf numFmtId="4" fontId="7" fillId="0" borderId="20" xfId="0" applyNumberFormat="1" applyFont="1" applyBorder="1" applyAlignment="1" applyProtection="1">
      <alignment horizontal="center" vertical="center"/>
    </xf>
    <xf numFmtId="4" fontId="7" fillId="0" borderId="26" xfId="0" applyNumberFormat="1" applyFont="1" applyBorder="1" applyAlignment="1" applyProtection="1">
      <alignment horizontal="center" vertical="center"/>
    </xf>
    <xf numFmtId="4" fontId="7" fillId="0" borderId="69" xfId="0" applyNumberFormat="1" applyFont="1" applyBorder="1" applyAlignment="1" applyProtection="1">
      <alignment horizontal="right" vertical="center"/>
    </xf>
    <xf numFmtId="4" fontId="7" fillId="0" borderId="0" xfId="0" applyNumberFormat="1" applyFont="1" applyBorder="1" applyAlignment="1" applyProtection="1">
      <alignment horizontal="right" vertical="center"/>
    </xf>
    <xf numFmtId="4" fontId="7" fillId="0" borderId="66" xfId="0" applyNumberFormat="1" applyFont="1" applyBorder="1" applyAlignment="1" applyProtection="1">
      <alignment horizontal="right" vertical="center"/>
    </xf>
    <xf numFmtId="3" fontId="10" fillId="0" borderId="21" xfId="0" applyNumberFormat="1" applyFont="1" applyBorder="1" applyAlignment="1" applyProtection="1">
      <alignment horizontal="center" vertical="center"/>
    </xf>
    <xf numFmtId="3" fontId="10" fillId="0" borderId="86" xfId="0" applyNumberFormat="1" applyFont="1" applyBorder="1" applyAlignment="1" applyProtection="1">
      <alignment horizontal="center" vertical="center"/>
    </xf>
    <xf numFmtId="4" fontId="10" fillId="0" borderId="120" xfId="0" applyNumberFormat="1" applyFont="1" applyFill="1" applyBorder="1" applyAlignment="1" applyProtection="1">
      <alignment horizontal="center" vertical="center"/>
    </xf>
    <xf numFmtId="4" fontId="10" fillId="0" borderId="21" xfId="0" applyNumberFormat="1" applyFont="1" applyFill="1" applyBorder="1" applyAlignment="1" applyProtection="1">
      <alignment horizontal="center" vertical="center"/>
    </xf>
    <xf numFmtId="4" fontId="10" fillId="0" borderId="112" xfId="0" applyNumberFormat="1" applyFont="1" applyFill="1" applyBorder="1" applyAlignment="1" applyProtection="1">
      <alignment horizontal="center" vertical="center"/>
    </xf>
    <xf numFmtId="4" fontId="10" fillId="0" borderId="86" xfId="0" applyNumberFormat="1" applyFont="1" applyFill="1" applyBorder="1" applyAlignment="1" applyProtection="1">
      <alignment horizontal="center" vertical="center"/>
    </xf>
    <xf numFmtId="4" fontId="8" fillId="2" borderId="0" xfId="0" applyNumberFormat="1" applyFont="1" applyFill="1" applyBorder="1" applyAlignment="1" applyProtection="1">
      <alignment horizontal="center" vertical="center"/>
    </xf>
    <xf numFmtId="4" fontId="8" fillId="2" borderId="88" xfId="0" applyNumberFormat="1" applyFont="1" applyFill="1" applyBorder="1" applyAlignment="1" applyProtection="1">
      <alignment horizontal="center" vertical="center"/>
    </xf>
    <xf numFmtId="4" fontId="8" fillId="0" borderId="75" xfId="0" applyNumberFormat="1" applyFont="1" applyFill="1" applyBorder="1" applyAlignment="1" applyProtection="1">
      <alignment horizontal="right" vertical="center"/>
    </xf>
    <xf numFmtId="4" fontId="8" fillId="0" borderId="77" xfId="0" applyNumberFormat="1" applyFont="1" applyFill="1" applyBorder="1" applyAlignment="1" applyProtection="1">
      <alignment horizontal="right" vertical="center"/>
    </xf>
    <xf numFmtId="4" fontId="10" fillId="0" borderId="21" xfId="0" applyNumberFormat="1" applyFont="1" applyBorder="1" applyAlignment="1" applyProtection="1">
      <alignment horizontal="center" vertical="center"/>
    </xf>
    <xf numFmtId="4" fontId="10" fillId="0" borderId="86" xfId="0" applyNumberFormat="1" applyFont="1" applyBorder="1" applyAlignment="1" applyProtection="1">
      <alignment horizontal="center" vertical="center"/>
    </xf>
    <xf numFmtId="4" fontId="8" fillId="0" borderId="21" xfId="0" applyNumberFormat="1" applyFont="1" applyBorder="1" applyAlignment="1" applyProtection="1">
      <alignment horizontal="center" vertical="center"/>
    </xf>
    <xf numFmtId="4" fontId="8" fillId="0" borderId="86" xfId="0" applyNumberFormat="1" applyFont="1" applyBorder="1" applyAlignment="1" applyProtection="1">
      <alignment horizontal="center" vertical="center"/>
    </xf>
    <xf numFmtId="4" fontId="8" fillId="0" borderId="100" xfId="0" applyNumberFormat="1" applyFont="1" applyFill="1" applyBorder="1" applyAlignment="1" applyProtection="1">
      <alignment horizontal="right" vertical="center"/>
    </xf>
    <xf numFmtId="4" fontId="8" fillId="0" borderId="101" xfId="0" applyNumberFormat="1" applyFont="1" applyFill="1" applyBorder="1" applyAlignment="1" applyProtection="1">
      <alignment horizontal="right" vertical="center"/>
    </xf>
    <xf numFmtId="4" fontId="8" fillId="0" borderId="71" xfId="0" applyNumberFormat="1" applyFont="1" applyFill="1" applyBorder="1" applyAlignment="1" applyProtection="1">
      <alignment horizontal="right" vertical="center"/>
    </xf>
    <xf numFmtId="4" fontId="8" fillId="0" borderId="88" xfId="0" applyNumberFormat="1" applyFont="1" applyFill="1" applyBorder="1" applyAlignment="1" applyProtection="1">
      <alignment horizontal="right" vertical="center"/>
    </xf>
    <xf numFmtId="4" fontId="6" fillId="8" borderId="58" xfId="0" applyNumberFormat="1" applyFont="1" applyFill="1" applyBorder="1" applyAlignment="1" applyProtection="1">
      <alignment horizontal="center" vertical="center"/>
    </xf>
    <xf numFmtId="4" fontId="6" fillId="8" borderId="59" xfId="0" applyNumberFormat="1" applyFont="1" applyFill="1" applyBorder="1" applyAlignment="1" applyProtection="1">
      <alignment horizontal="center" vertical="center"/>
    </xf>
    <xf numFmtId="4" fontId="6" fillId="8" borderId="60" xfId="0" applyNumberFormat="1" applyFont="1" applyFill="1" applyBorder="1" applyAlignment="1" applyProtection="1">
      <alignment horizontal="center" vertical="center"/>
    </xf>
    <xf numFmtId="4" fontId="6" fillId="8" borderId="61" xfId="0" applyNumberFormat="1" applyFont="1" applyFill="1" applyBorder="1" applyAlignment="1" applyProtection="1">
      <alignment horizontal="center" vertical="center"/>
    </xf>
    <xf numFmtId="4" fontId="6" fillId="8" borderId="0" xfId="0" applyNumberFormat="1" applyFont="1" applyFill="1" applyBorder="1" applyAlignment="1" applyProtection="1">
      <alignment horizontal="center" vertical="center"/>
    </xf>
    <xf numFmtId="4" fontId="6" fillId="8" borderId="62" xfId="0" applyNumberFormat="1" applyFont="1" applyFill="1" applyBorder="1" applyAlignment="1" applyProtection="1">
      <alignment horizontal="center" vertical="center"/>
    </xf>
    <xf numFmtId="4" fontId="6" fillId="8" borderId="63" xfId="0" applyNumberFormat="1" applyFont="1" applyFill="1" applyBorder="1" applyAlignment="1" applyProtection="1">
      <alignment horizontal="center" vertical="center"/>
    </xf>
    <xf numFmtId="4" fontId="6" fillId="8" borderId="64" xfId="0" applyNumberFormat="1" applyFont="1" applyFill="1" applyBorder="1" applyAlignment="1" applyProtection="1">
      <alignment horizontal="center" vertical="center"/>
    </xf>
    <xf numFmtId="4" fontId="6" fillId="8" borderId="65" xfId="0" applyNumberFormat="1" applyFont="1" applyFill="1" applyBorder="1" applyAlignment="1" applyProtection="1">
      <alignment horizontal="center" vertical="center"/>
    </xf>
    <xf numFmtId="4" fontId="2" fillId="0" borderId="113" xfId="0" applyNumberFormat="1" applyFont="1" applyBorder="1" applyAlignment="1" applyProtection="1">
      <alignment horizontal="center" vertical="center"/>
    </xf>
    <xf numFmtId="4" fontId="2" fillId="0" borderId="93" xfId="0" applyNumberFormat="1" applyFont="1" applyBorder="1" applyAlignment="1" applyProtection="1">
      <alignment horizontal="center" vertical="center"/>
    </xf>
    <xf numFmtId="4" fontId="18" fillId="2" borderId="22" xfId="0" applyNumberFormat="1" applyFont="1" applyFill="1" applyBorder="1" applyAlignment="1" applyProtection="1">
      <alignment horizontal="center" vertical="center"/>
    </xf>
    <xf numFmtId="4" fontId="18" fillId="2" borderId="18" xfId="0" applyNumberFormat="1" applyFont="1" applyFill="1" applyBorder="1" applyAlignment="1" applyProtection="1">
      <alignment horizontal="center" vertical="center"/>
    </xf>
    <xf numFmtId="4" fontId="7" fillId="0" borderId="93" xfId="0" applyNumberFormat="1" applyFont="1" applyBorder="1" applyAlignment="1" applyProtection="1">
      <alignment horizontal="center" vertical="center"/>
    </xf>
    <xf numFmtId="4" fontId="8" fillId="0" borderId="75" xfId="0" applyNumberFormat="1" applyFont="1" applyBorder="1" applyAlignment="1" applyProtection="1">
      <alignment horizontal="right" vertical="center"/>
    </xf>
    <xf numFmtId="4" fontId="8" fillId="0" borderId="76" xfId="0" applyNumberFormat="1" applyFont="1" applyBorder="1" applyAlignment="1" applyProtection="1">
      <alignment horizontal="right" vertical="center"/>
    </xf>
    <xf numFmtId="4" fontId="8" fillId="0" borderId="124" xfId="0" applyNumberFormat="1" applyFont="1" applyBorder="1" applyAlignment="1" applyProtection="1">
      <alignment horizontal="right" vertical="center"/>
    </xf>
    <xf numFmtId="4" fontId="6" fillId="2" borderId="58" xfId="0" applyNumberFormat="1" applyFont="1" applyFill="1" applyBorder="1" applyAlignment="1" applyProtection="1">
      <alignment horizontal="center" vertical="center"/>
    </xf>
    <xf numFmtId="4" fontId="6" fillId="2" borderId="59" xfId="0" applyNumberFormat="1" applyFont="1" applyFill="1" applyBorder="1" applyAlignment="1" applyProtection="1">
      <alignment horizontal="center" vertical="center"/>
    </xf>
    <xf numFmtId="4" fontId="6" fillId="2" borderId="60" xfId="0" applyNumberFormat="1" applyFont="1" applyFill="1" applyBorder="1" applyAlignment="1" applyProtection="1">
      <alignment horizontal="center" vertical="center"/>
    </xf>
    <xf numFmtId="4" fontId="6" fillId="2" borderId="61" xfId="0" applyNumberFormat="1" applyFont="1" applyFill="1" applyBorder="1" applyAlignment="1" applyProtection="1">
      <alignment horizontal="center" vertical="center"/>
    </xf>
    <xf numFmtId="4" fontId="6" fillId="2" borderId="0" xfId="0" applyNumberFormat="1" applyFont="1" applyFill="1" applyBorder="1" applyAlignment="1" applyProtection="1">
      <alignment horizontal="center" vertical="center"/>
    </xf>
    <xf numFmtId="4" fontId="6" fillId="2" borderId="62" xfId="0" applyNumberFormat="1" applyFont="1" applyFill="1" applyBorder="1" applyAlignment="1" applyProtection="1">
      <alignment horizontal="center" vertical="center"/>
    </xf>
    <xf numFmtId="4" fontId="6" fillId="2" borderId="63" xfId="0" applyNumberFormat="1" applyFont="1" applyFill="1" applyBorder="1" applyAlignment="1" applyProtection="1">
      <alignment horizontal="center" vertical="center"/>
    </xf>
    <xf numFmtId="4" fontId="6" fillId="2" borderId="64" xfId="0" applyNumberFormat="1" applyFont="1" applyFill="1" applyBorder="1" applyAlignment="1" applyProtection="1">
      <alignment horizontal="center" vertical="center"/>
    </xf>
    <xf numFmtId="4" fontId="6" fillId="2" borderId="65" xfId="0" applyNumberFormat="1" applyFont="1" applyFill="1" applyBorder="1" applyAlignment="1" applyProtection="1">
      <alignment horizontal="center" vertical="center"/>
    </xf>
    <xf numFmtId="4" fontId="29" fillId="4" borderId="97" xfId="0" applyNumberFormat="1" applyFont="1" applyFill="1" applyBorder="1" applyAlignment="1" applyProtection="1">
      <alignment horizontal="center" vertical="center"/>
    </xf>
    <xf numFmtId="4" fontId="29" fillId="4" borderId="1" xfId="0" applyNumberFormat="1" applyFont="1" applyFill="1" applyBorder="1" applyAlignment="1" applyProtection="1">
      <alignment horizontal="center" vertical="center"/>
    </xf>
    <xf numFmtId="4" fontId="29" fillId="4" borderId="115" xfId="0" applyNumberFormat="1" applyFont="1" applyFill="1" applyBorder="1" applyAlignment="1" applyProtection="1">
      <alignment horizontal="center" vertical="center"/>
    </xf>
    <xf numFmtId="4" fontId="8" fillId="8" borderId="104" xfId="0" applyNumberFormat="1" applyFont="1" applyFill="1" applyBorder="1" applyAlignment="1" applyProtection="1">
      <alignment horizontal="center" vertical="center"/>
    </xf>
    <xf numFmtId="4" fontId="8" fillId="8" borderId="85" xfId="0" applyNumberFormat="1" applyFont="1" applyFill="1" applyBorder="1" applyAlignment="1" applyProtection="1">
      <alignment horizontal="center" vertical="center"/>
    </xf>
    <xf numFmtId="4" fontId="8" fillId="8" borderId="97" xfId="0" applyNumberFormat="1" applyFont="1" applyFill="1" applyBorder="1" applyAlignment="1" applyProtection="1">
      <alignment horizontal="center" vertical="center"/>
    </xf>
    <xf numFmtId="4" fontId="8" fillId="8" borderId="19" xfId="0" applyNumberFormat="1" applyFont="1" applyFill="1" applyBorder="1" applyAlignment="1" applyProtection="1">
      <alignment horizontal="center" vertical="center"/>
    </xf>
    <xf numFmtId="4" fontId="9" fillId="11" borderId="75" xfId="0" applyNumberFormat="1" applyFont="1" applyFill="1" applyBorder="1" applyAlignment="1" applyProtection="1">
      <alignment horizontal="center" vertical="center"/>
    </xf>
    <xf numFmtId="4" fontId="9" fillId="11" borderId="76" xfId="0" applyNumberFormat="1" applyFont="1" applyFill="1" applyBorder="1" applyAlignment="1" applyProtection="1">
      <alignment horizontal="center" vertical="center"/>
    </xf>
    <xf numFmtId="4" fontId="9" fillId="11" borderId="77" xfId="0" applyNumberFormat="1" applyFont="1" applyFill="1" applyBorder="1" applyAlignment="1" applyProtection="1">
      <alignment horizontal="center" vertical="center"/>
    </xf>
    <xf numFmtId="4" fontId="10" fillId="0" borderId="75" xfId="0" applyNumberFormat="1" applyFont="1" applyFill="1" applyBorder="1" applyAlignment="1" applyProtection="1">
      <alignment horizontal="right" vertical="center"/>
    </xf>
    <xf numFmtId="4" fontId="10" fillId="0" borderId="76" xfId="0" applyNumberFormat="1" applyFont="1" applyFill="1" applyBorder="1" applyAlignment="1" applyProtection="1">
      <alignment horizontal="right" vertical="center"/>
    </xf>
    <xf numFmtId="4" fontId="10" fillId="0" borderId="124" xfId="0" applyNumberFormat="1" applyFont="1" applyFill="1" applyBorder="1" applyAlignment="1" applyProtection="1">
      <alignment horizontal="right" vertical="center"/>
    </xf>
    <xf numFmtId="0" fontId="8" fillId="11" borderId="48" xfId="2" applyFont="1" applyFill="1" applyBorder="1" applyAlignment="1">
      <alignment horizontal="center" vertical="center"/>
    </xf>
    <xf numFmtId="0" fontId="8" fillId="11" borderId="49" xfId="2" applyFont="1" applyFill="1" applyBorder="1" applyAlignment="1">
      <alignment horizontal="center" vertical="center"/>
    </xf>
    <xf numFmtId="164" fontId="5" fillId="12" borderId="137" xfId="2" applyNumberFormat="1" applyFont="1" applyFill="1" applyBorder="1" applyAlignment="1">
      <alignment horizontal="center" vertical="center"/>
    </xf>
    <xf numFmtId="164" fontId="5" fillId="12" borderId="139" xfId="2" applyNumberFormat="1" applyFont="1" applyFill="1" applyBorder="1" applyAlignment="1">
      <alignment horizontal="center" vertical="center"/>
    </xf>
    <xf numFmtId="164" fontId="5" fillId="12" borderId="55" xfId="2" applyNumberFormat="1" applyFont="1" applyFill="1" applyBorder="1" applyAlignment="1">
      <alignment horizontal="center" vertical="center"/>
    </xf>
    <xf numFmtId="164" fontId="5" fillId="12" borderId="56" xfId="2" applyNumberFormat="1" applyFont="1" applyFill="1" applyBorder="1" applyAlignment="1">
      <alignment horizontal="center" vertical="center"/>
    </xf>
    <xf numFmtId="164" fontId="5" fillId="12" borderId="133" xfId="2" applyNumberFormat="1" applyFont="1" applyFill="1" applyBorder="1" applyAlignment="1">
      <alignment horizontal="center" vertical="center"/>
    </xf>
    <xf numFmtId="164" fontId="5" fillId="12" borderId="134" xfId="2" applyNumberFormat="1" applyFont="1" applyFill="1" applyBorder="1" applyAlignment="1">
      <alignment horizontal="center" vertical="center"/>
    </xf>
    <xf numFmtId="0" fontId="4" fillId="10" borderId="151" xfId="0" applyFont="1" applyFill="1" applyBorder="1" applyAlignment="1">
      <alignment horizontal="center"/>
    </xf>
    <xf numFmtId="0" fontId="4" fillId="10" borderId="152" xfId="0" applyFont="1" applyFill="1" applyBorder="1" applyAlignment="1">
      <alignment horizontal="center"/>
    </xf>
    <xf numFmtId="0" fontId="8" fillId="5" borderId="141" xfId="2" applyFont="1" applyFill="1" applyBorder="1" applyAlignment="1">
      <alignment horizontal="center" vertical="center"/>
    </xf>
    <xf numFmtId="0" fontId="8" fillId="5" borderId="142" xfId="2" applyFont="1" applyFill="1" applyBorder="1" applyAlignment="1">
      <alignment horizontal="center" vertical="center"/>
    </xf>
    <xf numFmtId="0" fontId="34" fillId="5" borderId="48" xfId="2" applyNumberFormat="1" applyFont="1" applyFill="1" applyBorder="1" applyAlignment="1">
      <alignment horizontal="center" vertical="center"/>
    </xf>
    <xf numFmtId="0" fontId="34" fillId="5" borderId="49" xfId="2" applyNumberFormat="1" applyFont="1" applyFill="1" applyBorder="1" applyAlignment="1">
      <alignment horizontal="center" vertical="center"/>
    </xf>
    <xf numFmtId="0" fontId="34" fillId="5" borderId="50" xfId="2" applyNumberFormat="1" applyFont="1" applyFill="1" applyBorder="1" applyAlignment="1">
      <alignment horizontal="center" vertical="center"/>
    </xf>
    <xf numFmtId="0" fontId="4" fillId="0" borderId="145" xfId="0" applyFont="1" applyBorder="1" applyAlignment="1">
      <alignment horizontal="center" vertical="center"/>
    </xf>
    <xf numFmtId="0" fontId="4" fillId="0" borderId="144" xfId="0" applyFont="1" applyBorder="1" applyAlignment="1">
      <alignment horizontal="center" vertical="center"/>
    </xf>
    <xf numFmtId="0" fontId="4" fillId="0" borderId="14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3" borderId="146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6" fillId="4" borderId="131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23" fillId="4" borderId="8" xfId="0" applyFont="1" applyFill="1" applyBorder="1" applyAlignment="1">
      <alignment horizontal="center" vertical="center"/>
    </xf>
    <xf numFmtId="0" fontId="23" fillId="4" borderId="9" xfId="0" applyFont="1" applyFill="1" applyBorder="1" applyAlignment="1">
      <alignment horizontal="center" vertical="center"/>
    </xf>
    <xf numFmtId="0" fontId="23" fillId="4" borderId="150" xfId="0" applyFont="1" applyFill="1" applyBorder="1" applyAlignment="1">
      <alignment horizontal="center" vertical="center"/>
    </xf>
    <xf numFmtId="0" fontId="23" fillId="5" borderId="48" xfId="0" applyFont="1" applyFill="1" applyBorder="1" applyAlignment="1">
      <alignment horizontal="center" vertical="center"/>
    </xf>
    <xf numFmtId="0" fontId="23" fillId="5" borderId="49" xfId="0" applyFont="1" applyFill="1" applyBorder="1" applyAlignment="1">
      <alignment horizontal="center" vertical="center"/>
    </xf>
    <xf numFmtId="0" fontId="23" fillId="5" borderId="50" xfId="0" applyFont="1" applyFill="1" applyBorder="1" applyAlignment="1">
      <alignment horizontal="center" vertical="center"/>
    </xf>
    <xf numFmtId="0" fontId="12" fillId="0" borderId="148" xfId="0" applyFont="1" applyBorder="1" applyAlignment="1">
      <alignment horizontal="center" vertical="center"/>
    </xf>
    <xf numFmtId="0" fontId="12" fillId="0" borderId="140" xfId="0" applyFont="1" applyBorder="1" applyAlignment="1">
      <alignment horizontal="center" vertical="center"/>
    </xf>
    <xf numFmtId="0" fontId="4" fillId="0" borderId="147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4" fillId="3" borderId="147" xfId="0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161" xfId="0" applyFont="1" applyFill="1" applyBorder="1" applyAlignment="1">
      <alignment horizontal="center" vertical="center"/>
    </xf>
    <xf numFmtId="0" fontId="18" fillId="0" borderId="23" xfId="2" applyFont="1" applyBorder="1" applyAlignment="1">
      <alignment horizontal="center" vertical="center"/>
    </xf>
    <xf numFmtId="0" fontId="18" fillId="0" borderId="162" xfId="2" applyFont="1" applyBorder="1" applyAlignment="1">
      <alignment horizontal="center" vertical="center"/>
    </xf>
    <xf numFmtId="0" fontId="18" fillId="0" borderId="11" xfId="2" applyFont="1" applyBorder="1" applyAlignment="1">
      <alignment horizontal="center" vertical="center"/>
    </xf>
    <xf numFmtId="0" fontId="18" fillId="0" borderId="10" xfId="2" applyFont="1" applyBorder="1" applyAlignment="1">
      <alignment horizontal="center" vertical="center"/>
    </xf>
    <xf numFmtId="0" fontId="18" fillId="0" borderId="22" xfId="2" applyFont="1" applyBorder="1" applyAlignment="1">
      <alignment horizontal="center" vertical="center"/>
    </xf>
    <xf numFmtId="0" fontId="18" fillId="0" borderId="17" xfId="2" applyFont="1" applyBorder="1" applyAlignment="1">
      <alignment horizontal="center" vertical="center"/>
    </xf>
    <xf numFmtId="0" fontId="18" fillId="5" borderId="14" xfId="2" applyFont="1" applyFill="1" applyBorder="1" applyAlignment="1">
      <alignment horizontal="center" vertical="center"/>
    </xf>
    <xf numFmtId="0" fontId="18" fillId="5" borderId="15" xfId="2" applyFont="1" applyFill="1" applyBorder="1" applyAlignment="1">
      <alignment horizontal="center" vertical="center"/>
    </xf>
    <xf numFmtId="0" fontId="18" fillId="5" borderId="164" xfId="2" applyFont="1" applyFill="1" applyBorder="1" applyAlignment="1">
      <alignment horizontal="center" vertical="center"/>
    </xf>
    <xf numFmtId="0" fontId="8" fillId="19" borderId="48" xfId="2" applyFont="1" applyFill="1" applyBorder="1" applyAlignment="1">
      <alignment horizontal="center" vertical="center"/>
    </xf>
    <xf numFmtId="0" fontId="8" fillId="19" borderId="49" xfId="2" applyFont="1" applyFill="1" applyBorder="1" applyAlignment="1">
      <alignment horizontal="center" vertical="center"/>
    </xf>
    <xf numFmtId="0" fontId="8" fillId="19" borderId="50" xfId="2" applyFont="1" applyFill="1" applyBorder="1" applyAlignment="1">
      <alignment horizontal="center" vertical="center"/>
    </xf>
    <xf numFmtId="0" fontId="37" fillId="25" borderId="8" xfId="2" applyFont="1" applyFill="1" applyBorder="1" applyAlignment="1">
      <alignment horizontal="center" vertical="center"/>
    </xf>
    <xf numFmtId="0" fontId="43" fillId="25" borderId="9" xfId="2" applyFont="1" applyFill="1" applyBorder="1" applyAlignment="1">
      <alignment horizontal="center" vertical="center"/>
    </xf>
    <xf numFmtId="0" fontId="43" fillId="25" borderId="161" xfId="2" applyFont="1" applyFill="1" applyBorder="1" applyAlignment="1">
      <alignment horizontal="center" vertical="center"/>
    </xf>
    <xf numFmtId="0" fontId="18" fillId="23" borderId="14" xfId="2" applyFont="1" applyFill="1" applyBorder="1" applyAlignment="1">
      <alignment horizontal="center" vertical="center"/>
    </xf>
    <xf numFmtId="0" fontId="18" fillId="23" borderId="15" xfId="2" applyFont="1" applyFill="1" applyBorder="1" applyAlignment="1">
      <alignment horizontal="center" vertical="center"/>
    </xf>
    <xf numFmtId="0" fontId="18" fillId="23" borderId="164" xfId="2" applyFont="1" applyFill="1" applyBorder="1" applyAlignment="1">
      <alignment horizontal="center" vertical="center"/>
    </xf>
    <xf numFmtId="0" fontId="42" fillId="0" borderId="162" xfId="2" applyFont="1" applyBorder="1" applyAlignment="1">
      <alignment horizontal="center" vertical="center"/>
    </xf>
    <xf numFmtId="0" fontId="42" fillId="0" borderId="24" xfId="2" applyFont="1" applyBorder="1" applyAlignment="1">
      <alignment horizontal="center" vertical="center"/>
    </xf>
    <xf numFmtId="0" fontId="42" fillId="0" borderId="10" xfId="2" applyFont="1" applyBorder="1" applyAlignment="1">
      <alignment horizontal="center" vertical="center"/>
    </xf>
    <xf numFmtId="0" fontId="42" fillId="0" borderId="12" xfId="2" applyFont="1" applyBorder="1" applyAlignment="1">
      <alignment horizontal="center" vertical="center"/>
    </xf>
    <xf numFmtId="0" fontId="18" fillId="0" borderId="18" xfId="2" applyFont="1" applyBorder="1" applyAlignment="1">
      <alignment horizontal="center" vertical="center"/>
    </xf>
    <xf numFmtId="0" fontId="18" fillId="24" borderId="14" xfId="2" applyFont="1" applyFill="1" applyBorder="1" applyAlignment="1">
      <alignment horizontal="center" vertical="center"/>
    </xf>
    <xf numFmtId="0" fontId="18" fillId="24" borderId="15" xfId="2" applyFont="1" applyFill="1" applyBorder="1" applyAlignment="1">
      <alignment horizontal="center" vertical="center"/>
    </xf>
    <xf numFmtId="0" fontId="18" fillId="24" borderId="164" xfId="2" applyFont="1" applyFill="1" applyBorder="1" applyAlignment="1">
      <alignment horizontal="center" vertical="center"/>
    </xf>
    <xf numFmtId="0" fontId="40" fillId="0" borderId="11" xfId="0" applyFont="1" applyBorder="1" applyAlignment="1">
      <alignment horizontal="center"/>
    </xf>
    <xf numFmtId="0" fontId="40" fillId="0" borderId="10" xfId="0" applyFont="1" applyBorder="1" applyAlignment="1">
      <alignment horizontal="center"/>
    </xf>
    <xf numFmtId="0" fontId="40" fillId="0" borderId="23" xfId="0" applyFont="1" applyBorder="1" applyAlignment="1">
      <alignment horizontal="center"/>
    </xf>
    <xf numFmtId="0" fontId="40" fillId="0" borderId="162" xfId="0" applyFont="1" applyBorder="1" applyAlignment="1">
      <alignment horizontal="center"/>
    </xf>
    <xf numFmtId="0" fontId="40" fillId="0" borderId="163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0" fontId="36" fillId="21" borderId="75" xfId="0" applyFont="1" applyFill="1" applyBorder="1" applyAlignment="1" applyProtection="1">
      <alignment horizontal="center" vertical="center"/>
    </xf>
    <xf numFmtId="0" fontId="36" fillId="21" borderId="76" xfId="0" applyFont="1" applyFill="1" applyBorder="1" applyAlignment="1" applyProtection="1">
      <alignment horizontal="center" vertical="center"/>
    </xf>
    <xf numFmtId="0" fontId="44" fillId="9" borderId="75" xfId="0" applyFont="1" applyFill="1" applyBorder="1" applyAlignment="1" applyProtection="1">
      <alignment horizontal="center" vertical="center"/>
    </xf>
    <xf numFmtId="0" fontId="44" fillId="9" borderId="77" xfId="0" applyFont="1" applyFill="1" applyBorder="1" applyAlignment="1" applyProtection="1">
      <alignment horizontal="center" vertical="center"/>
    </xf>
    <xf numFmtId="0" fontId="17" fillId="0" borderId="94" xfId="0" applyFont="1" applyBorder="1" applyAlignment="1" applyProtection="1">
      <alignment horizontal="center" vertical="center"/>
    </xf>
    <xf numFmtId="0" fontId="17" fillId="0" borderId="92" xfId="0" applyFont="1" applyBorder="1" applyAlignment="1" applyProtection="1">
      <alignment horizontal="center" vertical="center"/>
    </xf>
    <xf numFmtId="0" fontId="18" fillId="5" borderId="111" xfId="0" applyFont="1" applyFill="1" applyBorder="1" applyAlignment="1" applyProtection="1">
      <alignment horizontal="center" vertical="center"/>
    </xf>
    <xf numFmtId="0" fontId="18" fillId="5" borderId="10" xfId="0" applyFont="1" applyFill="1" applyBorder="1" applyAlignment="1" applyProtection="1">
      <alignment horizontal="center" vertical="center"/>
    </xf>
    <xf numFmtId="0" fontId="18" fillId="5" borderId="68" xfId="0" applyFont="1" applyFill="1" applyBorder="1" applyAlignment="1" applyProtection="1">
      <alignment horizontal="center" vertical="center"/>
    </xf>
    <xf numFmtId="0" fontId="18" fillId="14" borderId="112" xfId="0" applyFont="1" applyFill="1" applyBorder="1" applyAlignment="1" applyProtection="1">
      <alignment horizontal="center" vertical="center"/>
    </xf>
    <xf numFmtId="0" fontId="18" fillId="14" borderId="86" xfId="0" applyFont="1" applyFill="1" applyBorder="1" applyAlignment="1" applyProtection="1">
      <alignment horizontal="center" vertical="center"/>
    </xf>
    <xf numFmtId="0" fontId="18" fillId="14" borderId="87" xfId="0" applyFont="1" applyFill="1" applyBorder="1" applyAlignment="1" applyProtection="1">
      <alignment horizontal="center" vertical="center"/>
    </xf>
    <xf numFmtId="0" fontId="17" fillId="0" borderId="28" xfId="0" applyFont="1" applyBorder="1" applyAlignment="1" applyProtection="1">
      <alignment horizontal="center" vertical="center"/>
    </xf>
    <xf numFmtId="0" fontId="17" fillId="0" borderId="19" xfId="0" applyFont="1" applyBorder="1" applyAlignment="1" applyProtection="1">
      <alignment horizontal="center" vertical="center"/>
    </xf>
    <xf numFmtId="0" fontId="17" fillId="0" borderId="32" xfId="0" applyFont="1" applyFill="1" applyBorder="1" applyAlignment="1" applyProtection="1">
      <alignment horizontal="center" vertical="center"/>
    </xf>
    <xf numFmtId="0" fontId="17" fillId="0" borderId="154" xfId="0" applyFont="1" applyFill="1" applyBorder="1" applyAlignment="1" applyProtection="1">
      <alignment horizontal="center" vertical="center"/>
    </xf>
    <xf numFmtId="0" fontId="20" fillId="0" borderId="155" xfId="0" applyFont="1" applyFill="1" applyBorder="1" applyAlignment="1" applyProtection="1">
      <alignment horizontal="right" vertical="center"/>
    </xf>
    <xf numFmtId="0" fontId="20" fillId="0" borderId="25" xfId="0" applyFont="1" applyFill="1" applyBorder="1" applyAlignment="1" applyProtection="1">
      <alignment horizontal="right" vertical="center"/>
    </xf>
    <xf numFmtId="0" fontId="20" fillId="0" borderId="69" xfId="0" applyFont="1" applyFill="1" applyBorder="1" applyAlignment="1" applyProtection="1">
      <alignment horizontal="right" vertical="center"/>
    </xf>
    <xf numFmtId="0" fontId="20" fillId="0" borderId="0" xfId="0" applyFont="1" applyFill="1" applyBorder="1" applyAlignment="1" applyProtection="1">
      <alignment horizontal="right" vertical="center"/>
    </xf>
    <xf numFmtId="0" fontId="20" fillId="0" borderId="71" xfId="0" applyFont="1" applyFill="1" applyBorder="1" applyAlignment="1" applyProtection="1">
      <alignment horizontal="right" vertical="center"/>
    </xf>
    <xf numFmtId="0" fontId="20" fillId="0" borderId="88" xfId="0" applyFont="1" applyFill="1" applyBorder="1" applyAlignment="1" applyProtection="1">
      <alignment horizontal="right" vertical="center"/>
    </xf>
    <xf numFmtId="0" fontId="37" fillId="22" borderId="113" xfId="0" applyFont="1" applyFill="1" applyBorder="1" applyAlignment="1" applyProtection="1">
      <alignment horizontal="center" vertical="center"/>
    </xf>
    <xf numFmtId="0" fontId="37" fillId="22" borderId="93" xfId="0" applyFont="1" applyFill="1" applyBorder="1" applyAlignment="1" applyProtection="1">
      <alignment horizontal="center" vertical="center"/>
    </xf>
    <xf numFmtId="0" fontId="37" fillId="22" borderId="95" xfId="0" applyFont="1" applyFill="1" applyBorder="1" applyAlignment="1" applyProtection="1">
      <alignment horizontal="center" vertical="center"/>
    </xf>
    <xf numFmtId="0" fontId="36" fillId="21" borderId="77" xfId="0" applyFont="1" applyFill="1" applyBorder="1" applyAlignment="1" applyProtection="1">
      <alignment horizontal="center" vertical="center"/>
    </xf>
    <xf numFmtId="0" fontId="35" fillId="20" borderId="48" xfId="0" applyFont="1" applyFill="1" applyBorder="1" applyAlignment="1" applyProtection="1">
      <alignment horizontal="center" vertical="center"/>
    </xf>
    <xf numFmtId="0" fontId="35" fillId="20" borderId="49" xfId="0" applyFont="1" applyFill="1" applyBorder="1" applyAlignment="1" applyProtection="1">
      <alignment horizontal="center" vertical="center"/>
    </xf>
    <xf numFmtId="0" fontId="35" fillId="20" borderId="50" xfId="0" applyFont="1" applyFill="1" applyBorder="1" applyAlignment="1" applyProtection="1">
      <alignment horizontal="center" vertical="center"/>
    </xf>
    <xf numFmtId="0" fontId="20" fillId="4" borderId="75" xfId="0" applyFont="1" applyFill="1" applyBorder="1" applyAlignment="1" applyProtection="1">
      <alignment horizontal="center" vertical="center"/>
    </xf>
    <xf numFmtId="0" fontId="20" fillId="4" borderId="76" xfId="0" applyFont="1" applyFill="1" applyBorder="1" applyAlignment="1" applyProtection="1">
      <alignment horizontal="center" vertical="center"/>
    </xf>
    <xf numFmtId="0" fontId="20" fillId="4" borderId="77" xfId="0" applyFont="1" applyFill="1" applyBorder="1" applyAlignment="1" applyProtection="1">
      <alignment horizontal="center" vertical="center"/>
    </xf>
  </cellXfs>
  <cellStyles count="3">
    <cellStyle name="Normal" xfId="0" builtinId="0"/>
    <cellStyle name="Normal 5" xfId="2"/>
    <cellStyle name="Percent" xfId="1" builtinId="5"/>
  </cellStyles>
  <dxfs count="14"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00FF"/>
      <color rgb="FFFF9999"/>
      <color rgb="FFFFFF99"/>
      <color rgb="FFFFCCFF"/>
      <color rgb="FFFF99FF"/>
      <color rgb="FF00FF00"/>
      <color rgb="FF00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4897</xdr:colOff>
      <xdr:row>86</xdr:row>
      <xdr:rowOff>0</xdr:rowOff>
    </xdr:from>
    <xdr:to>
      <xdr:col>18</xdr:col>
      <xdr:colOff>11906</xdr:colOff>
      <xdr:row>99</xdr:row>
      <xdr:rowOff>3555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2608397" y="10339917"/>
          <a:ext cx="10262259" cy="2490638"/>
          <a:chOff x="4288866" y="20152331"/>
          <a:chExt cx="11520374" cy="2503671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88866" y="20152331"/>
            <a:ext cx="3597207" cy="2503670"/>
          </a:xfrm>
          <a:prstGeom prst="rect">
            <a:avLst/>
          </a:prstGeom>
          <a:ln w="9525">
            <a:solidFill>
              <a:schemeClr val="tx1"/>
            </a:solidFill>
          </a:ln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76854" y="20152331"/>
            <a:ext cx="3862750" cy="2502305"/>
          </a:xfrm>
          <a:prstGeom prst="rect">
            <a:avLst/>
          </a:prstGeom>
          <a:ln w="9525">
            <a:solidFill>
              <a:schemeClr val="tx1"/>
            </a:solidFill>
          </a:ln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730250" y="20153695"/>
            <a:ext cx="4078990" cy="2502307"/>
          </a:xfrm>
          <a:prstGeom prst="rect">
            <a:avLst/>
          </a:prstGeom>
          <a:ln w="9525">
            <a:solidFill>
              <a:schemeClr val="tx1"/>
            </a:solidFill>
          </a:ln>
        </xdr:spPr>
      </xdr:pic>
    </xdr:grpSp>
    <xdr:clientData/>
  </xdr:twoCellAnchor>
  <xdr:twoCellAnchor editAs="oneCell">
    <xdr:from>
      <xdr:col>1</xdr:col>
      <xdr:colOff>328085</xdr:colOff>
      <xdr:row>1</xdr:row>
      <xdr:rowOff>210432</xdr:rowOff>
    </xdr:from>
    <xdr:to>
      <xdr:col>11</xdr:col>
      <xdr:colOff>267642</xdr:colOff>
      <xdr:row>28</xdr:row>
      <xdr:rowOff>105833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335" y="506765"/>
          <a:ext cx="7739474" cy="5462235"/>
        </a:xfrm>
        <a:prstGeom prst="rect">
          <a:avLst/>
        </a:prstGeom>
        <a:ln w="25400">
          <a:solidFill>
            <a:srgbClr val="0000FF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31752</xdr:colOff>
      <xdr:row>1</xdr:row>
      <xdr:rowOff>58209</xdr:rowOff>
    </xdr:from>
    <xdr:to>
      <xdr:col>16</xdr:col>
      <xdr:colOff>687169</xdr:colOff>
      <xdr:row>29</xdr:row>
      <xdr:rowOff>190501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538" y="337155"/>
          <a:ext cx="8207381" cy="57316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F115"/>
  <sheetViews>
    <sheetView showGridLines="0" tabSelected="1" topLeftCell="A13" zoomScale="90" zoomScaleNormal="90" zoomScaleSheetLayoutView="65" workbookViewId="0">
      <selection activeCell="L35" sqref="L35:R35"/>
    </sheetView>
  </sheetViews>
  <sheetFormatPr defaultRowHeight="15"/>
  <cols>
    <col min="1" max="1" width="1.42578125" style="2" customWidth="1"/>
    <col min="2" max="2" width="10.7109375" style="2" customWidth="1"/>
    <col min="3" max="3" width="16" style="2" customWidth="1"/>
    <col min="4" max="9" width="10.7109375" style="2" customWidth="1"/>
    <col min="10" max="10" width="14.5703125" style="2" customWidth="1"/>
    <col min="11" max="13" width="10.7109375" style="2" customWidth="1"/>
    <col min="14" max="14" width="10.5703125" style="2" customWidth="1"/>
    <col min="15" max="16" width="10.7109375" style="2" customWidth="1"/>
    <col min="17" max="17" width="9.85546875" style="2" bestFit="1" customWidth="1"/>
    <col min="18" max="18" width="10.7109375" style="2" customWidth="1"/>
    <col min="19" max="19" width="1.5703125" style="2" customWidth="1"/>
    <col min="20" max="20" width="20.140625" style="21" hidden="1" customWidth="1"/>
    <col min="21" max="21" width="17.85546875" style="2" customWidth="1"/>
    <col min="22" max="22" width="10.5703125" style="256" customWidth="1"/>
    <col min="23" max="23" width="12.140625" style="260" customWidth="1"/>
    <col min="24" max="24" width="18" style="256" customWidth="1"/>
    <col min="25" max="25" width="12.140625" style="2" bestFit="1" customWidth="1"/>
    <col min="26" max="16384" width="9.140625" style="2"/>
  </cols>
  <sheetData>
    <row r="1" spans="1:25" ht="23.25" customHeight="1" thickTop="1">
      <c r="A1" s="416" t="s">
        <v>31</v>
      </c>
      <c r="B1" s="417"/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  <c r="O1" s="417"/>
      <c r="P1" s="417"/>
      <c r="Q1" s="417"/>
      <c r="R1" s="417"/>
      <c r="S1" s="418"/>
      <c r="T1" s="276"/>
      <c r="U1" s="1"/>
      <c r="V1" s="255"/>
    </row>
    <row r="2" spans="1:25" ht="21.75" customHeight="1" thickBot="1">
      <c r="A2" s="419"/>
      <c r="B2" s="420"/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  <c r="P2" s="420"/>
      <c r="Q2" s="420"/>
      <c r="R2" s="420"/>
      <c r="S2" s="421"/>
      <c r="T2" s="9"/>
      <c r="U2" s="3"/>
    </row>
    <row r="3" spans="1:25" ht="15" customHeight="1" thickTop="1">
      <c r="A3" s="79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324" t="s">
        <v>64</v>
      </c>
      <c r="N3" s="325"/>
      <c r="O3" s="326"/>
      <c r="P3" s="315" t="str">
        <f>IF($Q$12='Data Sheet - Cyls &amp; Packs'!E32,('Data Sheet - Cyls &amp; Packs'!Q32),IF($Q$12='Data Sheet - Cyls &amp; Packs'!E34,('Data Sheet - Cyls &amp; Packs'!Q34),IF($Q$12='Data Sheet - Cyls &amp; Packs'!E35,('Data Sheet - Cyls &amp; Packs'!Q35),IF($Q$12='Data Sheet - Cyls &amp; Packs'!E36,('Data Sheet - Cyls &amp; Packs'!Q36)))))</f>
        <v>TK*XLONG</v>
      </c>
      <c r="Q3" s="316"/>
      <c r="R3" s="317"/>
      <c r="S3" s="80"/>
      <c r="T3" s="9"/>
      <c r="U3" s="3"/>
    </row>
    <row r="4" spans="1:25" ht="21" customHeight="1">
      <c r="A4" s="79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327"/>
      <c r="N4" s="328"/>
      <c r="O4" s="329"/>
      <c r="P4" s="318"/>
      <c r="Q4" s="319"/>
      <c r="R4" s="320"/>
      <c r="S4" s="80"/>
      <c r="T4" s="9"/>
      <c r="U4" s="3"/>
      <c r="Y4" s="3"/>
    </row>
    <row r="5" spans="1:25" ht="15.75" thickBot="1">
      <c r="A5" s="79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330"/>
      <c r="N5" s="331"/>
      <c r="O5" s="332"/>
      <c r="P5" s="321"/>
      <c r="Q5" s="322"/>
      <c r="R5" s="323"/>
      <c r="S5" s="80"/>
      <c r="T5" s="9"/>
      <c r="U5" s="3"/>
    </row>
    <row r="6" spans="1:25" ht="16.5" thickTop="1" thickBot="1">
      <c r="A6" s="79"/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0"/>
      <c r="T6" s="9"/>
      <c r="U6" s="3"/>
    </row>
    <row r="7" spans="1:25" ht="16.5" thickBot="1">
      <c r="A7" s="79"/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375" t="s">
        <v>67</v>
      </c>
      <c r="N7" s="376"/>
      <c r="O7" s="376"/>
      <c r="P7" s="376"/>
      <c r="Q7" s="376"/>
      <c r="R7" s="377"/>
      <c r="S7" s="80"/>
      <c r="T7" s="9"/>
      <c r="U7" s="3"/>
    </row>
    <row r="8" spans="1:25" ht="15.75">
      <c r="A8" s="79"/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372" t="s">
        <v>212</v>
      </c>
      <c r="N8" s="373"/>
      <c r="O8" s="373"/>
      <c r="P8" s="374"/>
      <c r="Q8" s="251">
        <v>800</v>
      </c>
      <c r="R8" s="71" t="s">
        <v>121</v>
      </c>
      <c r="S8" s="80"/>
      <c r="T8" s="9"/>
      <c r="U8" s="3"/>
    </row>
    <row r="9" spans="1:25" ht="15.75">
      <c r="A9" s="79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378" t="s">
        <v>213</v>
      </c>
      <c r="N9" s="379"/>
      <c r="O9" s="379"/>
      <c r="P9" s="380"/>
      <c r="Q9" s="252">
        <v>1000</v>
      </c>
      <c r="R9" s="52" t="s">
        <v>121</v>
      </c>
      <c r="S9" s="80"/>
      <c r="T9" s="9"/>
      <c r="U9" s="3"/>
    </row>
    <row r="10" spans="1:25" ht="15.75">
      <c r="A10" s="79"/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405" t="s">
        <v>177</v>
      </c>
      <c r="N10" s="460"/>
      <c r="O10" s="406"/>
      <c r="P10" s="250" t="s">
        <v>8</v>
      </c>
      <c r="Q10" s="249">
        <f>Q13/2</f>
        <v>1000</v>
      </c>
      <c r="R10" s="52" t="s">
        <v>6</v>
      </c>
      <c r="S10" s="80"/>
      <c r="T10" s="9"/>
      <c r="U10" s="3"/>
      <c r="W10" s="265"/>
    </row>
    <row r="11" spans="1:25" ht="15.75">
      <c r="A11" s="79"/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405" t="s">
        <v>182</v>
      </c>
      <c r="N11" s="460"/>
      <c r="O11" s="406"/>
      <c r="P11" s="250" t="s">
        <v>9</v>
      </c>
      <c r="Q11" s="253">
        <v>1500</v>
      </c>
      <c r="R11" s="48" t="s">
        <v>6</v>
      </c>
      <c r="S11" s="80"/>
      <c r="T11" s="265">
        <f>(T12/T13)</f>
        <v>0.65277777777777779</v>
      </c>
      <c r="U11" s="275"/>
    </row>
    <row r="12" spans="1:25" ht="15.75">
      <c r="A12" s="79"/>
      <c r="B12" s="84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428" t="s">
        <v>197</v>
      </c>
      <c r="N12" s="429"/>
      <c r="O12" s="429"/>
      <c r="P12" s="250" t="s">
        <v>10</v>
      </c>
      <c r="Q12" s="254">
        <v>1250</v>
      </c>
      <c r="R12" s="48" t="s">
        <v>6</v>
      </c>
      <c r="S12" s="80"/>
      <c r="T12" s="277">
        <f>(Q11*Q11)+(Q11*Q11)-(Q12*Q12)</f>
        <v>2937500</v>
      </c>
      <c r="U12" s="275"/>
    </row>
    <row r="13" spans="1:25" ht="15.75">
      <c r="A13" s="79"/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428" t="s">
        <v>176</v>
      </c>
      <c r="N13" s="429"/>
      <c r="O13" s="429"/>
      <c r="P13" s="250" t="s">
        <v>51</v>
      </c>
      <c r="Q13" s="263">
        <v>2000</v>
      </c>
      <c r="R13" s="48" t="s">
        <v>6</v>
      </c>
      <c r="S13" s="80"/>
      <c r="T13" s="277">
        <f>(2*Q11*Q11)</f>
        <v>4500000</v>
      </c>
      <c r="U13" s="275"/>
    </row>
    <row r="14" spans="1:25" ht="16.5" thickBot="1">
      <c r="A14" s="79"/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469" t="s">
        <v>214</v>
      </c>
      <c r="N14" s="470"/>
      <c r="O14" s="471"/>
      <c r="P14" s="264" t="s">
        <v>215</v>
      </c>
      <c r="Q14" s="266">
        <f>DEGREES(ACOS(T11))</f>
        <v>49.248636704328149</v>
      </c>
      <c r="R14" s="63" t="s">
        <v>218</v>
      </c>
      <c r="S14" s="80"/>
      <c r="T14" s="9"/>
      <c r="U14" s="275"/>
    </row>
    <row r="15" spans="1:25" ht="15.75" thickBot="1">
      <c r="A15" s="79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0"/>
      <c r="T15" s="9"/>
    </row>
    <row r="16" spans="1:25" ht="16.5" thickBot="1">
      <c r="A16" s="79"/>
      <c r="B16" s="84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430" t="s">
        <v>146</v>
      </c>
      <c r="N16" s="431"/>
      <c r="O16" s="431"/>
      <c r="P16" s="431"/>
      <c r="Q16" s="431"/>
      <c r="R16" s="432"/>
      <c r="S16" s="80"/>
      <c r="T16" s="9"/>
    </row>
    <row r="17" spans="1:24">
      <c r="A17" s="79"/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362" t="s">
        <v>198</v>
      </c>
      <c r="N17" s="361"/>
      <c r="O17" s="361"/>
      <c r="P17" s="361"/>
      <c r="Q17" s="132">
        <v>160</v>
      </c>
      <c r="R17" s="71" t="s">
        <v>24</v>
      </c>
      <c r="S17" s="80"/>
      <c r="T17" s="9"/>
    </row>
    <row r="18" spans="1:24">
      <c r="A18" s="79"/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428" t="s">
        <v>101</v>
      </c>
      <c r="N18" s="429"/>
      <c r="O18" s="429"/>
      <c r="P18" s="429"/>
      <c r="Q18" s="133">
        <v>5.5</v>
      </c>
      <c r="R18" s="48" t="s">
        <v>117</v>
      </c>
      <c r="S18" s="80"/>
      <c r="T18" s="9"/>
    </row>
    <row r="19" spans="1:24" ht="15.75" thickBot="1">
      <c r="A19" s="79"/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449" t="s">
        <v>102</v>
      </c>
      <c r="N19" s="450"/>
      <c r="O19" s="450"/>
      <c r="P19" s="450"/>
      <c r="Q19" s="134">
        <v>9</v>
      </c>
      <c r="R19" s="57" t="s">
        <v>117</v>
      </c>
      <c r="S19" s="80"/>
      <c r="T19" s="9"/>
      <c r="U19" s="3"/>
      <c r="V19" s="257"/>
    </row>
    <row r="20" spans="1:24" ht="15.75" thickBot="1">
      <c r="A20" s="79"/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0"/>
      <c r="T20" s="9"/>
      <c r="U20" s="3"/>
      <c r="V20" s="257"/>
    </row>
    <row r="21" spans="1:24" ht="16.5" thickBot="1">
      <c r="A21" s="79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436" t="s">
        <v>178</v>
      </c>
      <c r="N21" s="437"/>
      <c r="O21" s="437"/>
      <c r="P21" s="437"/>
      <c r="Q21" s="437"/>
      <c r="R21" s="438"/>
      <c r="S21" s="80"/>
      <c r="T21" s="9"/>
      <c r="U21" s="3"/>
      <c r="V21" s="257"/>
    </row>
    <row r="22" spans="1:24">
      <c r="A22" s="79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362" t="s">
        <v>69</v>
      </c>
      <c r="N22" s="361"/>
      <c r="O22" s="361"/>
      <c r="P22" s="361"/>
      <c r="Q22" s="135">
        <f>IF($E$30='Data Sheet - Cyls &amp; Packs'!C32,('Data Sheet - Cyls &amp; Packs'!G32),IF($E$30='Data Sheet - Cyls &amp; Packs'!C34,('Data Sheet - Cyls &amp; Packs'!G34),IF($E$30='Data Sheet - Cyls &amp; Packs'!C35,('Data Sheet - Cyls &amp; Packs'!G35),IF($E$30='Data Sheet - Cyls &amp; Packs'!C36,('Data Sheet - Cyls &amp; Packs'!G36)))))</f>
        <v>7.7</v>
      </c>
      <c r="R22" s="71" t="s">
        <v>118</v>
      </c>
      <c r="S22" s="80"/>
      <c r="T22" s="9"/>
      <c r="U22" s="3"/>
      <c r="V22" s="257"/>
    </row>
    <row r="23" spans="1:24">
      <c r="A23" s="79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428" t="s">
        <v>145</v>
      </c>
      <c r="N23" s="429"/>
      <c r="O23" s="429"/>
      <c r="P23" s="429"/>
      <c r="Q23" s="136">
        <f>IF($E$30='Data Sheet - Cyls &amp; Packs'!C32,('Data Sheet - Cyls &amp; Packs'!R32),IF($E$30='Data Sheet - Cyls &amp; Packs'!C34,('Data Sheet - Cyls &amp; Packs'!R34),IF($E$30='Data Sheet - Cyls &amp; Packs'!C35,('Data Sheet - Cyls &amp; Packs'!R35),IF($E$30='Data Sheet - Cyls &amp; Packs'!C36,('Data Sheet - Cyls &amp; Packs'!R36)))))</f>
        <v>120</v>
      </c>
      <c r="R23" s="52" t="s">
        <v>6</v>
      </c>
      <c r="S23" s="80"/>
      <c r="T23" s="9"/>
      <c r="U23" s="3"/>
      <c r="V23" s="257"/>
    </row>
    <row r="24" spans="1:24" ht="15.75" thickBot="1">
      <c r="A24" s="79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449" t="s">
        <v>173</v>
      </c>
      <c r="N24" s="450"/>
      <c r="O24" s="450"/>
      <c r="P24" s="450"/>
      <c r="Q24" s="137">
        <f>IF($E$30='Data Sheet - Cyls &amp; Packs'!C32,('Data Sheet - Cyls &amp; Packs'!U32),IF($E$30='Data Sheet - Cyls &amp; Packs'!C34,('Data Sheet - Cyls &amp; Packs'!W34),IF($E$30='Data Sheet - Cyls &amp; Packs'!C35,('Data Sheet - Cyls &amp; Packs'!W35),IF($E$30='Data Sheet - Cyls &amp; Packs'!C36,('Data Sheet - Cyls &amp; Packs'!W36)))))</f>
        <v>45</v>
      </c>
      <c r="R24" s="57" t="s">
        <v>6</v>
      </c>
      <c r="S24" s="80"/>
      <c r="T24" s="9"/>
      <c r="U24" s="3"/>
      <c r="V24" s="257"/>
    </row>
    <row r="25" spans="1:24" ht="15.75" thickBot="1">
      <c r="A25" s="79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0"/>
      <c r="T25" s="9"/>
      <c r="U25" s="3"/>
      <c r="V25" s="257"/>
    </row>
    <row r="26" spans="1:24" ht="16.5" thickBot="1">
      <c r="A26" s="79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433" t="s">
        <v>68</v>
      </c>
      <c r="N26" s="434"/>
      <c r="O26" s="434"/>
      <c r="P26" s="434"/>
      <c r="Q26" s="434"/>
      <c r="R26" s="435"/>
      <c r="S26" s="80"/>
      <c r="T26" s="9"/>
      <c r="U26" s="3"/>
      <c r="V26" s="257"/>
    </row>
    <row r="27" spans="1:24" ht="15.75" thickBot="1">
      <c r="A27" s="79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0"/>
      <c r="T27" s="9"/>
      <c r="U27" s="3"/>
      <c r="V27" s="257"/>
    </row>
    <row r="28" spans="1:24">
      <c r="A28" s="79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461" t="s">
        <v>181</v>
      </c>
      <c r="N28" s="462"/>
      <c r="O28" s="465" t="s">
        <v>183</v>
      </c>
      <c r="P28" s="466"/>
      <c r="Q28" s="439" t="s">
        <v>184</v>
      </c>
      <c r="R28" s="440"/>
      <c r="S28" s="80"/>
      <c r="T28" s="9"/>
      <c r="U28" s="3"/>
      <c r="V28" s="257"/>
    </row>
    <row r="29" spans="1:24" s="3" customFormat="1" ht="15.75" customHeight="1" thickBot="1">
      <c r="A29" s="79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463"/>
      <c r="N29" s="464"/>
      <c r="O29" s="467"/>
      <c r="P29" s="468"/>
      <c r="Q29" s="441"/>
      <c r="R29" s="442"/>
      <c r="S29" s="88"/>
      <c r="T29" s="9"/>
      <c r="V29" s="257"/>
      <c r="W29" s="261"/>
      <c r="X29" s="257"/>
    </row>
    <row r="30" spans="1:24" ht="15.75" customHeight="1" thickBot="1">
      <c r="A30" s="79"/>
      <c r="B30" s="472" t="s">
        <v>196</v>
      </c>
      <c r="C30" s="473"/>
      <c r="D30" s="474"/>
      <c r="E30" s="481" t="str">
        <f>IF(P3='Data Sheet - Cyls &amp; Packs'!Q32,('Data Sheet - Cyls &amp; Packs'!C32),IF(P3='Data Sheet - Cyls &amp; Packs'!Q34,('Data Sheet - Cyls &amp; Packs'!C34),IF(P3='Data Sheet - Cyls &amp; Packs'!Q34,('Data Sheet - Cyls &amp; Packs'!C34),IF(P3='Data Sheet - Cyls &amp; Packs'!Q35,('Data Sheet - Cyls &amp; Packs'!C35),IF(P3='Data Sheet - Cyls &amp; Packs'!Q36,('Data Sheet - Cyls &amp; Packs'!C36))))))</f>
        <v>6TG-E120*1250QZ</v>
      </c>
      <c r="F30" s="482"/>
      <c r="G30" s="483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8"/>
      <c r="T30" s="9"/>
      <c r="U30" s="3"/>
      <c r="W30" s="261"/>
      <c r="X30" s="257"/>
    </row>
    <row r="31" spans="1:24" ht="15.75" customHeight="1" thickBot="1">
      <c r="A31" s="79"/>
      <c r="B31" s="475"/>
      <c r="C31" s="476"/>
      <c r="D31" s="477"/>
      <c r="E31" s="484"/>
      <c r="F31" s="485"/>
      <c r="G31" s="486"/>
      <c r="H31" s="338" t="s">
        <v>60</v>
      </c>
      <c r="I31" s="339"/>
      <c r="J31" s="339"/>
      <c r="K31" s="340"/>
      <c r="L31" s="127">
        <f>(E66/1000)/10</f>
        <v>1.4126400000000001</v>
      </c>
      <c r="M31" s="67" t="s">
        <v>199</v>
      </c>
      <c r="N31" s="341" t="s">
        <v>25</v>
      </c>
      <c r="O31" s="339"/>
      <c r="P31" s="340"/>
      <c r="Q31" s="128">
        <f>E75</f>
        <v>26.42613936073209</v>
      </c>
      <c r="R31" s="71" t="s">
        <v>24</v>
      </c>
      <c r="S31" s="88"/>
      <c r="T31" s="9"/>
      <c r="U31" s="6"/>
      <c r="W31" s="261"/>
      <c r="X31" s="257"/>
    </row>
    <row r="32" spans="1:24" ht="15.75" customHeight="1" thickBot="1">
      <c r="A32" s="79"/>
      <c r="B32" s="478" t="s">
        <v>15</v>
      </c>
      <c r="C32" s="479"/>
      <c r="D32" s="479"/>
      <c r="E32" s="480"/>
      <c r="F32" s="74">
        <f>(H83/10)</f>
        <v>18.095573687039998</v>
      </c>
      <c r="G32" s="138" t="s">
        <v>199</v>
      </c>
      <c r="H32" s="336" t="s">
        <v>80</v>
      </c>
      <c r="I32" s="336"/>
      <c r="J32" s="336"/>
      <c r="K32" s="337"/>
      <c r="L32" s="72">
        <f>E82</f>
        <v>20</v>
      </c>
      <c r="M32" s="73" t="s">
        <v>104</v>
      </c>
      <c r="N32" s="342" t="s">
        <v>180</v>
      </c>
      <c r="O32" s="343"/>
      <c r="P32" s="344"/>
      <c r="Q32" s="74">
        <f>Q17</f>
        <v>160</v>
      </c>
      <c r="R32" s="51" t="s">
        <v>24</v>
      </c>
      <c r="S32" s="88"/>
      <c r="T32" s="9"/>
      <c r="U32" s="6"/>
      <c r="V32" s="258"/>
      <c r="W32" s="261"/>
      <c r="X32" s="258"/>
    </row>
    <row r="33" spans="1:29" ht="15.75" customHeight="1" thickBot="1">
      <c r="A33" s="86"/>
      <c r="B33" s="422"/>
      <c r="C33" s="422"/>
      <c r="D33" s="422"/>
      <c r="E33" s="422"/>
      <c r="F33" s="422"/>
      <c r="G33" s="422"/>
      <c r="H33" s="422"/>
      <c r="I33" s="422"/>
      <c r="J33" s="87"/>
      <c r="K33" s="87"/>
      <c r="L33" s="87"/>
      <c r="M33" s="87"/>
      <c r="N33" s="87"/>
      <c r="O33" s="87"/>
      <c r="P33" s="87"/>
      <c r="Q33" s="87"/>
      <c r="R33" s="87"/>
      <c r="S33" s="89"/>
      <c r="T33" s="9"/>
      <c r="U33" s="3"/>
      <c r="V33" s="257"/>
      <c r="W33" s="261"/>
      <c r="X33" s="257"/>
    </row>
    <row r="34" spans="1:29" ht="16.5" thickTop="1" thickBot="1">
      <c r="A34" s="81"/>
      <c r="B34" s="82"/>
      <c r="C34" s="82"/>
      <c r="D34" s="82"/>
      <c r="E34" s="82"/>
      <c r="F34" s="82"/>
      <c r="G34" s="82"/>
      <c r="H34" s="82"/>
      <c r="I34" s="82"/>
      <c r="J34" s="84"/>
      <c r="K34" s="84"/>
      <c r="L34" s="84"/>
      <c r="M34" s="82"/>
      <c r="N34" s="82"/>
      <c r="O34" s="82"/>
      <c r="P34" s="82"/>
      <c r="Q34" s="82"/>
      <c r="R34" s="82"/>
      <c r="S34" s="83"/>
      <c r="T34" s="9"/>
      <c r="U34" s="3"/>
    </row>
    <row r="35" spans="1:29" ht="15.75" thickBot="1">
      <c r="A35" s="79"/>
      <c r="B35" s="354" t="s">
        <v>66</v>
      </c>
      <c r="C35" s="355"/>
      <c r="D35" s="355"/>
      <c r="E35" s="355"/>
      <c r="F35" s="355"/>
      <c r="G35" s="356"/>
      <c r="H35" s="84"/>
      <c r="I35" s="84"/>
      <c r="J35" s="84"/>
      <c r="K35" s="84"/>
      <c r="L35" s="354" t="s">
        <v>84</v>
      </c>
      <c r="M35" s="355"/>
      <c r="N35" s="355"/>
      <c r="O35" s="355"/>
      <c r="P35" s="355"/>
      <c r="Q35" s="355"/>
      <c r="R35" s="356"/>
      <c r="S35" s="80"/>
    </row>
    <row r="36" spans="1:29" ht="15.75" customHeight="1" thickBot="1">
      <c r="A36" s="79"/>
      <c r="B36" s="351" t="s">
        <v>62</v>
      </c>
      <c r="C36" s="352"/>
      <c r="D36" s="453" t="s">
        <v>125</v>
      </c>
      <c r="E36" s="454"/>
      <c r="F36" s="498" t="str">
        <f>IF(T37,"ACCEPTABLE","NOT ACCEPTABLE")</f>
        <v>ACCEPTABLE</v>
      </c>
      <c r="G36" s="446"/>
      <c r="H36" s="84"/>
      <c r="I36" s="84"/>
      <c r="J36" s="84"/>
      <c r="K36" s="84"/>
      <c r="L36" s="351" t="s">
        <v>73</v>
      </c>
      <c r="M36" s="352"/>
      <c r="N36" s="353"/>
      <c r="O36" s="453" t="s">
        <v>125</v>
      </c>
      <c r="P36" s="454"/>
      <c r="Q36" s="443" t="str">
        <f>IF(T39,"ACCEPTABLE","NOT ACCEPTABLE")</f>
        <v>ACCEPTABLE</v>
      </c>
      <c r="R36" s="444"/>
      <c r="S36" s="80"/>
    </row>
    <row r="37" spans="1:29" ht="15" customHeight="1">
      <c r="A37" s="79"/>
      <c r="B37" s="506" t="s">
        <v>82</v>
      </c>
      <c r="C37" s="507"/>
      <c r="D37" s="455"/>
      <c r="E37" s="456"/>
      <c r="F37" s="498"/>
      <c r="G37" s="446"/>
      <c r="H37" s="84"/>
      <c r="I37" s="84"/>
      <c r="J37" s="84"/>
      <c r="K37" s="84"/>
      <c r="L37" s="345" t="s">
        <v>82</v>
      </c>
      <c r="M37" s="346"/>
      <c r="N37" s="347"/>
      <c r="O37" s="455"/>
      <c r="P37" s="456"/>
      <c r="Q37" s="445"/>
      <c r="R37" s="446"/>
      <c r="S37" s="80"/>
      <c r="T37" s="21" t="b">
        <f>H82&gt;E66</f>
        <v>1</v>
      </c>
    </row>
    <row r="38" spans="1:29" ht="15.75" customHeight="1" thickBot="1">
      <c r="A38" s="79"/>
      <c r="B38" s="508"/>
      <c r="C38" s="509"/>
      <c r="D38" s="457"/>
      <c r="E38" s="458"/>
      <c r="F38" s="499"/>
      <c r="G38" s="448"/>
      <c r="H38" s="84"/>
      <c r="I38" s="84"/>
      <c r="J38" s="84"/>
      <c r="K38" s="84"/>
      <c r="L38" s="348"/>
      <c r="M38" s="349"/>
      <c r="N38" s="350"/>
      <c r="O38" s="457"/>
      <c r="P38" s="458"/>
      <c r="Q38" s="447"/>
      <c r="R38" s="448"/>
      <c r="S38" s="80"/>
      <c r="T38" s="21" t="b">
        <f>E75&lt;H78</f>
        <v>1</v>
      </c>
    </row>
    <row r="39" spans="1:29" ht="15.75" thickBot="1">
      <c r="A39" s="79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0"/>
      <c r="T39" s="21" t="b">
        <f>Q70&gt;Q61</f>
        <v>1</v>
      </c>
    </row>
    <row r="40" spans="1:29" ht="15.75" thickBot="1">
      <c r="A40" s="79"/>
      <c r="B40" s="354" t="s">
        <v>83</v>
      </c>
      <c r="C40" s="355"/>
      <c r="D40" s="355"/>
      <c r="E40" s="451"/>
      <c r="F40" s="451"/>
      <c r="G40" s="452"/>
      <c r="H40" s="84"/>
      <c r="I40" s="84"/>
      <c r="J40" s="84"/>
      <c r="K40" s="354" t="s">
        <v>170</v>
      </c>
      <c r="L40" s="355"/>
      <c r="M40" s="355"/>
      <c r="N40" s="355"/>
      <c r="O40" s="355"/>
      <c r="P40" s="355"/>
      <c r="Q40" s="451"/>
      <c r="R40" s="452"/>
      <c r="S40" s="80"/>
    </row>
    <row r="41" spans="1:29" ht="16.5" thickBot="1">
      <c r="A41" s="79"/>
      <c r="B41" s="351" t="s">
        <v>63</v>
      </c>
      <c r="C41" s="352"/>
      <c r="D41" s="453" t="s">
        <v>125</v>
      </c>
      <c r="E41" s="454"/>
      <c r="F41" s="443" t="str">
        <f>IF(T38,"ACCEPTABLE","NOT ACCEPTABLE")</f>
        <v>ACCEPTABLE</v>
      </c>
      <c r="G41" s="444"/>
      <c r="H41" s="84"/>
      <c r="I41" s="84"/>
      <c r="J41" s="84"/>
      <c r="K41" s="519" t="s">
        <v>191</v>
      </c>
      <c r="L41" s="520"/>
      <c r="M41" s="523" t="s">
        <v>194</v>
      </c>
      <c r="N41" s="523"/>
      <c r="O41" s="129">
        <f>'Data Sheet - Cyls &amp; Packs'!V15</f>
        <v>5.2</v>
      </c>
      <c r="P41" s="90" t="s">
        <v>118</v>
      </c>
      <c r="Q41" s="521" t="str">
        <f>IF(T41,"ACCEPTABLE","NOT ACCEPTABLE")</f>
        <v>NOT ACCEPTABLE</v>
      </c>
      <c r="R41" s="522"/>
      <c r="S41" s="80"/>
      <c r="T41" s="30" t="b">
        <f>Q22&lt;O41</f>
        <v>0</v>
      </c>
    </row>
    <row r="42" spans="1:29" ht="15.75">
      <c r="A42" s="79"/>
      <c r="B42" s="506" t="s">
        <v>82</v>
      </c>
      <c r="C42" s="507"/>
      <c r="D42" s="455"/>
      <c r="E42" s="456"/>
      <c r="F42" s="445"/>
      <c r="G42" s="446"/>
      <c r="H42" s="84"/>
      <c r="I42" s="84"/>
      <c r="J42" s="84"/>
      <c r="K42" s="357" t="s">
        <v>192</v>
      </c>
      <c r="L42" s="358"/>
      <c r="M42" s="371" t="s">
        <v>194</v>
      </c>
      <c r="N42" s="371"/>
      <c r="O42" s="130">
        <f>'Data Sheet - Cyls &amp; Packs'!AB14</f>
        <v>8.5</v>
      </c>
      <c r="P42" s="44" t="s">
        <v>118</v>
      </c>
      <c r="Q42" s="368" t="str">
        <f>IF(T42,"ACCEPTABLE","NOT ACCEPTABLE")</f>
        <v>ACCEPTABLE</v>
      </c>
      <c r="R42" s="369"/>
      <c r="S42" s="80"/>
      <c r="T42" s="30" t="b">
        <f>Q22&lt;O42</f>
        <v>1</v>
      </c>
    </row>
    <row r="43" spans="1:29" ht="16.5" thickBot="1">
      <c r="A43" s="79"/>
      <c r="B43" s="508"/>
      <c r="C43" s="509"/>
      <c r="D43" s="457"/>
      <c r="E43" s="458"/>
      <c r="F43" s="447"/>
      <c r="G43" s="448"/>
      <c r="H43" s="84"/>
      <c r="I43" s="84"/>
      <c r="J43" s="84"/>
      <c r="K43" s="459" t="s">
        <v>193</v>
      </c>
      <c r="L43" s="370"/>
      <c r="M43" s="370" t="s">
        <v>194</v>
      </c>
      <c r="N43" s="370"/>
      <c r="O43" s="131">
        <f>'Data Sheet - Cyls &amp; Packs'!AB16</f>
        <v>13.5</v>
      </c>
      <c r="P43" s="61" t="s">
        <v>118</v>
      </c>
      <c r="Q43" s="366" t="str">
        <f>IF(T43,"ACCEPTABLE","NOT ACCEPTABLE")</f>
        <v>ACCEPTABLE</v>
      </c>
      <c r="R43" s="367"/>
      <c r="S43" s="80"/>
      <c r="T43" s="30" t="b">
        <f>Q22&lt;O43</f>
        <v>1</v>
      </c>
    </row>
    <row r="44" spans="1:29" ht="15.75" thickBot="1">
      <c r="A44" s="79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0"/>
      <c r="U44" s="3"/>
      <c r="AC44" s="3"/>
    </row>
    <row r="45" spans="1:29" ht="15.75" customHeight="1" thickTop="1" thickBot="1">
      <c r="A45" s="79"/>
      <c r="B45" s="354" t="s">
        <v>217</v>
      </c>
      <c r="C45" s="355"/>
      <c r="D45" s="451"/>
      <c r="E45" s="451"/>
      <c r="F45" s="451"/>
      <c r="G45" s="452"/>
      <c r="H45" s="84"/>
      <c r="I45" s="84"/>
      <c r="J45" s="84"/>
      <c r="K45" s="510" t="s">
        <v>124</v>
      </c>
      <c r="L45" s="511"/>
      <c r="M45" s="511"/>
      <c r="N45" s="512"/>
      <c r="O45" s="527" t="str">
        <f>IF(T68,"ACCEPTABLE","NOT ACCEPTABLE")</f>
        <v>ACCEPTABLE</v>
      </c>
      <c r="P45" s="528"/>
      <c r="Q45" s="528"/>
      <c r="R45" s="529"/>
      <c r="S45" s="80"/>
    </row>
    <row r="46" spans="1:29" ht="15.75" customHeight="1" thickBot="1">
      <c r="A46" s="79"/>
      <c r="B46" s="351" t="s">
        <v>219</v>
      </c>
      <c r="C46" s="353"/>
      <c r="D46" s="453" t="s">
        <v>125</v>
      </c>
      <c r="E46" s="454"/>
      <c r="F46" s="443" t="str">
        <f>IF(T48,"ACCEPTABLE","NOT ACCEPTABLE")</f>
        <v>ACCEPTABLE</v>
      </c>
      <c r="G46" s="444"/>
      <c r="H46" s="84"/>
      <c r="I46" s="84"/>
      <c r="J46" s="84"/>
      <c r="K46" s="513"/>
      <c r="L46" s="514"/>
      <c r="M46" s="514"/>
      <c r="N46" s="515"/>
      <c r="O46" s="530"/>
      <c r="P46" s="531"/>
      <c r="Q46" s="531"/>
      <c r="R46" s="532"/>
      <c r="S46" s="80"/>
      <c r="T46" s="277" t="b">
        <f>Q14&gt;39</f>
        <v>1</v>
      </c>
      <c r="V46" s="2"/>
    </row>
    <row r="47" spans="1:29" ht="15.75" customHeight="1" thickBot="1">
      <c r="A47" s="79"/>
      <c r="B47" s="500" t="s">
        <v>82</v>
      </c>
      <c r="C47" s="501"/>
      <c r="D47" s="457"/>
      <c r="E47" s="458"/>
      <c r="F47" s="447"/>
      <c r="G47" s="448"/>
      <c r="H47" s="84"/>
      <c r="I47" s="84"/>
      <c r="J47" s="84"/>
      <c r="K47" s="516"/>
      <c r="L47" s="517"/>
      <c r="M47" s="517"/>
      <c r="N47" s="518"/>
      <c r="O47" s="533"/>
      <c r="P47" s="534"/>
      <c r="Q47" s="534"/>
      <c r="R47" s="535"/>
      <c r="S47" s="80"/>
      <c r="T47" s="21" t="b">
        <f>Q14&lt;58</f>
        <v>1</v>
      </c>
    </row>
    <row r="48" spans="1:29" ht="16.5" customHeight="1" thickBot="1">
      <c r="A48" s="86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5"/>
      <c r="T48" s="2" t="b">
        <f>AND(T46,T47)</f>
        <v>1</v>
      </c>
    </row>
    <row r="49" spans="1:32" ht="16.5" hidden="1" thickTop="1" thickBot="1">
      <c r="A49" s="81"/>
      <c r="B49" s="423" t="s">
        <v>20</v>
      </c>
      <c r="C49" s="424"/>
      <c r="D49" s="424"/>
      <c r="E49" s="424"/>
      <c r="F49" s="425"/>
      <c r="G49" s="84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3"/>
      <c r="U49" s="3"/>
      <c r="Y49" s="3"/>
      <c r="Z49" s="7"/>
      <c r="AA49" s="3"/>
      <c r="AB49" s="9"/>
      <c r="AC49" s="3"/>
      <c r="AF49" s="3"/>
    </row>
    <row r="50" spans="1:32" ht="15.75" hidden="1" thickBot="1">
      <c r="A50" s="79"/>
      <c r="B50" s="362" t="s">
        <v>179</v>
      </c>
      <c r="C50" s="361"/>
      <c r="D50" s="361"/>
      <c r="E50" s="104">
        <v>20</v>
      </c>
      <c r="F50" s="71" t="s">
        <v>104</v>
      </c>
      <c r="G50" s="84"/>
      <c r="H50" s="84"/>
      <c r="I50" s="84"/>
      <c r="J50" s="84"/>
      <c r="K50" s="84"/>
      <c r="L50" s="84"/>
      <c r="M50" s="363" t="s">
        <v>22</v>
      </c>
      <c r="N50" s="364"/>
      <c r="O50" s="364"/>
      <c r="P50" s="364"/>
      <c r="Q50" s="364"/>
      <c r="R50" s="365"/>
      <c r="S50" s="80"/>
      <c r="U50" s="3"/>
      <c r="Y50" s="9"/>
      <c r="Z50" s="9"/>
      <c r="AA50" s="3"/>
      <c r="AB50" s="3"/>
      <c r="AC50" s="3"/>
      <c r="AD50" s="3"/>
    </row>
    <row r="51" spans="1:32" hidden="1">
      <c r="A51" s="79"/>
      <c r="B51" s="428" t="s">
        <v>1</v>
      </c>
      <c r="C51" s="429"/>
      <c r="D51" s="429"/>
      <c r="E51" s="38">
        <f>Q9+Q8</f>
        <v>1800</v>
      </c>
      <c r="F51" s="48" t="s">
        <v>121</v>
      </c>
      <c r="G51" s="84"/>
      <c r="H51" s="84"/>
      <c r="I51" s="84"/>
      <c r="J51" s="84"/>
      <c r="K51" s="84"/>
      <c r="L51" s="84"/>
      <c r="M51" s="65" t="s">
        <v>1</v>
      </c>
      <c r="N51" s="32">
        <f>Q8</f>
        <v>800</v>
      </c>
      <c r="O51" s="4" t="s">
        <v>121</v>
      </c>
      <c r="P51" s="47" t="s">
        <v>42</v>
      </c>
      <c r="Q51" s="42">
        <v>100000</v>
      </c>
      <c r="R51" s="52" t="s">
        <v>41</v>
      </c>
      <c r="S51" s="80"/>
      <c r="U51" s="3"/>
      <c r="Y51" s="3"/>
      <c r="Z51" s="3"/>
      <c r="AA51" s="3"/>
      <c r="AB51" s="3"/>
      <c r="AC51" s="3"/>
      <c r="AD51" s="3"/>
    </row>
    <row r="52" spans="1:32" ht="18" hidden="1" thickBot="1">
      <c r="A52" s="79"/>
      <c r="B52" s="428" t="s">
        <v>2</v>
      </c>
      <c r="C52" s="429"/>
      <c r="D52" s="429"/>
      <c r="E52" s="95">
        <v>9.81</v>
      </c>
      <c r="F52" s="48" t="s">
        <v>147</v>
      </c>
      <c r="G52" s="84"/>
      <c r="H52" s="84"/>
      <c r="I52" s="84"/>
      <c r="J52" s="84"/>
      <c r="K52" s="84"/>
      <c r="L52" s="84"/>
      <c r="M52" s="75" t="s">
        <v>2</v>
      </c>
      <c r="N52" s="33">
        <v>9.81</v>
      </c>
      <c r="O52" s="5" t="s">
        <v>147</v>
      </c>
      <c r="P52" s="45" t="s">
        <v>43</v>
      </c>
      <c r="Q52" s="34">
        <v>1</v>
      </c>
      <c r="R52" s="48" t="s">
        <v>19</v>
      </c>
      <c r="S52" s="80"/>
    </row>
    <row r="53" spans="1:32" ht="15.75" hidden="1" thickBot="1">
      <c r="A53" s="79"/>
      <c r="B53" s="360" t="s">
        <v>3</v>
      </c>
      <c r="C53" s="359"/>
      <c r="D53" s="359"/>
      <c r="E53" s="101">
        <f>E51*E52*(E50/100)</f>
        <v>3531.6000000000004</v>
      </c>
      <c r="F53" s="49" t="s">
        <v>5</v>
      </c>
      <c r="G53" s="84"/>
      <c r="H53" s="84"/>
      <c r="I53" s="84"/>
      <c r="J53" s="84"/>
      <c r="K53" s="84"/>
      <c r="L53" s="84"/>
      <c r="M53" s="333" t="s">
        <v>14</v>
      </c>
      <c r="N53" s="334"/>
      <c r="O53" s="335"/>
      <c r="P53" s="46" t="s">
        <v>113</v>
      </c>
      <c r="Q53" s="35">
        <v>3.1415926540000001</v>
      </c>
      <c r="R53" s="53" t="s">
        <v>190</v>
      </c>
      <c r="S53" s="80"/>
    </row>
    <row r="54" spans="1:32" ht="15.75" hidden="1" thickBot="1">
      <c r="A54" s="79"/>
      <c r="B54" s="333" t="s">
        <v>4</v>
      </c>
      <c r="C54" s="334"/>
      <c r="D54" s="334"/>
      <c r="E54" s="334"/>
      <c r="F54" s="335"/>
      <c r="G54" s="84"/>
      <c r="H54" s="84"/>
      <c r="I54" s="84"/>
      <c r="J54" s="84"/>
      <c r="K54" s="84"/>
      <c r="L54" s="84"/>
      <c r="M54" s="91" t="s">
        <v>74</v>
      </c>
      <c r="N54" s="50">
        <f>N51*N52</f>
        <v>7848</v>
      </c>
      <c r="O54" s="54" t="s">
        <v>5</v>
      </c>
      <c r="P54" s="55" t="s">
        <v>48</v>
      </c>
      <c r="Q54" s="56">
        <v>1000000</v>
      </c>
      <c r="R54" s="57" t="s">
        <v>41</v>
      </c>
      <c r="S54" s="80"/>
    </row>
    <row r="55" spans="1:32" ht="15.75" hidden="1" thickBot="1">
      <c r="A55" s="79"/>
      <c r="B55" s="426" t="s">
        <v>0</v>
      </c>
      <c r="C55" s="427"/>
      <c r="D55" s="427"/>
      <c r="E55" s="50">
        <f>E51*E52+E53</f>
        <v>21189.599999999999</v>
      </c>
      <c r="F55" s="105" t="s">
        <v>5</v>
      </c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0"/>
    </row>
    <row r="56" spans="1:32" ht="15.75" hidden="1" thickBot="1">
      <c r="A56" s="79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0"/>
    </row>
    <row r="57" spans="1:32" ht="13.5" hidden="1" customHeight="1" thickBot="1">
      <c r="A57" s="79"/>
      <c r="B57" s="423" t="s">
        <v>21</v>
      </c>
      <c r="C57" s="424"/>
      <c r="D57" s="424"/>
      <c r="E57" s="424"/>
      <c r="F57" s="425"/>
      <c r="G57" s="84"/>
      <c r="H57" s="84"/>
      <c r="I57" s="84"/>
      <c r="J57" s="84"/>
      <c r="K57" s="363" t="s">
        <v>54</v>
      </c>
      <c r="L57" s="364"/>
      <c r="M57" s="364"/>
      <c r="N57" s="364"/>
      <c r="O57" s="364"/>
      <c r="P57" s="364"/>
      <c r="Q57" s="364"/>
      <c r="R57" s="365"/>
      <c r="S57" s="80"/>
    </row>
    <row r="58" spans="1:32" hidden="1">
      <c r="A58" s="79"/>
      <c r="B58" s="362" t="s">
        <v>0</v>
      </c>
      <c r="C58" s="361"/>
      <c r="D58" s="361"/>
      <c r="E58" s="106">
        <f>E55</f>
        <v>21189.599999999999</v>
      </c>
      <c r="F58" s="107" t="s">
        <v>5</v>
      </c>
      <c r="G58" s="84"/>
      <c r="H58" s="84"/>
      <c r="I58" s="84"/>
      <c r="J58" s="84"/>
      <c r="K58" s="362" t="s">
        <v>61</v>
      </c>
      <c r="L58" s="361"/>
      <c r="M58" s="100">
        <v>1.9</v>
      </c>
      <c r="N58" s="67" t="s">
        <v>24</v>
      </c>
      <c r="O58" s="361" t="s">
        <v>185</v>
      </c>
      <c r="P58" s="361"/>
      <c r="Q58" s="66">
        <f>Q23</f>
        <v>120</v>
      </c>
      <c r="R58" s="71" t="s">
        <v>6</v>
      </c>
      <c r="S58" s="80"/>
    </row>
    <row r="59" spans="1:32" ht="18" hidden="1" thickBot="1">
      <c r="A59" s="79"/>
      <c r="B59" s="428" t="s">
        <v>8</v>
      </c>
      <c r="C59" s="429"/>
      <c r="D59" s="429"/>
      <c r="E59" s="96">
        <f>Q10</f>
        <v>1000</v>
      </c>
      <c r="F59" s="48" t="s">
        <v>6</v>
      </c>
      <c r="G59" s="84"/>
      <c r="H59" s="84"/>
      <c r="I59" s="84"/>
      <c r="J59" s="84"/>
      <c r="K59" s="360" t="s">
        <v>187</v>
      </c>
      <c r="L59" s="359"/>
      <c r="M59" s="40">
        <f>(Q59*Q59)*Q53</f>
        <v>1.13097335544E-2</v>
      </c>
      <c r="N59" s="113" t="s">
        <v>112</v>
      </c>
      <c r="O59" s="359" t="s">
        <v>186</v>
      </c>
      <c r="P59" s="359"/>
      <c r="Q59" s="40">
        <f>(Q58/1000)/2</f>
        <v>0.06</v>
      </c>
      <c r="R59" s="49" t="s">
        <v>58</v>
      </c>
      <c r="S59" s="80"/>
    </row>
    <row r="60" spans="1:32" ht="15.75" hidden="1" thickBot="1">
      <c r="A60" s="79"/>
      <c r="B60" s="428" t="s">
        <v>9</v>
      </c>
      <c r="C60" s="429"/>
      <c r="D60" s="429"/>
      <c r="E60" s="96">
        <f>Q11</f>
        <v>1500</v>
      </c>
      <c r="F60" s="48" t="s">
        <v>6</v>
      </c>
      <c r="G60" s="84"/>
      <c r="H60" s="84"/>
      <c r="I60" s="84"/>
      <c r="J60" s="84"/>
      <c r="K60" s="333" t="s">
        <v>57</v>
      </c>
      <c r="L60" s="334"/>
      <c r="M60" s="334"/>
      <c r="N60" s="334"/>
      <c r="O60" s="334"/>
      <c r="P60" s="334"/>
      <c r="Q60" s="334"/>
      <c r="R60" s="335"/>
      <c r="S60" s="80"/>
    </row>
    <row r="61" spans="1:32" ht="15.75" hidden="1" thickBot="1">
      <c r="A61" s="79"/>
      <c r="B61" s="360" t="s">
        <v>10</v>
      </c>
      <c r="C61" s="359"/>
      <c r="D61" s="359"/>
      <c r="E61" s="102">
        <f>Q12</f>
        <v>1250</v>
      </c>
      <c r="F61" s="49" t="s">
        <v>6</v>
      </c>
      <c r="G61" s="84"/>
      <c r="H61" s="84"/>
      <c r="I61" s="84"/>
      <c r="J61" s="84"/>
      <c r="K61" s="524" t="s">
        <v>52</v>
      </c>
      <c r="L61" s="525"/>
      <c r="M61" s="525"/>
      <c r="N61" s="526"/>
      <c r="O61" s="114">
        <f>(M58*Q51)*M59</f>
        <v>2148.8493753360003</v>
      </c>
      <c r="P61" s="115" t="s">
        <v>5</v>
      </c>
      <c r="Q61" s="43">
        <f>O61/1000</f>
        <v>2.1488493753360003</v>
      </c>
      <c r="R61" s="116" t="s">
        <v>116</v>
      </c>
      <c r="S61" s="80"/>
    </row>
    <row r="62" spans="1:32" ht="15.75" hidden="1" thickBot="1">
      <c r="A62" s="79"/>
      <c r="B62" s="387" t="s">
        <v>72</v>
      </c>
      <c r="C62" s="388"/>
      <c r="D62" s="388"/>
      <c r="E62" s="388"/>
      <c r="F62" s="389"/>
      <c r="G62" s="84"/>
      <c r="H62" s="84"/>
      <c r="I62" s="84"/>
      <c r="J62" s="84"/>
      <c r="K62" s="333" t="s">
        <v>56</v>
      </c>
      <c r="L62" s="334"/>
      <c r="M62" s="334"/>
      <c r="N62" s="334"/>
      <c r="O62" s="334"/>
      <c r="P62" s="334"/>
      <c r="Q62" s="334"/>
      <c r="R62" s="335"/>
      <c r="S62" s="80"/>
    </row>
    <row r="63" spans="1:32" ht="15.75" hidden="1" thickBot="1">
      <c r="A63" s="79"/>
      <c r="B63" s="384" t="s">
        <v>150</v>
      </c>
      <c r="C63" s="385"/>
      <c r="D63" s="385"/>
      <c r="E63" s="385"/>
      <c r="F63" s="386"/>
      <c r="G63" s="84"/>
      <c r="H63" s="84"/>
      <c r="I63" s="84"/>
      <c r="J63" s="84"/>
      <c r="K63" s="546" t="s">
        <v>53</v>
      </c>
      <c r="L63" s="547"/>
      <c r="M63" s="547"/>
      <c r="N63" s="548"/>
      <c r="O63" s="69">
        <f>O61/M59</f>
        <v>190000.00000000003</v>
      </c>
      <c r="P63" s="117" t="s">
        <v>19</v>
      </c>
      <c r="Q63" s="69">
        <f>O63/Q51</f>
        <v>1.9000000000000004</v>
      </c>
      <c r="R63" s="51" t="s">
        <v>24</v>
      </c>
      <c r="S63" s="80"/>
    </row>
    <row r="64" spans="1:32" hidden="1">
      <c r="A64" s="79"/>
      <c r="B64" s="381" t="s">
        <v>11</v>
      </c>
      <c r="C64" s="382"/>
      <c r="D64" s="382"/>
      <c r="E64" s="382"/>
      <c r="F64" s="383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0"/>
    </row>
    <row r="65" spans="1:22" ht="15.75" hidden="1" thickBot="1">
      <c r="A65" s="79"/>
      <c r="B65" s="407" t="s">
        <v>7</v>
      </c>
      <c r="C65" s="408"/>
      <c r="D65" s="408"/>
      <c r="E65" s="408"/>
      <c r="F65" s="409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0"/>
    </row>
    <row r="66" spans="1:22" ht="15.75" hidden="1" thickBot="1">
      <c r="A66" s="79"/>
      <c r="B66" s="392" t="s">
        <v>12</v>
      </c>
      <c r="C66" s="393"/>
      <c r="D66" s="393"/>
      <c r="E66" s="103">
        <f>E58*E59/E60</f>
        <v>14126.4</v>
      </c>
      <c r="F66" s="110" t="s">
        <v>5</v>
      </c>
      <c r="G66" s="84"/>
      <c r="H66" s="84"/>
      <c r="I66" s="84"/>
      <c r="J66" s="84"/>
      <c r="K66" s="84"/>
      <c r="L66" s="84"/>
      <c r="M66" s="363" t="s">
        <v>55</v>
      </c>
      <c r="N66" s="364"/>
      <c r="O66" s="364"/>
      <c r="P66" s="364"/>
      <c r="Q66" s="364"/>
      <c r="R66" s="365"/>
      <c r="S66" s="80"/>
    </row>
    <row r="67" spans="1:22" ht="15.75" hidden="1" thickBot="1">
      <c r="A67" s="79"/>
      <c r="B67" s="390" t="s">
        <v>13</v>
      </c>
      <c r="C67" s="391"/>
      <c r="D67" s="391"/>
      <c r="E67" s="108">
        <f>E58-E66</f>
        <v>7063.1999999999989</v>
      </c>
      <c r="F67" s="109" t="s">
        <v>5</v>
      </c>
      <c r="G67" s="84"/>
      <c r="H67" s="84"/>
      <c r="I67" s="84"/>
      <c r="J67" s="84"/>
      <c r="K67" s="84"/>
      <c r="L67" s="84"/>
      <c r="M67" s="65" t="s">
        <v>8</v>
      </c>
      <c r="N67" s="66">
        <f>E59</f>
        <v>1000</v>
      </c>
      <c r="O67" s="67" t="s">
        <v>6</v>
      </c>
      <c r="P67" s="112" t="s">
        <v>74</v>
      </c>
      <c r="Q67" s="66">
        <f>N54</f>
        <v>7848</v>
      </c>
      <c r="R67" s="68" t="s">
        <v>5</v>
      </c>
      <c r="S67" s="80"/>
    </row>
    <row r="68" spans="1:22" ht="15.75" hidden="1" thickBot="1">
      <c r="A68" s="79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75" t="s">
        <v>9</v>
      </c>
      <c r="N68" s="41">
        <f>E60</f>
        <v>1500</v>
      </c>
      <c r="O68" s="8" t="s">
        <v>6</v>
      </c>
      <c r="P68" s="92"/>
      <c r="Q68" s="93"/>
      <c r="R68" s="94"/>
      <c r="S68" s="80"/>
      <c r="T68" s="21" t="b">
        <f>AND(T37,T38,T39,T48)</f>
        <v>1</v>
      </c>
    </row>
    <row r="69" spans="1:22" ht="15.75" hidden="1" thickBot="1">
      <c r="A69" s="79"/>
      <c r="B69" s="363" t="s">
        <v>23</v>
      </c>
      <c r="C69" s="364"/>
      <c r="D69" s="364"/>
      <c r="E69" s="364"/>
      <c r="F69" s="365"/>
      <c r="G69" s="84"/>
      <c r="H69" s="84"/>
      <c r="I69" s="84"/>
      <c r="J69" s="84"/>
      <c r="K69" s="84"/>
      <c r="L69" s="84"/>
      <c r="M69" s="333" t="s">
        <v>149</v>
      </c>
      <c r="N69" s="334"/>
      <c r="O69" s="334"/>
      <c r="P69" s="334"/>
      <c r="Q69" s="334"/>
      <c r="R69" s="335"/>
      <c r="S69" s="80"/>
    </row>
    <row r="70" spans="1:22" ht="15.75" hidden="1" thickBot="1">
      <c r="A70" s="79"/>
      <c r="B70" s="378" t="s">
        <v>185</v>
      </c>
      <c r="C70" s="379"/>
      <c r="D70" s="380"/>
      <c r="E70" s="58">
        <f>((Q23+Q24)/2)</f>
        <v>82.5</v>
      </c>
      <c r="F70" s="52" t="s">
        <v>6</v>
      </c>
      <c r="G70" s="84"/>
      <c r="H70" s="84"/>
      <c r="I70" s="84"/>
      <c r="J70" s="84"/>
      <c r="K70" s="84"/>
      <c r="L70" s="84"/>
      <c r="M70" s="403" t="s">
        <v>75</v>
      </c>
      <c r="N70" s="404"/>
      <c r="O70" s="43">
        <f>(Q67*N67)/N68</f>
        <v>5232</v>
      </c>
      <c r="P70" s="39" t="s">
        <v>5</v>
      </c>
      <c r="Q70" s="43">
        <f>O70/1000</f>
        <v>5.2320000000000002</v>
      </c>
      <c r="R70" s="64" t="s">
        <v>116</v>
      </c>
      <c r="S70" s="80"/>
    </row>
    <row r="71" spans="1:22" ht="15.75" hidden="1" thickBot="1">
      <c r="A71" s="79"/>
      <c r="B71" s="378" t="s">
        <v>186</v>
      </c>
      <c r="C71" s="379"/>
      <c r="D71" s="380"/>
      <c r="E71" s="36">
        <f>(E70/1000)/2</f>
        <v>4.1250000000000002E-2</v>
      </c>
      <c r="F71" s="48" t="s">
        <v>18</v>
      </c>
      <c r="G71" s="84"/>
      <c r="H71" s="84"/>
      <c r="I71" s="84"/>
      <c r="J71" s="84"/>
      <c r="K71" s="84"/>
      <c r="L71" s="84"/>
      <c r="M71" s="333" t="s">
        <v>76</v>
      </c>
      <c r="N71" s="334"/>
      <c r="O71" s="334"/>
      <c r="P71" s="334"/>
      <c r="Q71" s="334"/>
      <c r="R71" s="335"/>
      <c r="S71" s="80"/>
      <c r="U71" s="21"/>
    </row>
    <row r="72" spans="1:22" ht="18" hidden="1" thickBot="1">
      <c r="A72" s="79"/>
      <c r="B72" s="378" t="s">
        <v>187</v>
      </c>
      <c r="C72" s="379"/>
      <c r="D72" s="380"/>
      <c r="E72" s="36">
        <f>(E71*E71)*Q53</f>
        <v>5.3456162503218753E-3</v>
      </c>
      <c r="F72" s="53" t="s">
        <v>112</v>
      </c>
      <c r="G72" s="84"/>
      <c r="H72" s="84"/>
      <c r="I72" s="84"/>
      <c r="J72" s="84"/>
      <c r="K72" s="84"/>
      <c r="L72" s="84"/>
      <c r="M72" s="401" t="s">
        <v>77</v>
      </c>
      <c r="N72" s="402"/>
      <c r="O72" s="69">
        <f>O70/M59</f>
        <v>462610.36786003807</v>
      </c>
      <c r="P72" s="70" t="s">
        <v>19</v>
      </c>
      <c r="Q72" s="69">
        <f>O72/Q51</f>
        <v>4.6261036786003809</v>
      </c>
      <c r="R72" s="63" t="s">
        <v>24</v>
      </c>
      <c r="S72" s="80"/>
    </row>
    <row r="73" spans="1:22" ht="15.75" hidden="1" thickBot="1">
      <c r="A73" s="79"/>
      <c r="B73" s="489" t="s">
        <v>17</v>
      </c>
      <c r="C73" s="490"/>
      <c r="D73" s="491"/>
      <c r="E73" s="31">
        <f>E66</f>
        <v>14126.4</v>
      </c>
      <c r="F73" s="49" t="s">
        <v>5</v>
      </c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0"/>
    </row>
    <row r="74" spans="1:22" ht="16.5" hidden="1" customHeight="1" thickBot="1">
      <c r="A74" s="79"/>
      <c r="B74" s="333" t="s">
        <v>16</v>
      </c>
      <c r="C74" s="334"/>
      <c r="D74" s="334"/>
      <c r="E74" s="334"/>
      <c r="F74" s="335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0"/>
      <c r="T74" s="30"/>
    </row>
    <row r="75" spans="1:22" ht="15.75" hidden="1" customHeight="1" thickBot="1">
      <c r="A75" s="79"/>
      <c r="B75" s="60" t="s">
        <v>32</v>
      </c>
      <c r="C75" s="50">
        <f>E73/E72</f>
        <v>2642613.9360732092</v>
      </c>
      <c r="D75" s="61" t="s">
        <v>19</v>
      </c>
      <c r="E75" s="62">
        <f>C75/100000</f>
        <v>26.42613936073209</v>
      </c>
      <c r="F75" s="63" t="s">
        <v>24</v>
      </c>
      <c r="G75" s="84"/>
      <c r="H75" s="84"/>
      <c r="I75" s="84"/>
      <c r="J75" s="84"/>
      <c r="K75" s="84"/>
      <c r="L75" s="84"/>
      <c r="M75" s="84"/>
      <c r="N75" s="363" t="s">
        <v>79</v>
      </c>
      <c r="O75" s="364"/>
      <c r="P75" s="364"/>
      <c r="Q75" s="364"/>
      <c r="R75" s="365"/>
      <c r="S75" s="80"/>
      <c r="T75" s="30"/>
    </row>
    <row r="76" spans="1:22" ht="16.5" hidden="1" thickBot="1">
      <c r="A76" s="79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543" t="s">
        <v>103</v>
      </c>
      <c r="O76" s="544"/>
      <c r="P76" s="545"/>
      <c r="Q76" s="119" t="s">
        <v>27</v>
      </c>
      <c r="R76" s="120">
        <v>60</v>
      </c>
      <c r="S76" s="80"/>
      <c r="T76" s="30"/>
    </row>
    <row r="77" spans="1:22" ht="15.75" hidden="1" thickBot="1">
      <c r="A77" s="79"/>
      <c r="B77" s="267" t="s">
        <v>50</v>
      </c>
      <c r="C77" s="268"/>
      <c r="D77" s="268"/>
      <c r="E77" s="268"/>
      <c r="F77" s="268"/>
      <c r="G77" s="268"/>
      <c r="H77" s="268"/>
      <c r="I77" s="269"/>
      <c r="J77" s="84"/>
      <c r="K77" s="84"/>
      <c r="L77" s="84"/>
      <c r="M77" s="84"/>
      <c r="N77" s="378" t="s">
        <v>188</v>
      </c>
      <c r="O77" s="380"/>
      <c r="P77" s="59">
        <f>Q22</f>
        <v>7.7</v>
      </c>
      <c r="Q77" s="98" t="s">
        <v>118</v>
      </c>
      <c r="R77" s="121"/>
      <c r="S77" s="80"/>
    </row>
    <row r="78" spans="1:22" ht="15.75" hidden="1" customHeight="1">
      <c r="A78" s="79"/>
      <c r="B78" s="362" t="s">
        <v>185</v>
      </c>
      <c r="C78" s="361"/>
      <c r="D78" s="111">
        <f>Q23</f>
        <v>120</v>
      </c>
      <c r="E78" s="67" t="s">
        <v>6</v>
      </c>
      <c r="F78" s="341" t="s">
        <v>70</v>
      </c>
      <c r="G78" s="340"/>
      <c r="H78" s="66">
        <f>Q17</f>
        <v>160</v>
      </c>
      <c r="I78" s="71" t="s">
        <v>24</v>
      </c>
      <c r="J78" s="84"/>
      <c r="K78" s="84"/>
      <c r="L78" s="84"/>
      <c r="M78" s="84"/>
      <c r="N78" s="405" t="s">
        <v>189</v>
      </c>
      <c r="O78" s="406"/>
      <c r="P78" s="97">
        <f>Q18</f>
        <v>5.5</v>
      </c>
      <c r="Q78" s="98" t="s">
        <v>117</v>
      </c>
      <c r="R78" s="121"/>
      <c r="S78" s="80"/>
      <c r="T78" s="278"/>
      <c r="U78" s="10"/>
      <c r="V78" s="259"/>
    </row>
    <row r="79" spans="1:22" ht="15.75" hidden="1" customHeight="1" thickBot="1">
      <c r="A79" s="79"/>
      <c r="B79" s="428" t="s">
        <v>186</v>
      </c>
      <c r="C79" s="429"/>
      <c r="D79" s="37">
        <f>(D78/1000)/2</f>
        <v>0.06</v>
      </c>
      <c r="E79" s="98" t="s">
        <v>18</v>
      </c>
      <c r="F79" s="396" t="s">
        <v>44</v>
      </c>
      <c r="G79" s="397"/>
      <c r="H79" s="38">
        <f>H78*Q51</f>
        <v>16000000</v>
      </c>
      <c r="I79" s="48" t="s">
        <v>41</v>
      </c>
      <c r="J79" s="84"/>
      <c r="K79" s="84"/>
      <c r="L79" s="84"/>
      <c r="M79" s="84"/>
      <c r="N79" s="398"/>
      <c r="O79" s="399"/>
      <c r="P79" s="399"/>
      <c r="Q79" s="399"/>
      <c r="R79" s="400"/>
      <c r="S79" s="80"/>
      <c r="T79" s="39"/>
      <c r="U79" s="10"/>
      <c r="V79" s="259"/>
    </row>
    <row r="80" spans="1:22" ht="15.75" hidden="1" customHeight="1" thickBot="1">
      <c r="A80" s="79"/>
      <c r="B80" s="360" t="s">
        <v>187</v>
      </c>
      <c r="C80" s="359"/>
      <c r="D80" s="40">
        <f>(D79*D79)*Q53</f>
        <v>1.13097335544E-2</v>
      </c>
      <c r="E80" s="113" t="s">
        <v>18</v>
      </c>
      <c r="F80" s="394" t="s">
        <v>45</v>
      </c>
      <c r="G80" s="395"/>
      <c r="H80" s="101">
        <f>H79*Q52</f>
        <v>16000000</v>
      </c>
      <c r="I80" s="125" t="s">
        <v>19</v>
      </c>
      <c r="J80" s="84"/>
      <c r="K80" s="84"/>
      <c r="L80" s="84"/>
      <c r="M80" s="84"/>
      <c r="N80" s="543" t="s">
        <v>78</v>
      </c>
      <c r="O80" s="544"/>
      <c r="P80" s="545"/>
      <c r="Q80" s="279" t="s">
        <v>27</v>
      </c>
      <c r="R80" s="120">
        <v>60</v>
      </c>
      <c r="S80" s="80"/>
      <c r="T80" s="278"/>
      <c r="U80" s="10"/>
      <c r="V80" s="259"/>
    </row>
    <row r="81" spans="1:19" ht="15.75" hidden="1" thickBot="1">
      <c r="A81" s="79"/>
      <c r="B81" s="271" t="s">
        <v>33</v>
      </c>
      <c r="C81" s="272"/>
      <c r="D81" s="272"/>
      <c r="E81" s="272"/>
      <c r="F81" s="272"/>
      <c r="G81" s="272"/>
      <c r="H81" s="272"/>
      <c r="I81" s="273"/>
      <c r="J81" s="84"/>
      <c r="K81" s="84"/>
      <c r="L81" s="84"/>
      <c r="M81" s="84"/>
      <c r="N81" s="378" t="s">
        <v>189</v>
      </c>
      <c r="O81" s="380"/>
      <c r="P81" s="59">
        <f>Q19</f>
        <v>9</v>
      </c>
      <c r="Q81" s="98" t="s">
        <v>117</v>
      </c>
      <c r="R81" s="121"/>
      <c r="S81" s="80"/>
    </row>
    <row r="82" spans="1:19" ht="15.75" hidden="1" customHeight="1">
      <c r="A82" s="79"/>
      <c r="B82" s="494" t="s">
        <v>195</v>
      </c>
      <c r="C82" s="495"/>
      <c r="D82" s="495"/>
      <c r="E82" s="492">
        <f>E50</f>
        <v>20</v>
      </c>
      <c r="F82" s="504" t="s">
        <v>104</v>
      </c>
      <c r="G82" s="502" t="s">
        <v>49</v>
      </c>
      <c r="H82" s="124">
        <f>H80*D80</f>
        <v>180955.7368704</v>
      </c>
      <c r="I82" s="52" t="s">
        <v>46</v>
      </c>
      <c r="J82" s="84"/>
      <c r="K82" s="84"/>
      <c r="L82" s="84"/>
      <c r="M82" s="84"/>
      <c r="N82" s="536" t="s">
        <v>59</v>
      </c>
      <c r="O82" s="537"/>
      <c r="P82" s="537"/>
      <c r="Q82" s="537"/>
      <c r="R82" s="538"/>
      <c r="S82" s="80"/>
    </row>
    <row r="83" spans="1:19" ht="15.75" hidden="1" thickBot="1">
      <c r="A83" s="79"/>
      <c r="B83" s="496"/>
      <c r="C83" s="497"/>
      <c r="D83" s="497"/>
      <c r="E83" s="493"/>
      <c r="F83" s="505"/>
      <c r="G83" s="503"/>
      <c r="H83" s="123">
        <f>H82/1000</f>
        <v>180.95573687039999</v>
      </c>
      <c r="I83" s="57" t="s">
        <v>116</v>
      </c>
      <c r="J83" s="84"/>
      <c r="K83" s="84"/>
      <c r="L83" s="84"/>
      <c r="M83" s="84"/>
      <c r="N83" s="541" t="s">
        <v>30</v>
      </c>
      <c r="O83" s="542"/>
      <c r="P83" s="118" t="s">
        <v>28</v>
      </c>
      <c r="Q83" s="99">
        <f>P77/P78*R76</f>
        <v>84.000000000000014</v>
      </c>
      <c r="R83" s="53" t="s">
        <v>29</v>
      </c>
      <c r="S83" s="80"/>
    </row>
    <row r="84" spans="1:19" ht="15.75" hidden="1" thickBot="1">
      <c r="A84" s="79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539" t="s">
        <v>81</v>
      </c>
      <c r="O84" s="540"/>
      <c r="P84" s="122" t="s">
        <v>28</v>
      </c>
      <c r="Q84" s="123">
        <f>P77/P81*R80</f>
        <v>51.333333333333336</v>
      </c>
      <c r="R84" s="109" t="s">
        <v>29</v>
      </c>
      <c r="S84" s="80"/>
    </row>
    <row r="85" spans="1:19" ht="16.5" thickTop="1" thickBot="1">
      <c r="A85" s="86"/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5"/>
    </row>
    <row r="86" spans="1:19" ht="16.5" thickTop="1" thickBot="1">
      <c r="A86" s="126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3"/>
    </row>
    <row r="87" spans="1:19">
      <c r="A87" s="79"/>
      <c r="B87" s="77" t="s">
        <v>5</v>
      </c>
      <c r="C87" s="487" t="s">
        <v>105</v>
      </c>
      <c r="D87" s="488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0"/>
    </row>
    <row r="88" spans="1:19">
      <c r="A88" s="79"/>
      <c r="B88" s="76" t="s">
        <v>106</v>
      </c>
      <c r="C88" s="410" t="s">
        <v>107</v>
      </c>
      <c r="D88" s="411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0"/>
    </row>
    <row r="89" spans="1:19">
      <c r="A89" s="79"/>
      <c r="B89" s="270" t="s">
        <v>218</v>
      </c>
      <c r="C89" s="410" t="s">
        <v>216</v>
      </c>
      <c r="D89" s="411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0"/>
    </row>
    <row r="90" spans="1:19">
      <c r="A90" s="79"/>
      <c r="B90" s="76" t="s">
        <v>18</v>
      </c>
      <c r="C90" s="410" t="s">
        <v>108</v>
      </c>
      <c r="D90" s="411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0"/>
    </row>
    <row r="91" spans="1:19">
      <c r="A91" s="79"/>
      <c r="B91" s="76" t="s">
        <v>29</v>
      </c>
      <c r="C91" s="410" t="s">
        <v>109</v>
      </c>
      <c r="D91" s="411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0"/>
    </row>
    <row r="92" spans="1:19">
      <c r="A92" s="79"/>
      <c r="B92" s="76" t="s">
        <v>6</v>
      </c>
      <c r="C92" s="410" t="s">
        <v>110</v>
      </c>
      <c r="D92" s="411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0"/>
    </row>
    <row r="93" spans="1:19">
      <c r="A93" s="79"/>
      <c r="B93" s="76" t="s">
        <v>41</v>
      </c>
      <c r="C93" s="410" t="s">
        <v>111</v>
      </c>
      <c r="D93" s="411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0"/>
    </row>
    <row r="94" spans="1:19" ht="15" customHeight="1">
      <c r="A94" s="79"/>
      <c r="B94" s="76" t="s">
        <v>114</v>
      </c>
      <c r="C94" s="410" t="s">
        <v>115</v>
      </c>
      <c r="D94" s="411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0"/>
    </row>
    <row r="95" spans="1:19">
      <c r="A95" s="79"/>
      <c r="B95" s="76" t="s">
        <v>116</v>
      </c>
      <c r="C95" s="410" t="s">
        <v>119</v>
      </c>
      <c r="D95" s="411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0"/>
    </row>
    <row r="96" spans="1:19">
      <c r="A96" s="79"/>
      <c r="B96" s="76" t="s">
        <v>118</v>
      </c>
      <c r="C96" s="410" t="s">
        <v>120</v>
      </c>
      <c r="D96" s="411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0"/>
    </row>
    <row r="97" spans="1:19">
      <c r="A97" s="79"/>
      <c r="B97" s="76" t="s">
        <v>122</v>
      </c>
      <c r="C97" s="412" t="s">
        <v>148</v>
      </c>
      <c r="D97" s="413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0"/>
    </row>
    <row r="98" spans="1:19">
      <c r="A98" s="79"/>
      <c r="B98" s="76" t="s">
        <v>121</v>
      </c>
      <c r="C98" s="410" t="s">
        <v>123</v>
      </c>
      <c r="D98" s="411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0"/>
    </row>
    <row r="99" spans="1:19" ht="15.75" thickBot="1">
      <c r="A99" s="79"/>
      <c r="B99" s="78" t="s">
        <v>174</v>
      </c>
      <c r="C99" s="414" t="s">
        <v>175</v>
      </c>
      <c r="D99" s="415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0"/>
    </row>
    <row r="100" spans="1:19" ht="15.75" thickBot="1">
      <c r="A100" s="86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5"/>
    </row>
    <row r="101" spans="1:19" ht="15.75" thickTop="1"/>
    <row r="102" spans="1:19">
      <c r="B102" s="9"/>
      <c r="C102" s="9"/>
      <c r="D102" s="9"/>
      <c r="G102" s="3"/>
    </row>
    <row r="103" spans="1:19">
      <c r="B103" s="3"/>
      <c r="C103" s="3"/>
      <c r="D103" s="3"/>
      <c r="G103" s="3"/>
    </row>
    <row r="104" spans="1:19">
      <c r="G104" s="3"/>
    </row>
    <row r="105" spans="1:19">
      <c r="G105" s="3"/>
    </row>
    <row r="106" spans="1:19">
      <c r="F106" s="11"/>
      <c r="G106" s="10"/>
    </row>
    <row r="107" spans="1:19">
      <c r="G107" s="3"/>
    </row>
    <row r="108" spans="1:19">
      <c r="G108" s="3"/>
    </row>
    <row r="115" spans="3:6">
      <c r="C115" s="12"/>
      <c r="D115" s="13"/>
      <c r="E115" s="12"/>
      <c r="F115" s="13"/>
    </row>
  </sheetData>
  <sheetProtection selectLockedCells="1"/>
  <mergeCells count="136">
    <mergeCell ref="G82:G83"/>
    <mergeCell ref="F82:F83"/>
    <mergeCell ref="F78:G78"/>
    <mergeCell ref="B35:G35"/>
    <mergeCell ref="F41:G43"/>
    <mergeCell ref="B42:C43"/>
    <mergeCell ref="B37:C38"/>
    <mergeCell ref="K45:N47"/>
    <mergeCell ref="C89:D89"/>
    <mergeCell ref="K40:R40"/>
    <mergeCell ref="K41:L41"/>
    <mergeCell ref="Q41:R41"/>
    <mergeCell ref="M41:N41"/>
    <mergeCell ref="K61:N61"/>
    <mergeCell ref="O45:R47"/>
    <mergeCell ref="O36:P38"/>
    <mergeCell ref="N82:R82"/>
    <mergeCell ref="N84:O84"/>
    <mergeCell ref="N83:O83"/>
    <mergeCell ref="N80:P80"/>
    <mergeCell ref="K62:R62"/>
    <mergeCell ref="K63:N63"/>
    <mergeCell ref="N76:P76"/>
    <mergeCell ref="N75:R75"/>
    <mergeCell ref="B30:D31"/>
    <mergeCell ref="B32:E32"/>
    <mergeCell ref="D36:E38"/>
    <mergeCell ref="B36:C36"/>
    <mergeCell ref="B60:D60"/>
    <mergeCell ref="B59:D59"/>
    <mergeCell ref="E30:G31"/>
    <mergeCell ref="C88:D88"/>
    <mergeCell ref="C87:D87"/>
    <mergeCell ref="B74:F74"/>
    <mergeCell ref="B73:D73"/>
    <mergeCell ref="B72:D72"/>
    <mergeCell ref="B71:D71"/>
    <mergeCell ref="B70:D70"/>
    <mergeCell ref="E82:E83"/>
    <mergeCell ref="B82:D83"/>
    <mergeCell ref="B80:C80"/>
    <mergeCell ref="B79:C79"/>
    <mergeCell ref="F36:G38"/>
    <mergeCell ref="B45:G45"/>
    <mergeCell ref="B46:C46"/>
    <mergeCell ref="B47:C47"/>
    <mergeCell ref="F46:G47"/>
    <mergeCell ref="D46:E47"/>
    <mergeCell ref="M13:O13"/>
    <mergeCell ref="M12:O12"/>
    <mergeCell ref="M11:O11"/>
    <mergeCell ref="M10:O10"/>
    <mergeCell ref="M28:N29"/>
    <mergeCell ref="M18:P18"/>
    <mergeCell ref="M24:P24"/>
    <mergeCell ref="O28:P29"/>
    <mergeCell ref="M14:O14"/>
    <mergeCell ref="M22:P22"/>
    <mergeCell ref="A1:S2"/>
    <mergeCell ref="B33:I33"/>
    <mergeCell ref="B58:D58"/>
    <mergeCell ref="B57:F57"/>
    <mergeCell ref="B55:D55"/>
    <mergeCell ref="B53:D53"/>
    <mergeCell ref="B52:D52"/>
    <mergeCell ref="B51:D51"/>
    <mergeCell ref="B50:D50"/>
    <mergeCell ref="B49:F49"/>
    <mergeCell ref="M16:R16"/>
    <mergeCell ref="M26:R26"/>
    <mergeCell ref="M21:R21"/>
    <mergeCell ref="M23:P23"/>
    <mergeCell ref="M53:O53"/>
    <mergeCell ref="Q28:R29"/>
    <mergeCell ref="M50:R50"/>
    <mergeCell ref="Q36:R38"/>
    <mergeCell ref="M19:P19"/>
    <mergeCell ref="B54:F54"/>
    <mergeCell ref="B41:C41"/>
    <mergeCell ref="B40:G40"/>
    <mergeCell ref="D41:E43"/>
    <mergeCell ref="K43:L43"/>
    <mergeCell ref="C94:D94"/>
    <mergeCell ref="C93:D93"/>
    <mergeCell ref="C92:D92"/>
    <mergeCell ref="C91:D91"/>
    <mergeCell ref="C90:D90"/>
    <mergeCell ref="C97:D97"/>
    <mergeCell ref="C99:D99"/>
    <mergeCell ref="C98:D98"/>
    <mergeCell ref="C96:D96"/>
    <mergeCell ref="C95:D95"/>
    <mergeCell ref="B64:F64"/>
    <mergeCell ref="B63:F63"/>
    <mergeCell ref="B62:F62"/>
    <mergeCell ref="B61:D61"/>
    <mergeCell ref="N81:O81"/>
    <mergeCell ref="B67:D67"/>
    <mergeCell ref="B66:D66"/>
    <mergeCell ref="B69:F69"/>
    <mergeCell ref="F80:G80"/>
    <mergeCell ref="F79:G79"/>
    <mergeCell ref="B78:C78"/>
    <mergeCell ref="N79:R79"/>
    <mergeCell ref="M72:N72"/>
    <mergeCell ref="M71:R71"/>
    <mergeCell ref="M70:N70"/>
    <mergeCell ref="M69:R69"/>
    <mergeCell ref="N77:O77"/>
    <mergeCell ref="N78:O78"/>
    <mergeCell ref="M66:R66"/>
    <mergeCell ref="B65:F65"/>
    <mergeCell ref="P3:R5"/>
    <mergeCell ref="M3:O5"/>
    <mergeCell ref="K60:R60"/>
    <mergeCell ref="H32:K32"/>
    <mergeCell ref="H31:K31"/>
    <mergeCell ref="N31:P31"/>
    <mergeCell ref="N32:P32"/>
    <mergeCell ref="L37:N38"/>
    <mergeCell ref="L36:N36"/>
    <mergeCell ref="L35:R35"/>
    <mergeCell ref="K42:L42"/>
    <mergeCell ref="O59:P59"/>
    <mergeCell ref="K59:L59"/>
    <mergeCell ref="O58:P58"/>
    <mergeCell ref="K58:L58"/>
    <mergeCell ref="K57:R57"/>
    <mergeCell ref="Q43:R43"/>
    <mergeCell ref="Q42:R42"/>
    <mergeCell ref="M43:N43"/>
    <mergeCell ref="M42:N42"/>
    <mergeCell ref="M17:P17"/>
    <mergeCell ref="M8:P8"/>
    <mergeCell ref="M7:R7"/>
    <mergeCell ref="M9:P9"/>
  </mergeCells>
  <conditionalFormatting sqref="F41 F36 Q41:Q43">
    <cfRule type="cellIs" dxfId="13" priority="60" operator="equal">
      <formula>"Not Acceptable"</formula>
    </cfRule>
    <cfRule type="cellIs" dxfId="12" priority="61" operator="equal">
      <formula>"Acceptable"</formula>
    </cfRule>
  </conditionalFormatting>
  <conditionalFormatting sqref="Q36">
    <cfRule type="cellIs" dxfId="11" priority="58" operator="equal">
      <formula>"Not Acceptable"</formula>
    </cfRule>
    <cfRule type="cellIs" dxfId="10" priority="59" operator="equal">
      <formula>"Acceptable"</formula>
    </cfRule>
  </conditionalFormatting>
  <conditionalFormatting sqref="O45">
    <cfRule type="cellIs" dxfId="9" priority="56" operator="equal">
      <formula>"Not Acceptable"</formula>
    </cfRule>
    <cfRule type="cellIs" dxfId="8" priority="57" operator="equal">
      <formula>"Acceptable"</formula>
    </cfRule>
  </conditionalFormatting>
  <conditionalFormatting sqref="M28">
    <cfRule type="cellIs" dxfId="7" priority="11" operator="equal">
      <formula>"Not Acceptable"</formula>
    </cfRule>
    <cfRule type="cellIs" dxfId="6" priority="12" operator="equal">
      <formula>"Acceptable"</formula>
    </cfRule>
  </conditionalFormatting>
  <conditionalFormatting sqref="K41">
    <cfRule type="expression" dxfId="5" priority="77">
      <formula>($Q$41)=("ACCEPTABLE")</formula>
    </cfRule>
  </conditionalFormatting>
  <conditionalFormatting sqref="K43">
    <cfRule type="expression" dxfId="4" priority="78">
      <formula>($Q$43)=("ACCEPTABLE")</formula>
    </cfRule>
  </conditionalFormatting>
  <conditionalFormatting sqref="K42">
    <cfRule type="expression" dxfId="3" priority="79">
      <formula>($Q$42)=("ACCEPTABLE")</formula>
    </cfRule>
  </conditionalFormatting>
  <conditionalFormatting sqref="K45:N47">
    <cfRule type="expression" dxfId="2" priority="3">
      <formula>($O$45)="NOT ACCEPTABLE"</formula>
    </cfRule>
  </conditionalFormatting>
  <conditionalFormatting sqref="F46">
    <cfRule type="cellIs" dxfId="1" priority="1" operator="equal">
      <formula>"Not Acceptable"</formula>
    </cfRule>
    <cfRule type="cellIs" dxfId="0" priority="2" operator="equal">
      <formula>"Acceptable"</formula>
    </cfRule>
  </conditionalFormatting>
  <printOptions horizontalCentered="1" verticalCentered="1"/>
  <pageMargins left="0.23622047244094491" right="0.19685039370078741" top="0.27559055118110237" bottom="0.15748031496062992" header="0.23622047244094491" footer="0.15748031496062992"/>
  <pageSetup paperSize="9" scale="74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O93"/>
  <sheetViews>
    <sheetView showGridLines="0" zoomScale="90" zoomScaleNormal="90" workbookViewId="0">
      <selection activeCell="AA39" sqref="AA39"/>
    </sheetView>
  </sheetViews>
  <sheetFormatPr defaultRowHeight="12.75"/>
  <cols>
    <col min="1" max="1" width="5.28515625" style="14" customWidth="1"/>
    <col min="2" max="2" width="4.42578125" style="14" bestFit="1" customWidth="1"/>
    <col min="3" max="3" width="15.5703125" style="14" bestFit="1" customWidth="1"/>
    <col min="4" max="8" width="10.85546875" style="14" customWidth="1"/>
    <col min="9" max="16" width="4.85546875" style="14" customWidth="1"/>
    <col min="17" max="17" width="11" style="14" bestFit="1" customWidth="1"/>
    <col min="18" max="31" width="10.7109375" style="14" customWidth="1"/>
    <col min="32" max="32" width="16" style="14" bestFit="1" customWidth="1"/>
    <col min="33" max="35" width="4.85546875" style="14" customWidth="1"/>
    <col min="36" max="16384" width="9.140625" style="14"/>
  </cols>
  <sheetData>
    <row r="1" spans="2:36" ht="21.75" customHeight="1" thickTop="1" thickBot="1">
      <c r="B1" s="561" t="s">
        <v>85</v>
      </c>
      <c r="C1" s="562"/>
      <c r="D1" s="562"/>
      <c r="E1" s="562"/>
      <c r="F1" s="562"/>
      <c r="G1" s="562"/>
      <c r="H1" s="562"/>
      <c r="I1" s="562"/>
      <c r="J1" s="562"/>
      <c r="K1" s="562"/>
      <c r="L1" s="562"/>
      <c r="M1" s="562"/>
      <c r="N1" s="562"/>
      <c r="O1" s="562"/>
      <c r="P1" s="562"/>
      <c r="Q1" s="563"/>
      <c r="R1" s="26"/>
      <c r="AG1" s="24"/>
      <c r="AH1" s="24"/>
      <c r="AI1" s="24"/>
      <c r="AJ1" s="25"/>
    </row>
    <row r="2" spans="2:36" ht="15.75"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7"/>
      <c r="R2" s="26"/>
      <c r="AG2" s="24"/>
      <c r="AH2" s="24"/>
      <c r="AI2" s="24"/>
      <c r="AJ2" s="25"/>
    </row>
    <row r="3" spans="2:36" ht="15.75" customHeight="1">
      <c r="B3" s="15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7"/>
      <c r="R3" s="26"/>
      <c r="AG3" s="24"/>
      <c r="AH3" s="24"/>
      <c r="AI3" s="24"/>
      <c r="AJ3" s="25"/>
    </row>
    <row r="4" spans="2:36" ht="15.75" customHeight="1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7"/>
      <c r="R4" s="26"/>
      <c r="AG4" s="24"/>
      <c r="AH4" s="24"/>
      <c r="AI4" s="24"/>
      <c r="AJ4" s="25"/>
    </row>
    <row r="5" spans="2:36" ht="15.75" customHeight="1"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7"/>
      <c r="R5" s="26"/>
      <c r="AG5" s="24"/>
      <c r="AH5" s="24"/>
      <c r="AI5" s="24"/>
      <c r="AJ5" s="25"/>
    </row>
    <row r="6" spans="2:36" ht="15.75" customHeight="1"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7"/>
      <c r="R6" s="26"/>
      <c r="AG6" s="24"/>
      <c r="AH6" s="24"/>
      <c r="AI6" s="24"/>
      <c r="AJ6" s="25"/>
    </row>
    <row r="7" spans="2:36" ht="15.75" customHeight="1"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7"/>
      <c r="R7" s="26"/>
      <c r="AG7" s="24"/>
      <c r="AH7" s="24"/>
      <c r="AI7" s="24"/>
      <c r="AJ7" s="25"/>
    </row>
    <row r="8" spans="2:36" ht="15.75" customHeight="1"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7"/>
      <c r="R8" s="26"/>
      <c r="AG8" s="24"/>
      <c r="AH8" s="24"/>
      <c r="AI8" s="24"/>
      <c r="AJ8" s="25"/>
    </row>
    <row r="9" spans="2:36" ht="15.75" customHeight="1"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7"/>
      <c r="R9" s="26"/>
      <c r="S9" s="29"/>
      <c r="T9" s="29"/>
      <c r="U9" s="22"/>
      <c r="V9" s="22"/>
      <c r="W9" s="22"/>
      <c r="X9" s="22"/>
      <c r="AG9" s="24"/>
      <c r="AH9" s="24"/>
      <c r="AI9" s="24"/>
      <c r="AJ9" s="25"/>
    </row>
    <row r="10" spans="2:36" ht="16.5" thickBot="1"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7"/>
      <c r="R10" s="26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5"/>
    </row>
    <row r="11" spans="2:36" ht="20.25" thickTop="1" thickBot="1"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7"/>
      <c r="R11" s="26"/>
      <c r="S11" s="575" t="s">
        <v>153</v>
      </c>
      <c r="T11" s="576"/>
      <c r="U11" s="576"/>
      <c r="V11" s="576"/>
      <c r="W11" s="576"/>
      <c r="X11" s="576"/>
      <c r="Y11" s="576"/>
      <c r="Z11" s="576"/>
      <c r="AA11" s="576"/>
      <c r="AB11" s="576"/>
      <c r="AC11" s="576"/>
      <c r="AD11" s="576"/>
      <c r="AE11" s="577"/>
      <c r="AF11" s="24"/>
      <c r="AG11" s="24"/>
      <c r="AH11" s="24"/>
      <c r="AI11" s="24"/>
      <c r="AJ11" s="25"/>
    </row>
    <row r="12" spans="2:36" ht="15.75" customHeight="1" thickBot="1"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7"/>
      <c r="R12" s="26"/>
      <c r="S12" s="570" t="s">
        <v>154</v>
      </c>
      <c r="T12" s="571"/>
      <c r="U12" s="571"/>
      <c r="V12" s="571"/>
      <c r="W12" s="571"/>
      <c r="X12" s="571"/>
      <c r="Y12" s="572" t="s">
        <v>161</v>
      </c>
      <c r="Z12" s="573"/>
      <c r="AA12" s="573"/>
      <c r="AB12" s="573"/>
      <c r="AC12" s="573"/>
      <c r="AD12" s="573"/>
      <c r="AE12" s="574"/>
      <c r="AF12" s="24"/>
      <c r="AG12" s="24"/>
      <c r="AH12" s="24"/>
      <c r="AI12" s="24"/>
      <c r="AJ12" s="25"/>
    </row>
    <row r="13" spans="2:36" ht="15.75" customHeight="1" thickBot="1"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7"/>
      <c r="S13" s="578" t="s">
        <v>202</v>
      </c>
      <c r="T13" s="579"/>
      <c r="U13" s="144" t="s">
        <v>201</v>
      </c>
      <c r="V13" s="144" t="s">
        <v>203</v>
      </c>
      <c r="W13" s="145" t="s">
        <v>204</v>
      </c>
      <c r="X13" s="146" t="s">
        <v>155</v>
      </c>
      <c r="Y13" s="578" t="s">
        <v>202</v>
      </c>
      <c r="Z13" s="579"/>
      <c r="AA13" s="144" t="s">
        <v>201</v>
      </c>
      <c r="AB13" s="144" t="s">
        <v>203</v>
      </c>
      <c r="AC13" s="145" t="s">
        <v>162</v>
      </c>
      <c r="AD13" s="145" t="s">
        <v>163</v>
      </c>
      <c r="AE13" s="146" t="s">
        <v>155</v>
      </c>
      <c r="AF13" s="24"/>
      <c r="AG13" s="24"/>
      <c r="AH13" s="24"/>
      <c r="AI13" s="24"/>
      <c r="AJ13" s="25"/>
    </row>
    <row r="14" spans="2:36" ht="15.75" customHeight="1"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S14" s="580" t="s">
        <v>156</v>
      </c>
      <c r="T14" s="581"/>
      <c r="U14" s="280">
        <v>5</v>
      </c>
      <c r="V14" s="281">
        <v>3.8</v>
      </c>
      <c r="W14" s="281">
        <v>170</v>
      </c>
      <c r="X14" s="282">
        <v>250</v>
      </c>
      <c r="Y14" s="582" t="s">
        <v>164</v>
      </c>
      <c r="Z14" s="583"/>
      <c r="AA14" s="283">
        <v>10</v>
      </c>
      <c r="AB14" s="284">
        <v>8.5</v>
      </c>
      <c r="AC14" s="281">
        <v>213</v>
      </c>
      <c r="AD14" s="285">
        <v>198</v>
      </c>
      <c r="AE14" s="282">
        <v>260</v>
      </c>
      <c r="AF14" s="24"/>
      <c r="AG14" s="24"/>
      <c r="AH14" s="24"/>
      <c r="AI14" s="24"/>
      <c r="AJ14" s="25"/>
    </row>
    <row r="15" spans="2:36" ht="15.75" customHeight="1"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7"/>
      <c r="S15" s="568" t="s">
        <v>157</v>
      </c>
      <c r="T15" s="569"/>
      <c r="U15" s="286">
        <v>6</v>
      </c>
      <c r="V15" s="287">
        <v>5.2</v>
      </c>
      <c r="W15" s="288">
        <v>178</v>
      </c>
      <c r="X15" s="289">
        <v>300</v>
      </c>
      <c r="Y15" s="566" t="s">
        <v>165</v>
      </c>
      <c r="Z15" s="567"/>
      <c r="AA15" s="290">
        <v>12</v>
      </c>
      <c r="AB15" s="291">
        <v>10.199999999999999</v>
      </c>
      <c r="AC15" s="291">
        <v>213</v>
      </c>
      <c r="AD15" s="292">
        <v>198</v>
      </c>
      <c r="AE15" s="293">
        <v>301.5</v>
      </c>
      <c r="AF15" s="24"/>
      <c r="AG15" s="24"/>
      <c r="AH15" s="24"/>
      <c r="AI15" s="24"/>
      <c r="AJ15" s="25"/>
    </row>
    <row r="16" spans="2:36" ht="15.75" customHeight="1"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7"/>
      <c r="S16" s="566" t="s">
        <v>158</v>
      </c>
      <c r="T16" s="567"/>
      <c r="U16" s="290">
        <v>8</v>
      </c>
      <c r="V16" s="291">
        <v>6.8</v>
      </c>
      <c r="W16" s="291">
        <v>178</v>
      </c>
      <c r="X16" s="293">
        <v>370</v>
      </c>
      <c r="Y16" s="568" t="s">
        <v>166</v>
      </c>
      <c r="Z16" s="569"/>
      <c r="AA16" s="294">
        <v>15</v>
      </c>
      <c r="AB16" s="295">
        <v>13.5</v>
      </c>
      <c r="AC16" s="291">
        <v>213</v>
      </c>
      <c r="AD16" s="292">
        <v>198</v>
      </c>
      <c r="AE16" s="293">
        <v>410</v>
      </c>
      <c r="AF16" s="24"/>
      <c r="AG16" s="24"/>
      <c r="AH16" s="24"/>
      <c r="AI16" s="24"/>
      <c r="AJ16" s="25"/>
    </row>
    <row r="17" spans="1:36" ht="15.75" customHeight="1"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7"/>
      <c r="R17" s="26"/>
      <c r="S17" s="566" t="s">
        <v>159</v>
      </c>
      <c r="T17" s="567"/>
      <c r="U17" s="290">
        <v>10</v>
      </c>
      <c r="V17" s="291">
        <v>8.1</v>
      </c>
      <c r="W17" s="291">
        <v>178</v>
      </c>
      <c r="X17" s="293">
        <v>440</v>
      </c>
      <c r="Y17" s="566" t="s">
        <v>167</v>
      </c>
      <c r="Z17" s="567"/>
      <c r="AA17" s="290">
        <v>20</v>
      </c>
      <c r="AB17" s="291">
        <v>17.8</v>
      </c>
      <c r="AC17" s="291">
        <v>213</v>
      </c>
      <c r="AD17" s="292">
        <v>198</v>
      </c>
      <c r="AE17" s="293">
        <v>534</v>
      </c>
      <c r="AJ17" s="25"/>
    </row>
    <row r="18" spans="1:36" ht="15.75" customHeight="1" thickBot="1"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26"/>
      <c r="S18" s="564" t="s">
        <v>160</v>
      </c>
      <c r="T18" s="565"/>
      <c r="U18" s="296">
        <v>12</v>
      </c>
      <c r="V18" s="297">
        <v>10.199999999999999</v>
      </c>
      <c r="W18" s="297">
        <v>178</v>
      </c>
      <c r="X18" s="298">
        <v>540</v>
      </c>
      <c r="Y18" s="564" t="s">
        <v>168</v>
      </c>
      <c r="Z18" s="565"/>
      <c r="AA18" s="299">
        <v>25</v>
      </c>
      <c r="AB18" s="300">
        <v>23.5</v>
      </c>
      <c r="AC18" s="300">
        <v>213</v>
      </c>
      <c r="AD18" s="301">
        <v>198</v>
      </c>
      <c r="AE18" s="302">
        <v>705</v>
      </c>
      <c r="AJ18" s="25"/>
    </row>
    <row r="19" spans="1:36" ht="15.75" customHeight="1" thickTop="1" thickBot="1"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7"/>
      <c r="R19" s="26"/>
      <c r="S19" s="23"/>
      <c r="T19" s="23"/>
      <c r="U19" s="23"/>
      <c r="V19" s="23"/>
      <c r="W19" s="23"/>
      <c r="X19" s="23"/>
      <c r="Y19" s="23"/>
      <c r="Z19" s="23"/>
      <c r="AA19" s="23"/>
      <c r="AB19" s="23"/>
      <c r="AJ19" s="25"/>
    </row>
    <row r="20" spans="1:36" ht="15.75" customHeight="1" thickBot="1"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7"/>
      <c r="R20" s="26"/>
      <c r="S20" s="584" t="s">
        <v>220</v>
      </c>
      <c r="T20" s="585"/>
      <c r="U20" s="23"/>
      <c r="V20" s="23"/>
      <c r="W20" s="23"/>
      <c r="X20" s="23"/>
      <c r="Y20" s="23"/>
      <c r="Z20" s="23"/>
      <c r="AA20" s="23"/>
      <c r="AB20" s="23"/>
      <c r="AJ20" s="25"/>
    </row>
    <row r="21" spans="1:36" ht="15.75" customHeight="1"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7"/>
      <c r="R21" s="26"/>
      <c r="U21" s="23"/>
      <c r="V21" s="23"/>
      <c r="W21" s="23"/>
      <c r="X21" s="23"/>
      <c r="Y21" s="23"/>
      <c r="Z21" s="23"/>
      <c r="AA21" s="23"/>
      <c r="AB21" s="23"/>
      <c r="AJ21" s="25"/>
    </row>
    <row r="22" spans="1:36" ht="15.75" customHeight="1"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7"/>
      <c r="R22" s="26"/>
      <c r="U22" s="23"/>
      <c r="V22" s="23"/>
      <c r="W22" s="23"/>
      <c r="X22" s="23"/>
      <c r="Y22" s="23"/>
      <c r="Z22" s="23"/>
      <c r="AA22" s="23"/>
      <c r="AB22" s="23"/>
      <c r="AJ22" s="25"/>
    </row>
    <row r="23" spans="1:36" ht="15.75" customHeight="1"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7"/>
      <c r="R23" s="26"/>
      <c r="S23" s="6"/>
      <c r="T23" s="6"/>
      <c r="U23" s="23"/>
      <c r="V23" s="23"/>
      <c r="W23" s="23"/>
      <c r="X23" s="23"/>
      <c r="Y23" s="23"/>
      <c r="Z23" s="23"/>
      <c r="AA23" s="23"/>
      <c r="AB23" s="23"/>
      <c r="AJ23" s="25"/>
    </row>
    <row r="24" spans="1:36" ht="15.75" customHeight="1"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7"/>
      <c r="R24" s="26"/>
      <c r="S24" s="6"/>
      <c r="T24" s="6"/>
      <c r="U24" s="23"/>
      <c r="V24" s="23"/>
      <c r="W24" s="23"/>
      <c r="X24" s="23"/>
      <c r="Y24" s="23"/>
      <c r="Z24" s="23"/>
      <c r="AA24" s="23"/>
      <c r="AB24" s="23"/>
      <c r="AJ24" s="25"/>
    </row>
    <row r="25" spans="1:36" ht="15.75" customHeight="1"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7"/>
      <c r="R25" s="26"/>
      <c r="S25" s="6"/>
      <c r="T25" s="6"/>
      <c r="U25" s="23"/>
      <c r="V25" s="23"/>
      <c r="W25" s="23"/>
      <c r="X25" s="23"/>
      <c r="Y25" s="23"/>
      <c r="Z25" s="23"/>
      <c r="AA25" s="23"/>
      <c r="AB25" s="23"/>
      <c r="AJ25" s="25"/>
    </row>
    <row r="26" spans="1:36" ht="15.75" customHeight="1"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7"/>
      <c r="R26" s="26"/>
      <c r="S26" s="6"/>
      <c r="T26" s="6"/>
      <c r="U26" s="23"/>
      <c r="V26" s="23"/>
      <c r="W26" s="23"/>
      <c r="X26" s="23"/>
      <c r="Y26" s="23"/>
      <c r="Z26" s="23"/>
      <c r="AA26" s="23"/>
      <c r="AB26" s="23"/>
      <c r="AJ26" s="25"/>
    </row>
    <row r="27" spans="1:36" ht="15.75" customHeight="1"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26"/>
      <c r="S27" s="6"/>
      <c r="T27" s="6"/>
      <c r="U27" s="23"/>
      <c r="V27" s="23"/>
      <c r="W27" s="23"/>
      <c r="X27" s="23"/>
      <c r="Y27" s="23"/>
      <c r="Z27" s="23"/>
      <c r="AA27" s="23"/>
      <c r="AB27" s="23"/>
      <c r="AJ27" s="25"/>
    </row>
    <row r="28" spans="1:36" ht="15.75" customHeight="1"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7"/>
      <c r="R28" s="26"/>
      <c r="S28" s="23"/>
      <c r="T28" s="23"/>
      <c r="U28" s="23"/>
      <c r="V28" s="23"/>
      <c r="W28" s="23"/>
      <c r="X28" s="23"/>
      <c r="Y28" s="23"/>
      <c r="Z28" s="23"/>
      <c r="AA28" s="23"/>
      <c r="AI28" s="25"/>
    </row>
    <row r="29" spans="1:36" ht="15.75" customHeight="1" thickBot="1"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7"/>
      <c r="R29" s="26"/>
      <c r="S29" s="23"/>
      <c r="T29" s="23"/>
      <c r="U29" s="23"/>
      <c r="V29" s="23"/>
      <c r="W29" s="23"/>
      <c r="X29" s="23"/>
      <c r="Y29" s="23"/>
      <c r="Z29" s="23"/>
      <c r="AA29" s="23"/>
      <c r="AI29" s="25"/>
    </row>
    <row r="30" spans="1:36" ht="17.25" thickTop="1" thickBot="1">
      <c r="B30" s="174"/>
      <c r="C30" s="175"/>
      <c r="D30" s="175"/>
      <c r="E30" s="175"/>
      <c r="F30" s="175"/>
      <c r="G30" s="175"/>
      <c r="H30" s="175"/>
      <c r="I30" s="175"/>
      <c r="J30" s="175"/>
      <c r="K30" s="175"/>
      <c r="L30" s="175"/>
      <c r="M30" s="175"/>
      <c r="N30" s="175"/>
      <c r="O30" s="175"/>
      <c r="P30" s="175"/>
      <c r="Q30" s="139"/>
      <c r="R30" s="595" t="s">
        <v>133</v>
      </c>
      <c r="S30" s="596"/>
      <c r="T30" s="596"/>
      <c r="U30" s="596"/>
      <c r="V30" s="596"/>
      <c r="W30" s="597"/>
      <c r="X30" s="549" t="s">
        <v>134</v>
      </c>
      <c r="Y30" s="550"/>
      <c r="Z30" s="550"/>
      <c r="AA30" s="550"/>
      <c r="AB30" s="550"/>
      <c r="AC30" s="550"/>
      <c r="AD30" s="559" t="s">
        <v>171</v>
      </c>
      <c r="AE30" s="560"/>
      <c r="AI30" s="25"/>
    </row>
    <row r="31" spans="1:36" ht="15.75" thickBot="1">
      <c r="A31" s="18"/>
      <c r="B31" s="169" t="s">
        <v>86</v>
      </c>
      <c r="C31" s="170" t="s">
        <v>87</v>
      </c>
      <c r="D31" s="171" t="s">
        <v>88</v>
      </c>
      <c r="E31" s="171" t="s">
        <v>89</v>
      </c>
      <c r="F31" s="171" t="s">
        <v>90</v>
      </c>
      <c r="G31" s="171" t="s">
        <v>91</v>
      </c>
      <c r="H31" s="171" t="s">
        <v>92</v>
      </c>
      <c r="I31" s="170" t="s">
        <v>93</v>
      </c>
      <c r="J31" s="170" t="s">
        <v>94</v>
      </c>
      <c r="K31" s="170" t="s">
        <v>95</v>
      </c>
      <c r="L31" s="170" t="s">
        <v>96</v>
      </c>
      <c r="M31" s="170" t="s">
        <v>97</v>
      </c>
      <c r="N31" s="170" t="s">
        <v>98</v>
      </c>
      <c r="O31" s="170" t="s">
        <v>99</v>
      </c>
      <c r="P31" s="172" t="s">
        <v>26</v>
      </c>
      <c r="Q31" s="173" t="s">
        <v>200</v>
      </c>
      <c r="R31" s="181" t="s">
        <v>135</v>
      </c>
      <c r="S31" s="182" t="s">
        <v>136</v>
      </c>
      <c r="T31" s="182" t="s">
        <v>137</v>
      </c>
      <c r="U31" s="182" t="s">
        <v>138</v>
      </c>
      <c r="V31" s="182" t="s">
        <v>139</v>
      </c>
      <c r="W31" s="183" t="s">
        <v>140</v>
      </c>
      <c r="X31" s="163" t="s">
        <v>135</v>
      </c>
      <c r="Y31" s="164" t="s">
        <v>136</v>
      </c>
      <c r="Z31" s="164" t="s">
        <v>137</v>
      </c>
      <c r="AA31" s="164" t="s">
        <v>138</v>
      </c>
      <c r="AB31" s="164" t="s">
        <v>139</v>
      </c>
      <c r="AC31" s="165" t="s">
        <v>140</v>
      </c>
      <c r="AD31" s="557" t="s">
        <v>172</v>
      </c>
      <c r="AE31" s="558"/>
      <c r="AI31" s="27"/>
    </row>
    <row r="32" spans="1:36" ht="15.75" customHeight="1">
      <c r="B32" s="19">
        <v>1</v>
      </c>
      <c r="C32" s="176" t="s">
        <v>130</v>
      </c>
      <c r="D32" s="20">
        <v>4</v>
      </c>
      <c r="E32" s="20">
        <v>800</v>
      </c>
      <c r="F32" s="20">
        <v>5</v>
      </c>
      <c r="G32" s="20">
        <v>3.2</v>
      </c>
      <c r="H32" s="20">
        <v>21</v>
      </c>
      <c r="I32" s="20">
        <v>155</v>
      </c>
      <c r="J32" s="20">
        <v>223</v>
      </c>
      <c r="K32" s="20">
        <v>85</v>
      </c>
      <c r="L32" s="20">
        <v>43</v>
      </c>
      <c r="M32" s="20">
        <v>40</v>
      </c>
      <c r="N32" s="20">
        <v>112</v>
      </c>
      <c r="O32" s="20">
        <v>135</v>
      </c>
      <c r="P32" s="140">
        <v>378</v>
      </c>
      <c r="Q32" s="178" t="s">
        <v>127</v>
      </c>
      <c r="R32" s="147">
        <v>90</v>
      </c>
      <c r="S32" s="148">
        <f>R32-15</f>
        <v>75</v>
      </c>
      <c r="T32" s="148">
        <f>S32-15</f>
        <v>60</v>
      </c>
      <c r="U32" s="148">
        <f>T32-15</f>
        <v>45</v>
      </c>
      <c r="V32" s="148" t="s">
        <v>141</v>
      </c>
      <c r="W32" s="149" t="s">
        <v>141</v>
      </c>
      <c r="X32" s="150">
        <f t="shared" ref="X32:AA36" si="0">IF(R32&gt;0,($G$43*(R32/2)*(R32/2))*$G$44*10," ")/1000000</f>
        <v>10.182857142857141</v>
      </c>
      <c r="Y32" s="151">
        <f t="shared" si="0"/>
        <v>7.0714285714285712</v>
      </c>
      <c r="Z32" s="151">
        <f t="shared" si="0"/>
        <v>4.5257142857142858</v>
      </c>
      <c r="AA32" s="151">
        <f t="shared" si="0"/>
        <v>2.5457142857142854</v>
      </c>
      <c r="AB32" s="151" t="s">
        <v>141</v>
      </c>
      <c r="AC32" s="166" t="s">
        <v>141</v>
      </c>
      <c r="AD32" s="555">
        <f>G32*1.1</f>
        <v>3.5200000000000005</v>
      </c>
      <c r="AE32" s="556"/>
      <c r="AI32" s="152"/>
    </row>
    <row r="33" spans="1:35" ht="15.75" customHeight="1">
      <c r="B33" s="19">
        <v>2</v>
      </c>
      <c r="C33" s="176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140"/>
      <c r="Q33" s="178"/>
      <c r="R33" s="147"/>
      <c r="S33" s="148"/>
      <c r="T33" s="148"/>
      <c r="U33" s="148"/>
      <c r="V33" s="148"/>
      <c r="W33" s="149"/>
      <c r="X33" s="150"/>
      <c r="Y33" s="151"/>
      <c r="Z33" s="151"/>
      <c r="AA33" s="151"/>
      <c r="AB33" s="151"/>
      <c r="AC33" s="166"/>
      <c r="AD33" s="311"/>
      <c r="AE33" s="312"/>
      <c r="AI33" s="152"/>
    </row>
    <row r="34" spans="1:35" ht="15.75" customHeight="1">
      <c r="B34" s="19">
        <v>3</v>
      </c>
      <c r="C34" s="176" t="s">
        <v>100</v>
      </c>
      <c r="D34" s="20">
        <v>6</v>
      </c>
      <c r="E34" s="20">
        <v>1000</v>
      </c>
      <c r="F34" s="20">
        <v>6</v>
      </c>
      <c r="G34" s="20">
        <v>4.2</v>
      </c>
      <c r="H34" s="20">
        <v>23</v>
      </c>
      <c r="I34" s="20">
        <v>160</v>
      </c>
      <c r="J34" s="20">
        <v>186</v>
      </c>
      <c r="K34" s="20">
        <v>85</v>
      </c>
      <c r="L34" s="20">
        <v>43</v>
      </c>
      <c r="M34" s="20">
        <v>40</v>
      </c>
      <c r="N34" s="20">
        <v>125</v>
      </c>
      <c r="O34" s="20">
        <v>150</v>
      </c>
      <c r="P34" s="140">
        <v>346</v>
      </c>
      <c r="Q34" s="179" t="s">
        <v>128</v>
      </c>
      <c r="R34" s="153">
        <v>105</v>
      </c>
      <c r="S34" s="154">
        <v>90</v>
      </c>
      <c r="T34" s="154">
        <v>75</v>
      </c>
      <c r="U34" s="154">
        <v>60</v>
      </c>
      <c r="V34" s="154">
        <v>45</v>
      </c>
      <c r="W34" s="155">
        <v>30</v>
      </c>
      <c r="X34" s="156">
        <f t="shared" si="0"/>
        <v>13.86</v>
      </c>
      <c r="Y34" s="157">
        <f t="shared" si="0"/>
        <v>10.182857142857141</v>
      </c>
      <c r="Z34" s="157">
        <f t="shared" si="0"/>
        <v>7.0714285714285712</v>
      </c>
      <c r="AA34" s="157">
        <f t="shared" si="0"/>
        <v>4.5257142857142858</v>
      </c>
      <c r="AB34" s="157">
        <f t="shared" ref="AB34:AC36" si="1">IF(V34&gt;0,($G$43*(V34/2)*(V34/2))*$G$44*10," ")/1000000</f>
        <v>2.5457142857142854</v>
      </c>
      <c r="AC34" s="167">
        <f t="shared" si="1"/>
        <v>1.1314285714285715</v>
      </c>
      <c r="AD34" s="553">
        <f>G34*1.1</f>
        <v>4.620000000000001</v>
      </c>
      <c r="AE34" s="554"/>
      <c r="AI34" s="152"/>
    </row>
    <row r="35" spans="1:35" ht="15.75" customHeight="1">
      <c r="B35" s="19">
        <v>5</v>
      </c>
      <c r="C35" s="176" t="s">
        <v>131</v>
      </c>
      <c r="D35" s="20">
        <v>6</v>
      </c>
      <c r="E35" s="20">
        <v>1250</v>
      </c>
      <c r="F35" s="20">
        <v>9</v>
      </c>
      <c r="G35" s="20">
        <v>7.7</v>
      </c>
      <c r="H35" s="20">
        <v>33</v>
      </c>
      <c r="I35" s="20">
        <v>160</v>
      </c>
      <c r="J35" s="20">
        <v>231</v>
      </c>
      <c r="K35" s="20">
        <v>85</v>
      </c>
      <c r="L35" s="20">
        <v>43</v>
      </c>
      <c r="M35" s="20">
        <v>45</v>
      </c>
      <c r="N35" s="20">
        <v>142</v>
      </c>
      <c r="O35" s="20">
        <v>165</v>
      </c>
      <c r="P35" s="140">
        <v>391</v>
      </c>
      <c r="Q35" s="179" t="s">
        <v>129</v>
      </c>
      <c r="R35" s="153">
        <v>120</v>
      </c>
      <c r="S35" s="154">
        <f>R35-15</f>
        <v>105</v>
      </c>
      <c r="T35" s="154">
        <f>S35-15</f>
        <v>90</v>
      </c>
      <c r="U35" s="154">
        <f t="shared" ref="U35:W36" si="2">T35-15</f>
        <v>75</v>
      </c>
      <c r="V35" s="154">
        <f t="shared" si="2"/>
        <v>60</v>
      </c>
      <c r="W35" s="155">
        <f t="shared" si="2"/>
        <v>45</v>
      </c>
      <c r="X35" s="156">
        <f t="shared" si="0"/>
        <v>18.102857142857143</v>
      </c>
      <c r="Y35" s="157">
        <f t="shared" si="0"/>
        <v>13.86</v>
      </c>
      <c r="Z35" s="157">
        <f t="shared" si="0"/>
        <v>10.182857142857141</v>
      </c>
      <c r="AA35" s="157">
        <f t="shared" si="0"/>
        <v>7.0714285714285712</v>
      </c>
      <c r="AB35" s="157">
        <f t="shared" si="1"/>
        <v>4.5257142857142858</v>
      </c>
      <c r="AC35" s="167">
        <f t="shared" si="1"/>
        <v>2.5457142857142854</v>
      </c>
      <c r="AD35" s="553">
        <f>G35*1.1</f>
        <v>8.4700000000000006</v>
      </c>
      <c r="AE35" s="554"/>
      <c r="AI35" s="152"/>
    </row>
    <row r="36" spans="1:35" ht="15.75" customHeight="1" thickBot="1">
      <c r="B36" s="141">
        <v>6</v>
      </c>
      <c r="C36" s="177" t="s">
        <v>132</v>
      </c>
      <c r="D36" s="142">
        <v>6</v>
      </c>
      <c r="E36" s="142">
        <v>1500</v>
      </c>
      <c r="F36" s="142">
        <v>9</v>
      </c>
      <c r="G36" s="142">
        <v>8.6999999999999993</v>
      </c>
      <c r="H36" s="142">
        <v>37</v>
      </c>
      <c r="I36" s="142">
        <v>160</v>
      </c>
      <c r="J36" s="142">
        <v>273</v>
      </c>
      <c r="K36" s="142">
        <v>85</v>
      </c>
      <c r="L36" s="142">
        <v>43</v>
      </c>
      <c r="M36" s="142">
        <v>45</v>
      </c>
      <c r="N36" s="142">
        <v>142</v>
      </c>
      <c r="O36" s="142">
        <v>165</v>
      </c>
      <c r="P36" s="143">
        <v>433</v>
      </c>
      <c r="Q36" s="180" t="s">
        <v>144</v>
      </c>
      <c r="R36" s="158">
        <v>120</v>
      </c>
      <c r="S36" s="159">
        <f>R36-15</f>
        <v>105</v>
      </c>
      <c r="T36" s="159">
        <f>S36-15</f>
        <v>90</v>
      </c>
      <c r="U36" s="159">
        <f t="shared" si="2"/>
        <v>75</v>
      </c>
      <c r="V36" s="159">
        <f t="shared" si="2"/>
        <v>60</v>
      </c>
      <c r="W36" s="160">
        <f t="shared" si="2"/>
        <v>45</v>
      </c>
      <c r="X36" s="161">
        <f t="shared" si="0"/>
        <v>18.102857142857143</v>
      </c>
      <c r="Y36" s="162">
        <f t="shared" si="0"/>
        <v>13.86</v>
      </c>
      <c r="Z36" s="162">
        <f t="shared" si="0"/>
        <v>10.182857142857141</v>
      </c>
      <c r="AA36" s="162">
        <f t="shared" si="0"/>
        <v>7.0714285714285712</v>
      </c>
      <c r="AB36" s="162">
        <f t="shared" si="1"/>
        <v>4.5257142857142858</v>
      </c>
      <c r="AC36" s="168">
        <f t="shared" si="1"/>
        <v>2.5457142857142854</v>
      </c>
      <c r="AD36" s="551">
        <f>G36*1.1</f>
        <v>9.57</v>
      </c>
      <c r="AE36" s="552"/>
      <c r="AI36" s="152"/>
    </row>
    <row r="37" spans="1:35" ht="15.75" customHeight="1" thickTop="1" thickBot="1">
      <c r="A37" s="26"/>
      <c r="B37" s="23"/>
      <c r="C37" s="23"/>
      <c r="D37" s="23"/>
      <c r="E37" s="23"/>
      <c r="F37" s="23"/>
      <c r="G37" s="23"/>
      <c r="H37" s="23"/>
      <c r="I37" s="23"/>
      <c r="J37" s="23"/>
      <c r="Q37" s="28"/>
    </row>
    <row r="38" spans="1:35" ht="15.75" customHeight="1" thickBot="1">
      <c r="A38" s="26"/>
      <c r="B38" s="598" t="s">
        <v>248</v>
      </c>
      <c r="C38" s="599"/>
      <c r="D38" s="599"/>
      <c r="E38" s="599"/>
      <c r="F38" s="599"/>
      <c r="G38" s="599"/>
      <c r="H38" s="599"/>
      <c r="I38" s="599"/>
      <c r="J38" s="599"/>
      <c r="K38" s="599"/>
      <c r="L38" s="599"/>
      <c r="M38" s="599"/>
      <c r="N38" s="599"/>
      <c r="O38" s="599"/>
      <c r="P38" s="599"/>
      <c r="Q38" s="599"/>
      <c r="R38" s="599"/>
      <c r="S38" s="599"/>
      <c r="T38" s="599"/>
      <c r="U38" s="599"/>
      <c r="V38" s="599"/>
      <c r="W38" s="599"/>
      <c r="X38" s="599"/>
      <c r="Y38" s="600"/>
    </row>
    <row r="39" spans="1:35" ht="18.75" thickBot="1">
      <c r="A39" s="26"/>
      <c r="B39" s="592" t="s">
        <v>234</v>
      </c>
      <c r="C39" s="593"/>
      <c r="D39" s="593"/>
      <c r="E39" s="593"/>
      <c r="F39" s="593"/>
      <c r="G39" s="594"/>
      <c r="I39" s="601" t="s">
        <v>235</v>
      </c>
      <c r="J39" s="602"/>
      <c r="K39" s="602"/>
      <c r="L39" s="602"/>
      <c r="M39" s="602"/>
      <c r="N39" s="602"/>
      <c r="O39" s="602"/>
      <c r="P39" s="602"/>
      <c r="Q39" s="602"/>
      <c r="R39" s="603"/>
      <c r="T39" s="609" t="s">
        <v>247</v>
      </c>
      <c r="U39" s="610"/>
      <c r="V39" s="610"/>
      <c r="W39" s="610"/>
      <c r="X39" s="610"/>
      <c r="Y39" s="611"/>
    </row>
    <row r="40" spans="1:35" ht="16.5" hidden="1" customHeight="1" thickBot="1">
      <c r="A40" s="26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P40" s="25"/>
    </row>
    <row r="41" spans="1:35" ht="16.5" hidden="1" customHeight="1" thickBot="1">
      <c r="A41" s="26"/>
      <c r="B41" s="23"/>
      <c r="C41" s="6" t="s">
        <v>152</v>
      </c>
      <c r="D41" s="23"/>
      <c r="E41" s="23"/>
      <c r="F41" s="23"/>
      <c r="G41" s="23"/>
      <c r="H41" s="23"/>
      <c r="I41" s="23"/>
      <c r="J41" s="6" t="s">
        <v>152</v>
      </c>
      <c r="K41" s="23"/>
      <c r="L41" s="23"/>
      <c r="M41" s="23"/>
      <c r="N41" s="23"/>
      <c r="Q41" s="25"/>
    </row>
    <row r="42" spans="1:35" ht="16.5" hidden="1" customHeight="1" thickBot="1">
      <c r="A42" s="26"/>
      <c r="B42" s="23"/>
      <c r="C42" s="6" t="s">
        <v>151</v>
      </c>
      <c r="D42" s="23"/>
      <c r="E42" s="23"/>
      <c r="F42" s="23"/>
      <c r="G42" s="23"/>
      <c r="H42" s="23"/>
      <c r="I42" s="23"/>
      <c r="J42" s="6" t="s">
        <v>151</v>
      </c>
      <c r="K42" s="23"/>
      <c r="L42" s="23"/>
      <c r="M42" s="23"/>
      <c r="N42" s="23"/>
      <c r="Q42" s="25"/>
    </row>
    <row r="43" spans="1:35" ht="16.5" hidden="1" customHeight="1" thickBot="1">
      <c r="A43" s="26"/>
      <c r="B43" s="23"/>
      <c r="C43" s="6" t="s">
        <v>169</v>
      </c>
      <c r="D43" s="23"/>
      <c r="E43" s="23"/>
      <c r="F43" s="23" t="s">
        <v>142</v>
      </c>
      <c r="G43" s="23">
        <f>22/7</f>
        <v>3.1428571428571428</v>
      </c>
      <c r="H43" s="23"/>
      <c r="I43" s="23"/>
      <c r="J43" s="6" t="s">
        <v>169</v>
      </c>
      <c r="K43" s="23"/>
      <c r="L43" s="23"/>
      <c r="M43" s="23" t="s">
        <v>142</v>
      </c>
      <c r="N43" s="23">
        <f>22/7</f>
        <v>3.1428571428571428</v>
      </c>
      <c r="Q43" s="25"/>
    </row>
    <row r="44" spans="1:35" ht="16.5" hidden="1" customHeight="1" thickBot="1">
      <c r="A44" s="26"/>
      <c r="B44" s="23"/>
      <c r="C44" s="24"/>
      <c r="D44" s="23"/>
      <c r="E44" s="23"/>
      <c r="F44" s="23" t="s">
        <v>143</v>
      </c>
      <c r="G44" s="23">
        <v>160</v>
      </c>
      <c r="H44" s="23"/>
      <c r="I44" s="23"/>
      <c r="J44" s="24"/>
      <c r="K44" s="23"/>
      <c r="L44" s="23"/>
      <c r="M44" s="23" t="s">
        <v>143</v>
      </c>
      <c r="N44" s="23">
        <v>160</v>
      </c>
      <c r="Q44" s="25"/>
    </row>
    <row r="45" spans="1:35" ht="15.75">
      <c r="A45" s="25"/>
      <c r="B45" s="590" t="s">
        <v>221</v>
      </c>
      <c r="C45" s="591"/>
      <c r="D45" s="303" t="s">
        <v>245</v>
      </c>
      <c r="E45" s="590" t="s">
        <v>222</v>
      </c>
      <c r="F45" s="591"/>
      <c r="G45" s="303" t="s">
        <v>245</v>
      </c>
      <c r="H45" s="307"/>
      <c r="I45" s="590" t="s">
        <v>221</v>
      </c>
      <c r="J45" s="591"/>
      <c r="K45" s="591"/>
      <c r="L45" s="591"/>
      <c r="M45" s="591" t="s">
        <v>246</v>
      </c>
      <c r="N45" s="608"/>
      <c r="O45" s="590" t="s">
        <v>222</v>
      </c>
      <c r="P45" s="591"/>
      <c r="Q45" s="591"/>
      <c r="R45" s="308" t="s">
        <v>239</v>
      </c>
      <c r="T45" s="590" t="s">
        <v>221</v>
      </c>
      <c r="U45" s="591"/>
      <c r="V45" s="303">
        <v>1.6</v>
      </c>
      <c r="W45" s="612" t="s">
        <v>222</v>
      </c>
      <c r="X45" s="613"/>
      <c r="Y45" s="304">
        <v>1.8</v>
      </c>
    </row>
    <row r="46" spans="1:35" s="18" customFormat="1" ht="15.75">
      <c r="A46" s="25"/>
      <c r="B46" s="588" t="s">
        <v>223</v>
      </c>
      <c r="C46" s="589"/>
      <c r="D46" s="309" t="s">
        <v>224</v>
      </c>
      <c r="E46" s="588" t="s">
        <v>225</v>
      </c>
      <c r="F46" s="589"/>
      <c r="G46" s="309" t="s">
        <v>226</v>
      </c>
      <c r="H46" s="307"/>
      <c r="I46" s="588" t="s">
        <v>223</v>
      </c>
      <c r="J46" s="589"/>
      <c r="K46" s="589"/>
      <c r="L46" s="589"/>
      <c r="M46" s="606" t="s">
        <v>236</v>
      </c>
      <c r="N46" s="607"/>
      <c r="O46" s="588" t="s">
        <v>225</v>
      </c>
      <c r="P46" s="589"/>
      <c r="Q46" s="589"/>
      <c r="R46" s="309" t="s">
        <v>240</v>
      </c>
      <c r="T46" s="612" t="s">
        <v>223</v>
      </c>
      <c r="U46" s="613"/>
      <c r="V46" s="304">
        <v>2.4</v>
      </c>
      <c r="W46" s="612" t="s">
        <v>243</v>
      </c>
      <c r="X46" s="613"/>
      <c r="Y46" s="304">
        <v>1.7</v>
      </c>
    </row>
    <row r="47" spans="1:35" ht="15.75">
      <c r="A47" s="25"/>
      <c r="B47" s="588" t="s">
        <v>230</v>
      </c>
      <c r="C47" s="589"/>
      <c r="D47" s="309" t="s">
        <v>227</v>
      </c>
      <c r="E47" s="588" t="s">
        <v>228</v>
      </c>
      <c r="F47" s="589"/>
      <c r="G47" s="309" t="s">
        <v>231</v>
      </c>
      <c r="H47" s="307"/>
      <c r="I47" s="588" t="s">
        <v>230</v>
      </c>
      <c r="J47" s="589"/>
      <c r="K47" s="589"/>
      <c r="L47" s="589"/>
      <c r="M47" s="606" t="s">
        <v>237</v>
      </c>
      <c r="N47" s="607"/>
      <c r="O47" s="588" t="s">
        <v>228</v>
      </c>
      <c r="P47" s="589"/>
      <c r="Q47" s="589"/>
      <c r="R47" s="309" t="s">
        <v>239</v>
      </c>
      <c r="T47" s="612" t="s">
        <v>230</v>
      </c>
      <c r="U47" s="613"/>
      <c r="V47" s="304">
        <v>0.85</v>
      </c>
      <c r="W47" s="616" t="s">
        <v>241</v>
      </c>
      <c r="X47" s="617"/>
      <c r="Y47" s="306">
        <v>0.6</v>
      </c>
    </row>
    <row r="48" spans="1:35" ht="16.5" thickBot="1">
      <c r="A48" s="25"/>
      <c r="B48" s="586" t="s">
        <v>229</v>
      </c>
      <c r="C48" s="587"/>
      <c r="D48" s="310" t="s">
        <v>233</v>
      </c>
      <c r="E48" s="586" t="s">
        <v>232</v>
      </c>
      <c r="F48" s="587"/>
      <c r="G48" s="310" t="s">
        <v>224</v>
      </c>
      <c r="H48" s="307"/>
      <c r="I48" s="586" t="s">
        <v>229</v>
      </c>
      <c r="J48" s="587"/>
      <c r="K48" s="587"/>
      <c r="L48" s="587"/>
      <c r="M48" s="604" t="s">
        <v>238</v>
      </c>
      <c r="N48" s="605"/>
      <c r="O48" s="586" t="s">
        <v>232</v>
      </c>
      <c r="P48" s="587"/>
      <c r="Q48" s="587"/>
      <c r="R48" s="310" t="s">
        <v>236</v>
      </c>
      <c r="T48" s="614" t="s">
        <v>242</v>
      </c>
      <c r="U48" s="615"/>
      <c r="V48" s="305">
        <v>2.1</v>
      </c>
      <c r="W48" s="614" t="s">
        <v>244</v>
      </c>
      <c r="X48" s="615"/>
      <c r="Y48" s="305">
        <v>1.9</v>
      </c>
    </row>
    <row r="49" spans="1:41" s="26" customFormat="1" ht="15.75">
      <c r="A49" s="25"/>
      <c r="B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3"/>
      <c r="Q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5"/>
      <c r="AG49" s="25"/>
      <c r="AH49" s="25"/>
      <c r="AI49" s="25"/>
      <c r="AJ49" s="25"/>
      <c r="AK49" s="25"/>
      <c r="AL49" s="25"/>
      <c r="AM49" s="25"/>
      <c r="AN49" s="25"/>
      <c r="AO49" s="25"/>
    </row>
    <row r="50" spans="1:41" s="26" customFormat="1" ht="15.75">
      <c r="A50" s="25"/>
      <c r="H50" s="25"/>
      <c r="I50" s="25"/>
      <c r="J50" s="25"/>
      <c r="K50" s="25"/>
      <c r="L50" s="25"/>
      <c r="M50" s="25"/>
      <c r="N50" s="25"/>
      <c r="O50" s="25"/>
      <c r="P50" s="25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5"/>
      <c r="AG50" s="25"/>
      <c r="AH50" s="25"/>
      <c r="AI50" s="25"/>
      <c r="AJ50" s="25"/>
      <c r="AK50" s="25"/>
      <c r="AL50" s="25"/>
      <c r="AM50" s="25"/>
      <c r="AN50" s="25"/>
      <c r="AO50" s="25"/>
    </row>
    <row r="51" spans="1:41" s="26" customFormat="1" ht="15.75">
      <c r="A51" s="25"/>
      <c r="B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5"/>
      <c r="AG51" s="25"/>
      <c r="AH51" s="25"/>
      <c r="AI51" s="25"/>
      <c r="AJ51" s="25"/>
      <c r="AK51" s="25"/>
      <c r="AL51" s="25"/>
      <c r="AM51" s="25"/>
      <c r="AN51" s="25"/>
      <c r="AO51" s="25"/>
    </row>
    <row r="52" spans="1:41" s="26" customFormat="1" ht="15.7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5"/>
      <c r="AG52" s="25"/>
      <c r="AH52" s="25"/>
      <c r="AI52" s="25"/>
      <c r="AJ52" s="25"/>
      <c r="AK52" s="25"/>
      <c r="AL52" s="25"/>
      <c r="AM52" s="25"/>
      <c r="AN52" s="25"/>
      <c r="AO52" s="25"/>
    </row>
    <row r="53" spans="1:41" s="26" customFormat="1" ht="15.7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5"/>
      <c r="AG53" s="25"/>
      <c r="AH53" s="25"/>
      <c r="AI53" s="25"/>
      <c r="AJ53" s="25"/>
      <c r="AK53" s="25"/>
      <c r="AL53" s="25"/>
      <c r="AM53" s="25"/>
      <c r="AN53" s="25"/>
      <c r="AO53" s="25"/>
    </row>
    <row r="54" spans="1:41" s="26" customFormat="1" ht="15.7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5"/>
      <c r="AG54" s="25"/>
      <c r="AH54" s="25"/>
      <c r="AI54" s="25"/>
      <c r="AJ54" s="25"/>
      <c r="AK54" s="25"/>
      <c r="AL54" s="25"/>
      <c r="AM54" s="25"/>
      <c r="AN54" s="25"/>
      <c r="AO54" s="25"/>
    </row>
    <row r="55" spans="1:41" s="26" customFormat="1" ht="15.7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5"/>
      <c r="AG55" s="25"/>
      <c r="AH55" s="25"/>
      <c r="AI55" s="25"/>
      <c r="AJ55" s="25"/>
      <c r="AK55" s="25"/>
      <c r="AL55" s="25"/>
      <c r="AM55" s="25"/>
      <c r="AN55" s="25"/>
      <c r="AO55" s="25"/>
    </row>
    <row r="56" spans="1:41" s="26" customFormat="1" ht="15.7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5"/>
      <c r="AG56" s="25"/>
      <c r="AH56" s="25"/>
      <c r="AI56" s="25"/>
      <c r="AJ56" s="25"/>
      <c r="AK56" s="25"/>
      <c r="AL56" s="25"/>
      <c r="AM56" s="25"/>
      <c r="AN56" s="25"/>
      <c r="AO56" s="25"/>
    </row>
    <row r="57" spans="1:41" s="26" customFormat="1" ht="15.7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5"/>
      <c r="AG57" s="25"/>
      <c r="AH57" s="25"/>
      <c r="AI57" s="25"/>
      <c r="AJ57" s="25"/>
      <c r="AK57" s="25"/>
      <c r="AL57" s="25"/>
      <c r="AM57" s="25"/>
      <c r="AN57" s="25"/>
      <c r="AO57" s="25"/>
    </row>
    <row r="58" spans="1:41" s="26" customFormat="1" ht="15.7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5"/>
      <c r="AG58" s="25"/>
      <c r="AH58" s="25"/>
      <c r="AI58" s="25"/>
      <c r="AJ58" s="25"/>
      <c r="AK58" s="25"/>
      <c r="AL58" s="25"/>
      <c r="AM58" s="25"/>
      <c r="AN58" s="25"/>
      <c r="AO58" s="25"/>
    </row>
    <row r="59" spans="1:41" s="26" customFormat="1" ht="15.7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5"/>
      <c r="AG59" s="25"/>
      <c r="AH59" s="25"/>
      <c r="AI59" s="25"/>
      <c r="AJ59" s="25"/>
      <c r="AK59" s="25"/>
      <c r="AL59" s="25"/>
      <c r="AM59" s="25"/>
      <c r="AN59" s="25"/>
      <c r="AO59" s="25"/>
    </row>
    <row r="60" spans="1:41" s="26" customFormat="1" ht="15.75"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5"/>
      <c r="AG60" s="25"/>
      <c r="AH60" s="25"/>
      <c r="AI60" s="25"/>
      <c r="AJ60" s="25"/>
      <c r="AK60" s="25"/>
      <c r="AL60" s="25"/>
      <c r="AM60" s="25"/>
      <c r="AN60" s="25"/>
      <c r="AO60" s="25"/>
    </row>
    <row r="61" spans="1:41" s="26" customFormat="1" ht="15.75">
      <c r="Q61" s="23"/>
      <c r="R61" s="23"/>
      <c r="S61" s="23"/>
      <c r="T61" s="23"/>
      <c r="U61" s="23"/>
      <c r="V61" s="23"/>
      <c r="W61" s="23"/>
      <c r="X61" s="23"/>
      <c r="AB61" s="23"/>
      <c r="AC61" s="23"/>
      <c r="AD61" s="23"/>
      <c r="AE61" s="23"/>
      <c r="AF61" s="25"/>
      <c r="AG61" s="25"/>
      <c r="AH61" s="25"/>
      <c r="AI61" s="25"/>
      <c r="AJ61" s="25"/>
      <c r="AK61" s="25"/>
      <c r="AL61" s="25"/>
      <c r="AM61" s="25"/>
      <c r="AN61" s="25"/>
      <c r="AO61" s="25"/>
    </row>
    <row r="62" spans="1:41" s="26" customFormat="1" ht="15.75">
      <c r="Q62" s="23"/>
      <c r="R62" s="23"/>
      <c r="S62" s="23"/>
      <c r="T62" s="23"/>
      <c r="U62" s="23"/>
      <c r="V62" s="23"/>
      <c r="W62" s="23"/>
      <c r="X62" s="23"/>
      <c r="AB62" s="23"/>
      <c r="AC62" s="23"/>
      <c r="AD62" s="23"/>
      <c r="AE62" s="23"/>
      <c r="AF62" s="25"/>
      <c r="AG62" s="25"/>
      <c r="AH62" s="25"/>
      <c r="AI62" s="25"/>
      <c r="AJ62" s="25"/>
      <c r="AK62" s="25"/>
      <c r="AL62" s="25"/>
      <c r="AM62" s="25"/>
      <c r="AN62" s="25"/>
      <c r="AO62" s="25"/>
    </row>
    <row r="63" spans="1:41" s="26" customFormat="1" ht="15.75">
      <c r="Q63" s="23"/>
      <c r="R63" s="23"/>
      <c r="S63" s="23"/>
      <c r="T63" s="23"/>
      <c r="U63" s="23"/>
      <c r="V63" s="23"/>
      <c r="W63" s="23"/>
      <c r="X63" s="23"/>
      <c r="AB63" s="23"/>
      <c r="AC63" s="23"/>
      <c r="AD63" s="23"/>
      <c r="AE63" s="23"/>
      <c r="AF63" s="25"/>
      <c r="AG63" s="25"/>
      <c r="AH63" s="25"/>
      <c r="AI63" s="25"/>
      <c r="AJ63" s="25"/>
      <c r="AK63" s="25"/>
      <c r="AL63" s="25"/>
      <c r="AM63" s="25"/>
      <c r="AN63" s="25"/>
      <c r="AO63" s="25"/>
    </row>
    <row r="64" spans="1:41" s="26" customFormat="1" ht="15.75">
      <c r="Q64" s="23"/>
      <c r="R64" s="23"/>
      <c r="S64" s="23"/>
      <c r="T64" s="23"/>
      <c r="U64" s="23"/>
      <c r="V64" s="23"/>
      <c r="W64" s="23"/>
      <c r="X64" s="23"/>
      <c r="AB64" s="23"/>
      <c r="AC64" s="23"/>
      <c r="AD64" s="23"/>
      <c r="AE64" s="23"/>
      <c r="AF64" s="25"/>
      <c r="AG64" s="25"/>
      <c r="AH64" s="25"/>
      <c r="AI64" s="25"/>
      <c r="AJ64" s="25"/>
      <c r="AK64" s="25"/>
      <c r="AL64" s="25"/>
      <c r="AM64" s="25"/>
      <c r="AN64" s="25"/>
      <c r="AO64" s="25"/>
    </row>
    <row r="65" spans="1:41" s="26" customFormat="1" ht="15.75">
      <c r="Q65" s="23"/>
      <c r="R65" s="23"/>
      <c r="S65" s="23"/>
      <c r="T65" s="23"/>
      <c r="U65" s="23"/>
      <c r="V65" s="23"/>
      <c r="W65" s="23"/>
      <c r="X65" s="23"/>
      <c r="AB65" s="23"/>
      <c r="AC65" s="23"/>
      <c r="AD65" s="23"/>
      <c r="AE65" s="23"/>
      <c r="AF65" s="25"/>
      <c r="AG65" s="25"/>
      <c r="AH65" s="25"/>
      <c r="AI65" s="25"/>
      <c r="AJ65" s="25"/>
      <c r="AK65" s="25"/>
      <c r="AL65" s="25"/>
      <c r="AM65" s="25"/>
      <c r="AN65" s="25"/>
      <c r="AO65" s="25"/>
    </row>
    <row r="66" spans="1:41" s="26" customFormat="1" ht="15.75"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5"/>
      <c r="AG66" s="25"/>
      <c r="AH66" s="25"/>
      <c r="AI66" s="25"/>
      <c r="AJ66" s="25"/>
      <c r="AK66" s="25"/>
      <c r="AL66" s="25"/>
      <c r="AM66" s="25"/>
      <c r="AN66" s="25"/>
      <c r="AO66" s="25"/>
    </row>
    <row r="67" spans="1:41" s="26" customFormat="1" ht="15.75"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5"/>
      <c r="AG67" s="25"/>
      <c r="AH67" s="25"/>
      <c r="AI67" s="25"/>
      <c r="AJ67" s="25"/>
      <c r="AK67" s="25"/>
      <c r="AL67" s="25"/>
      <c r="AM67" s="25"/>
      <c r="AN67" s="25"/>
      <c r="AO67" s="25"/>
    </row>
    <row r="68" spans="1:41" s="26" customFormat="1" ht="15.7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5"/>
      <c r="AG68" s="25"/>
      <c r="AH68" s="25"/>
      <c r="AI68" s="25"/>
      <c r="AJ68" s="25"/>
      <c r="AK68" s="25"/>
      <c r="AL68" s="25"/>
      <c r="AM68" s="25"/>
      <c r="AN68" s="25"/>
      <c r="AO68" s="25"/>
    </row>
    <row r="69" spans="1:41" s="26" customFormat="1" ht="15.7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5"/>
      <c r="AG69" s="25"/>
      <c r="AH69" s="25"/>
      <c r="AI69" s="25"/>
      <c r="AJ69" s="25"/>
      <c r="AK69" s="25"/>
      <c r="AL69" s="25"/>
      <c r="AM69" s="25"/>
      <c r="AN69" s="25"/>
      <c r="AO69" s="25"/>
    </row>
    <row r="70" spans="1:41" s="26" customFormat="1" ht="15.7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5"/>
      <c r="AG70" s="25"/>
      <c r="AH70" s="25"/>
      <c r="AI70" s="25"/>
      <c r="AJ70" s="25"/>
      <c r="AK70" s="25"/>
      <c r="AL70" s="25"/>
      <c r="AM70" s="25"/>
      <c r="AN70" s="25"/>
      <c r="AO70" s="25"/>
    </row>
    <row r="71" spans="1:41" s="26" customFormat="1" ht="15.7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5"/>
      <c r="AG71" s="25"/>
      <c r="AH71" s="25"/>
      <c r="AI71" s="25"/>
      <c r="AJ71" s="25"/>
      <c r="AK71" s="25"/>
      <c r="AL71" s="25"/>
      <c r="AM71" s="25"/>
      <c r="AN71" s="25"/>
      <c r="AO71" s="25"/>
    </row>
    <row r="72" spans="1:41" s="26" customFormat="1" ht="15.7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5"/>
      <c r="AG72" s="25"/>
      <c r="AH72" s="25"/>
      <c r="AI72" s="25"/>
      <c r="AJ72" s="25"/>
      <c r="AK72" s="25"/>
      <c r="AL72" s="25"/>
      <c r="AM72" s="25"/>
      <c r="AN72" s="25"/>
      <c r="AO72" s="25"/>
    </row>
    <row r="73" spans="1:41" s="26" customFormat="1" ht="15.7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5"/>
      <c r="AG73" s="25"/>
      <c r="AH73" s="25"/>
      <c r="AI73" s="25"/>
      <c r="AJ73" s="25"/>
      <c r="AK73" s="25"/>
      <c r="AL73" s="25"/>
      <c r="AM73" s="25"/>
      <c r="AN73" s="25"/>
      <c r="AO73" s="25"/>
    </row>
    <row r="74" spans="1:41" s="26" customFormat="1" ht="15.7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5"/>
      <c r="AG74" s="25"/>
      <c r="AH74" s="25"/>
      <c r="AI74" s="25"/>
      <c r="AJ74" s="25"/>
      <c r="AK74" s="25"/>
      <c r="AL74" s="25"/>
      <c r="AM74" s="25"/>
      <c r="AN74" s="25"/>
      <c r="AO74" s="25"/>
    </row>
    <row r="75" spans="1:41" s="26" customFormat="1" ht="15.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5"/>
      <c r="AG75" s="25"/>
      <c r="AH75" s="25"/>
      <c r="AI75" s="25"/>
      <c r="AJ75" s="25"/>
      <c r="AK75" s="25"/>
      <c r="AL75" s="25"/>
      <c r="AM75" s="25"/>
      <c r="AN75" s="25"/>
      <c r="AO75" s="25"/>
    </row>
    <row r="76" spans="1:41" s="26" customFormat="1" ht="15.7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R76" s="23"/>
      <c r="S76" s="23"/>
      <c r="T76" s="23"/>
      <c r="U76" s="23"/>
      <c r="V76" s="23"/>
      <c r="W76" s="23"/>
      <c r="X76" s="23"/>
      <c r="Y76" s="23"/>
      <c r="AB76" s="23"/>
      <c r="AC76" s="23"/>
      <c r="AD76" s="23"/>
      <c r="AE76" s="23"/>
      <c r="AF76" s="25"/>
      <c r="AG76" s="25"/>
      <c r="AH76" s="25"/>
      <c r="AI76" s="25"/>
      <c r="AJ76" s="25"/>
      <c r="AK76" s="25"/>
      <c r="AL76" s="25"/>
      <c r="AM76" s="25"/>
      <c r="AN76" s="25"/>
      <c r="AO76" s="25"/>
    </row>
    <row r="77" spans="1:41" s="26" customFormat="1" ht="15.7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R77" s="23"/>
      <c r="S77" s="23"/>
      <c r="T77" s="23"/>
      <c r="U77" s="23"/>
      <c r="V77" s="23"/>
      <c r="W77" s="23"/>
      <c r="X77" s="23"/>
      <c r="Y77" s="23"/>
      <c r="AB77" s="23"/>
      <c r="AC77" s="23"/>
      <c r="AD77" s="23"/>
      <c r="AE77" s="23"/>
      <c r="AF77" s="25"/>
      <c r="AG77" s="25"/>
      <c r="AH77" s="25"/>
      <c r="AI77" s="25"/>
      <c r="AJ77" s="25"/>
      <c r="AK77" s="25"/>
      <c r="AL77" s="25"/>
      <c r="AM77" s="25"/>
      <c r="AN77" s="25"/>
      <c r="AO77" s="25"/>
    </row>
    <row r="78" spans="1:41" s="26" customFormat="1" ht="15.7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5"/>
      <c r="AG78" s="25"/>
      <c r="AH78" s="25"/>
      <c r="AI78" s="25"/>
      <c r="AJ78" s="25"/>
      <c r="AK78" s="25"/>
      <c r="AL78" s="25"/>
      <c r="AM78" s="25"/>
      <c r="AN78" s="25"/>
      <c r="AO78" s="25"/>
    </row>
    <row r="79" spans="1:41" s="26" customFormat="1" ht="15.7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5"/>
      <c r="AG79" s="25"/>
      <c r="AH79" s="25"/>
      <c r="AI79" s="25"/>
      <c r="AJ79" s="25"/>
      <c r="AK79" s="25"/>
      <c r="AL79" s="25"/>
      <c r="AM79" s="25"/>
      <c r="AN79" s="25"/>
      <c r="AO79" s="25"/>
    </row>
    <row r="80" spans="1:41" s="26" customFormat="1" ht="15.7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5"/>
      <c r="AG80" s="25"/>
      <c r="AH80" s="25"/>
      <c r="AI80" s="25"/>
      <c r="AJ80" s="25"/>
      <c r="AK80" s="25"/>
      <c r="AL80" s="25"/>
      <c r="AM80" s="25"/>
      <c r="AN80" s="25"/>
      <c r="AO80" s="25"/>
    </row>
    <row r="81" spans="1:41" s="26" customFormat="1" ht="15.7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5"/>
      <c r="AG81" s="25"/>
      <c r="AH81" s="25"/>
      <c r="AI81" s="25"/>
      <c r="AJ81" s="25"/>
      <c r="AK81" s="25"/>
      <c r="AL81" s="25"/>
      <c r="AM81" s="25"/>
      <c r="AN81" s="25"/>
      <c r="AO81" s="25"/>
    </row>
    <row r="82" spans="1:41" s="26" customFormat="1" ht="15.7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5"/>
      <c r="AG82" s="25"/>
      <c r="AH82" s="25"/>
      <c r="AI82" s="25"/>
      <c r="AJ82" s="25"/>
      <c r="AK82" s="25"/>
      <c r="AL82" s="25"/>
      <c r="AM82" s="25"/>
      <c r="AN82" s="25"/>
      <c r="AO82" s="25"/>
    </row>
    <row r="83" spans="1:41" s="26" customFormat="1" ht="15.7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5"/>
      <c r="AG83" s="25"/>
      <c r="AH83" s="25"/>
      <c r="AI83" s="25"/>
      <c r="AJ83" s="25"/>
      <c r="AK83" s="25"/>
      <c r="AL83" s="25"/>
      <c r="AM83" s="25"/>
      <c r="AN83" s="25"/>
      <c r="AO83" s="25"/>
    </row>
    <row r="84" spans="1:41" s="26" customFormat="1" ht="15.7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5"/>
      <c r="AG84" s="25"/>
      <c r="AH84" s="25"/>
      <c r="AI84" s="25"/>
      <c r="AJ84" s="25"/>
      <c r="AK84" s="25"/>
      <c r="AL84" s="25"/>
      <c r="AM84" s="25"/>
      <c r="AN84" s="25"/>
      <c r="AO84" s="25"/>
    </row>
    <row r="85" spans="1:41" s="26" customFormat="1" ht="15.7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5"/>
      <c r="AG85" s="25"/>
      <c r="AH85" s="25"/>
      <c r="AI85" s="25"/>
      <c r="AJ85" s="25"/>
      <c r="AK85" s="25"/>
      <c r="AL85" s="25"/>
      <c r="AM85" s="25"/>
      <c r="AN85" s="25"/>
      <c r="AO85" s="25"/>
    </row>
    <row r="86" spans="1:41" s="26" customFormat="1" ht="15.7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5"/>
      <c r="AG86" s="25"/>
      <c r="AH86" s="25"/>
      <c r="AI86" s="25"/>
      <c r="AJ86" s="25"/>
      <c r="AK86" s="25"/>
      <c r="AL86" s="25"/>
      <c r="AM86" s="25"/>
      <c r="AN86" s="25"/>
      <c r="AO86" s="25"/>
    </row>
    <row r="87" spans="1:41" s="26" customFormat="1" ht="15.7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5"/>
      <c r="AG87" s="25"/>
      <c r="AH87" s="25"/>
      <c r="AI87" s="25"/>
      <c r="AJ87" s="25"/>
      <c r="AK87" s="25"/>
      <c r="AL87" s="25"/>
      <c r="AM87" s="25"/>
      <c r="AN87" s="25"/>
      <c r="AO87" s="25"/>
    </row>
    <row r="88" spans="1:41" s="26" customFormat="1" ht="15.7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5"/>
      <c r="AG88" s="25"/>
      <c r="AH88" s="25"/>
      <c r="AI88" s="25"/>
      <c r="AJ88" s="25"/>
      <c r="AK88" s="25"/>
      <c r="AL88" s="25"/>
      <c r="AM88" s="25"/>
      <c r="AN88" s="25"/>
      <c r="AO88" s="25"/>
    </row>
    <row r="89" spans="1:41" s="26" customFormat="1" ht="15.7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5"/>
      <c r="AG89" s="25"/>
      <c r="AH89" s="25"/>
      <c r="AI89" s="25"/>
      <c r="AJ89" s="25"/>
      <c r="AK89" s="25"/>
      <c r="AL89" s="25"/>
      <c r="AM89" s="25"/>
      <c r="AN89" s="25"/>
      <c r="AO89" s="25"/>
    </row>
    <row r="90" spans="1:41" s="26" customFormat="1" ht="15.7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5"/>
      <c r="AG90" s="25"/>
      <c r="AH90" s="25"/>
      <c r="AI90" s="25"/>
      <c r="AJ90" s="25"/>
      <c r="AK90" s="25"/>
      <c r="AL90" s="25"/>
      <c r="AM90" s="25"/>
      <c r="AN90" s="25"/>
      <c r="AO90" s="25"/>
    </row>
    <row r="91" spans="1:41" s="26" customFormat="1" ht="15.7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23"/>
      <c r="S91" s="14"/>
      <c r="T91" s="14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5"/>
      <c r="AG91" s="25"/>
      <c r="AH91" s="25"/>
      <c r="AI91" s="25"/>
      <c r="AJ91" s="25"/>
      <c r="AK91" s="25"/>
      <c r="AL91" s="25"/>
      <c r="AM91" s="25"/>
      <c r="AN91" s="25"/>
      <c r="AO91" s="25"/>
    </row>
    <row r="92" spans="1:41" s="26" customFormat="1" ht="15.7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23"/>
      <c r="S92" s="14"/>
      <c r="T92" s="14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5"/>
      <c r="AG92" s="25"/>
      <c r="AH92" s="25"/>
      <c r="AI92" s="25"/>
      <c r="AJ92" s="25"/>
      <c r="AK92" s="25"/>
      <c r="AL92" s="25"/>
      <c r="AM92" s="25"/>
      <c r="AN92" s="25"/>
      <c r="AO92" s="25"/>
    </row>
    <row r="93" spans="1:41" s="26" customFormat="1" ht="15.7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23"/>
      <c r="S93" s="14"/>
      <c r="T93" s="14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5"/>
      <c r="AG93" s="25"/>
      <c r="AH93" s="25"/>
      <c r="AI93" s="25"/>
      <c r="AJ93" s="25"/>
      <c r="AK93" s="25"/>
      <c r="AL93" s="25"/>
      <c r="AM93" s="25"/>
      <c r="AN93" s="25"/>
      <c r="AO93" s="25"/>
    </row>
  </sheetData>
  <sheetProtection algorithmName="SHA-512" hashValue="iC8bB4xWhWPkvaYjyTkHk92rfjcNPuPA2FRlCCkqnRWQh9Qcvf8UI4kNyIgjwaAPx9XzFtuvnZO1ihCDwwNgJw==" saltValue="HsGnMq1Vg2uMqTm3EaUXig==" spinCount="100000" sheet="1" objects="1" scenarios="1" selectLockedCells="1" selectUnlockedCells="1"/>
  <mergeCells count="57">
    <mergeCell ref="O48:Q48"/>
    <mergeCell ref="O47:Q47"/>
    <mergeCell ref="O46:Q46"/>
    <mergeCell ref="O45:Q45"/>
    <mergeCell ref="T39:Y39"/>
    <mergeCell ref="T45:U45"/>
    <mergeCell ref="T46:U46"/>
    <mergeCell ref="T48:U48"/>
    <mergeCell ref="W48:X48"/>
    <mergeCell ref="W47:X47"/>
    <mergeCell ref="W46:X46"/>
    <mergeCell ref="W45:X45"/>
    <mergeCell ref="T47:U47"/>
    <mergeCell ref="M45:N45"/>
    <mergeCell ref="I48:L48"/>
    <mergeCell ref="I47:L47"/>
    <mergeCell ref="I46:L46"/>
    <mergeCell ref="I45:L45"/>
    <mergeCell ref="S20:T20"/>
    <mergeCell ref="B48:C48"/>
    <mergeCell ref="B47:C47"/>
    <mergeCell ref="B46:C46"/>
    <mergeCell ref="B45:C45"/>
    <mergeCell ref="E48:F48"/>
    <mergeCell ref="E47:F47"/>
    <mergeCell ref="E46:F46"/>
    <mergeCell ref="E45:F45"/>
    <mergeCell ref="B39:G39"/>
    <mergeCell ref="R30:W30"/>
    <mergeCell ref="B38:Y38"/>
    <mergeCell ref="I39:R39"/>
    <mergeCell ref="M48:N48"/>
    <mergeCell ref="M47:N47"/>
    <mergeCell ref="M46:N46"/>
    <mergeCell ref="B1:Q1"/>
    <mergeCell ref="Y18:Z18"/>
    <mergeCell ref="Y17:Z17"/>
    <mergeCell ref="Y16:Z16"/>
    <mergeCell ref="Y15:Z15"/>
    <mergeCell ref="S18:T18"/>
    <mergeCell ref="S17:T17"/>
    <mergeCell ref="S16:T16"/>
    <mergeCell ref="S15:T15"/>
    <mergeCell ref="S12:X12"/>
    <mergeCell ref="Y12:AE12"/>
    <mergeCell ref="S11:AE11"/>
    <mergeCell ref="Y13:Z13"/>
    <mergeCell ref="S14:T14"/>
    <mergeCell ref="S13:T13"/>
    <mergeCell ref="Y14:Z14"/>
    <mergeCell ref="X30:AC30"/>
    <mergeCell ref="AD36:AE36"/>
    <mergeCell ref="AD35:AE35"/>
    <mergeCell ref="AD34:AE34"/>
    <mergeCell ref="AD32:AE32"/>
    <mergeCell ref="AD31:AE31"/>
    <mergeCell ref="AD30:AE30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P61"/>
  <sheetViews>
    <sheetView zoomScale="90" zoomScaleNormal="90" workbookViewId="0">
      <selection activeCell="C22" sqref="C22"/>
    </sheetView>
  </sheetViews>
  <sheetFormatPr defaultRowHeight="15.75"/>
  <cols>
    <col min="1" max="1" width="2.42578125" style="186" bestFit="1" customWidth="1"/>
    <col min="2" max="2" width="20.7109375" style="186" customWidth="1"/>
    <col min="3" max="3" width="10.7109375" style="237" customWidth="1"/>
    <col min="4" max="4" width="10.7109375" style="238" customWidth="1"/>
    <col min="5" max="6" width="10.7109375" style="239" customWidth="1"/>
    <col min="7" max="7" width="10.7109375" style="238" customWidth="1"/>
    <col min="8" max="8" width="10.7109375" style="240" customWidth="1"/>
    <col min="9" max="9" width="2.42578125" style="186" bestFit="1" customWidth="1"/>
    <col min="10" max="10" width="8.28515625" style="186" hidden="1" customWidth="1"/>
    <col min="11" max="16384" width="9.140625" style="186"/>
  </cols>
  <sheetData>
    <row r="1" spans="1:16" ht="33.75" customHeight="1" thickTop="1" thickBot="1">
      <c r="A1" s="644" t="s">
        <v>47</v>
      </c>
      <c r="B1" s="645"/>
      <c r="C1" s="645"/>
      <c r="D1" s="645"/>
      <c r="E1" s="645"/>
      <c r="F1" s="645"/>
      <c r="G1" s="645"/>
      <c r="H1" s="645"/>
      <c r="I1" s="646"/>
      <c r="J1" s="184"/>
      <c r="K1" s="185"/>
      <c r="L1" s="185"/>
      <c r="M1" s="185"/>
      <c r="N1" s="185"/>
      <c r="O1" s="185"/>
      <c r="P1" s="185"/>
    </row>
    <row r="2" spans="1:16" ht="16.5" thickBot="1">
      <c r="A2" s="187"/>
      <c r="B2" s="243"/>
      <c r="C2" s="189"/>
      <c r="D2" s="189"/>
      <c r="E2" s="189"/>
      <c r="F2" s="189"/>
      <c r="G2" s="189"/>
      <c r="H2" s="189"/>
      <c r="I2" s="188"/>
      <c r="J2" s="185"/>
      <c r="K2" s="190"/>
      <c r="O2" s="190"/>
      <c r="P2" s="190"/>
    </row>
    <row r="3" spans="1:16">
      <c r="A3" s="187"/>
      <c r="B3" s="640" t="s">
        <v>67</v>
      </c>
      <c r="C3" s="641"/>
      <c r="D3" s="642"/>
      <c r="E3" s="189"/>
      <c r="F3" s="189"/>
      <c r="G3" s="189"/>
      <c r="H3" s="242"/>
      <c r="I3" s="188"/>
      <c r="J3" s="185"/>
      <c r="K3" s="185"/>
      <c r="O3" s="185"/>
      <c r="P3" s="185"/>
    </row>
    <row r="4" spans="1:16">
      <c r="A4" s="187"/>
      <c r="B4" s="624" t="s">
        <v>146</v>
      </c>
      <c r="C4" s="625"/>
      <c r="D4" s="626"/>
      <c r="E4" s="189"/>
      <c r="F4" s="189"/>
      <c r="G4" s="189"/>
      <c r="H4" s="242"/>
      <c r="I4" s="188"/>
      <c r="J4" s="185"/>
      <c r="K4" s="185"/>
      <c r="O4" s="185"/>
      <c r="P4" s="185"/>
    </row>
    <row r="5" spans="1:16" ht="16.5" thickBot="1">
      <c r="A5" s="187"/>
      <c r="B5" s="627" t="s">
        <v>68</v>
      </c>
      <c r="C5" s="628"/>
      <c r="D5" s="629"/>
      <c r="E5" s="189"/>
      <c r="F5" s="189"/>
      <c r="G5" s="189"/>
      <c r="H5" s="242"/>
      <c r="I5" s="188"/>
      <c r="J5" s="185"/>
      <c r="K5" s="190"/>
      <c r="O5" s="190"/>
      <c r="P5" s="190"/>
    </row>
    <row r="6" spans="1:16" ht="16.5" thickBot="1">
      <c r="A6" s="187"/>
      <c r="B6" s="244"/>
      <c r="C6" s="244"/>
      <c r="D6" s="244"/>
      <c r="E6" s="189"/>
      <c r="F6" s="189"/>
      <c r="G6" s="189"/>
      <c r="H6" s="242"/>
      <c r="I6" s="188"/>
      <c r="J6" s="185"/>
      <c r="K6" s="190"/>
      <c r="O6" s="190"/>
      <c r="P6" s="190"/>
    </row>
    <row r="7" spans="1:16">
      <c r="A7" s="187"/>
      <c r="B7" s="191" t="s">
        <v>42</v>
      </c>
      <c r="C7" s="192">
        <v>100000</v>
      </c>
      <c r="D7" s="193" t="s">
        <v>41</v>
      </c>
      <c r="E7" s="189"/>
      <c r="F7" s="189"/>
      <c r="G7" s="189"/>
      <c r="H7" s="242"/>
      <c r="I7" s="188"/>
      <c r="P7" s="190"/>
    </row>
    <row r="8" spans="1:16">
      <c r="A8" s="187"/>
      <c r="B8" s="194" t="s">
        <v>126</v>
      </c>
      <c r="C8" s="195">
        <v>3.1415926540000001</v>
      </c>
      <c r="D8" s="196"/>
      <c r="E8" s="189"/>
      <c r="F8" s="189"/>
      <c r="G8" s="189"/>
      <c r="H8" s="242"/>
      <c r="I8" s="188"/>
      <c r="P8" s="190"/>
    </row>
    <row r="9" spans="1:16" ht="16.5" thickBot="1">
      <c r="A9" s="187"/>
      <c r="B9" s="197" t="s">
        <v>43</v>
      </c>
      <c r="C9" s="198">
        <v>1</v>
      </c>
      <c r="D9" s="199" t="s">
        <v>19</v>
      </c>
      <c r="E9" s="189"/>
      <c r="F9" s="189"/>
      <c r="G9" s="189"/>
      <c r="H9" s="242"/>
      <c r="I9" s="188"/>
      <c r="P9" s="190"/>
    </row>
    <row r="10" spans="1:16" ht="16.5" thickBot="1">
      <c r="A10" s="187"/>
      <c r="B10" s="244"/>
      <c r="C10" s="189"/>
      <c r="D10" s="189"/>
      <c r="E10" s="189"/>
      <c r="F10" s="189"/>
      <c r="G10" s="189"/>
      <c r="H10" s="242"/>
      <c r="I10" s="188"/>
      <c r="P10" s="190"/>
    </row>
    <row r="11" spans="1:16" ht="16.5" thickBot="1">
      <c r="A11" s="187"/>
      <c r="B11" s="647" t="s">
        <v>33</v>
      </c>
      <c r="C11" s="648"/>
      <c r="D11" s="648"/>
      <c r="E11" s="648"/>
      <c r="F11" s="648"/>
      <c r="G11" s="648"/>
      <c r="H11" s="649"/>
      <c r="I11" s="188"/>
      <c r="J11" s="200"/>
      <c r="K11" s="190"/>
      <c r="L11" s="190"/>
      <c r="M11" s="190"/>
      <c r="N11" s="190"/>
      <c r="O11" s="190"/>
      <c r="P11" s="190"/>
    </row>
    <row r="12" spans="1:16" ht="16.5" thickBot="1">
      <c r="A12" s="187"/>
      <c r="B12" s="244"/>
      <c r="C12" s="244"/>
      <c r="D12" s="244"/>
      <c r="E12" s="244"/>
      <c r="F12" s="244"/>
      <c r="G12" s="244"/>
      <c r="H12" s="245"/>
      <c r="I12" s="188"/>
      <c r="P12" s="190"/>
    </row>
    <row r="13" spans="1:16" ht="16.5" thickBot="1">
      <c r="A13" s="187"/>
      <c r="B13" s="618" t="s">
        <v>34</v>
      </c>
      <c r="C13" s="619"/>
      <c r="D13" s="619"/>
      <c r="E13" s="619"/>
      <c r="F13" s="643"/>
      <c r="G13" s="620" t="s">
        <v>35</v>
      </c>
      <c r="H13" s="621"/>
      <c r="I13" s="188"/>
    </row>
    <row r="14" spans="1:16">
      <c r="A14" s="187"/>
      <c r="B14" s="201" t="s">
        <v>71</v>
      </c>
      <c r="C14" s="313">
        <v>105</v>
      </c>
      <c r="D14" s="202" t="s">
        <v>6</v>
      </c>
      <c r="E14" s="622" t="s">
        <v>70</v>
      </c>
      <c r="F14" s="623"/>
      <c r="G14" s="203">
        <v>160</v>
      </c>
      <c r="H14" s="204" t="s">
        <v>24</v>
      </c>
      <c r="I14" s="188"/>
      <c r="J14" s="185"/>
      <c r="K14" s="190"/>
      <c r="L14" s="190"/>
      <c r="M14" s="205"/>
      <c r="N14" s="190"/>
      <c r="O14" s="190"/>
      <c r="P14" s="190"/>
    </row>
    <row r="15" spans="1:16">
      <c r="A15" s="187"/>
      <c r="B15" s="206" t="s">
        <v>186</v>
      </c>
      <c r="C15" s="207">
        <f>(C14/1000)/2</f>
        <v>5.2499999999999998E-2</v>
      </c>
      <c r="D15" s="208" t="s">
        <v>18</v>
      </c>
      <c r="E15" s="630" t="s">
        <v>44</v>
      </c>
      <c r="F15" s="631"/>
      <c r="G15" s="209">
        <f>G14*$C$7</f>
        <v>16000000</v>
      </c>
      <c r="H15" s="210" t="s">
        <v>41</v>
      </c>
      <c r="I15" s="188"/>
      <c r="J15" s="186" t="s">
        <v>65</v>
      </c>
      <c r="K15" s="190"/>
      <c r="L15" s="190"/>
      <c r="M15" s="190"/>
      <c r="N15" s="190"/>
      <c r="O15" s="190"/>
      <c r="P15" s="190"/>
    </row>
    <row r="16" spans="1:16" ht="16.5" thickBot="1">
      <c r="A16" s="187"/>
      <c r="B16" s="211" t="s">
        <v>205</v>
      </c>
      <c r="C16" s="212">
        <f>(C15*C15)*$C$8</f>
        <v>8.6590147525874989E-3</v>
      </c>
      <c r="D16" s="213" t="s">
        <v>18</v>
      </c>
      <c r="E16" s="632" t="s">
        <v>45</v>
      </c>
      <c r="F16" s="633"/>
      <c r="G16" s="214">
        <f>G15*$C$9</f>
        <v>16000000</v>
      </c>
      <c r="H16" s="215" t="s">
        <v>19</v>
      </c>
      <c r="I16" s="188"/>
      <c r="J16" s="200"/>
      <c r="K16" s="190"/>
      <c r="L16" s="190"/>
      <c r="M16" s="190"/>
      <c r="N16" s="190"/>
      <c r="O16" s="190"/>
      <c r="P16" s="190"/>
    </row>
    <row r="17" spans="1:16">
      <c r="A17" s="187"/>
      <c r="B17" s="634" t="s">
        <v>207</v>
      </c>
      <c r="C17" s="635"/>
      <c r="D17" s="635"/>
      <c r="E17" s="635"/>
      <c r="F17" s="635"/>
      <c r="G17" s="246">
        <f>G16*C16</f>
        <v>138544.23604139997</v>
      </c>
      <c r="H17" s="216" t="s">
        <v>46</v>
      </c>
      <c r="I17" s="188"/>
      <c r="J17" s="200"/>
      <c r="K17" s="190"/>
      <c r="L17" s="190"/>
      <c r="M17" s="190"/>
      <c r="N17" s="190"/>
      <c r="O17" s="190"/>
      <c r="P17" s="190"/>
    </row>
    <row r="18" spans="1:16">
      <c r="A18" s="187"/>
      <c r="B18" s="636"/>
      <c r="C18" s="637"/>
      <c r="D18" s="637"/>
      <c r="E18" s="637"/>
      <c r="F18" s="637"/>
      <c r="G18" s="247">
        <f>G17/1000</f>
        <v>138.54423604139998</v>
      </c>
      <c r="H18" s="210" t="s">
        <v>116</v>
      </c>
      <c r="I18" s="188"/>
      <c r="J18" s="200"/>
      <c r="K18" s="190"/>
      <c r="L18" s="190"/>
      <c r="M18" s="190"/>
      <c r="N18" s="190"/>
      <c r="O18" s="190"/>
      <c r="P18" s="190"/>
    </row>
    <row r="19" spans="1:16" ht="16.5" thickBot="1">
      <c r="A19" s="187"/>
      <c r="B19" s="638"/>
      <c r="C19" s="639"/>
      <c r="D19" s="639"/>
      <c r="E19" s="639"/>
      <c r="F19" s="639"/>
      <c r="G19" s="248">
        <f>G18/10</f>
        <v>13.854423604139999</v>
      </c>
      <c r="H19" s="217" t="s">
        <v>199</v>
      </c>
      <c r="I19" s="188"/>
      <c r="J19" s="200"/>
      <c r="K19" s="190"/>
      <c r="L19" s="190"/>
      <c r="M19" s="190"/>
      <c r="N19" s="190"/>
      <c r="O19" s="190"/>
      <c r="P19" s="190"/>
    </row>
    <row r="20" spans="1:16" ht="16.5" thickBot="1">
      <c r="A20" s="187"/>
      <c r="B20" s="218"/>
      <c r="C20" s="219"/>
      <c r="D20" s="220"/>
      <c r="E20" s="221"/>
      <c r="F20" s="221"/>
      <c r="G20" s="220"/>
      <c r="H20" s="222"/>
      <c r="I20" s="188"/>
      <c r="J20" s="200"/>
      <c r="K20" s="190"/>
      <c r="L20" s="223"/>
      <c r="M20" s="223"/>
      <c r="N20" s="223"/>
      <c r="O20" s="223"/>
      <c r="P20" s="223"/>
    </row>
    <row r="21" spans="1:16" ht="16.5" thickBot="1">
      <c r="A21" s="187"/>
      <c r="B21" s="618" t="s">
        <v>34</v>
      </c>
      <c r="C21" s="619"/>
      <c r="D21" s="619"/>
      <c r="E21" s="619"/>
      <c r="F21" s="643"/>
      <c r="G21" s="620" t="s">
        <v>36</v>
      </c>
      <c r="H21" s="621"/>
      <c r="I21" s="188"/>
    </row>
    <row r="22" spans="1:16">
      <c r="A22" s="187"/>
      <c r="B22" s="201" t="s">
        <v>71</v>
      </c>
      <c r="C22" s="313">
        <v>90</v>
      </c>
      <c r="D22" s="202" t="s">
        <v>6</v>
      </c>
      <c r="E22" s="622" t="s">
        <v>70</v>
      </c>
      <c r="F22" s="623"/>
      <c r="G22" s="203">
        <v>160</v>
      </c>
      <c r="H22" s="204" t="s">
        <v>24</v>
      </c>
      <c r="I22" s="188"/>
      <c r="J22" s="200"/>
      <c r="K22" s="190"/>
      <c r="L22" s="224"/>
      <c r="M22" s="225"/>
      <c r="N22" s="226"/>
      <c r="O22" s="227"/>
      <c r="P22" s="226"/>
    </row>
    <row r="23" spans="1:16">
      <c r="A23" s="187"/>
      <c r="B23" s="206" t="s">
        <v>186</v>
      </c>
      <c r="C23" s="207">
        <f>(C22/1000)/2</f>
        <v>4.4999999999999998E-2</v>
      </c>
      <c r="D23" s="208" t="s">
        <v>18</v>
      </c>
      <c r="E23" s="630" t="s">
        <v>44</v>
      </c>
      <c r="F23" s="631"/>
      <c r="G23" s="209">
        <f>G22*$C$7</f>
        <v>16000000</v>
      </c>
      <c r="H23" s="210" t="s">
        <v>41</v>
      </c>
      <c r="I23" s="188"/>
      <c r="J23" s="200"/>
      <c r="K23" s="190"/>
      <c r="L23" s="190"/>
      <c r="M23" s="190"/>
      <c r="N23" s="190"/>
      <c r="O23" s="190"/>
      <c r="P23" s="190"/>
    </row>
    <row r="24" spans="1:16" ht="16.5" thickBot="1">
      <c r="A24" s="187"/>
      <c r="B24" s="211" t="s">
        <v>205</v>
      </c>
      <c r="C24" s="212">
        <f>(C23*C23)*$C$8</f>
        <v>6.3617251243500003E-3</v>
      </c>
      <c r="D24" s="213" t="s">
        <v>18</v>
      </c>
      <c r="E24" s="632" t="s">
        <v>45</v>
      </c>
      <c r="F24" s="633"/>
      <c r="G24" s="214">
        <f>G23*$C$9</f>
        <v>16000000</v>
      </c>
      <c r="H24" s="215" t="s">
        <v>19</v>
      </c>
      <c r="I24" s="188"/>
      <c r="J24" s="200"/>
      <c r="K24" s="190"/>
      <c r="L24" s="190"/>
      <c r="M24" s="190"/>
      <c r="N24" s="190"/>
      <c r="O24" s="190"/>
      <c r="P24" s="190"/>
    </row>
    <row r="25" spans="1:16">
      <c r="A25" s="187"/>
      <c r="B25" s="634" t="s">
        <v>206</v>
      </c>
      <c r="C25" s="635"/>
      <c r="D25" s="635"/>
      <c r="E25" s="635"/>
      <c r="F25" s="635"/>
      <c r="G25" s="246">
        <f>G24*C24</f>
        <v>101787.60198960001</v>
      </c>
      <c r="H25" s="216" t="s">
        <v>46</v>
      </c>
      <c r="I25" s="188"/>
      <c r="J25" s="228"/>
    </row>
    <row r="26" spans="1:16">
      <c r="A26" s="187"/>
      <c r="B26" s="636"/>
      <c r="C26" s="637"/>
      <c r="D26" s="637"/>
      <c r="E26" s="637"/>
      <c r="F26" s="637"/>
      <c r="G26" s="247">
        <f>G25/1000</f>
        <v>101.78760198960001</v>
      </c>
      <c r="H26" s="210" t="s">
        <v>116</v>
      </c>
      <c r="I26" s="188"/>
      <c r="J26" s="228"/>
    </row>
    <row r="27" spans="1:16" ht="16.5" thickBot="1">
      <c r="A27" s="187"/>
      <c r="B27" s="638"/>
      <c r="C27" s="639"/>
      <c r="D27" s="639"/>
      <c r="E27" s="639"/>
      <c r="F27" s="639"/>
      <c r="G27" s="248">
        <f>G26/10</f>
        <v>10.178760198960001</v>
      </c>
      <c r="H27" s="217" t="s">
        <v>199</v>
      </c>
      <c r="I27" s="188"/>
      <c r="J27" s="228"/>
    </row>
    <row r="28" spans="1:16" ht="16.5" thickBot="1">
      <c r="A28" s="187"/>
      <c r="B28" s="218"/>
      <c r="C28" s="219"/>
      <c r="D28" s="220"/>
      <c r="E28" s="221"/>
      <c r="F28" s="221"/>
      <c r="G28" s="220"/>
      <c r="H28" s="222"/>
      <c r="I28" s="188"/>
    </row>
    <row r="29" spans="1:16" ht="16.5" thickBot="1">
      <c r="A29" s="187"/>
      <c r="B29" s="618" t="s">
        <v>34</v>
      </c>
      <c r="C29" s="619"/>
      <c r="D29" s="619"/>
      <c r="E29" s="619"/>
      <c r="F29" s="643"/>
      <c r="G29" s="620" t="s">
        <v>37</v>
      </c>
      <c r="H29" s="621"/>
      <c r="I29" s="188"/>
      <c r="J29" s="228" t="e">
        <f>(J5/C31)/M14</f>
        <v>#DIV/0!</v>
      </c>
    </row>
    <row r="30" spans="1:16">
      <c r="A30" s="187"/>
      <c r="B30" s="201" t="s">
        <v>71</v>
      </c>
      <c r="C30" s="313">
        <v>75</v>
      </c>
      <c r="D30" s="202" t="s">
        <v>6</v>
      </c>
      <c r="E30" s="622" t="s">
        <v>70</v>
      </c>
      <c r="F30" s="623"/>
      <c r="G30" s="203">
        <v>160</v>
      </c>
      <c r="H30" s="204" t="s">
        <v>24</v>
      </c>
      <c r="I30" s="188"/>
    </row>
    <row r="31" spans="1:16">
      <c r="A31" s="187"/>
      <c r="B31" s="206" t="s">
        <v>186</v>
      </c>
      <c r="C31" s="207">
        <f>(C30/1000)/2</f>
        <v>3.7499999999999999E-2</v>
      </c>
      <c r="D31" s="208" t="s">
        <v>18</v>
      </c>
      <c r="E31" s="630" t="s">
        <v>44</v>
      </c>
      <c r="F31" s="631"/>
      <c r="G31" s="209">
        <f>G30*$C$7</f>
        <v>16000000</v>
      </c>
      <c r="H31" s="210" t="s">
        <v>41</v>
      </c>
      <c r="I31" s="188"/>
      <c r="J31" s="229">
        <f>(G26+G33)/2</f>
        <v>35393.811158494798</v>
      </c>
    </row>
    <row r="32" spans="1:16" ht="16.5" thickBot="1">
      <c r="A32" s="187"/>
      <c r="B32" s="211" t="s">
        <v>205</v>
      </c>
      <c r="C32" s="212">
        <f>(C31*C31)*$C$8</f>
        <v>4.4178646696874995E-3</v>
      </c>
      <c r="D32" s="213" t="s">
        <v>18</v>
      </c>
      <c r="E32" s="632" t="s">
        <v>45</v>
      </c>
      <c r="F32" s="633"/>
      <c r="G32" s="214">
        <f>G31*$C$9</f>
        <v>16000000</v>
      </c>
      <c r="H32" s="215" t="s">
        <v>19</v>
      </c>
      <c r="I32" s="188"/>
    </row>
    <row r="33" spans="1:10">
      <c r="A33" s="187"/>
      <c r="B33" s="634" t="s">
        <v>208</v>
      </c>
      <c r="C33" s="635"/>
      <c r="D33" s="635"/>
      <c r="E33" s="635"/>
      <c r="F33" s="635"/>
      <c r="G33" s="246">
        <f>G32*C32</f>
        <v>70685.83471499999</v>
      </c>
      <c r="H33" s="216" t="s">
        <v>46</v>
      </c>
      <c r="I33" s="188"/>
    </row>
    <row r="34" spans="1:10">
      <c r="A34" s="187"/>
      <c r="B34" s="636"/>
      <c r="C34" s="637"/>
      <c r="D34" s="637"/>
      <c r="E34" s="637"/>
      <c r="F34" s="637"/>
      <c r="G34" s="247">
        <f>G33/1000</f>
        <v>70.685834714999984</v>
      </c>
      <c r="H34" s="210" t="s">
        <v>116</v>
      </c>
      <c r="I34" s="188"/>
    </row>
    <row r="35" spans="1:10" ht="16.5" thickBot="1">
      <c r="A35" s="187"/>
      <c r="B35" s="638"/>
      <c r="C35" s="639"/>
      <c r="D35" s="639"/>
      <c r="E35" s="639"/>
      <c r="F35" s="639"/>
      <c r="G35" s="248">
        <f>G34/10</f>
        <v>7.0685834714999984</v>
      </c>
      <c r="H35" s="217" t="s">
        <v>199</v>
      </c>
      <c r="I35" s="188"/>
    </row>
    <row r="36" spans="1:10" ht="16.5" thickBot="1">
      <c r="A36" s="187"/>
      <c r="B36" s="218"/>
      <c r="C36" s="219"/>
      <c r="D36" s="220"/>
      <c r="E36" s="221"/>
      <c r="F36" s="221"/>
      <c r="G36" s="220"/>
      <c r="H36" s="222"/>
      <c r="I36" s="188"/>
    </row>
    <row r="37" spans="1:10" ht="16.5" thickBot="1">
      <c r="A37" s="187"/>
      <c r="B37" s="618" t="s">
        <v>34</v>
      </c>
      <c r="C37" s="619"/>
      <c r="D37" s="619"/>
      <c r="E37" s="619"/>
      <c r="F37" s="619"/>
      <c r="G37" s="620" t="s">
        <v>38</v>
      </c>
      <c r="H37" s="621"/>
      <c r="I37" s="188"/>
    </row>
    <row r="38" spans="1:10">
      <c r="A38" s="187"/>
      <c r="B38" s="201" t="s">
        <v>71</v>
      </c>
      <c r="C38" s="313">
        <v>60</v>
      </c>
      <c r="D38" s="202" t="s">
        <v>6</v>
      </c>
      <c r="E38" s="622" t="s">
        <v>70</v>
      </c>
      <c r="F38" s="623"/>
      <c r="G38" s="203">
        <v>160</v>
      </c>
      <c r="H38" s="204" t="s">
        <v>24</v>
      </c>
      <c r="I38" s="188"/>
      <c r="J38" s="186">
        <f>(G40+G33+G47)/3</f>
        <v>10690228.611571668</v>
      </c>
    </row>
    <row r="39" spans="1:10">
      <c r="A39" s="187"/>
      <c r="B39" s="206" t="s">
        <v>186</v>
      </c>
      <c r="C39" s="207">
        <f>(C38/1000)/2</f>
        <v>0.03</v>
      </c>
      <c r="D39" s="208" t="s">
        <v>18</v>
      </c>
      <c r="E39" s="630" t="s">
        <v>44</v>
      </c>
      <c r="F39" s="631"/>
      <c r="G39" s="209">
        <f>G38*$C$7</f>
        <v>16000000</v>
      </c>
      <c r="H39" s="210" t="s">
        <v>41</v>
      </c>
      <c r="I39" s="188"/>
    </row>
    <row r="40" spans="1:10" ht="16.5" thickBot="1">
      <c r="A40" s="187"/>
      <c r="B40" s="211" t="s">
        <v>205</v>
      </c>
      <c r="C40" s="212">
        <f>(C39*C39)*$C$8</f>
        <v>2.8274333886000001E-3</v>
      </c>
      <c r="D40" s="213" t="s">
        <v>18</v>
      </c>
      <c r="E40" s="632" t="s">
        <v>45</v>
      </c>
      <c r="F40" s="633"/>
      <c r="G40" s="214">
        <f>G39*$C$9</f>
        <v>16000000</v>
      </c>
      <c r="H40" s="215" t="s">
        <v>19</v>
      </c>
      <c r="I40" s="188"/>
    </row>
    <row r="41" spans="1:10">
      <c r="A41" s="187"/>
      <c r="B41" s="634" t="s">
        <v>209</v>
      </c>
      <c r="C41" s="635"/>
      <c r="D41" s="635"/>
      <c r="E41" s="635"/>
      <c r="F41" s="635"/>
      <c r="G41" s="246">
        <f>G40*C40</f>
        <v>45238.934217599999</v>
      </c>
      <c r="H41" s="216" t="s">
        <v>46</v>
      </c>
      <c r="I41" s="188"/>
    </row>
    <row r="42" spans="1:10">
      <c r="A42" s="187"/>
      <c r="B42" s="636"/>
      <c r="C42" s="637"/>
      <c r="D42" s="637"/>
      <c r="E42" s="637"/>
      <c r="F42" s="637"/>
      <c r="G42" s="247">
        <f>G41/1000</f>
        <v>45.238934217599997</v>
      </c>
      <c r="H42" s="210" t="s">
        <v>116</v>
      </c>
      <c r="I42" s="188"/>
    </row>
    <row r="43" spans="1:10" ht="16.5" thickBot="1">
      <c r="A43" s="187"/>
      <c r="B43" s="638"/>
      <c r="C43" s="639"/>
      <c r="D43" s="639"/>
      <c r="E43" s="639"/>
      <c r="F43" s="639"/>
      <c r="G43" s="248">
        <f>G42/10</f>
        <v>4.5238934217599995</v>
      </c>
      <c r="H43" s="217" t="s">
        <v>199</v>
      </c>
      <c r="I43" s="188"/>
    </row>
    <row r="44" spans="1:10" ht="16.5" thickBot="1">
      <c r="A44" s="187"/>
      <c r="B44" s="218"/>
      <c r="C44" s="219"/>
      <c r="D44" s="220"/>
      <c r="E44" s="221"/>
      <c r="F44" s="221"/>
      <c r="G44" s="220"/>
      <c r="H44" s="222"/>
      <c r="I44" s="188"/>
    </row>
    <row r="45" spans="1:10" ht="16.5" thickBot="1">
      <c r="A45" s="187"/>
      <c r="B45" s="618" t="s">
        <v>34</v>
      </c>
      <c r="C45" s="619"/>
      <c r="D45" s="619"/>
      <c r="E45" s="619"/>
      <c r="F45" s="619"/>
      <c r="G45" s="620" t="s">
        <v>39</v>
      </c>
      <c r="H45" s="621"/>
      <c r="I45" s="188"/>
    </row>
    <row r="46" spans="1:10">
      <c r="A46" s="187"/>
      <c r="B46" s="201" t="s">
        <v>71</v>
      </c>
      <c r="C46" s="313">
        <v>45</v>
      </c>
      <c r="D46" s="202" t="s">
        <v>6</v>
      </c>
      <c r="E46" s="622" t="s">
        <v>70</v>
      </c>
      <c r="F46" s="623"/>
      <c r="G46" s="203">
        <v>160</v>
      </c>
      <c r="H46" s="204" t="s">
        <v>24</v>
      </c>
      <c r="I46" s="188"/>
    </row>
    <row r="47" spans="1:10">
      <c r="A47" s="187"/>
      <c r="B47" s="206" t="s">
        <v>186</v>
      </c>
      <c r="C47" s="207">
        <f>(C46/1000)/2</f>
        <v>2.2499999999999999E-2</v>
      </c>
      <c r="D47" s="208" t="s">
        <v>18</v>
      </c>
      <c r="E47" s="630" t="s">
        <v>44</v>
      </c>
      <c r="F47" s="631"/>
      <c r="G47" s="209">
        <f>G46*$C$7</f>
        <v>16000000</v>
      </c>
      <c r="H47" s="210" t="s">
        <v>41</v>
      </c>
      <c r="I47" s="188"/>
    </row>
    <row r="48" spans="1:10" ht="16.5" thickBot="1">
      <c r="A48" s="187"/>
      <c r="B48" s="211" t="s">
        <v>205</v>
      </c>
      <c r="C48" s="212">
        <f>(C47*C47)*$C$8</f>
        <v>1.5904312810875001E-3</v>
      </c>
      <c r="D48" s="213" t="s">
        <v>18</v>
      </c>
      <c r="E48" s="632" t="s">
        <v>45</v>
      </c>
      <c r="F48" s="633"/>
      <c r="G48" s="214">
        <f>G47*$C$9</f>
        <v>16000000</v>
      </c>
      <c r="H48" s="215" t="s">
        <v>19</v>
      </c>
      <c r="I48" s="188"/>
    </row>
    <row r="49" spans="1:9">
      <c r="A49" s="187"/>
      <c r="B49" s="634" t="s">
        <v>210</v>
      </c>
      <c r="C49" s="635"/>
      <c r="D49" s="635"/>
      <c r="E49" s="635"/>
      <c r="F49" s="635"/>
      <c r="G49" s="246">
        <f>G48*C48</f>
        <v>25446.900497400002</v>
      </c>
      <c r="H49" s="216" t="s">
        <v>46</v>
      </c>
      <c r="I49" s="188"/>
    </row>
    <row r="50" spans="1:9">
      <c r="A50" s="187"/>
      <c r="B50" s="636"/>
      <c r="C50" s="637"/>
      <c r="D50" s="637"/>
      <c r="E50" s="637"/>
      <c r="F50" s="637"/>
      <c r="G50" s="247">
        <f>G49/1000</f>
        <v>25.446900497400001</v>
      </c>
      <c r="H50" s="210" t="s">
        <v>116</v>
      </c>
      <c r="I50" s="188"/>
    </row>
    <row r="51" spans="1:9" ht="16.5" thickBot="1">
      <c r="A51" s="187"/>
      <c r="B51" s="638"/>
      <c r="C51" s="639"/>
      <c r="D51" s="639"/>
      <c r="E51" s="639"/>
      <c r="F51" s="639"/>
      <c r="G51" s="248">
        <f>G50/10</f>
        <v>2.5446900497400002</v>
      </c>
      <c r="H51" s="217" t="s">
        <v>199</v>
      </c>
      <c r="I51" s="188"/>
    </row>
    <row r="52" spans="1:9" ht="16.5" thickBot="1">
      <c r="A52" s="187"/>
      <c r="B52" s="218"/>
      <c r="C52" s="219"/>
      <c r="D52" s="220"/>
      <c r="E52" s="221"/>
      <c r="F52" s="221"/>
      <c r="G52" s="220"/>
      <c r="H52" s="222"/>
      <c r="I52" s="188"/>
    </row>
    <row r="53" spans="1:9" ht="16.5" thickBot="1">
      <c r="A53" s="187"/>
      <c r="B53" s="618" t="s">
        <v>34</v>
      </c>
      <c r="C53" s="619"/>
      <c r="D53" s="619"/>
      <c r="E53" s="619"/>
      <c r="F53" s="619"/>
      <c r="G53" s="620" t="s">
        <v>40</v>
      </c>
      <c r="H53" s="621"/>
      <c r="I53" s="188"/>
    </row>
    <row r="54" spans="1:9">
      <c r="A54" s="187"/>
      <c r="B54" s="201" t="s">
        <v>71</v>
      </c>
      <c r="C54" s="241">
        <v>30</v>
      </c>
      <c r="D54" s="202" t="s">
        <v>6</v>
      </c>
      <c r="E54" s="622" t="s">
        <v>70</v>
      </c>
      <c r="F54" s="623"/>
      <c r="G54" s="203">
        <v>160</v>
      </c>
      <c r="H54" s="204" t="s">
        <v>24</v>
      </c>
      <c r="I54" s="188"/>
    </row>
    <row r="55" spans="1:9">
      <c r="A55" s="187"/>
      <c r="B55" s="206" t="s">
        <v>186</v>
      </c>
      <c r="C55" s="314">
        <f>(C54/1000)/2</f>
        <v>1.4999999999999999E-2</v>
      </c>
      <c r="D55" s="208" t="s">
        <v>18</v>
      </c>
      <c r="E55" s="630" t="s">
        <v>44</v>
      </c>
      <c r="F55" s="631"/>
      <c r="G55" s="209">
        <f>G54*$C$7</f>
        <v>16000000</v>
      </c>
      <c r="H55" s="210" t="s">
        <v>41</v>
      </c>
      <c r="I55" s="188"/>
    </row>
    <row r="56" spans="1:9" ht="16.5" thickBot="1">
      <c r="A56" s="187"/>
      <c r="B56" s="211" t="s">
        <v>205</v>
      </c>
      <c r="C56" s="212">
        <f>(C55*C55)*$C$8</f>
        <v>7.0685834715000003E-4</v>
      </c>
      <c r="D56" s="213" t="s">
        <v>18</v>
      </c>
      <c r="E56" s="632" t="s">
        <v>45</v>
      </c>
      <c r="F56" s="633"/>
      <c r="G56" s="214">
        <f>G55*$C$9</f>
        <v>16000000</v>
      </c>
      <c r="H56" s="215" t="s">
        <v>19</v>
      </c>
      <c r="I56" s="188"/>
    </row>
    <row r="57" spans="1:9">
      <c r="A57" s="187"/>
      <c r="B57" s="634" t="s">
        <v>211</v>
      </c>
      <c r="C57" s="635"/>
      <c r="D57" s="635"/>
      <c r="E57" s="635"/>
      <c r="F57" s="635"/>
      <c r="G57" s="246">
        <f>G56*C56</f>
        <v>11309.7335544</v>
      </c>
      <c r="H57" s="216" t="s">
        <v>46</v>
      </c>
      <c r="I57" s="188"/>
    </row>
    <row r="58" spans="1:9">
      <c r="A58" s="187"/>
      <c r="B58" s="636"/>
      <c r="C58" s="637"/>
      <c r="D58" s="637"/>
      <c r="E58" s="637"/>
      <c r="F58" s="637"/>
      <c r="G58" s="247">
        <f>G57/1000</f>
        <v>11.309733554399999</v>
      </c>
      <c r="H58" s="210" t="s">
        <v>116</v>
      </c>
      <c r="I58" s="188"/>
    </row>
    <row r="59" spans="1:9" ht="16.5" thickBot="1">
      <c r="A59" s="187"/>
      <c r="B59" s="638"/>
      <c r="C59" s="639"/>
      <c r="D59" s="639"/>
      <c r="E59" s="639"/>
      <c r="F59" s="639"/>
      <c r="G59" s="248">
        <f>G58/10</f>
        <v>1.1309733554399999</v>
      </c>
      <c r="H59" s="217" t="s">
        <v>199</v>
      </c>
      <c r="I59" s="188"/>
    </row>
    <row r="60" spans="1:9" ht="16.5" thickBot="1">
      <c r="A60" s="230"/>
      <c r="B60" s="231"/>
      <c r="C60" s="232"/>
      <c r="D60" s="233"/>
      <c r="E60" s="234"/>
      <c r="F60" s="234"/>
      <c r="G60" s="233"/>
      <c r="H60" s="235"/>
      <c r="I60" s="236"/>
    </row>
    <row r="61" spans="1:9" ht="16.5" thickTop="1"/>
  </sheetData>
  <sheetProtection algorithmName="SHA-512" hashValue="UetlfcXvGwgkZBurYxrXKo4tbXLjQIGERCzUd7vv9yWV+oDO2PkDXvS0dof+mOwGlFEs6DXMuGi+Q5XT/Ljxig==" saltValue="Pg65u53yyz+RFRHh6C9KaA==" spinCount="100000" sheet="1" objects="1" scenarios="1" selectLockedCells="1"/>
  <mergeCells count="41">
    <mergeCell ref="E55:F55"/>
    <mergeCell ref="E56:F56"/>
    <mergeCell ref="B57:F59"/>
    <mergeCell ref="A1:I1"/>
    <mergeCell ref="E22:F22"/>
    <mergeCell ref="E23:F23"/>
    <mergeCell ref="E24:F24"/>
    <mergeCell ref="B25:F27"/>
    <mergeCell ref="B29:F29"/>
    <mergeCell ref="B11:H11"/>
    <mergeCell ref="G21:H21"/>
    <mergeCell ref="G13:H13"/>
    <mergeCell ref="E14:F14"/>
    <mergeCell ref="E16:F16"/>
    <mergeCell ref="E15:F15"/>
    <mergeCell ref="B13:F13"/>
    <mergeCell ref="B33:F35"/>
    <mergeCell ref="B37:F37"/>
    <mergeCell ref="G37:H37"/>
    <mergeCell ref="B3:D3"/>
    <mergeCell ref="B17:F19"/>
    <mergeCell ref="B21:F21"/>
    <mergeCell ref="G29:H29"/>
    <mergeCell ref="E30:F30"/>
    <mergeCell ref="E31:F31"/>
    <mergeCell ref="B53:F53"/>
    <mergeCell ref="G53:H53"/>
    <mergeCell ref="E54:F54"/>
    <mergeCell ref="B4:D4"/>
    <mergeCell ref="B5:D5"/>
    <mergeCell ref="G45:H45"/>
    <mergeCell ref="E46:F46"/>
    <mergeCell ref="E47:F47"/>
    <mergeCell ref="E48:F48"/>
    <mergeCell ref="B49:F51"/>
    <mergeCell ref="E38:F38"/>
    <mergeCell ref="E39:F39"/>
    <mergeCell ref="E40:F40"/>
    <mergeCell ref="B41:F43"/>
    <mergeCell ref="B45:F45"/>
    <mergeCell ref="E32:F32"/>
  </mergeCells>
  <phoneticPr fontId="0" type="noConversion"/>
  <printOptions horizontalCentered="1" verticalCentered="1"/>
  <pageMargins left="1.0236220472440944" right="0.39370078740157483" top="0.9055118110236221" bottom="0.19685039370078741" header="0.19685039370078741" footer="0.15748031496062992"/>
  <pageSetup paperSize="9" scale="79" orientation="portrait" r:id="rId1"/>
  <headerFooter alignWithMargins="0">
    <oddHeader>&amp;C&amp;G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18" sqref="E18"/>
    </sheetView>
  </sheetViews>
  <sheetFormatPr defaultRowHeight="12.75"/>
  <sheetData>
    <row r="1" spans="1:3" ht="20.25">
      <c r="A1" s="262">
        <f>DEGREES(ACOS(-0.5))</f>
        <v>120.00000000000001</v>
      </c>
    </row>
    <row r="2" spans="1:3">
      <c r="A2" s="274"/>
    </row>
    <row r="3" spans="1:3">
      <c r="A3" s="274"/>
    </row>
    <row r="4" spans="1:3">
      <c r="A4" s="274"/>
      <c r="C4" s="22"/>
    </row>
    <row r="5" spans="1:3">
      <c r="C5" s="22"/>
    </row>
    <row r="6" spans="1:3">
      <c r="C6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Tipper Calculations</vt:lpstr>
      <vt:lpstr>Data Sheet - Cyls &amp; Packs</vt:lpstr>
      <vt:lpstr>Cylinder Force - Calcs</vt:lpstr>
      <vt:lpstr>Sheet1</vt:lpstr>
      <vt:lpstr>'Tipper Calculations'!Print_Area</vt:lpstr>
    </vt:vector>
  </TitlesOfParts>
  <Company>Victorian Hydraulics P/L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Mark Blashki</cp:lastModifiedBy>
  <cp:lastPrinted>2017-03-01T00:55:47Z</cp:lastPrinted>
  <dcterms:created xsi:type="dcterms:W3CDTF">2002-05-07T03:31:11Z</dcterms:created>
  <dcterms:modified xsi:type="dcterms:W3CDTF">2017-07-08T07:08:21Z</dcterms:modified>
</cp:coreProperties>
</file>