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General" sheetId="1" r:id="rId1"/>
    <sheet name="Food" sheetId="2" r:id="rId2"/>
    <sheet name="Economy" sheetId="3" r:id="rId3"/>
    <sheet name="Modifiers" sheetId="4" r:id="rId4"/>
    <sheet name="ModifierLookupIndex" sheetId="6" state="hidden" r:id="rId5"/>
  </sheets>
  <calcPr calcId="145621"/>
</workbook>
</file>

<file path=xl/calcChain.xml><?xml version="1.0" encoding="utf-8"?>
<calcChain xmlns="http://schemas.openxmlformats.org/spreadsheetml/2006/main">
  <c r="AG51" i="1" l="1"/>
  <c r="AF51" i="1"/>
  <c r="AE51" i="1"/>
  <c r="AD51" i="1"/>
  <c r="AG50" i="1"/>
  <c r="AF50" i="1"/>
  <c r="AE50" i="1"/>
  <c r="AD50" i="1"/>
  <c r="AG49" i="1"/>
  <c r="AF49" i="1"/>
  <c r="AE49" i="1"/>
  <c r="AD49" i="1"/>
  <c r="AG48" i="1"/>
  <c r="AF48" i="1"/>
  <c r="AE48" i="1"/>
  <c r="AD48" i="1"/>
  <c r="AG47" i="1"/>
  <c r="AF47" i="1"/>
  <c r="AE47" i="1"/>
  <c r="AD47" i="1"/>
  <c r="AG46" i="1"/>
  <c r="AF46" i="1"/>
  <c r="AE46" i="1"/>
  <c r="AD46" i="1"/>
  <c r="AG45" i="1"/>
  <c r="AF45" i="1"/>
  <c r="AE45" i="1"/>
  <c r="AD45" i="1"/>
  <c r="AG44" i="1"/>
  <c r="AF44" i="1"/>
  <c r="AE44" i="1"/>
  <c r="AD44" i="1"/>
  <c r="AG43" i="1"/>
  <c r="AF43" i="1"/>
  <c r="AE43" i="1"/>
  <c r="AD43" i="1"/>
  <c r="AG42" i="1"/>
  <c r="AF42" i="1"/>
  <c r="AE42" i="1"/>
  <c r="AD42" i="1"/>
  <c r="AG41" i="1"/>
  <c r="AF41" i="1"/>
  <c r="AE41" i="1"/>
  <c r="AD41" i="1"/>
  <c r="AG40" i="1"/>
  <c r="AF40" i="1"/>
  <c r="AE40" i="1"/>
  <c r="AD40" i="1"/>
  <c r="AG39" i="1"/>
  <c r="AF39" i="1"/>
  <c r="AE39" i="1"/>
  <c r="AD39" i="1"/>
  <c r="AG38" i="1"/>
  <c r="AF38" i="1"/>
  <c r="AE38" i="1"/>
  <c r="AD38" i="1"/>
  <c r="AG37" i="1"/>
  <c r="AF37" i="1"/>
  <c r="AE37" i="1"/>
  <c r="AD37" i="1"/>
  <c r="AG36" i="1"/>
  <c r="AF36" i="1"/>
  <c r="AE36" i="1"/>
  <c r="AD36" i="1"/>
  <c r="AG35" i="1"/>
  <c r="AF35" i="1"/>
  <c r="AE35" i="1"/>
  <c r="AD35" i="1"/>
  <c r="AG34" i="1"/>
  <c r="AF34" i="1"/>
  <c r="AE34" i="1"/>
  <c r="AD34" i="1"/>
  <c r="AG33" i="1"/>
  <c r="AF33" i="1"/>
  <c r="AE33" i="1"/>
  <c r="AD33" i="1"/>
  <c r="AG32" i="1"/>
  <c r="AF32" i="1"/>
  <c r="AE32" i="1"/>
  <c r="AD32" i="1"/>
  <c r="AG31" i="1"/>
  <c r="AF31" i="1"/>
  <c r="AE31" i="1"/>
  <c r="AD31" i="1"/>
  <c r="AG30" i="1"/>
  <c r="AF30" i="1"/>
  <c r="AE30" i="1"/>
  <c r="AD30" i="1"/>
  <c r="AG29" i="1"/>
  <c r="AF29" i="1"/>
  <c r="AE29" i="1"/>
  <c r="AD29" i="1"/>
  <c r="AG28" i="1"/>
  <c r="AF28" i="1"/>
  <c r="AE28" i="1"/>
  <c r="AD28" i="1"/>
  <c r="AG27" i="1"/>
  <c r="AF27" i="1"/>
  <c r="AE27" i="1"/>
  <c r="AD27" i="1"/>
  <c r="AG26" i="1"/>
  <c r="AF26" i="1"/>
  <c r="AE26" i="1"/>
  <c r="AD26" i="1"/>
  <c r="AG25" i="1"/>
  <c r="AF25" i="1"/>
  <c r="AE25" i="1"/>
  <c r="AD25" i="1"/>
  <c r="AG24" i="1"/>
  <c r="AF24" i="1"/>
  <c r="AE24" i="1"/>
  <c r="AD24" i="1"/>
  <c r="AG23" i="1"/>
  <c r="AF23" i="1"/>
  <c r="AE23" i="1"/>
  <c r="AD23" i="1"/>
  <c r="AG22" i="1"/>
  <c r="AF22" i="1"/>
  <c r="AE22" i="1"/>
  <c r="AD22" i="1"/>
  <c r="AG21" i="1"/>
  <c r="AF21" i="1"/>
  <c r="AE21" i="1"/>
  <c r="AD21" i="1"/>
  <c r="AG20" i="1"/>
  <c r="AF20" i="1"/>
  <c r="AE20" i="1"/>
  <c r="AD20" i="1"/>
  <c r="AG19" i="1"/>
  <c r="AF19" i="1"/>
  <c r="AE19" i="1"/>
  <c r="AD19" i="1"/>
  <c r="AG18" i="1"/>
  <c r="AF18" i="1"/>
  <c r="AE18" i="1"/>
  <c r="AD18" i="1"/>
  <c r="AG17" i="1"/>
  <c r="AF17" i="1"/>
  <c r="AE17" i="1"/>
  <c r="AD17" i="1"/>
  <c r="AG16" i="1"/>
  <c r="AF16" i="1"/>
  <c r="AE16" i="1"/>
  <c r="AD16" i="1"/>
  <c r="AG15" i="1"/>
  <c r="AF15" i="1"/>
  <c r="AE15" i="1"/>
  <c r="AD15" i="1"/>
  <c r="AG14" i="1"/>
  <c r="AF14" i="1"/>
  <c r="AE14" i="1"/>
  <c r="AD14" i="1"/>
  <c r="AG13" i="1"/>
  <c r="AF13" i="1"/>
  <c r="AE13" i="1"/>
  <c r="AD13" i="1"/>
  <c r="AG12" i="1"/>
  <c r="AF12" i="1"/>
  <c r="AE12" i="1"/>
  <c r="AD12" i="1"/>
  <c r="AG11" i="1"/>
  <c r="AF11" i="1"/>
  <c r="AE11" i="1"/>
  <c r="AD11" i="1"/>
  <c r="AG10" i="1"/>
  <c r="AF10" i="1"/>
  <c r="AE10" i="1"/>
  <c r="AD10" i="1"/>
  <c r="AG9" i="1"/>
  <c r="AF9" i="1"/>
  <c r="AE9" i="1"/>
  <c r="AD9" i="1"/>
  <c r="AG8" i="1"/>
  <c r="AF8" i="1"/>
  <c r="AE8" i="1"/>
  <c r="AD8" i="1"/>
  <c r="AG7" i="1"/>
  <c r="AF7" i="1"/>
  <c r="AE7" i="1"/>
  <c r="AD7" i="1"/>
  <c r="AG6" i="1"/>
  <c r="AF6" i="1"/>
  <c r="AE6" i="1"/>
  <c r="AD6" i="1"/>
  <c r="AG5" i="1"/>
  <c r="AF5" i="1"/>
  <c r="AE5" i="1"/>
  <c r="AD5" i="1"/>
  <c r="AG4" i="1"/>
  <c r="AF4" i="1"/>
  <c r="AE4" i="1"/>
  <c r="AD4" i="1"/>
  <c r="AG3" i="1"/>
  <c r="AF3" i="1"/>
  <c r="AE3" i="1"/>
  <c r="AD3" i="1"/>
  <c r="E34" i="3" l="1"/>
  <c r="A34" i="3"/>
  <c r="Z34" i="3" s="1"/>
  <c r="J33" i="3"/>
  <c r="L33" i="3" s="1"/>
  <c r="M33" i="3" s="1"/>
  <c r="H33" i="3"/>
  <c r="E33" i="3"/>
  <c r="A33" i="3"/>
  <c r="L6" i="3"/>
  <c r="M6" i="3" s="1"/>
  <c r="E6" i="3"/>
  <c r="A6" i="3"/>
  <c r="Z5" i="3"/>
  <c r="L5" i="3"/>
  <c r="M5" i="3" s="1"/>
  <c r="E5" i="3"/>
  <c r="B5" i="3"/>
  <c r="A5" i="3"/>
  <c r="A6" i="2"/>
  <c r="AD6" i="2" s="1"/>
  <c r="A5" i="2"/>
  <c r="AH34" i="1"/>
  <c r="AC34" i="1"/>
  <c r="AH33" i="1"/>
  <c r="AC33" i="1"/>
  <c r="AA33" i="1"/>
  <c r="B33" i="3" l="1"/>
  <c r="Z33" i="3"/>
  <c r="B34" i="3"/>
  <c r="P34" i="3"/>
  <c r="Q34" i="3"/>
  <c r="Y34" i="3" s="1"/>
  <c r="B6" i="3"/>
  <c r="Z6" i="3"/>
  <c r="B5" i="2"/>
  <c r="B6" i="2"/>
  <c r="AD5" i="2"/>
  <c r="Y34" i="1"/>
  <c r="X34" i="1"/>
  <c r="AB34" i="1"/>
  <c r="W34" i="1"/>
  <c r="O34" i="3" s="1"/>
  <c r="W33" i="1"/>
  <c r="O33" i="3" s="1"/>
  <c r="AA34" i="1"/>
  <c r="Y33" i="1"/>
  <c r="Q33" i="3" s="1"/>
  <c r="U34" i="3" l="1"/>
  <c r="U33" i="3"/>
  <c r="Y33" i="3"/>
  <c r="S33" i="3"/>
  <c r="W33" i="3"/>
  <c r="T34" i="3"/>
  <c r="S34" i="3"/>
  <c r="V34" i="1"/>
  <c r="N34" i="3" s="1"/>
  <c r="R34" i="3" s="1"/>
  <c r="Z34" i="1"/>
  <c r="X33" i="1"/>
  <c r="P33" i="3" s="1"/>
  <c r="T33" i="3" s="1"/>
  <c r="AB33" i="1"/>
  <c r="Z33" i="1"/>
  <c r="V33" i="1"/>
  <c r="N33" i="3" s="1"/>
  <c r="V33" i="3" l="1"/>
  <c r="R33" i="3"/>
  <c r="X33" i="3"/>
  <c r="AH6" i="1"/>
  <c r="AC6" i="1"/>
  <c r="AH5" i="1"/>
  <c r="AA5" i="1"/>
  <c r="Y6" i="1" l="1"/>
  <c r="X6" i="1"/>
  <c r="AB6" i="1"/>
  <c r="W5" i="1"/>
  <c r="AA6" i="1"/>
  <c r="W6" i="1"/>
  <c r="O6" i="3" l="1"/>
  <c r="G6" i="2"/>
  <c r="H6" i="2"/>
  <c r="P6" i="3"/>
  <c r="G5" i="2"/>
  <c r="O5" i="3"/>
  <c r="I6" i="2"/>
  <c r="Q6" i="3"/>
  <c r="Z6" i="1"/>
  <c r="V6" i="1"/>
  <c r="AC5" i="1"/>
  <c r="Y5" i="1"/>
  <c r="AB5" i="1"/>
  <c r="X5" i="1"/>
  <c r="Z5" i="1"/>
  <c r="V5" i="1"/>
  <c r="U6" i="3" l="1"/>
  <c r="Y6" i="3"/>
  <c r="M6" i="2"/>
  <c r="Y6" i="2"/>
  <c r="U6" i="2"/>
  <c r="Q6" i="2"/>
  <c r="AC6" i="2"/>
  <c r="W5" i="3"/>
  <c r="S5" i="3"/>
  <c r="F5" i="2"/>
  <c r="N5" i="3"/>
  <c r="W5" i="2"/>
  <c r="O5" i="2"/>
  <c r="S5" i="2"/>
  <c r="AA5" i="2"/>
  <c r="K5" i="2"/>
  <c r="Q5" i="3"/>
  <c r="I5" i="2"/>
  <c r="T6" i="3"/>
  <c r="X6" i="3"/>
  <c r="P5" i="3"/>
  <c r="H5" i="2"/>
  <c r="X6" i="2"/>
  <c r="AB6" i="2"/>
  <c r="T6" i="2"/>
  <c r="L6" i="2"/>
  <c r="P6" i="2"/>
  <c r="N6" i="3"/>
  <c r="F6" i="2"/>
  <c r="W6" i="2"/>
  <c r="K6" i="2"/>
  <c r="AA6" i="2"/>
  <c r="O6" i="2"/>
  <c r="S6" i="2"/>
  <c r="W6" i="3"/>
  <c r="S6" i="3"/>
  <c r="AB45" i="1"/>
  <c r="AA45" i="1"/>
  <c r="Z45" i="1"/>
  <c r="AB37" i="1"/>
  <c r="AA37" i="1"/>
  <c r="Z37" i="1"/>
  <c r="AB36" i="1"/>
  <c r="AA36" i="1"/>
  <c r="Z36" i="1"/>
  <c r="AC51" i="1"/>
  <c r="AB51" i="1"/>
  <c r="AA51" i="1"/>
  <c r="Z51" i="1"/>
  <c r="AC50" i="1"/>
  <c r="AB50" i="1"/>
  <c r="AA50" i="1"/>
  <c r="Z50" i="1"/>
  <c r="AC49" i="1"/>
  <c r="AB49" i="1"/>
  <c r="AA49" i="1"/>
  <c r="Z49" i="1"/>
  <c r="AC48" i="1"/>
  <c r="AB48" i="1"/>
  <c r="AA48" i="1"/>
  <c r="Z48" i="1"/>
  <c r="AC47" i="1"/>
  <c r="AB47" i="1"/>
  <c r="AA47" i="1"/>
  <c r="Z47" i="1"/>
  <c r="AC46" i="1"/>
  <c r="AB46" i="1"/>
  <c r="AA46" i="1"/>
  <c r="Z46" i="1"/>
  <c r="AC45" i="1"/>
  <c r="AC44" i="1"/>
  <c r="AB44" i="1"/>
  <c r="AA44" i="1"/>
  <c r="Z44" i="1"/>
  <c r="AC43" i="1"/>
  <c r="AB43" i="1"/>
  <c r="AA43" i="1"/>
  <c r="Z43" i="1"/>
  <c r="AC42" i="1"/>
  <c r="AB42" i="1"/>
  <c r="AA42" i="1"/>
  <c r="Z42" i="1"/>
  <c r="AC41" i="1"/>
  <c r="AB41" i="1"/>
  <c r="AA41" i="1"/>
  <c r="Z41" i="1"/>
  <c r="AC40" i="1"/>
  <c r="AB40" i="1"/>
  <c r="AA40" i="1"/>
  <c r="Z40" i="1"/>
  <c r="AC39" i="1"/>
  <c r="AB39" i="1"/>
  <c r="AA39" i="1"/>
  <c r="Z39" i="1"/>
  <c r="AC38" i="1"/>
  <c r="AB38" i="1"/>
  <c r="AA38" i="1"/>
  <c r="Z38" i="1"/>
  <c r="AC37" i="1"/>
  <c r="AC36" i="1"/>
  <c r="AC35" i="1"/>
  <c r="AB35" i="1"/>
  <c r="AA35" i="1"/>
  <c r="Z35" i="1"/>
  <c r="AC32" i="1"/>
  <c r="AB32" i="1"/>
  <c r="AA32" i="1"/>
  <c r="Z32" i="1"/>
  <c r="AC31" i="1"/>
  <c r="AB31" i="1"/>
  <c r="AA31" i="1"/>
  <c r="Z31" i="1"/>
  <c r="AC30" i="1"/>
  <c r="AB30" i="1"/>
  <c r="AA30" i="1"/>
  <c r="Z30" i="1"/>
  <c r="AC29" i="1"/>
  <c r="AB29" i="1"/>
  <c r="AA29" i="1"/>
  <c r="Z29" i="1"/>
  <c r="AC28" i="1"/>
  <c r="AB28" i="1"/>
  <c r="AA28" i="1"/>
  <c r="Z28" i="1"/>
  <c r="AC27" i="1"/>
  <c r="AB27" i="1"/>
  <c r="AA27" i="1"/>
  <c r="Z27" i="1"/>
  <c r="AC26" i="1"/>
  <c r="AB26" i="1"/>
  <c r="AA26" i="1"/>
  <c r="Z26" i="1"/>
  <c r="AC25" i="1"/>
  <c r="AB25" i="1"/>
  <c r="AA25" i="1"/>
  <c r="Z25" i="1"/>
  <c r="AC24" i="1"/>
  <c r="AB24" i="1"/>
  <c r="AA24" i="1"/>
  <c r="Z24" i="1"/>
  <c r="AC23" i="1"/>
  <c r="AB23" i="1"/>
  <c r="AA23" i="1"/>
  <c r="Z23" i="1"/>
  <c r="AC22" i="1"/>
  <c r="AB22" i="1"/>
  <c r="AA22" i="1"/>
  <c r="Z22" i="1"/>
  <c r="AC21" i="1"/>
  <c r="AB21" i="1"/>
  <c r="AA21" i="1"/>
  <c r="Z21" i="1"/>
  <c r="AC20" i="1"/>
  <c r="AB20" i="1"/>
  <c r="AA20" i="1"/>
  <c r="Z20" i="1"/>
  <c r="AC19" i="1"/>
  <c r="AB19" i="1"/>
  <c r="AA19" i="1"/>
  <c r="Z19" i="1"/>
  <c r="AC18" i="1"/>
  <c r="AB18" i="1"/>
  <c r="AA18" i="1"/>
  <c r="Z18" i="1"/>
  <c r="AC17" i="1"/>
  <c r="AB17" i="1"/>
  <c r="AA17" i="1"/>
  <c r="Z17" i="1"/>
  <c r="AC16" i="1"/>
  <c r="AB16" i="1"/>
  <c r="AA16" i="1"/>
  <c r="Z16" i="1"/>
  <c r="AC15" i="1"/>
  <c r="AB15" i="1"/>
  <c r="AA15" i="1"/>
  <c r="Z15" i="1"/>
  <c r="AC14" i="1"/>
  <c r="AB14" i="1"/>
  <c r="AA14" i="1"/>
  <c r="Z14" i="1"/>
  <c r="AC13" i="1"/>
  <c r="AB13" i="1"/>
  <c r="AA13" i="1"/>
  <c r="Z13" i="1"/>
  <c r="AC12" i="1"/>
  <c r="AB12" i="1"/>
  <c r="AA12" i="1"/>
  <c r="Z12" i="1"/>
  <c r="AC11" i="1"/>
  <c r="AB11" i="1"/>
  <c r="AA11" i="1"/>
  <c r="Z11" i="1"/>
  <c r="AC10" i="1"/>
  <c r="AB10" i="1"/>
  <c r="AA10" i="1"/>
  <c r="Z10" i="1"/>
  <c r="AC9" i="1"/>
  <c r="AB9" i="1"/>
  <c r="AA9" i="1"/>
  <c r="Z9" i="1"/>
  <c r="AC8" i="1"/>
  <c r="AB8" i="1"/>
  <c r="AA8" i="1"/>
  <c r="Z8" i="1"/>
  <c r="AB7" i="1"/>
  <c r="AA7" i="1"/>
  <c r="Z7" i="1"/>
  <c r="AC4" i="1"/>
  <c r="AB4" i="1"/>
  <c r="AA4" i="1"/>
  <c r="Z4" i="1"/>
  <c r="AC3" i="1"/>
  <c r="AB3" i="1"/>
  <c r="AA3" i="1"/>
  <c r="Z3" i="1"/>
  <c r="X5" i="2" l="1"/>
  <c r="L5" i="2"/>
  <c r="P5" i="2"/>
  <c r="AB5" i="2"/>
  <c r="T5" i="2"/>
  <c r="V6" i="2"/>
  <c r="N6" i="2"/>
  <c r="Z6" i="2"/>
  <c r="R6" i="2"/>
  <c r="J6" i="2"/>
  <c r="X5" i="3"/>
  <c r="T5" i="3"/>
  <c r="V6" i="3"/>
  <c r="R6" i="3"/>
  <c r="V5" i="3"/>
  <c r="R5" i="3"/>
  <c r="Y5" i="2"/>
  <c r="M5" i="2"/>
  <c r="Q5" i="2"/>
  <c r="U5" i="2"/>
  <c r="AC5" i="2"/>
  <c r="R5" i="2"/>
  <c r="Z5" i="2"/>
  <c r="J5" i="2"/>
  <c r="N5" i="2"/>
  <c r="V5" i="2"/>
  <c r="U5" i="3"/>
  <c r="Y5" i="3"/>
  <c r="H12" i="3"/>
  <c r="C5" i="4"/>
  <c r="H32" i="3"/>
  <c r="A32" i="3"/>
  <c r="Z32" i="3" s="1"/>
  <c r="H31" i="3"/>
  <c r="A31" i="3"/>
  <c r="Z31" i="3" s="1"/>
  <c r="H30" i="3"/>
  <c r="A30" i="3"/>
  <c r="H29" i="3"/>
  <c r="A29" i="3"/>
  <c r="Z29" i="3" s="1"/>
  <c r="H28" i="3"/>
  <c r="A28" i="3"/>
  <c r="H27" i="3"/>
  <c r="A27" i="3"/>
  <c r="Z27" i="3" s="1"/>
  <c r="H26" i="3"/>
  <c r="A26" i="3"/>
  <c r="H25" i="3"/>
  <c r="A25" i="3"/>
  <c r="Z25" i="3" s="1"/>
  <c r="H24" i="3"/>
  <c r="A24" i="3"/>
  <c r="H23" i="3"/>
  <c r="A23" i="3"/>
  <c r="Z23" i="3" s="1"/>
  <c r="H22" i="3"/>
  <c r="A22" i="3"/>
  <c r="H21" i="3"/>
  <c r="A21" i="3"/>
  <c r="Z21" i="3" s="1"/>
  <c r="G11" i="4"/>
  <c r="J20" i="3" s="1"/>
  <c r="H20" i="3"/>
  <c r="A20" i="3"/>
  <c r="Z20" i="3" s="1"/>
  <c r="A19" i="3"/>
  <c r="Z19" i="3" s="1"/>
  <c r="A18" i="3"/>
  <c r="Z18" i="3" s="1"/>
  <c r="A17" i="3"/>
  <c r="Z17" i="3" s="1"/>
  <c r="A16" i="3"/>
  <c r="Z16" i="3" s="1"/>
  <c r="A15" i="3"/>
  <c r="Z15" i="3" s="1"/>
  <c r="J14" i="3"/>
  <c r="A14" i="3"/>
  <c r="Z14" i="3" s="1"/>
  <c r="A13" i="3"/>
  <c r="Z13" i="3" s="1"/>
  <c r="A12" i="3"/>
  <c r="Z12" i="3" s="1"/>
  <c r="B12" i="3" l="1"/>
  <c r="J30" i="3"/>
  <c r="J22" i="3"/>
  <c r="J24" i="3"/>
  <c r="J26" i="3"/>
  <c r="J28" i="3"/>
  <c r="J31" i="3"/>
  <c r="J29" i="3"/>
  <c r="J21" i="3"/>
  <c r="J23" i="3"/>
  <c r="J25" i="3"/>
  <c r="J27" i="3"/>
  <c r="J32" i="3"/>
  <c r="B32" i="3"/>
  <c r="B22" i="3"/>
  <c r="B24" i="3"/>
  <c r="B26" i="3"/>
  <c r="B28" i="3"/>
  <c r="B30" i="3"/>
  <c r="Z22" i="3"/>
  <c r="Z24" i="3"/>
  <c r="Z26" i="3"/>
  <c r="Z28" i="3"/>
  <c r="Z30" i="3"/>
  <c r="B21" i="3"/>
  <c r="B23" i="3"/>
  <c r="B25" i="3"/>
  <c r="B27" i="3"/>
  <c r="B29" i="3"/>
  <c r="B31" i="3"/>
  <c r="B20" i="3"/>
  <c r="B19" i="3"/>
  <c r="B18" i="3"/>
  <c r="B17" i="3"/>
  <c r="B16" i="3"/>
  <c r="B15" i="3"/>
  <c r="B14" i="3"/>
  <c r="B13" i="3"/>
  <c r="G9" i="4"/>
  <c r="J11" i="3" s="1"/>
  <c r="J4" i="6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A11" i="3"/>
  <c r="Z11" i="3" s="1"/>
  <c r="A10" i="3"/>
  <c r="Z10" i="3" s="1"/>
  <c r="A9" i="3"/>
  <c r="Z9" i="3" s="1"/>
  <c r="A8" i="3"/>
  <c r="Z8" i="3" s="1"/>
  <c r="A7" i="3"/>
  <c r="Z7" i="3" s="1"/>
  <c r="A4" i="3"/>
  <c r="Z4" i="3" s="1"/>
  <c r="A3" i="3"/>
  <c r="Z3" i="3" s="1"/>
  <c r="G5" i="4"/>
  <c r="Y32" i="1"/>
  <c r="Q32" i="3" s="1"/>
  <c r="Y31" i="1"/>
  <c r="Q31" i="3" s="1"/>
  <c r="Y30" i="1"/>
  <c r="Q30" i="3" s="1"/>
  <c r="Y29" i="1"/>
  <c r="Q29" i="3" s="1"/>
  <c r="Y28" i="1"/>
  <c r="Q28" i="3" s="1"/>
  <c r="Y27" i="1"/>
  <c r="Q27" i="3" s="1"/>
  <c r="Y26" i="1"/>
  <c r="Q26" i="3" s="1"/>
  <c r="Y25" i="1"/>
  <c r="Q25" i="3" s="1"/>
  <c r="Y24" i="1"/>
  <c r="Q24" i="3" s="1"/>
  <c r="Y23" i="1"/>
  <c r="Q23" i="3" s="1"/>
  <c r="Y22" i="1"/>
  <c r="Q22" i="3" s="1"/>
  <c r="Y21" i="1"/>
  <c r="Q21" i="3" s="1"/>
  <c r="Y20" i="1"/>
  <c r="Q20" i="3" s="1"/>
  <c r="Y19" i="1"/>
  <c r="Y18" i="1"/>
  <c r="Y17" i="1"/>
  <c r="Y12" i="1"/>
  <c r="Q12" i="3" s="1"/>
  <c r="Y10" i="1"/>
  <c r="Y9" i="1"/>
  <c r="Y8" i="1"/>
  <c r="Y4" i="1"/>
  <c r="E3" i="4"/>
  <c r="G3" i="4" s="1"/>
  <c r="H11" i="6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G3" i="6"/>
  <c r="G4" i="6" s="1"/>
  <c r="C3" i="4"/>
  <c r="V32" i="1" s="1"/>
  <c r="N32" i="3" s="1"/>
  <c r="Q17" i="3" l="1"/>
  <c r="I11" i="2"/>
  <c r="I12" i="2"/>
  <c r="Q18" i="3"/>
  <c r="Q19" i="3"/>
  <c r="I13" i="2"/>
  <c r="I4" i="2"/>
  <c r="Q4" i="3"/>
  <c r="I8" i="2"/>
  <c r="Q8" i="3"/>
  <c r="Q9" i="3"/>
  <c r="I9" i="2"/>
  <c r="I10" i="2"/>
  <c r="Q10" i="3"/>
  <c r="L9" i="3"/>
  <c r="L29" i="3"/>
  <c r="E31" i="3"/>
  <c r="E23" i="3"/>
  <c r="E18" i="3"/>
  <c r="E15" i="3"/>
  <c r="E4" i="3"/>
  <c r="E28" i="3"/>
  <c r="E3" i="3"/>
  <c r="E2" i="3"/>
  <c r="E25" i="3"/>
  <c r="E20" i="3"/>
  <c r="E17" i="3"/>
  <c r="E30" i="3"/>
  <c r="E22" i="3"/>
  <c r="E11" i="3"/>
  <c r="E14" i="3"/>
  <c r="E27" i="3"/>
  <c r="L19" i="3"/>
  <c r="L16" i="3"/>
  <c r="E10" i="3"/>
  <c r="E13" i="3"/>
  <c r="E32" i="3"/>
  <c r="E24" i="3"/>
  <c r="E19" i="3"/>
  <c r="E16" i="3"/>
  <c r="E9" i="3"/>
  <c r="M9" i="3" s="1"/>
  <c r="E12" i="3"/>
  <c r="E29" i="3"/>
  <c r="E21" i="3"/>
  <c r="E8" i="3"/>
  <c r="L13" i="3"/>
  <c r="E26" i="3"/>
  <c r="L18" i="3"/>
  <c r="M18" i="3" s="1"/>
  <c r="L15" i="3"/>
  <c r="M15" i="3" s="1"/>
  <c r="E7" i="3"/>
  <c r="L10" i="3"/>
  <c r="M10" i="3" s="1"/>
  <c r="L31" i="3"/>
  <c r="M31" i="3" s="1"/>
  <c r="L11" i="3"/>
  <c r="M11" i="3" s="1"/>
  <c r="L28" i="3"/>
  <c r="L2" i="3"/>
  <c r="L32" i="3"/>
  <c r="M32" i="3" s="1"/>
  <c r="L26" i="3"/>
  <c r="L3" i="3"/>
  <c r="M3" i="3" s="1"/>
  <c r="L20" i="3"/>
  <c r="M20" i="3" s="1"/>
  <c r="L27" i="3"/>
  <c r="M27" i="3" s="1"/>
  <c r="L24" i="3"/>
  <c r="L4" i="3"/>
  <c r="M4" i="3" s="1"/>
  <c r="L25" i="3"/>
  <c r="M25" i="3" s="1"/>
  <c r="L22" i="3"/>
  <c r="L7" i="3"/>
  <c r="M7" i="3" s="1"/>
  <c r="L23" i="3"/>
  <c r="M23" i="3" s="1"/>
  <c r="L30" i="3"/>
  <c r="L8" i="3"/>
  <c r="M8" i="3" s="1"/>
  <c r="L21" i="3"/>
  <c r="M21" i="3" s="1"/>
  <c r="L14" i="3"/>
  <c r="M14" i="3" s="1"/>
  <c r="J12" i="3"/>
  <c r="L12" i="3" s="1"/>
  <c r="R32" i="3"/>
  <c r="V32" i="3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W19" i="1"/>
  <c r="X29" i="1"/>
  <c r="P29" i="3" s="1"/>
  <c r="W20" i="1"/>
  <c r="X25" i="1"/>
  <c r="P25" i="3" s="1"/>
  <c r="X21" i="1"/>
  <c r="P21" i="3" s="1"/>
  <c r="X31" i="1"/>
  <c r="P31" i="3" s="1"/>
  <c r="W22" i="1"/>
  <c r="X27" i="1"/>
  <c r="P27" i="3" s="1"/>
  <c r="X23" i="1"/>
  <c r="P23" i="3" s="1"/>
  <c r="W24" i="1"/>
  <c r="W32" i="1"/>
  <c r="X20" i="1"/>
  <c r="P20" i="3" s="1"/>
  <c r="X22" i="1"/>
  <c r="P22" i="3" s="1"/>
  <c r="X24" i="1"/>
  <c r="P24" i="3" s="1"/>
  <c r="X26" i="1"/>
  <c r="P26" i="3" s="1"/>
  <c r="X28" i="1"/>
  <c r="P28" i="3" s="1"/>
  <c r="X30" i="1"/>
  <c r="P30" i="3" s="1"/>
  <c r="X32" i="1"/>
  <c r="W14" i="1"/>
  <c r="W26" i="1"/>
  <c r="W30" i="1"/>
  <c r="Y16" i="1"/>
  <c r="Q16" i="3" s="1"/>
  <c r="W16" i="1"/>
  <c r="W28" i="1"/>
  <c r="V3" i="1"/>
  <c r="V7" i="1"/>
  <c r="V11" i="1"/>
  <c r="V13" i="1"/>
  <c r="V17" i="1"/>
  <c r="V19" i="1"/>
  <c r="V21" i="1"/>
  <c r="V23" i="1"/>
  <c r="V25" i="1"/>
  <c r="V27" i="1"/>
  <c r="V29" i="1"/>
  <c r="V31" i="1"/>
  <c r="W15" i="1"/>
  <c r="W17" i="1"/>
  <c r="W21" i="1"/>
  <c r="W23" i="1"/>
  <c r="W25" i="1"/>
  <c r="W27" i="1"/>
  <c r="W29" i="1"/>
  <c r="W31" i="1"/>
  <c r="Y3" i="1"/>
  <c r="Y11" i="1"/>
  <c r="Q11" i="3" s="1"/>
  <c r="Y13" i="1"/>
  <c r="Q13" i="3" s="1"/>
  <c r="Y15" i="1"/>
  <c r="V4" i="1"/>
  <c r="V8" i="1"/>
  <c r="V10" i="1"/>
  <c r="V12" i="1"/>
  <c r="N12" i="3" s="1"/>
  <c r="V14" i="1"/>
  <c r="V16" i="1"/>
  <c r="V18" i="1"/>
  <c r="V20" i="1"/>
  <c r="V22" i="1"/>
  <c r="N22" i="3" s="1"/>
  <c r="V24" i="1"/>
  <c r="N24" i="3" s="1"/>
  <c r="V26" i="1"/>
  <c r="N26" i="3" s="1"/>
  <c r="V28" i="1"/>
  <c r="N28" i="3" s="1"/>
  <c r="V30" i="1"/>
  <c r="N30" i="3" s="1"/>
  <c r="B11" i="3"/>
  <c r="B10" i="3"/>
  <c r="B9" i="3"/>
  <c r="B8" i="3"/>
  <c r="B7" i="3"/>
  <c r="B4" i="3"/>
  <c r="B3" i="3"/>
  <c r="A2" i="3"/>
  <c r="B2" i="3" s="1"/>
  <c r="A13" i="2"/>
  <c r="A12" i="2"/>
  <c r="A11" i="2"/>
  <c r="A10" i="2"/>
  <c r="A9" i="2"/>
  <c r="A8" i="2"/>
  <c r="A7" i="2"/>
  <c r="A4" i="2"/>
  <c r="A3" i="2"/>
  <c r="G11" i="2" l="1"/>
  <c r="O17" i="3"/>
  <c r="S17" i="3" s="1"/>
  <c r="F13" i="2"/>
  <c r="N19" i="3"/>
  <c r="R19" i="3" s="1"/>
  <c r="N14" i="3"/>
  <c r="R14" i="3" s="1"/>
  <c r="Q3" i="3"/>
  <c r="I3" i="2"/>
  <c r="O15" i="3"/>
  <c r="W15" i="3" s="1"/>
  <c r="F11" i="2"/>
  <c r="N17" i="3"/>
  <c r="R17" i="3" s="1"/>
  <c r="O30" i="3"/>
  <c r="S30" i="3" s="1"/>
  <c r="O31" i="3"/>
  <c r="W31" i="3" s="1"/>
  <c r="N31" i="3"/>
  <c r="R31" i="3" s="1"/>
  <c r="N13" i="3"/>
  <c r="R13" i="3" s="1"/>
  <c r="O26" i="3"/>
  <c r="S26" i="3" s="1"/>
  <c r="N10" i="3"/>
  <c r="R10" i="3" s="1"/>
  <c r="F10" i="2"/>
  <c r="O29" i="3"/>
  <c r="W29" i="3" s="1"/>
  <c r="N29" i="3"/>
  <c r="V29" i="3" s="1"/>
  <c r="N11" i="3"/>
  <c r="R11" i="3" s="1"/>
  <c r="O14" i="3"/>
  <c r="S14" i="3" s="1"/>
  <c r="O32" i="3"/>
  <c r="S32" i="3" s="1"/>
  <c r="O20" i="3"/>
  <c r="W20" i="3" s="1"/>
  <c r="N16" i="3"/>
  <c r="R16" i="3" s="1"/>
  <c r="N8" i="3"/>
  <c r="R8" i="3" s="1"/>
  <c r="F8" i="2"/>
  <c r="O27" i="3"/>
  <c r="W27" i="3" s="1"/>
  <c r="N27" i="3"/>
  <c r="R27" i="3" s="1"/>
  <c r="F7" i="2"/>
  <c r="N7" i="3"/>
  <c r="R7" i="3" s="1"/>
  <c r="P32" i="3"/>
  <c r="X32" i="3" s="1"/>
  <c r="O24" i="3"/>
  <c r="S24" i="3" s="1"/>
  <c r="N4" i="3"/>
  <c r="F4" i="2"/>
  <c r="O25" i="3"/>
  <c r="W25" i="3" s="1"/>
  <c r="N25" i="3"/>
  <c r="R25" i="3" s="1"/>
  <c r="F3" i="2"/>
  <c r="N3" i="3"/>
  <c r="R3" i="3" s="1"/>
  <c r="G13" i="2"/>
  <c r="O19" i="3"/>
  <c r="W19" i="3" s="1"/>
  <c r="N20" i="3"/>
  <c r="R20" i="3" s="1"/>
  <c r="Q15" i="3"/>
  <c r="Y15" i="3" s="1"/>
  <c r="O23" i="3"/>
  <c r="W23" i="3" s="1"/>
  <c r="N23" i="3"/>
  <c r="R23" i="3" s="1"/>
  <c r="O28" i="3"/>
  <c r="S28" i="3" s="1"/>
  <c r="N18" i="3"/>
  <c r="R18" i="3" s="1"/>
  <c r="F12" i="2"/>
  <c r="O21" i="3"/>
  <c r="W21" i="3" s="1"/>
  <c r="N21" i="3"/>
  <c r="R21" i="3" s="1"/>
  <c r="O16" i="3"/>
  <c r="W16" i="3" s="1"/>
  <c r="O22" i="3"/>
  <c r="S22" i="3" s="1"/>
  <c r="Y16" i="3"/>
  <c r="Y19" i="3"/>
  <c r="U24" i="3"/>
  <c r="T30" i="3"/>
  <c r="X23" i="3"/>
  <c r="T28" i="3"/>
  <c r="X27" i="3"/>
  <c r="T26" i="3"/>
  <c r="T24" i="3"/>
  <c r="X31" i="3"/>
  <c r="T22" i="3"/>
  <c r="T21" i="3"/>
  <c r="X20" i="3"/>
  <c r="X25" i="3"/>
  <c r="X29" i="3"/>
  <c r="B3" i="2"/>
  <c r="AD13" i="2"/>
  <c r="AD4" i="2"/>
  <c r="AD7" i="2"/>
  <c r="AD8" i="2"/>
  <c r="AD9" i="2"/>
  <c r="AD10" i="2"/>
  <c r="AD11" i="2"/>
  <c r="K11" i="2"/>
  <c r="J11" i="2"/>
  <c r="AD12" i="2"/>
  <c r="V15" i="1"/>
  <c r="W10" i="1"/>
  <c r="W8" i="1"/>
  <c r="X18" i="1"/>
  <c r="X14" i="1"/>
  <c r="X12" i="1"/>
  <c r="V9" i="1"/>
  <c r="Y14" i="1"/>
  <c r="X4" i="1"/>
  <c r="V18" i="3"/>
  <c r="V19" i="3"/>
  <c r="V20" i="3"/>
  <c r="W30" i="3"/>
  <c r="S31" i="3"/>
  <c r="R29" i="3"/>
  <c r="W32" i="3"/>
  <c r="R30" i="3"/>
  <c r="U15" i="3"/>
  <c r="V23" i="3"/>
  <c r="V14" i="3"/>
  <c r="V31" i="3"/>
  <c r="W28" i="3"/>
  <c r="V27" i="3"/>
  <c r="V13" i="3"/>
  <c r="W14" i="3"/>
  <c r="R26" i="3"/>
  <c r="V25" i="3"/>
  <c r="S29" i="3"/>
  <c r="M13" i="3"/>
  <c r="R24" i="3"/>
  <c r="R28" i="3"/>
  <c r="R22" i="3"/>
  <c r="M28" i="3"/>
  <c r="V28" i="3"/>
  <c r="M24" i="3"/>
  <c r="V24" i="3"/>
  <c r="M30" i="3"/>
  <c r="V30" i="3"/>
  <c r="R12" i="3"/>
  <c r="M16" i="3"/>
  <c r="M26" i="3"/>
  <c r="V26" i="3"/>
  <c r="M19" i="3"/>
  <c r="M22" i="3"/>
  <c r="V22" i="3"/>
  <c r="M29" i="3"/>
  <c r="V21" i="3"/>
  <c r="M12" i="3"/>
  <c r="V12" i="3"/>
  <c r="W4" i="1"/>
  <c r="X10" i="1"/>
  <c r="V11" i="3"/>
  <c r="X8" i="1"/>
  <c r="X19" i="1"/>
  <c r="X9" i="1"/>
  <c r="X11" i="1"/>
  <c r="W7" i="1"/>
  <c r="X16" i="1"/>
  <c r="P16" i="3" s="1"/>
  <c r="W18" i="1"/>
  <c r="X3" i="1"/>
  <c r="X13" i="1"/>
  <c r="P13" i="3" s="1"/>
  <c r="X17" i="1"/>
  <c r="W9" i="1"/>
  <c r="W3" i="1"/>
  <c r="W13" i="1"/>
  <c r="O13" i="3" s="1"/>
  <c r="X7" i="1"/>
  <c r="W11" i="1"/>
  <c r="X15" i="1"/>
  <c r="P15" i="3" s="1"/>
  <c r="W12" i="1"/>
  <c r="O12" i="3" s="1"/>
  <c r="V8" i="3"/>
  <c r="M2" i="3"/>
  <c r="R4" i="3"/>
  <c r="V4" i="3"/>
  <c r="Z2" i="3"/>
  <c r="B13" i="2"/>
  <c r="B12" i="2"/>
  <c r="B11" i="2"/>
  <c r="B10" i="2"/>
  <c r="B9" i="2"/>
  <c r="B8" i="2"/>
  <c r="B7" i="2"/>
  <c r="B4" i="2"/>
  <c r="AD3" i="2"/>
  <c r="S16" i="3" l="1"/>
  <c r="S23" i="3"/>
  <c r="S27" i="3"/>
  <c r="S25" i="3"/>
  <c r="S21" i="3"/>
  <c r="W22" i="3"/>
  <c r="V16" i="3"/>
  <c r="V10" i="3"/>
  <c r="W24" i="3"/>
  <c r="S19" i="3"/>
  <c r="S20" i="3"/>
  <c r="V7" i="3"/>
  <c r="S15" i="3"/>
  <c r="W26" i="3"/>
  <c r="V3" i="3"/>
  <c r="T32" i="3"/>
  <c r="P3" i="3"/>
  <c r="X3" i="3" s="1"/>
  <c r="H3" i="2"/>
  <c r="H4" i="2"/>
  <c r="P4" i="3"/>
  <c r="T4" i="3" s="1"/>
  <c r="N15" i="3"/>
  <c r="R15" i="3" s="1"/>
  <c r="O11" i="3"/>
  <c r="W11" i="3" s="1"/>
  <c r="O18" i="3"/>
  <c r="S18" i="3" s="1"/>
  <c r="G12" i="2"/>
  <c r="H10" i="2"/>
  <c r="P10" i="3"/>
  <c r="X10" i="3" s="1"/>
  <c r="Q14" i="3"/>
  <c r="Y14" i="3" s="1"/>
  <c r="P7" i="3"/>
  <c r="X7" i="3" s="1"/>
  <c r="H7" i="2"/>
  <c r="O4" i="3"/>
  <c r="S4" i="3" s="1"/>
  <c r="G4" i="2"/>
  <c r="F9" i="2"/>
  <c r="N9" i="3"/>
  <c r="R9" i="3" s="1"/>
  <c r="P12" i="3"/>
  <c r="X12" i="3" s="1"/>
  <c r="G3" i="2"/>
  <c r="O3" i="3"/>
  <c r="W3" i="3" s="1"/>
  <c r="P11" i="3"/>
  <c r="T11" i="3" s="1"/>
  <c r="P14" i="3"/>
  <c r="T14" i="3" s="1"/>
  <c r="P9" i="3"/>
  <c r="T9" i="3" s="1"/>
  <c r="H9" i="2"/>
  <c r="H12" i="2"/>
  <c r="P18" i="3"/>
  <c r="X18" i="3" s="1"/>
  <c r="G9" i="2"/>
  <c r="O9" i="3"/>
  <c r="W9" i="3" s="1"/>
  <c r="P17" i="3"/>
  <c r="T17" i="3" s="1"/>
  <c r="H11" i="2"/>
  <c r="L11" i="2" s="1"/>
  <c r="P19" i="3"/>
  <c r="H13" i="2"/>
  <c r="O8" i="3"/>
  <c r="S8" i="3" s="1"/>
  <c r="G8" i="2"/>
  <c r="G7" i="2"/>
  <c r="O7" i="3"/>
  <c r="S7" i="3" s="1"/>
  <c r="H8" i="2"/>
  <c r="P8" i="3"/>
  <c r="T8" i="3" s="1"/>
  <c r="O10" i="3"/>
  <c r="G10" i="2"/>
  <c r="U16" i="3"/>
  <c r="U19" i="3"/>
  <c r="Y24" i="3"/>
  <c r="T23" i="3"/>
  <c r="T20" i="3"/>
  <c r="X28" i="3"/>
  <c r="T25" i="3"/>
  <c r="X24" i="3"/>
  <c r="X22" i="3"/>
  <c r="X21" i="3"/>
  <c r="U28" i="3"/>
  <c r="Y28" i="3"/>
  <c r="X26" i="3"/>
  <c r="T31" i="3"/>
  <c r="AC3" i="2"/>
  <c r="Y17" i="3"/>
  <c r="U17" i="3"/>
  <c r="Y31" i="3"/>
  <c r="U31" i="3"/>
  <c r="Y27" i="3"/>
  <c r="U27" i="3"/>
  <c r="AC9" i="2"/>
  <c r="Y21" i="3"/>
  <c r="U21" i="3"/>
  <c r="W12" i="3"/>
  <c r="Y23" i="3"/>
  <c r="U23" i="3"/>
  <c r="Y20" i="3"/>
  <c r="U20" i="3"/>
  <c r="X30" i="3"/>
  <c r="T27" i="3"/>
  <c r="T29" i="3"/>
  <c r="Y8" i="2"/>
  <c r="U26" i="3"/>
  <c r="Y26" i="3"/>
  <c r="Y25" i="3"/>
  <c r="U25" i="3"/>
  <c r="Y32" i="3"/>
  <c r="U32" i="3"/>
  <c r="U22" i="3"/>
  <c r="Y22" i="3"/>
  <c r="S10" i="3"/>
  <c r="U30" i="3"/>
  <c r="Y30" i="3"/>
  <c r="Y29" i="3"/>
  <c r="U29" i="3"/>
  <c r="Y10" i="2"/>
  <c r="J8" i="2"/>
  <c r="R8" i="2"/>
  <c r="Z13" i="2"/>
  <c r="N13" i="2"/>
  <c r="V13" i="2"/>
  <c r="R13" i="2"/>
  <c r="J13" i="2"/>
  <c r="Y11" i="2"/>
  <c r="U11" i="2"/>
  <c r="AC11" i="2"/>
  <c r="Q11" i="2"/>
  <c r="M11" i="2"/>
  <c r="R4" i="2"/>
  <c r="Z4" i="2"/>
  <c r="N4" i="2"/>
  <c r="J4" i="2"/>
  <c r="V4" i="2"/>
  <c r="O13" i="2"/>
  <c r="K13" i="2"/>
  <c r="W13" i="2"/>
  <c r="S13" i="2"/>
  <c r="AA13" i="2"/>
  <c r="Z12" i="2"/>
  <c r="N12" i="2"/>
  <c r="V12" i="2"/>
  <c r="J12" i="2"/>
  <c r="R12" i="2"/>
  <c r="AC4" i="2"/>
  <c r="Y4" i="2"/>
  <c r="Q4" i="2"/>
  <c r="U4" i="2"/>
  <c r="M4" i="2"/>
  <c r="N10" i="2"/>
  <c r="V10" i="2"/>
  <c r="R10" i="2"/>
  <c r="J10" i="2"/>
  <c r="Z10" i="2"/>
  <c r="N3" i="2"/>
  <c r="V3" i="2"/>
  <c r="Z3" i="2"/>
  <c r="R3" i="2"/>
  <c r="J3" i="2"/>
  <c r="V15" i="3"/>
  <c r="AC12" i="2"/>
  <c r="M12" i="2"/>
  <c r="Y12" i="2"/>
  <c r="Q12" i="2"/>
  <c r="U12" i="2"/>
  <c r="R7" i="2"/>
  <c r="J7" i="2"/>
  <c r="N7" i="2"/>
  <c r="Z7" i="2"/>
  <c r="V7" i="2"/>
  <c r="Q13" i="2"/>
  <c r="AC13" i="2"/>
  <c r="U13" i="2"/>
  <c r="Y13" i="2"/>
  <c r="M13" i="2"/>
  <c r="T10" i="3"/>
  <c r="U14" i="3"/>
  <c r="T13" i="3"/>
  <c r="X13" i="3"/>
  <c r="X19" i="3"/>
  <c r="T19" i="3"/>
  <c r="X15" i="3"/>
  <c r="T15" i="3"/>
  <c r="T16" i="3"/>
  <c r="X16" i="3"/>
  <c r="S13" i="3"/>
  <c r="W13" i="3"/>
  <c r="X9" i="3"/>
  <c r="V9" i="3" l="1"/>
  <c r="T3" i="3"/>
  <c r="W7" i="3"/>
  <c r="X4" i="3"/>
  <c r="T7" i="3"/>
  <c r="S3" i="3"/>
  <c r="X14" i="3"/>
  <c r="S11" i="3"/>
  <c r="X8" i="3"/>
  <c r="T12" i="3"/>
  <c r="X11" i="3"/>
  <c r="T18" i="3"/>
  <c r="W10" i="3"/>
  <c r="W4" i="3"/>
  <c r="S12" i="3"/>
  <c r="Y9" i="2"/>
  <c r="Q9" i="2"/>
  <c r="M9" i="2"/>
  <c r="U9" i="2"/>
  <c r="W18" i="3"/>
  <c r="Y3" i="2"/>
  <c r="S9" i="3"/>
  <c r="M10" i="2"/>
  <c r="AC10" i="2"/>
  <c r="U10" i="2"/>
  <c r="Q3" i="2"/>
  <c r="Q8" i="2"/>
  <c r="M3" i="2"/>
  <c r="U8" i="2"/>
  <c r="U3" i="2"/>
  <c r="M8" i="2"/>
  <c r="Q10" i="2"/>
  <c r="W8" i="3"/>
  <c r="AC8" i="2"/>
  <c r="Y18" i="3"/>
  <c r="U18" i="3"/>
  <c r="Y11" i="3"/>
  <c r="U11" i="3"/>
  <c r="U10" i="3"/>
  <c r="Y10" i="3"/>
  <c r="Y4" i="3"/>
  <c r="U4" i="3"/>
  <c r="Y3" i="3"/>
  <c r="U3" i="3"/>
  <c r="Y12" i="3"/>
  <c r="U12" i="3"/>
  <c r="Y13" i="3"/>
  <c r="U13" i="3"/>
  <c r="U8" i="3"/>
  <c r="Y8" i="3"/>
  <c r="U9" i="3"/>
  <c r="Y9" i="3"/>
  <c r="O12" i="2"/>
  <c r="W12" i="2"/>
  <c r="S12" i="2"/>
  <c r="K12" i="2"/>
  <c r="AA12" i="2"/>
  <c r="AB3" i="2"/>
  <c r="X3" i="2"/>
  <c r="P3" i="2"/>
  <c r="L3" i="2"/>
  <c r="T3" i="2"/>
  <c r="AB4" i="2"/>
  <c r="P4" i="2"/>
  <c r="X4" i="2"/>
  <c r="T4" i="2"/>
  <c r="L4" i="2"/>
  <c r="T8" i="2"/>
  <c r="L8" i="2"/>
  <c r="AB12" i="2"/>
  <c r="P12" i="2"/>
  <c r="X12" i="2"/>
  <c r="T12" i="2"/>
  <c r="L12" i="2"/>
  <c r="W7" i="2"/>
  <c r="K7" i="2"/>
  <c r="S7" i="2"/>
  <c r="O7" i="2"/>
  <c r="AA7" i="2"/>
  <c r="L9" i="2"/>
  <c r="T9" i="2"/>
  <c r="P9" i="2"/>
  <c r="AB9" i="2"/>
  <c r="X9" i="2"/>
  <c r="P10" i="2"/>
  <c r="X10" i="2"/>
  <c r="L10" i="2"/>
  <c r="AB10" i="2"/>
  <c r="T10" i="2"/>
  <c r="S10" i="2"/>
  <c r="K10" i="2"/>
  <c r="AA10" i="2"/>
  <c r="O10" i="2"/>
  <c r="W10" i="2"/>
  <c r="O3" i="2"/>
  <c r="S3" i="2"/>
  <c r="K3" i="2"/>
  <c r="AA3" i="2"/>
  <c r="W3" i="2"/>
  <c r="S9" i="2"/>
  <c r="AA9" i="2"/>
  <c r="W9" i="2"/>
  <c r="O9" i="2"/>
  <c r="K9" i="2"/>
  <c r="W4" i="2"/>
  <c r="S4" i="2"/>
  <c r="K4" i="2"/>
  <c r="O4" i="2"/>
  <c r="AA4" i="2"/>
  <c r="T13" i="2"/>
  <c r="AB13" i="2"/>
  <c r="P13" i="2"/>
  <c r="L13" i="2"/>
  <c r="X13" i="2"/>
  <c r="L7" i="2"/>
  <c r="T7" i="2"/>
  <c r="AB7" i="2"/>
  <c r="P7" i="2"/>
  <c r="X7" i="2"/>
  <c r="K8" i="2"/>
  <c r="S8" i="2"/>
  <c r="V9" i="2"/>
  <c r="J9" i="2"/>
  <c r="R9" i="2"/>
  <c r="Z9" i="2"/>
  <c r="N9" i="2"/>
  <c r="A2" i="2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7" i="1"/>
  <c r="AH18" i="1"/>
  <c r="AH16" i="1"/>
  <c r="AH15" i="1"/>
  <c r="AH14" i="1"/>
  <c r="AH13" i="1"/>
  <c r="AD2" i="2" l="1"/>
  <c r="B2" i="2"/>
  <c r="AH12" i="1"/>
  <c r="AH11" i="1"/>
  <c r="AH10" i="1"/>
  <c r="AH9" i="1"/>
  <c r="AH8" i="1"/>
  <c r="AH7" i="1"/>
  <c r="AG2" i="1"/>
  <c r="AF2" i="1"/>
  <c r="AD2" i="1"/>
  <c r="AE2" i="1"/>
  <c r="AH4" i="1"/>
  <c r="AH3" i="1"/>
  <c r="AH2" i="1"/>
  <c r="Z2" i="1" l="1"/>
  <c r="V2" i="1"/>
  <c r="AB2" i="1"/>
  <c r="X2" i="1"/>
  <c r="AC2" i="1"/>
  <c r="Y2" i="1"/>
  <c r="AA2" i="1"/>
  <c r="W2" i="1"/>
  <c r="O2" i="3" l="1"/>
  <c r="G2" i="2"/>
  <c r="I2" i="2"/>
  <c r="Q2" i="3"/>
  <c r="P2" i="3"/>
  <c r="H2" i="2"/>
  <c r="N2" i="3"/>
  <c r="F2" i="2"/>
  <c r="AC7" i="1"/>
  <c r="Y7" i="1"/>
  <c r="Q7" i="3" l="1"/>
  <c r="I7" i="2"/>
  <c r="V2" i="3"/>
  <c r="R2" i="3"/>
  <c r="X2" i="3"/>
  <c r="T2" i="3"/>
  <c r="Q2" i="2"/>
  <c r="Y2" i="2"/>
  <c r="AC2" i="2"/>
  <c r="U2" i="2"/>
  <c r="M2" i="2"/>
  <c r="N2" i="2"/>
  <c r="Z2" i="2"/>
  <c r="J2" i="2"/>
  <c r="R2" i="2"/>
  <c r="V2" i="2"/>
  <c r="O2" i="2"/>
  <c r="S2" i="2"/>
  <c r="AA2" i="2"/>
  <c r="K2" i="2"/>
  <c r="W2" i="2"/>
  <c r="L2" i="2"/>
  <c r="T2" i="2"/>
  <c r="X2" i="2"/>
  <c r="P2" i="2"/>
  <c r="AB2" i="2"/>
  <c r="Y2" i="3"/>
  <c r="U2" i="3"/>
  <c r="W2" i="3"/>
  <c r="S2" i="3"/>
  <c r="M7" i="2" l="1"/>
  <c r="Y7" i="2"/>
  <c r="Q7" i="2"/>
  <c r="AC7" i="2"/>
  <c r="U7" i="2"/>
  <c r="Y7" i="3"/>
  <c r="U7" i="3"/>
</calcChain>
</file>

<file path=xl/comments1.xml><?xml version="1.0" encoding="utf-8"?>
<comments xmlns="http://schemas.openxmlformats.org/spreadsheetml/2006/main">
  <authors>
    <author>Author</author>
  </authors>
  <commentList>
    <comment ref="J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Tech Level: Neolithic
Research Cost: 500
Prerequisite(s): None
Bench: Simple Research Bench
Facilities: None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J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Columns are ordered as follows: Gravel, Soil, Rich Soil, Hydroponics
Strange setup, but I had to do it like this to keep things fairly compact and thus legible.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Not used in the silver/day formula; just determines the market value for stuffed goods, and serves as flavour text everywhere else.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Applies to quality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products made in batches, this is the total market value of one batch.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Over all raw ingredients, if applicable.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Columns are ordered as follows: Gravel, Soil, Rich Soil, Hydroponics
Strange setup, but I had to do it like this to keep things fairly compact and thus legible.
Comment totally not copied and pasted from 'Food' sheet.</t>
        </r>
      </text>
    </comment>
  </commentList>
</comments>
</file>

<file path=xl/sharedStrings.xml><?xml version="1.0" encoding="utf-8"?>
<sst xmlns="http://schemas.openxmlformats.org/spreadsheetml/2006/main" count="933" uniqueCount="166">
  <si>
    <t>Plant</t>
  </si>
  <si>
    <t>Base Grow Days</t>
  </si>
  <si>
    <t>Skill to Sow</t>
  </si>
  <si>
    <t>Research</t>
  </si>
  <si>
    <t>Sowable</t>
  </si>
  <si>
    <t>Yield Amount</t>
  </si>
  <si>
    <t>Yield Product</t>
  </si>
  <si>
    <t>Dies in Light</t>
  </si>
  <si>
    <t>Health</t>
  </si>
  <si>
    <t>Min Grow Light</t>
  </si>
  <si>
    <t>Wild</t>
  </si>
  <si>
    <t>Grow Days (Gravel)</t>
  </si>
  <si>
    <t>Fertility Sensitivity</t>
  </si>
  <si>
    <t>Minimum Fertility</t>
  </si>
  <si>
    <t>Grow Days (Soil)</t>
  </si>
  <si>
    <t>Grow Days (Rich)</t>
  </si>
  <si>
    <t>Grow Days (Hydro)</t>
  </si>
  <si>
    <t>Rice Plant</t>
  </si>
  <si>
    <t>Yield/day (Gravel)</t>
  </si>
  <si>
    <t>Yield/day (Soil)</t>
  </si>
  <si>
    <t>Yield/day (Rich)</t>
  </si>
  <si>
    <t>Yield/day (Hydro)</t>
  </si>
  <si>
    <t>Blightable</t>
  </si>
  <si>
    <t>Rice</t>
  </si>
  <si>
    <t>No</t>
  </si>
  <si>
    <t>Yes</t>
  </si>
  <si>
    <t>-</t>
  </si>
  <si>
    <t>Re-harvestable</t>
  </si>
  <si>
    <t>Potato Plant</t>
  </si>
  <si>
    <t>Potatoes</t>
  </si>
  <si>
    <t>Re-harvest Growth</t>
  </si>
  <si>
    <t>Corn Plant</t>
  </si>
  <si>
    <t>Corn</t>
  </si>
  <si>
    <t>Hydroponics</t>
  </si>
  <si>
    <t>Strawberry Plant</t>
  </si>
  <si>
    <t>Berries</t>
  </si>
  <si>
    <t>Haygrass</t>
  </si>
  <si>
    <t>Hay</t>
  </si>
  <si>
    <t>Agave</t>
  </si>
  <si>
    <t>Agave Fruit</t>
  </si>
  <si>
    <t>Raspberry Bush</t>
  </si>
  <si>
    <t>Cotton Plant</t>
  </si>
  <si>
    <t>Cloth</t>
  </si>
  <si>
    <t>Devilstrand</t>
  </si>
  <si>
    <t>Healroot</t>
  </si>
  <si>
    <t>Herbal Medicine</t>
  </si>
  <si>
    <t>Hop Plant</t>
  </si>
  <si>
    <t>Hops</t>
  </si>
  <si>
    <t>Smokeleaf Plant</t>
  </si>
  <si>
    <t>Smokeleaf Leaves</t>
  </si>
  <si>
    <t>Psychoid Plant</t>
  </si>
  <si>
    <t>Psychoid Leaves</t>
  </si>
  <si>
    <t>Glowstool</t>
  </si>
  <si>
    <t>Beauty</t>
  </si>
  <si>
    <t>Ambrosia Bush</t>
  </si>
  <si>
    <t>Ambrosia</t>
  </si>
  <si>
    <t>Raw Fungus</t>
  </si>
  <si>
    <t>Agarilux</t>
  </si>
  <si>
    <t>Saguaro Cactus</t>
  </si>
  <si>
    <t>Wood</t>
  </si>
  <si>
    <t>Drago Tree</t>
  </si>
  <si>
    <t>Willow Tree</t>
  </si>
  <si>
    <t>Cypress Tree</t>
  </si>
  <si>
    <t>Maple Tree</t>
  </si>
  <si>
    <t>Oak Tree</t>
  </si>
  <si>
    <t>Poplar Tree</t>
  </si>
  <si>
    <t>Pine Tree</t>
  </si>
  <si>
    <t>Birch Tree</t>
  </si>
  <si>
    <t>Teak Tree</t>
  </si>
  <si>
    <t>Cecropia Tree</t>
  </si>
  <si>
    <t>Palm Tree</t>
  </si>
  <si>
    <t>Bamboo Tree</t>
  </si>
  <si>
    <t>Bryolux</t>
  </si>
  <si>
    <t>Rose</t>
  </si>
  <si>
    <t>Daylily</t>
  </si>
  <si>
    <t>Burned Tree</t>
  </si>
  <si>
    <t>Pincushion Cactus</t>
  </si>
  <si>
    <t>Grass</t>
  </si>
  <si>
    <t>Tall Grass</t>
  </si>
  <si>
    <t>Bush</t>
  </si>
  <si>
    <t>Brambles</t>
  </si>
  <si>
    <t>Chokevine</t>
  </si>
  <si>
    <t>Dandelions</t>
  </si>
  <si>
    <t>Astragalus</t>
  </si>
  <si>
    <t>Moss</t>
  </si>
  <si>
    <t>Low Shrubs</t>
  </si>
  <si>
    <t>Alocasia</t>
  </si>
  <si>
    <t>Clivia</t>
  </si>
  <si>
    <t>Giant Rafflesia</t>
  </si>
  <si>
    <t>Nutrition</t>
  </si>
  <si>
    <t>Nut/day (Gravel)</t>
  </si>
  <si>
    <t>Nut/day (Soil)</t>
  </si>
  <si>
    <t>Type</t>
  </si>
  <si>
    <t>Nut/day (Rich)</t>
  </si>
  <si>
    <t>Nut/day (Hydro)</t>
  </si>
  <si>
    <t>Vegetable</t>
  </si>
  <si>
    <t>Plants/person (Kibble)</t>
  </si>
  <si>
    <t>Plants/person (Raw)</t>
  </si>
  <si>
    <t>Plants/person (Paste)</t>
  </si>
  <si>
    <t>Plants/person (Fine/Pemmican)</t>
  </si>
  <si>
    <t>Plants/person (Lavish/Survival/Simple)</t>
  </si>
  <si>
    <t>Shelf Life (Days)</t>
  </si>
  <si>
    <t>Market Value</t>
  </si>
  <si>
    <t>Raw Product</t>
  </si>
  <si>
    <t>Sell Multiplier</t>
  </si>
  <si>
    <t>Refined Product</t>
  </si>
  <si>
    <t>Raw Needed</t>
  </si>
  <si>
    <t>Work to Produce</t>
  </si>
  <si>
    <t>Avg. Market Value</t>
  </si>
  <si>
    <t>Relevant Skill</t>
  </si>
  <si>
    <t>Final Sell Price</t>
  </si>
  <si>
    <t>Total Profit Margin</t>
  </si>
  <si>
    <t>Fine Meal</t>
  </si>
  <si>
    <t>Difficulty</t>
  </si>
  <si>
    <t>Stat</t>
  </si>
  <si>
    <t>Modifier</t>
  </si>
  <si>
    <t>Economy</t>
  </si>
  <si>
    <t>Some Challenge</t>
  </si>
  <si>
    <t>Sell Factor</t>
  </si>
  <si>
    <t>Peaceful</t>
  </si>
  <si>
    <t>Base Builder</t>
  </si>
  <si>
    <t>Rough</t>
  </si>
  <si>
    <t>Intense</t>
  </si>
  <si>
    <t>Extreme</t>
  </si>
  <si>
    <t>Social Level</t>
  </si>
  <si>
    <t>Talking</t>
  </si>
  <si>
    <t>Hearing</t>
  </si>
  <si>
    <t>General</t>
  </si>
  <si>
    <t>Yield/day (All)</t>
  </si>
  <si>
    <t>Harvest Factor</t>
  </si>
  <si>
    <t>Growing Level</t>
  </si>
  <si>
    <t>Manipulation</t>
  </si>
  <si>
    <t>Sight</t>
  </si>
  <si>
    <t>Growing Skill</t>
  </si>
  <si>
    <t>Harvest Rate</t>
  </si>
  <si>
    <t>Harvest Chance Matters</t>
  </si>
  <si>
    <t>Kibble</t>
  </si>
  <si>
    <t>Production Skill Level</t>
  </si>
  <si>
    <t>Market Value Factor</t>
  </si>
  <si>
    <t>Don't Factor</t>
  </si>
  <si>
    <t>Crafting Level</t>
  </si>
  <si>
    <t>Market Value (Refined)</t>
  </si>
  <si>
    <t>Crafting</t>
  </si>
  <si>
    <t>Peak Silver/day (Raw Product)</t>
  </si>
  <si>
    <t>Peak Silver/day (Refined Product)</t>
  </si>
  <si>
    <t>Medicine</t>
  </si>
  <si>
    <t>Beer</t>
  </si>
  <si>
    <t>Smokeleaf Joint</t>
  </si>
  <si>
    <t>Pekoe</t>
  </si>
  <si>
    <t>None</t>
  </si>
  <si>
    <t>Grand Sculpture</t>
  </si>
  <si>
    <t>Artistic</t>
  </si>
  <si>
    <t>Artistic Level</t>
  </si>
  <si>
    <t>Bowler Hat</t>
  </si>
  <si>
    <t>Work to Sow</t>
  </si>
  <si>
    <t>Work to Harvest</t>
  </si>
  <si>
    <t>Work/d (Gravel)</t>
  </si>
  <si>
    <t>Work/d (Soil)</t>
  </si>
  <si>
    <t>Work/d (Rich)</t>
  </si>
  <si>
    <t>Work/d (Hydro)</t>
  </si>
  <si>
    <t>Artiveg Plant</t>
  </si>
  <si>
    <t>Duraveg Plant</t>
  </si>
  <si>
    <t>Artiveg</t>
  </si>
  <si>
    <t>Branchvine</t>
  </si>
  <si>
    <t>Rocketree</t>
  </si>
  <si>
    <t>Chemfuel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</si>
</sst>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  <xf numFmtId="9" fontId="0" fillId="4" borderId="20" xfId="0" applyNumberFormat="1" applyFill="1" applyBorder="1" applyAlignment="1">
      <alignment horizontal="center" vertical="center"/>
    </xf>
    <xf numFmtId="0" fontId="0" fillId="0" borderId="21" xfId="0" applyBorder="1"/>
    <xf numFmtId="0" fontId="0" fillId="0" borderId="0" xfId="0" applyBorder="1"/>
    <xf numFmtId="0" fontId="0" fillId="0" borderId="22" xfId="0" applyBorder="1"/>
    <xf numFmtId="10" fontId="0" fillId="0" borderId="16" xfId="0" applyNumberFormat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0" fontId="0" fillId="4" borderId="14" xfId="0" applyNumberFormat="1" applyFill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63BE7B"/>
      <color rgb="FF62BE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2"/>
  <sheetViews>
    <sheetView tabSelected="1" zoomScaleNormal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32" sqref="C32"/>
    </sheetView>
  </sheetViews>
  <sheetFormatPr defaultRowHeight="15" x14ac:dyDescent="0.25"/>
  <cols>
    <col min="1" max="1" width="27.42578125" customWidth="1"/>
    <col min="2" max="2" width="18.28515625" customWidth="1"/>
    <col min="3" max="3" width="13.7109375" customWidth="1"/>
    <col min="4" max="4" width="18.28515625" customWidth="1"/>
    <col min="5" max="5" width="22.85546875" customWidth="1"/>
    <col min="6" max="6" width="13.7109375" customWidth="1"/>
    <col min="7" max="8" width="15.140625" customWidth="1"/>
    <col min="9" max="11" width="13.7109375" customWidth="1"/>
    <col min="12" max="12" width="14.85546875" customWidth="1"/>
    <col min="13" max="13" width="16" customWidth="1"/>
    <col min="14" max="14" width="18.28515625" customWidth="1"/>
    <col min="15" max="17" width="13.7109375" customWidth="1"/>
    <col min="18" max="18" width="18.28515625" customWidth="1"/>
    <col min="19" max="19" width="13.7109375" customWidth="1"/>
    <col min="20" max="33" width="18.28515625" customWidth="1"/>
    <col min="34" max="34" width="27.42578125" customWidth="1"/>
  </cols>
  <sheetData>
    <row r="1" spans="1:36" ht="15.75" thickBot="1" x14ac:dyDescent="0.3">
      <c r="A1" s="9" t="s">
        <v>0</v>
      </c>
      <c r="B1" s="6" t="s">
        <v>1</v>
      </c>
      <c r="C1" s="8" t="s">
        <v>5</v>
      </c>
      <c r="D1" s="6" t="s">
        <v>6</v>
      </c>
      <c r="E1" s="7" t="s">
        <v>135</v>
      </c>
      <c r="F1" s="7" t="s">
        <v>10</v>
      </c>
      <c r="G1" s="7" t="s">
        <v>4</v>
      </c>
      <c r="H1" s="7" t="s">
        <v>33</v>
      </c>
      <c r="I1" s="7" t="s">
        <v>2</v>
      </c>
      <c r="J1" s="7" t="s">
        <v>3</v>
      </c>
      <c r="K1" s="67" t="s">
        <v>154</v>
      </c>
      <c r="L1" s="67" t="s">
        <v>155</v>
      </c>
      <c r="M1" s="7" t="s">
        <v>27</v>
      </c>
      <c r="N1" s="7" t="s">
        <v>30</v>
      </c>
      <c r="O1" s="7" t="s">
        <v>9</v>
      </c>
      <c r="P1" s="7" t="s">
        <v>7</v>
      </c>
      <c r="Q1" s="7" t="s">
        <v>53</v>
      </c>
      <c r="R1" s="7" t="s">
        <v>22</v>
      </c>
      <c r="S1" s="8" t="s">
        <v>8</v>
      </c>
      <c r="T1" s="6" t="s">
        <v>13</v>
      </c>
      <c r="U1" s="8" t="s">
        <v>12</v>
      </c>
      <c r="V1" s="6" t="s">
        <v>18</v>
      </c>
      <c r="W1" s="7" t="s">
        <v>19</v>
      </c>
      <c r="X1" s="7" t="s">
        <v>20</v>
      </c>
      <c r="Y1" s="8" t="s">
        <v>21</v>
      </c>
      <c r="Z1" s="67" t="s">
        <v>156</v>
      </c>
      <c r="AA1" s="67" t="s">
        <v>157</v>
      </c>
      <c r="AB1" s="67" t="s">
        <v>158</v>
      </c>
      <c r="AC1" s="67" t="s">
        <v>159</v>
      </c>
      <c r="AD1" s="6" t="s">
        <v>11</v>
      </c>
      <c r="AE1" s="7" t="s">
        <v>14</v>
      </c>
      <c r="AF1" s="7" t="s">
        <v>15</v>
      </c>
      <c r="AG1" s="8" t="s">
        <v>16</v>
      </c>
      <c r="AH1" s="9" t="s">
        <v>0</v>
      </c>
      <c r="AI1" s="33"/>
      <c r="AJ1" s="34"/>
    </row>
    <row r="2" spans="1:36" x14ac:dyDescent="0.25">
      <c r="A2" s="26" t="s">
        <v>17</v>
      </c>
      <c r="B2" s="23">
        <v>3</v>
      </c>
      <c r="C2" s="27">
        <v>6</v>
      </c>
      <c r="D2" s="28" t="s">
        <v>23</v>
      </c>
      <c r="E2" s="53" t="s">
        <v>25</v>
      </c>
      <c r="F2" s="21" t="s">
        <v>24</v>
      </c>
      <c r="G2" s="21" t="s">
        <v>25</v>
      </c>
      <c r="H2" s="21" t="s">
        <v>25</v>
      </c>
      <c r="I2" s="21" t="s">
        <v>26</v>
      </c>
      <c r="J2" s="21" t="s">
        <v>26</v>
      </c>
      <c r="K2" s="21">
        <v>260</v>
      </c>
      <c r="L2" s="21">
        <v>190</v>
      </c>
      <c r="M2" s="21" t="s">
        <v>24</v>
      </c>
      <c r="N2" s="29" t="s">
        <v>26</v>
      </c>
      <c r="O2" s="29">
        <v>0.51</v>
      </c>
      <c r="P2" s="21" t="s">
        <v>24</v>
      </c>
      <c r="Q2" s="21">
        <v>0</v>
      </c>
      <c r="R2" s="21" t="s">
        <v>25</v>
      </c>
      <c r="S2" s="30">
        <v>85</v>
      </c>
      <c r="T2" s="31">
        <v>1</v>
      </c>
      <c r="U2" s="32">
        <v>1</v>
      </c>
      <c r="V2" s="38" t="str">
        <f>IF(AD2="-","-",ROUND($C2/AD2, 3)*Modifiers!$C$3*IF($E2="Yes",Modifiers!$C$5,1))</f>
        <v>-</v>
      </c>
      <c r="W2" s="39">
        <f>IF(AE2="-","-",ROUND($C2/AE2, 3)*Modifiers!$C$3*IF($E2="Yes",Modifiers!$C$5,1))</f>
        <v>1.1579999999999999</v>
      </c>
      <c r="X2" s="39">
        <f>IF(AF2="-","-",ROUND($C2/AF2, 3)*Modifiers!$C$3*IF($E2="Yes",Modifiers!$C$5,1))</f>
        <v>1.621</v>
      </c>
      <c r="Y2" s="39">
        <f>IF(AG2="-","-",ROUND($C2/AG2, 3)*Modifiers!$C$3*IF($E2="Yes",Modifiers!$C$5,1))</f>
        <v>2.6629999999999998</v>
      </c>
      <c r="Z2" s="68" t="str">
        <f>IF(AND(OR($K2&lt;&gt;"-",$L2&lt;&gt;"-"),AD2&lt;&gt;"-",$G2="Yes"),ROUND((IF($K2="-",0,$K2)+IF($L2="-",0,$L2))/AD2,2),"-")</f>
        <v>-</v>
      </c>
      <c r="AA2" s="37">
        <f t="shared" ref="AA2:AC2" si="0">IF(AND(OR($K2&lt;&gt;"-",$L2&lt;&gt;"-"),AE2&lt;&gt;"-",$G2="Yes"),ROUND((IF($K2="-",0,$K2)+IF($L2="-",0,$L2))/AE2,2),"-")</f>
        <v>86.84</v>
      </c>
      <c r="AB2" s="37">
        <f t="shared" si="0"/>
        <v>121.59</v>
      </c>
      <c r="AC2" s="72">
        <f t="shared" si="0"/>
        <v>199.73</v>
      </c>
      <c r="AD2" s="69" t="str">
        <f>IF(0.7&gt;=$T2,ROUND(ROUND(B2/0.55*IF(M2="Yes",(1-N2),0.95), 3)/(1-0.3*$U2), 3),"-")</f>
        <v>-</v>
      </c>
      <c r="AE2" s="70">
        <f>IF(1&gt;=$T2,ROUND(B2/0.55*IF(M2="Yes",(1-N2),0.95), 3),"-")</f>
        <v>5.1820000000000004</v>
      </c>
      <c r="AF2" s="71">
        <f>IF(1.4&gt;=$T2,ROUND(ROUND(B2/0.55*IF(M2="Yes",(1-N2),0.95), 3)/(1+0.4*$U2), 3),"-")</f>
        <v>3.7010000000000001</v>
      </c>
      <c r="AG2" s="71">
        <f>IF(2.3&gt;=$T2,IF(H2="Yes",ROUND(ROUND(B2/0.55*IF(M2="Yes",(1-N2),0.95), 3)/(1+1.3*$U2), 3),"-"),"-")</f>
        <v>2.2530000000000001</v>
      </c>
      <c r="AH2" s="26" t="str">
        <f t="shared" ref="AH2:AH51" si="1">A2</f>
        <v>Rice Plant</v>
      </c>
      <c r="AI2" s="35"/>
    </row>
    <row r="3" spans="1:36" x14ac:dyDescent="0.25">
      <c r="A3" s="26" t="s">
        <v>28</v>
      </c>
      <c r="B3" s="23">
        <v>5.8</v>
      </c>
      <c r="C3" s="27">
        <v>11</v>
      </c>
      <c r="D3" s="28" t="s">
        <v>29</v>
      </c>
      <c r="E3" s="53" t="s">
        <v>25</v>
      </c>
      <c r="F3" s="21" t="s">
        <v>24</v>
      </c>
      <c r="G3" s="21" t="s">
        <v>25</v>
      </c>
      <c r="H3" s="21" t="s">
        <v>25</v>
      </c>
      <c r="I3" s="21" t="s">
        <v>26</v>
      </c>
      <c r="J3" s="21" t="s">
        <v>26</v>
      </c>
      <c r="K3" s="21">
        <v>260</v>
      </c>
      <c r="L3" s="21">
        <v>190</v>
      </c>
      <c r="M3" s="21" t="s">
        <v>24</v>
      </c>
      <c r="N3" s="36" t="s">
        <v>26</v>
      </c>
      <c r="O3" s="29">
        <v>0.51</v>
      </c>
      <c r="P3" s="21" t="s">
        <v>24</v>
      </c>
      <c r="Q3" s="21">
        <v>0</v>
      </c>
      <c r="R3" s="21" t="s">
        <v>25</v>
      </c>
      <c r="S3" s="30">
        <v>85</v>
      </c>
      <c r="T3" s="31">
        <v>0.7</v>
      </c>
      <c r="U3" s="32">
        <v>0.4</v>
      </c>
      <c r="V3" s="13">
        <f>IF(AD3="-","-",ROUND($C3/AD3, 3)*Modifiers!$C$3*IF($E3="Yes",Modifiers!$C$5,1))</f>
        <v>0.96599999999999997</v>
      </c>
      <c r="W3" s="17">
        <f>IF(AE3="-","-",ROUND($C3/AE3, 3)*Modifiers!$C$3*IF($E3="Yes",Modifiers!$C$5,1))</f>
        <v>1.0980000000000001</v>
      </c>
      <c r="X3" s="17">
        <f>IF(AF3="-","-",ROUND($C3/AF3, 3)*Modifiers!$C$3*IF($E3="Yes",Modifiers!$C$5,1))</f>
        <v>1.274</v>
      </c>
      <c r="Y3" s="17">
        <f>IF(AG3="-","-",ROUND($C3/AG3, 3)*Modifiers!$C$3*IF($E3="Yes",Modifiers!$C$5,1))</f>
        <v>1.669</v>
      </c>
      <c r="Z3" s="23">
        <f>IF(AND(OR($K3&lt;&gt;"-",$L3&lt;&gt;"-"),AD3&lt;&gt;"-",$G3="Yes"),ROUND((IF($K3="-",0,$K3)+IF($L3="-",0,$L3))/AD3,2),"-")</f>
        <v>39.53</v>
      </c>
      <c r="AA3" s="24">
        <f t="shared" ref="AA3" si="2">IF(AND(OR($K3&lt;&gt;"-",$L3&lt;&gt;"-"),AE3&lt;&gt;"-",$G3="Yes"),ROUND((IF($K3="-",0,$K3)+IF($L3="-",0,$L3))/AE3,2),"-")</f>
        <v>44.92</v>
      </c>
      <c r="AB3" s="24">
        <f t="shared" ref="AB3" si="3">IF(AND(OR($K3&lt;&gt;"-",$L3&lt;&gt;"-"),AF3&lt;&gt;"-",$G3="Yes"),ROUND((IF($K3="-",0,$K3)+IF($L3="-",0,$L3))/AF3,2),"-")</f>
        <v>52.11</v>
      </c>
      <c r="AC3" s="24">
        <f t="shared" ref="AC3" si="4">IF(AND(OR($K3&lt;&gt;"-",$L3&lt;&gt;"-"),AG3&lt;&gt;"-",$G3="Yes"),ROUND((IF($K3="-",0,$K3)+IF($L3="-",0,$L3))/AG3,2),"-")</f>
        <v>68.27</v>
      </c>
      <c r="AD3" s="69">
        <f t="shared" ref="AD3" si="5">IF(0.7&gt;=$T3,ROUND(ROUND(B3/0.55*IF(M3="Yes",(1-N3),0.95), 3)/(1-0.3*$U3), 3),"-")</f>
        <v>11.384</v>
      </c>
      <c r="AE3" s="75">
        <f t="shared" ref="AE3" si="6">IF(1&gt;=$T3,ROUND(B3/0.55*IF(M3="Yes",(1-N3),0.95), 3),"-")</f>
        <v>10.018000000000001</v>
      </c>
      <c r="AF3" s="71">
        <f t="shared" ref="AF3" si="7">IF(1.4&gt;=$T3,ROUND(ROUND(B3/0.55*IF(M3="Yes",(1-N3),0.95), 3)/(1+0.4*$U3), 3),"-")</f>
        <v>8.6359999999999992</v>
      </c>
      <c r="AG3" s="71">
        <f t="shared" ref="AG3" si="8">IF(2.3&gt;=$T3,IF(H3="Yes",ROUND(ROUND(B3/0.55*IF(M3="Yes",(1-N3),0.95), 3)/(1+1.3*$U3), 3),"-"),"-")</f>
        <v>6.5910000000000002</v>
      </c>
      <c r="AH3" s="26" t="str">
        <f t="shared" si="1"/>
        <v>Potato Plant</v>
      </c>
    </row>
    <row r="4" spans="1:36" x14ac:dyDescent="0.25">
      <c r="A4" s="26" t="s">
        <v>31</v>
      </c>
      <c r="B4" s="23">
        <v>11.3</v>
      </c>
      <c r="C4" s="27">
        <v>22</v>
      </c>
      <c r="D4" s="28" t="s">
        <v>32</v>
      </c>
      <c r="E4" s="53" t="s">
        <v>25</v>
      </c>
      <c r="F4" s="21" t="s">
        <v>24</v>
      </c>
      <c r="G4" s="21" t="s">
        <v>25</v>
      </c>
      <c r="H4" s="21" t="s">
        <v>24</v>
      </c>
      <c r="I4" s="21" t="s">
        <v>26</v>
      </c>
      <c r="J4" s="21" t="s">
        <v>26</v>
      </c>
      <c r="K4" s="21">
        <v>260</v>
      </c>
      <c r="L4" s="21">
        <v>190</v>
      </c>
      <c r="M4" s="21" t="s">
        <v>24</v>
      </c>
      <c r="N4" s="36" t="s">
        <v>26</v>
      </c>
      <c r="O4" s="29">
        <v>0.51</v>
      </c>
      <c r="P4" s="21" t="s">
        <v>24</v>
      </c>
      <c r="Q4" s="21">
        <v>0</v>
      </c>
      <c r="R4" s="21" t="s">
        <v>25</v>
      </c>
      <c r="S4" s="30">
        <v>150</v>
      </c>
      <c r="T4" s="31">
        <v>1</v>
      </c>
      <c r="U4" s="32">
        <v>1</v>
      </c>
      <c r="V4" s="13" t="str">
        <f>IF(AD4="-","-",ROUND($C4/AD4, 3)*Modifiers!$C$3*IF($E4="Yes",Modifiers!$C$5,1))</f>
        <v>-</v>
      </c>
      <c r="W4" s="17">
        <f>IF(AE4="-","-",ROUND($C4/AE4, 3)*Modifiers!$C$3*IF($E4="Yes",Modifiers!$C$5,1))</f>
        <v>1.127</v>
      </c>
      <c r="X4" s="17">
        <f>IF(AF4="-","-",ROUND($C4/AF4, 3)*Modifiers!$C$3*IF($E4="Yes",Modifiers!$C$5,1))</f>
        <v>1.5780000000000001</v>
      </c>
      <c r="Y4" s="17" t="str">
        <f>IF(AG4="-","-",ROUND($C4/AG4, 3)*Modifiers!$C$3*IF($E4="Yes",Modifiers!$C$5,1))</f>
        <v>-</v>
      </c>
      <c r="Z4" s="23" t="str">
        <f t="shared" ref="Z4:Z51" si="9">IF(AND(OR($K4&lt;&gt;"-",$L4&lt;&gt;"-"),AD4&lt;&gt;"-",$G4="Yes"),ROUND((IF($K4="-",0,$K4)+IF($L4="-",0,$L4))/AD4,2),"-")</f>
        <v>-</v>
      </c>
      <c r="AA4" s="24">
        <f t="shared" ref="AA4:AA51" si="10">IF(AND(OR($K4&lt;&gt;"-",$L4&lt;&gt;"-"),AE4&lt;&gt;"-",$G4="Yes"),ROUND((IF($K4="-",0,$K4)+IF($L4="-",0,$L4))/AE4,2),"-")</f>
        <v>23.06</v>
      </c>
      <c r="AB4" s="24">
        <f t="shared" ref="AB4:AB51" si="11">IF(AND(OR($K4&lt;&gt;"-",$L4&lt;&gt;"-"),AF4&lt;&gt;"-",$G4="Yes"),ROUND((IF($K4="-",0,$K4)+IF($L4="-",0,$L4))/AF4,2),"-")</f>
        <v>32.28</v>
      </c>
      <c r="AC4" s="24" t="str">
        <f t="shared" ref="AC4:AC51" si="12">IF(AND(OR($K4&lt;&gt;"-",$L4&lt;&gt;"-"),AG4&lt;&gt;"-",$G4="Yes"),ROUND((IF($K4="-",0,$K4)+IF($L4="-",0,$L4))/AG4,2),"-")</f>
        <v>-</v>
      </c>
      <c r="AD4" s="69" t="str">
        <f t="shared" ref="AD4:AD51" si="13">IF(0.7&gt;=$T4,ROUND(ROUND(B4/0.55*IF(M4="Yes",(1-N4),0.95), 3)/(1-0.3*$U4), 3),"-")</f>
        <v>-</v>
      </c>
      <c r="AE4" s="75">
        <f t="shared" ref="AE4:AE51" si="14">IF(1&gt;=$T4,ROUND(B4/0.55*IF(M4="Yes",(1-N4),0.95), 3),"-")</f>
        <v>19.518000000000001</v>
      </c>
      <c r="AF4" s="71">
        <f t="shared" ref="AF4:AF51" si="15">IF(1.4&gt;=$T4,ROUND(ROUND(B4/0.55*IF(M4="Yes",(1-N4),0.95), 3)/(1+0.4*$U4), 3),"-")</f>
        <v>13.941000000000001</v>
      </c>
      <c r="AG4" s="71" t="str">
        <f t="shared" ref="AG4:AG51" si="16">IF(2.3&gt;=$T4,IF(H4="Yes",ROUND(ROUND(B4/0.55*IF(M4="Yes",(1-N4),0.95), 3)/(1+1.3*$U4), 3),"-"),"-")</f>
        <v>-</v>
      </c>
      <c r="AH4" s="26" t="str">
        <f t="shared" si="1"/>
        <v>Corn Plant</v>
      </c>
    </row>
    <row r="5" spans="1:36" x14ac:dyDescent="0.25">
      <c r="A5" s="26" t="s">
        <v>160</v>
      </c>
      <c r="B5" s="23">
        <v>4.47</v>
      </c>
      <c r="C5" s="27">
        <v>8</v>
      </c>
      <c r="D5" s="28" t="s">
        <v>162</v>
      </c>
      <c r="E5" s="53" t="s">
        <v>25</v>
      </c>
      <c r="F5" s="21" t="s">
        <v>24</v>
      </c>
      <c r="G5" s="21" t="s">
        <v>25</v>
      </c>
      <c r="H5" s="21" t="s">
        <v>25</v>
      </c>
      <c r="I5" s="21">
        <v>12</v>
      </c>
      <c r="J5" s="21" t="s">
        <v>162</v>
      </c>
      <c r="K5" s="21">
        <v>260</v>
      </c>
      <c r="L5" s="21">
        <v>190</v>
      </c>
      <c r="M5" s="21" t="s">
        <v>24</v>
      </c>
      <c r="N5" s="36" t="s">
        <v>26</v>
      </c>
      <c r="O5" s="29">
        <v>0.51</v>
      </c>
      <c r="P5" s="21" t="s">
        <v>24</v>
      </c>
      <c r="Q5" s="21">
        <v>0</v>
      </c>
      <c r="R5" s="21" t="s">
        <v>25</v>
      </c>
      <c r="S5" s="30">
        <v>45</v>
      </c>
      <c r="T5" s="31">
        <v>1.4</v>
      </c>
      <c r="U5" s="32">
        <v>1.8</v>
      </c>
      <c r="V5" s="13" t="str">
        <f>IF(AD5="-","-",ROUND($C5/AD5, 3)*Modifiers!$C$3*IF($E5="Yes",Modifiers!$C$5,1))</f>
        <v>-</v>
      </c>
      <c r="W5" s="17" t="str">
        <f>IF(AE5="-","-",ROUND($C5/AE5, 3)*Modifiers!$C$3*IF($E5="Yes",Modifiers!$C$5,1))</f>
        <v>-</v>
      </c>
      <c r="X5" s="17">
        <f>IF(AF5="-","-",ROUND($C5/AF5, 3)*Modifiers!$C$3*IF($E5="Yes",Modifiers!$C$5,1))</f>
        <v>1.782</v>
      </c>
      <c r="Y5" s="17">
        <f>IF(AG5="-","-",ROUND($C5/AG5, 3)*Modifiers!$C$3*IF($E5="Yes",Modifiers!$C$5,1))</f>
        <v>3.46</v>
      </c>
      <c r="Z5" s="23" t="str">
        <f>IF(AND(OR($K5&lt;&gt;"-",$L5&lt;&gt;"-"),AD5&lt;&gt;"-",$G5="Yes"),ROUND((IF($K5="-",0,$K5)+IF($L5="-",0,$L5))/AD5,2),"-")</f>
        <v>-</v>
      </c>
      <c r="AA5" s="24" t="str">
        <f t="shared" si="10"/>
        <v>-</v>
      </c>
      <c r="AB5" s="24">
        <f t="shared" si="11"/>
        <v>100.25</v>
      </c>
      <c r="AC5" s="24">
        <f t="shared" si="12"/>
        <v>194.64</v>
      </c>
      <c r="AD5" s="69" t="str">
        <f t="shared" si="13"/>
        <v>-</v>
      </c>
      <c r="AE5" s="75" t="str">
        <f t="shared" si="14"/>
        <v>-</v>
      </c>
      <c r="AF5" s="71">
        <f t="shared" si="15"/>
        <v>4.4889999999999999</v>
      </c>
      <c r="AG5" s="71">
        <f t="shared" si="16"/>
        <v>2.3119999999999998</v>
      </c>
      <c r="AH5" s="26" t="str">
        <f t="shared" ref="AH5:AH6" si="17">A5</f>
        <v>Artiveg Plant</v>
      </c>
    </row>
    <row r="6" spans="1:36" x14ac:dyDescent="0.25">
      <c r="A6" s="26" t="s">
        <v>161</v>
      </c>
      <c r="B6" s="23">
        <v>5.2</v>
      </c>
      <c r="C6" s="27">
        <v>6</v>
      </c>
      <c r="D6" s="28" t="s">
        <v>162</v>
      </c>
      <c r="E6" s="53" t="s">
        <v>25</v>
      </c>
      <c r="F6" s="21" t="s">
        <v>24</v>
      </c>
      <c r="G6" s="21" t="s">
        <v>25</v>
      </c>
      <c r="H6" s="21" t="s">
        <v>24</v>
      </c>
      <c r="I6" s="21">
        <v>8</v>
      </c>
      <c r="J6" s="21" t="s">
        <v>162</v>
      </c>
      <c r="K6" s="21">
        <v>260</v>
      </c>
      <c r="L6" s="21">
        <v>190</v>
      </c>
      <c r="M6" s="21" t="s">
        <v>24</v>
      </c>
      <c r="N6" s="36" t="s">
        <v>26</v>
      </c>
      <c r="O6" s="29">
        <v>0</v>
      </c>
      <c r="P6" s="21" t="s">
        <v>24</v>
      </c>
      <c r="Q6" s="21">
        <v>0</v>
      </c>
      <c r="R6" s="21" t="s">
        <v>25</v>
      </c>
      <c r="S6" s="30">
        <v>270</v>
      </c>
      <c r="T6" s="31">
        <v>0.3</v>
      </c>
      <c r="U6" s="32">
        <v>0.2</v>
      </c>
      <c r="V6" s="13">
        <f>IF(AD6="-","-",ROUND($C6/AD6, 3)*Modifiers!$C$3*IF($E6="Yes",Modifiers!$C$5,1))</f>
        <v>0.628</v>
      </c>
      <c r="W6" s="17">
        <f>IF(AE6="-","-",ROUND($C6/AE6, 3)*Modifiers!$C$3*IF($E6="Yes",Modifiers!$C$5,1))</f>
        <v>0.66800000000000004</v>
      </c>
      <c r="X6" s="17">
        <f>IF(AF6="-","-",ROUND($C6/AF6, 3)*Modifiers!$C$3*IF($E6="Yes",Modifiers!$C$5,1))</f>
        <v>0.72099999999999997</v>
      </c>
      <c r="Y6" s="17" t="str">
        <f>IF(AG6="-","-",ROUND($C6/AG6, 3)*Modifiers!$C$3*IF($E6="Yes",Modifiers!$C$5,1))</f>
        <v>-</v>
      </c>
      <c r="Z6" s="23">
        <f t="shared" ref="Z6" si="18">IF(AND(OR($K6&lt;&gt;"-",$L6&lt;&gt;"-"),AD6&lt;&gt;"-",$G6="Yes"),ROUND((IF($K6="-",0,$K6)+IF($L6="-",0,$L6))/AD6,2),"-")</f>
        <v>47.1</v>
      </c>
      <c r="AA6" s="24">
        <f t="shared" ref="AA6" si="19">IF(AND(OR($K6&lt;&gt;"-",$L6&lt;&gt;"-"),AE6&lt;&gt;"-",$G6="Yes"),ROUND((IF($K6="-",0,$K6)+IF($L6="-",0,$L6))/AE6,2),"-")</f>
        <v>50.1</v>
      </c>
      <c r="AB6" s="24">
        <f t="shared" ref="AB6" si="20">IF(AND(OR($K6&lt;&gt;"-",$L6&lt;&gt;"-"),AF6&lt;&gt;"-",$G6="Yes"),ROUND((IF($K6="-",0,$K6)+IF($L6="-",0,$L6))/AF6,2),"-")</f>
        <v>54.11</v>
      </c>
      <c r="AC6" s="24" t="str">
        <f t="shared" ref="AC6" si="21">IF(AND(OR($K6&lt;&gt;"-",$L6&lt;&gt;"-"),AG6&lt;&gt;"-",$G6="Yes"),ROUND((IF($K6="-",0,$K6)+IF($L6="-",0,$L6))/AG6,2),"-")</f>
        <v>-</v>
      </c>
      <c r="AD6" s="69">
        <f t="shared" si="13"/>
        <v>9.5549999999999997</v>
      </c>
      <c r="AE6" s="75">
        <f t="shared" si="14"/>
        <v>8.9819999999999993</v>
      </c>
      <c r="AF6" s="71">
        <f t="shared" si="15"/>
        <v>8.3170000000000002</v>
      </c>
      <c r="AG6" s="71" t="str">
        <f t="shared" si="16"/>
        <v>-</v>
      </c>
      <c r="AH6" s="26" t="str">
        <f t="shared" si="17"/>
        <v>Duraveg Plant</v>
      </c>
    </row>
    <row r="7" spans="1:36" x14ac:dyDescent="0.25">
      <c r="A7" s="26" t="s">
        <v>34</v>
      </c>
      <c r="B7" s="23">
        <v>4.62</v>
      </c>
      <c r="C7" s="27">
        <v>8</v>
      </c>
      <c r="D7" s="28" t="s">
        <v>35</v>
      </c>
      <c r="E7" s="53" t="s">
        <v>25</v>
      </c>
      <c r="F7" s="21" t="s">
        <v>24</v>
      </c>
      <c r="G7" s="21" t="s">
        <v>25</v>
      </c>
      <c r="H7" s="21" t="s">
        <v>25</v>
      </c>
      <c r="I7" s="21">
        <v>5</v>
      </c>
      <c r="J7" s="21" t="s">
        <v>26</v>
      </c>
      <c r="K7" s="21">
        <v>260</v>
      </c>
      <c r="L7" s="21">
        <v>190</v>
      </c>
      <c r="M7" s="21" t="s">
        <v>24</v>
      </c>
      <c r="N7" s="36" t="s">
        <v>26</v>
      </c>
      <c r="O7" s="29">
        <v>0.51</v>
      </c>
      <c r="P7" s="21" t="s">
        <v>24</v>
      </c>
      <c r="Q7" s="21">
        <v>0</v>
      </c>
      <c r="R7" s="21" t="s">
        <v>25</v>
      </c>
      <c r="S7" s="30">
        <v>85</v>
      </c>
      <c r="T7" s="31">
        <v>0.5</v>
      </c>
      <c r="U7" s="32">
        <v>0.6</v>
      </c>
      <c r="V7" s="13">
        <f>IF(AD7="-","-",ROUND($C7/AD7, 3)*Modifiers!$C$3*IF($E7="Yes",Modifiers!$C$5,1))</f>
        <v>0.82199999999999995</v>
      </c>
      <c r="W7" s="17">
        <f>IF(AE7="-","-",ROUND($C7/AE7, 3)*Modifiers!$C$3*IF($E7="Yes",Modifiers!$C$5,1))</f>
        <v>1.0029999999999999</v>
      </c>
      <c r="X7" s="17">
        <f>IF(AF7="-","-",ROUND($C7/AF7, 3)*Modifiers!$C$3*IF($E7="Yes",Modifiers!$C$5,1))</f>
        <v>1.2430000000000001</v>
      </c>
      <c r="Y7" s="17">
        <f>IF(AG7="-","-",ROUND($C7/AG7, 3)*Modifiers!$C$3*IF($E7="Yes",Modifiers!$C$5,1))</f>
        <v>1.7849999999999999</v>
      </c>
      <c r="Z7" s="23">
        <f t="shared" si="9"/>
        <v>46.24</v>
      </c>
      <c r="AA7" s="24">
        <f t="shared" si="10"/>
        <v>56.39</v>
      </c>
      <c r="AB7" s="24">
        <f t="shared" si="11"/>
        <v>69.930000000000007</v>
      </c>
      <c r="AC7" s="24">
        <f t="shared" si="12"/>
        <v>100.38</v>
      </c>
      <c r="AD7" s="69">
        <f t="shared" si="13"/>
        <v>9.7319999999999993</v>
      </c>
      <c r="AE7" s="75">
        <f t="shared" si="14"/>
        <v>7.98</v>
      </c>
      <c r="AF7" s="71">
        <f t="shared" si="15"/>
        <v>6.4349999999999996</v>
      </c>
      <c r="AG7" s="71">
        <f t="shared" si="16"/>
        <v>4.4829999999999997</v>
      </c>
      <c r="AH7" s="26" t="str">
        <f t="shared" si="1"/>
        <v>Strawberry Plant</v>
      </c>
    </row>
    <row r="8" spans="1:36" x14ac:dyDescent="0.25">
      <c r="A8" s="26" t="s">
        <v>36</v>
      </c>
      <c r="B8" s="23">
        <v>7</v>
      </c>
      <c r="C8" s="27">
        <v>18</v>
      </c>
      <c r="D8" s="28" t="s">
        <v>37</v>
      </c>
      <c r="E8" s="53" t="s">
        <v>25</v>
      </c>
      <c r="F8" s="21" t="s">
        <v>24</v>
      </c>
      <c r="G8" s="21" t="s">
        <v>25</v>
      </c>
      <c r="H8" s="21" t="s">
        <v>24</v>
      </c>
      <c r="I8" s="21" t="s">
        <v>26</v>
      </c>
      <c r="J8" s="21" t="s">
        <v>26</v>
      </c>
      <c r="K8" s="21">
        <v>260</v>
      </c>
      <c r="L8" s="21">
        <v>190</v>
      </c>
      <c r="M8" s="21" t="s">
        <v>24</v>
      </c>
      <c r="N8" s="36" t="s">
        <v>26</v>
      </c>
      <c r="O8" s="29">
        <v>0.51</v>
      </c>
      <c r="P8" s="21" t="s">
        <v>24</v>
      </c>
      <c r="Q8" s="21">
        <v>0</v>
      </c>
      <c r="R8" s="21" t="s">
        <v>25</v>
      </c>
      <c r="S8" s="30">
        <v>85</v>
      </c>
      <c r="T8" s="31">
        <v>0.5</v>
      </c>
      <c r="U8" s="32">
        <v>0.6</v>
      </c>
      <c r="V8" s="13">
        <f>IF(AD8="-","-",ROUND($C8/AD8, 3)*Modifiers!$C$3*IF($E8="Yes",Modifiers!$C$5,1))</f>
        <v>1.2210000000000001</v>
      </c>
      <c r="W8" s="17">
        <f>IF(AE8="-","-",ROUND($C8/AE8, 3)*Modifiers!$C$3*IF($E8="Yes",Modifiers!$C$5,1))</f>
        <v>1.4890000000000001</v>
      </c>
      <c r="X8" s="17">
        <f>IF(AF8="-","-",ROUND($C8/AF8, 3)*Modifiers!$C$3*IF($E8="Yes",Modifiers!$C$5,1))</f>
        <v>1.8460000000000001</v>
      </c>
      <c r="Y8" s="17" t="str">
        <f>IF(AG8="-","-",ROUND($C8/AG8, 3)*Modifiers!$C$3*IF($E8="Yes",Modifiers!$C$5,1))</f>
        <v>-</v>
      </c>
      <c r="Z8" s="23">
        <f t="shared" si="9"/>
        <v>30.52</v>
      </c>
      <c r="AA8" s="24">
        <f t="shared" si="10"/>
        <v>37.22</v>
      </c>
      <c r="AB8" s="24">
        <f t="shared" si="11"/>
        <v>46.15</v>
      </c>
      <c r="AC8" s="24" t="str">
        <f t="shared" si="12"/>
        <v>-</v>
      </c>
      <c r="AD8" s="69">
        <f t="shared" si="13"/>
        <v>14.744999999999999</v>
      </c>
      <c r="AE8" s="75">
        <f t="shared" si="14"/>
        <v>12.090999999999999</v>
      </c>
      <c r="AF8" s="71">
        <f t="shared" si="15"/>
        <v>9.7509999999999994</v>
      </c>
      <c r="AG8" s="71" t="str">
        <f t="shared" si="16"/>
        <v>-</v>
      </c>
      <c r="AH8" s="26" t="str">
        <f t="shared" si="1"/>
        <v>Haygrass</v>
      </c>
    </row>
    <row r="9" spans="1:36" x14ac:dyDescent="0.25">
      <c r="A9" s="26" t="s">
        <v>38</v>
      </c>
      <c r="B9" s="23">
        <v>3</v>
      </c>
      <c r="C9" s="27">
        <v>10</v>
      </c>
      <c r="D9" s="28" t="s">
        <v>39</v>
      </c>
      <c r="E9" s="53" t="s">
        <v>25</v>
      </c>
      <c r="F9" s="21" t="s">
        <v>25</v>
      </c>
      <c r="G9" s="21" t="s">
        <v>24</v>
      </c>
      <c r="H9" s="21" t="s">
        <v>24</v>
      </c>
      <c r="I9" s="21" t="s">
        <v>26</v>
      </c>
      <c r="J9" s="21" t="s">
        <v>26</v>
      </c>
      <c r="K9" s="21" t="s">
        <v>26</v>
      </c>
      <c r="L9" s="21">
        <v>700</v>
      </c>
      <c r="M9" s="21" t="s">
        <v>25</v>
      </c>
      <c r="N9" s="36">
        <v>0.3</v>
      </c>
      <c r="O9" s="29">
        <v>0.51</v>
      </c>
      <c r="P9" s="21" t="s">
        <v>24</v>
      </c>
      <c r="Q9" s="21">
        <v>0</v>
      </c>
      <c r="R9" s="21" t="s">
        <v>25</v>
      </c>
      <c r="S9" s="30">
        <v>120</v>
      </c>
      <c r="T9" s="31">
        <v>0.3</v>
      </c>
      <c r="U9" s="32">
        <v>0.5</v>
      </c>
      <c r="V9" s="13">
        <f>IF(AD9="-","-",ROUND($C9/AD9, 3)*Modifiers!$C$3*IF($E9="Yes",Modifiers!$C$5,1))</f>
        <v>2.226</v>
      </c>
      <c r="W9" s="17">
        <f>IF(AE9="-","-",ROUND($C9/AE9, 3)*Modifiers!$C$3*IF($E9="Yes",Modifiers!$C$5,1))</f>
        <v>2.6190000000000002</v>
      </c>
      <c r="X9" s="17">
        <f>IF(AF9="-","-",ROUND($C9/AF9, 3)*Modifiers!$C$3*IF($E9="Yes",Modifiers!$C$5,1))</f>
        <v>3.1429999999999998</v>
      </c>
      <c r="Y9" s="17" t="str">
        <f>IF(AG9="-","-",ROUND($C9/AG9, 3)*Modifiers!$C$3*IF($E9="Yes",Modifiers!$C$5,1))</f>
        <v>-</v>
      </c>
      <c r="Z9" s="23" t="str">
        <f t="shared" si="9"/>
        <v>-</v>
      </c>
      <c r="AA9" s="24" t="str">
        <f t="shared" si="10"/>
        <v>-</v>
      </c>
      <c r="AB9" s="24" t="str">
        <f t="shared" si="11"/>
        <v>-</v>
      </c>
      <c r="AC9" s="24" t="str">
        <f t="shared" si="12"/>
        <v>-</v>
      </c>
      <c r="AD9" s="69">
        <f t="shared" si="13"/>
        <v>4.492</v>
      </c>
      <c r="AE9" s="75">
        <f t="shared" si="14"/>
        <v>3.8180000000000001</v>
      </c>
      <c r="AF9" s="71">
        <f t="shared" si="15"/>
        <v>3.1819999999999999</v>
      </c>
      <c r="AG9" s="71" t="str">
        <f t="shared" si="16"/>
        <v>-</v>
      </c>
      <c r="AH9" s="26" t="str">
        <f t="shared" si="1"/>
        <v>Agave</v>
      </c>
    </row>
    <row r="10" spans="1:36" x14ac:dyDescent="0.25">
      <c r="A10" s="26" t="s">
        <v>40</v>
      </c>
      <c r="B10" s="23">
        <v>3</v>
      </c>
      <c r="C10" s="27">
        <v>10</v>
      </c>
      <c r="D10" s="28" t="s">
        <v>35</v>
      </c>
      <c r="E10" s="53" t="s">
        <v>25</v>
      </c>
      <c r="F10" s="21" t="s">
        <v>25</v>
      </c>
      <c r="G10" s="21" t="s">
        <v>24</v>
      </c>
      <c r="H10" s="21" t="s">
        <v>24</v>
      </c>
      <c r="I10" s="21" t="s">
        <v>26</v>
      </c>
      <c r="J10" s="21" t="s">
        <v>26</v>
      </c>
      <c r="K10" s="21" t="s">
        <v>26</v>
      </c>
      <c r="L10" s="21">
        <v>400</v>
      </c>
      <c r="M10" s="21" t="s">
        <v>25</v>
      </c>
      <c r="N10" s="36">
        <v>0.3</v>
      </c>
      <c r="O10" s="29">
        <v>0.51</v>
      </c>
      <c r="P10" s="21" t="s">
        <v>24</v>
      </c>
      <c r="Q10" s="21">
        <v>0</v>
      </c>
      <c r="R10" s="21" t="s">
        <v>25</v>
      </c>
      <c r="S10" s="30">
        <v>120</v>
      </c>
      <c r="T10" s="31">
        <v>0.5</v>
      </c>
      <c r="U10" s="32">
        <v>0.5</v>
      </c>
      <c r="V10" s="13">
        <f>IF(AD10="-","-",ROUND($C10/AD10, 3)*Modifiers!$C$3*IF($E10="Yes",Modifiers!$C$5,1))</f>
        <v>2.226</v>
      </c>
      <c r="W10" s="17">
        <f>IF(AE10="-","-",ROUND($C10/AE10, 3)*Modifiers!$C$3*IF($E10="Yes",Modifiers!$C$5,1))</f>
        <v>2.6190000000000002</v>
      </c>
      <c r="X10" s="17">
        <f>IF(AF10="-","-",ROUND($C10/AF10, 3)*Modifiers!$C$3*IF($E10="Yes",Modifiers!$C$5,1))</f>
        <v>3.1429999999999998</v>
      </c>
      <c r="Y10" s="17" t="str">
        <f>IF(AG10="-","-",ROUND($C10/AG10, 3)*Modifiers!$C$3*IF($E10="Yes",Modifiers!$C$5,1))</f>
        <v>-</v>
      </c>
      <c r="Z10" s="23" t="str">
        <f t="shared" si="9"/>
        <v>-</v>
      </c>
      <c r="AA10" s="24" t="str">
        <f t="shared" si="10"/>
        <v>-</v>
      </c>
      <c r="AB10" s="24" t="str">
        <f t="shared" si="11"/>
        <v>-</v>
      </c>
      <c r="AC10" s="24" t="str">
        <f t="shared" si="12"/>
        <v>-</v>
      </c>
      <c r="AD10" s="69">
        <f t="shared" si="13"/>
        <v>4.492</v>
      </c>
      <c r="AE10" s="75">
        <f t="shared" si="14"/>
        <v>3.8180000000000001</v>
      </c>
      <c r="AF10" s="71">
        <f t="shared" si="15"/>
        <v>3.1819999999999999</v>
      </c>
      <c r="AG10" s="71" t="str">
        <f t="shared" si="16"/>
        <v>-</v>
      </c>
      <c r="AH10" s="26" t="str">
        <f t="shared" si="1"/>
        <v>Raspberry Bush</v>
      </c>
    </row>
    <row r="11" spans="1:36" x14ac:dyDescent="0.25">
      <c r="A11" s="26" t="s">
        <v>41</v>
      </c>
      <c r="B11" s="23">
        <v>8</v>
      </c>
      <c r="C11" s="27">
        <v>10</v>
      </c>
      <c r="D11" s="28" t="s">
        <v>42</v>
      </c>
      <c r="E11" s="53" t="s">
        <v>25</v>
      </c>
      <c r="F11" s="21" t="s">
        <v>24</v>
      </c>
      <c r="G11" s="21" t="s">
        <v>25</v>
      </c>
      <c r="H11" s="21" t="s">
        <v>25</v>
      </c>
      <c r="I11" s="21" t="s">
        <v>26</v>
      </c>
      <c r="J11" s="21" t="s">
        <v>26</v>
      </c>
      <c r="K11" s="21">
        <v>260</v>
      </c>
      <c r="L11" s="21">
        <v>190</v>
      </c>
      <c r="M11" s="21" t="s">
        <v>24</v>
      </c>
      <c r="N11" s="36" t="s">
        <v>26</v>
      </c>
      <c r="O11" s="29">
        <v>0.51</v>
      </c>
      <c r="P11" s="21" t="s">
        <v>24</v>
      </c>
      <c r="Q11" s="21">
        <v>0</v>
      </c>
      <c r="R11" s="21" t="s">
        <v>25</v>
      </c>
      <c r="S11" s="30">
        <v>85</v>
      </c>
      <c r="T11" s="31">
        <v>0.5</v>
      </c>
      <c r="U11" s="32">
        <v>0.7</v>
      </c>
      <c r="V11" s="13">
        <f>IF(AD11="-","-",ROUND($C11/AD11, 3)*Modifiers!$C$3*IF($E11="Yes",Modifiers!$C$5,1))</f>
        <v>0.57199999999999995</v>
      </c>
      <c r="W11" s="17">
        <f>IF(AE11="-","-",ROUND($C11/AE11, 3)*Modifiers!$C$3*IF($E11="Yes",Modifiers!$C$5,1))</f>
        <v>0.72399999999999998</v>
      </c>
      <c r="X11" s="17">
        <f>IF(AF11="-","-",ROUND($C11/AF11, 3)*Modifiers!$C$3*IF($E11="Yes",Modifiers!$C$5,1))</f>
        <v>0.92600000000000005</v>
      </c>
      <c r="Y11" s="17">
        <f>IF(AG11="-","-",ROUND($C11/AG11, 3)*Modifiers!$C$3*IF($E11="Yes",Modifiers!$C$5,1))</f>
        <v>1.3819999999999999</v>
      </c>
      <c r="Z11" s="23">
        <f t="shared" si="9"/>
        <v>25.73</v>
      </c>
      <c r="AA11" s="24">
        <f t="shared" si="10"/>
        <v>32.57</v>
      </c>
      <c r="AB11" s="24">
        <f t="shared" si="11"/>
        <v>41.69</v>
      </c>
      <c r="AC11" s="24">
        <f t="shared" si="12"/>
        <v>62.2</v>
      </c>
      <c r="AD11" s="69">
        <f t="shared" si="13"/>
        <v>17.491</v>
      </c>
      <c r="AE11" s="75">
        <f t="shared" si="14"/>
        <v>13.818</v>
      </c>
      <c r="AF11" s="71">
        <f t="shared" si="15"/>
        <v>10.795</v>
      </c>
      <c r="AG11" s="71">
        <f t="shared" si="16"/>
        <v>7.2350000000000003</v>
      </c>
      <c r="AH11" s="26" t="str">
        <f t="shared" si="1"/>
        <v>Cotton Plant</v>
      </c>
    </row>
    <row r="12" spans="1:36" x14ac:dyDescent="0.25">
      <c r="A12" s="26" t="s">
        <v>43</v>
      </c>
      <c r="B12" s="23">
        <v>22.5</v>
      </c>
      <c r="C12" s="27">
        <v>6</v>
      </c>
      <c r="D12" s="28" t="s">
        <v>43</v>
      </c>
      <c r="E12" s="53" t="s">
        <v>25</v>
      </c>
      <c r="F12" s="21" t="s">
        <v>24</v>
      </c>
      <c r="G12" s="21" t="s">
        <v>25</v>
      </c>
      <c r="H12" s="21" t="s">
        <v>24</v>
      </c>
      <c r="I12" s="17">
        <v>10</v>
      </c>
      <c r="J12" s="21" t="s">
        <v>43</v>
      </c>
      <c r="K12" s="21">
        <v>260</v>
      </c>
      <c r="L12" s="21">
        <v>190</v>
      </c>
      <c r="M12" s="21" t="s">
        <v>24</v>
      </c>
      <c r="N12" s="36" t="s">
        <v>26</v>
      </c>
      <c r="O12" s="29">
        <v>0.51</v>
      </c>
      <c r="P12" s="21" t="s">
        <v>24</v>
      </c>
      <c r="Q12" s="21">
        <v>0</v>
      </c>
      <c r="R12" s="21" t="s">
        <v>25</v>
      </c>
      <c r="S12" s="30">
        <v>85</v>
      </c>
      <c r="T12" s="31">
        <v>0.5</v>
      </c>
      <c r="U12" s="32">
        <v>1</v>
      </c>
      <c r="V12" s="13">
        <f>IF(AD12="-","-",ROUND($C12/AD12, 3)*Modifiers!$C$3*IF($E12="Yes",Modifiers!$C$5,1))</f>
        <v>0.108</v>
      </c>
      <c r="W12" s="17">
        <f>IF(AE12="-","-",ROUND($C12/AE12, 3)*Modifiers!$C$3*IF($E12="Yes",Modifiers!$C$5,1))</f>
        <v>0.154</v>
      </c>
      <c r="X12" s="17">
        <f>IF(AF12="-","-",ROUND($C12/AF12, 3)*Modifiers!$C$3*IF($E12="Yes",Modifiers!$C$5,1))</f>
        <v>0.216</v>
      </c>
      <c r="Y12" s="17" t="str">
        <f>IF(AG12="-","-",ROUND($C12/AG12, 3)*Modifiers!$C$3*IF($E12="Yes",Modifiers!$C$5,1))</f>
        <v>-</v>
      </c>
      <c r="Z12" s="23">
        <f t="shared" si="9"/>
        <v>8.11</v>
      </c>
      <c r="AA12" s="24">
        <f t="shared" si="10"/>
        <v>11.58</v>
      </c>
      <c r="AB12" s="24">
        <f t="shared" si="11"/>
        <v>16.21</v>
      </c>
      <c r="AC12" s="24" t="str">
        <f t="shared" si="12"/>
        <v>-</v>
      </c>
      <c r="AD12" s="69">
        <f t="shared" si="13"/>
        <v>55.52</v>
      </c>
      <c r="AE12" s="75">
        <f t="shared" si="14"/>
        <v>38.863999999999997</v>
      </c>
      <c r="AF12" s="71">
        <f t="shared" si="15"/>
        <v>27.76</v>
      </c>
      <c r="AG12" s="71" t="str">
        <f t="shared" si="16"/>
        <v>-</v>
      </c>
      <c r="AH12" s="26" t="str">
        <f t="shared" si="1"/>
        <v>Devilstrand</v>
      </c>
    </row>
    <row r="13" spans="1:36" x14ac:dyDescent="0.25">
      <c r="A13" s="26" t="s">
        <v>44</v>
      </c>
      <c r="B13" s="23">
        <v>6.5</v>
      </c>
      <c r="C13" s="27">
        <v>1</v>
      </c>
      <c r="D13" s="28" t="s">
        <v>45</v>
      </c>
      <c r="E13" s="53" t="s">
        <v>25</v>
      </c>
      <c r="F13" s="21" t="s">
        <v>25</v>
      </c>
      <c r="G13" s="21" t="s">
        <v>25</v>
      </c>
      <c r="H13" s="21" t="s">
        <v>25</v>
      </c>
      <c r="I13" s="17">
        <v>8</v>
      </c>
      <c r="J13" s="21" t="s">
        <v>26</v>
      </c>
      <c r="K13" s="21">
        <v>260</v>
      </c>
      <c r="L13" s="21">
        <v>190</v>
      </c>
      <c r="M13" s="21" t="s">
        <v>24</v>
      </c>
      <c r="N13" s="36" t="s">
        <v>26</v>
      </c>
      <c r="O13" s="29">
        <v>0.51</v>
      </c>
      <c r="P13" s="21" t="s">
        <v>24</v>
      </c>
      <c r="Q13" s="21">
        <v>0</v>
      </c>
      <c r="R13" s="21" t="s">
        <v>25</v>
      </c>
      <c r="S13" s="30">
        <v>85</v>
      </c>
      <c r="T13" s="31">
        <v>0.5</v>
      </c>
      <c r="U13" s="32">
        <v>1</v>
      </c>
      <c r="V13" s="13">
        <f>IF(AD13="-","-",ROUND($C13/AD13, 3)*Modifiers!$C$3*IF($E13="Yes",Modifiers!$C$5,1))</f>
        <v>6.2E-2</v>
      </c>
      <c r="W13" s="17">
        <f>IF(AE13="-","-",ROUND($C13/AE13, 3)*Modifiers!$C$3*IF($E13="Yes",Modifiers!$C$5,1))</f>
        <v>8.8999999999999996E-2</v>
      </c>
      <c r="X13" s="17">
        <f>IF(AF13="-","-",ROUND($C13/AF13, 3)*Modifiers!$C$3*IF($E13="Yes",Modifiers!$C$5,1))</f>
        <v>0.125</v>
      </c>
      <c r="Y13" s="17">
        <f>IF(AG13="-","-",ROUND($C13/AG13, 3)*Modifiers!$C$3*IF($E13="Yes",Modifiers!$C$5,1))</f>
        <v>0.20499999999999999</v>
      </c>
      <c r="Z13" s="23">
        <f t="shared" si="9"/>
        <v>28.06</v>
      </c>
      <c r="AA13" s="24">
        <f t="shared" si="10"/>
        <v>40.08</v>
      </c>
      <c r="AB13" s="24">
        <f t="shared" si="11"/>
        <v>56.12</v>
      </c>
      <c r="AC13" s="24">
        <f t="shared" si="12"/>
        <v>92.19</v>
      </c>
      <c r="AD13" s="69">
        <f t="shared" si="13"/>
        <v>16.039000000000001</v>
      </c>
      <c r="AE13" s="75">
        <f t="shared" si="14"/>
        <v>11.227</v>
      </c>
      <c r="AF13" s="71">
        <f t="shared" si="15"/>
        <v>8.0190000000000001</v>
      </c>
      <c r="AG13" s="71">
        <f t="shared" si="16"/>
        <v>4.8810000000000002</v>
      </c>
      <c r="AH13" s="26" t="str">
        <f t="shared" si="1"/>
        <v>Healroot</v>
      </c>
    </row>
    <row r="14" spans="1:36" x14ac:dyDescent="0.25">
      <c r="A14" s="26" t="s">
        <v>46</v>
      </c>
      <c r="B14" s="23">
        <v>5</v>
      </c>
      <c r="C14" s="27">
        <v>8</v>
      </c>
      <c r="D14" s="28" t="s">
        <v>47</v>
      </c>
      <c r="E14" s="53" t="s">
        <v>25</v>
      </c>
      <c r="F14" s="21" t="s">
        <v>24</v>
      </c>
      <c r="G14" s="21" t="s">
        <v>25</v>
      </c>
      <c r="H14" s="21" t="s">
        <v>25</v>
      </c>
      <c r="I14" s="17">
        <v>7</v>
      </c>
      <c r="J14" s="21" t="s">
        <v>26</v>
      </c>
      <c r="K14" s="21">
        <v>260</v>
      </c>
      <c r="L14" s="21">
        <v>190</v>
      </c>
      <c r="M14" s="21" t="s">
        <v>24</v>
      </c>
      <c r="N14" s="36" t="s">
        <v>26</v>
      </c>
      <c r="O14" s="29">
        <v>0.51</v>
      </c>
      <c r="P14" s="21" t="s">
        <v>24</v>
      </c>
      <c r="Q14" s="21">
        <v>0</v>
      </c>
      <c r="R14" s="21" t="s">
        <v>25</v>
      </c>
      <c r="S14" s="30">
        <v>85</v>
      </c>
      <c r="T14" s="31">
        <v>0.5</v>
      </c>
      <c r="U14" s="32">
        <v>0.7</v>
      </c>
      <c r="V14" s="13">
        <f>IF(AD14="-","-",ROUND($C14/AD14, 3)*Modifiers!$C$3*IF($E14="Yes",Modifiers!$C$5,1))</f>
        <v>0.73199999999999998</v>
      </c>
      <c r="W14" s="17">
        <f>IF(AE14="-","-",ROUND($C14/AE14, 3)*Modifiers!$C$3*IF($E14="Yes",Modifiers!$C$5,1))</f>
        <v>0.92600000000000005</v>
      </c>
      <c r="X14" s="17">
        <f>IF(AF14="-","-",ROUND($C14/AF14, 3)*Modifiers!$C$3*IF($E14="Yes",Modifiers!$C$5,1))</f>
        <v>1.1859999999999999</v>
      </c>
      <c r="Y14" s="17">
        <f>IF(AG14="-","-",ROUND($C14/AG14, 3)*Modifiers!$C$3*IF($E14="Yes",Modifiers!$C$5,1))</f>
        <v>1.77</v>
      </c>
      <c r="Z14" s="23">
        <f t="shared" si="9"/>
        <v>41.16</v>
      </c>
      <c r="AA14" s="24">
        <f t="shared" si="10"/>
        <v>52.11</v>
      </c>
      <c r="AB14" s="24">
        <f t="shared" si="11"/>
        <v>66.7</v>
      </c>
      <c r="AC14" s="24">
        <f t="shared" si="12"/>
        <v>99.54</v>
      </c>
      <c r="AD14" s="69">
        <f t="shared" si="13"/>
        <v>10.932</v>
      </c>
      <c r="AE14" s="75">
        <f t="shared" si="14"/>
        <v>8.6359999999999992</v>
      </c>
      <c r="AF14" s="71">
        <f t="shared" si="15"/>
        <v>6.7469999999999999</v>
      </c>
      <c r="AG14" s="71">
        <f t="shared" si="16"/>
        <v>4.5209999999999999</v>
      </c>
      <c r="AH14" s="26" t="str">
        <f t="shared" si="1"/>
        <v>Hop Plant</v>
      </c>
    </row>
    <row r="15" spans="1:36" x14ac:dyDescent="0.25">
      <c r="A15" s="26" t="s">
        <v>48</v>
      </c>
      <c r="B15" s="23">
        <v>7.5</v>
      </c>
      <c r="C15" s="27">
        <v>9</v>
      </c>
      <c r="D15" s="28" t="s">
        <v>49</v>
      </c>
      <c r="E15" s="53" t="s">
        <v>25</v>
      </c>
      <c r="F15" s="21" t="s">
        <v>24</v>
      </c>
      <c r="G15" s="21" t="s">
        <v>25</v>
      </c>
      <c r="H15" s="21" t="s">
        <v>25</v>
      </c>
      <c r="I15" s="17">
        <v>4</v>
      </c>
      <c r="J15" s="21" t="s">
        <v>26</v>
      </c>
      <c r="K15" s="21">
        <v>260</v>
      </c>
      <c r="L15" s="21">
        <v>190</v>
      </c>
      <c r="M15" s="21" t="s">
        <v>24</v>
      </c>
      <c r="N15" s="36" t="s">
        <v>26</v>
      </c>
      <c r="O15" s="29">
        <v>0.51</v>
      </c>
      <c r="P15" s="21" t="s">
        <v>24</v>
      </c>
      <c r="Q15" s="21">
        <v>0</v>
      </c>
      <c r="R15" s="21" t="s">
        <v>25</v>
      </c>
      <c r="S15" s="30">
        <v>85</v>
      </c>
      <c r="T15" s="31">
        <v>0.5</v>
      </c>
      <c r="U15" s="32">
        <v>1</v>
      </c>
      <c r="V15" s="13">
        <f>IF(AD15="-","-",ROUND($C15/AD15, 3)*Modifiers!$C$3*IF($E15="Yes",Modifiers!$C$5,1))</f>
        <v>0.48599999999999999</v>
      </c>
      <c r="W15" s="17">
        <f>IF(AE15="-","-",ROUND($C15/AE15, 3)*Modifiers!$C$3*IF($E15="Yes",Modifiers!$C$5,1))</f>
        <v>0.69499999999999995</v>
      </c>
      <c r="X15" s="17">
        <f>IF(AF15="-","-",ROUND($C15/AF15, 3)*Modifiers!$C$3*IF($E15="Yes",Modifiers!$C$5,1))</f>
        <v>0.97299999999999998</v>
      </c>
      <c r="Y15" s="17">
        <f>IF(AG15="-","-",ROUND($C15/AG15, 3)*Modifiers!$C$3*IF($E15="Yes",Modifiers!$C$5,1))</f>
        <v>1.5980000000000001</v>
      </c>
      <c r="Z15" s="23">
        <f t="shared" si="9"/>
        <v>24.32</v>
      </c>
      <c r="AA15" s="24">
        <f t="shared" si="10"/>
        <v>34.74</v>
      </c>
      <c r="AB15" s="24">
        <f t="shared" si="11"/>
        <v>48.63</v>
      </c>
      <c r="AC15" s="24">
        <f t="shared" si="12"/>
        <v>79.89</v>
      </c>
      <c r="AD15" s="69">
        <f t="shared" si="13"/>
        <v>18.507000000000001</v>
      </c>
      <c r="AE15" s="75">
        <f t="shared" si="14"/>
        <v>12.955</v>
      </c>
      <c r="AF15" s="71">
        <f t="shared" si="15"/>
        <v>9.2539999999999996</v>
      </c>
      <c r="AG15" s="71">
        <f t="shared" si="16"/>
        <v>5.633</v>
      </c>
      <c r="AH15" s="26" t="str">
        <f t="shared" si="1"/>
        <v>Smokeleaf Plant</v>
      </c>
    </row>
    <row r="16" spans="1:36" x14ac:dyDescent="0.25">
      <c r="A16" s="26" t="s">
        <v>50</v>
      </c>
      <c r="B16" s="23">
        <v>9</v>
      </c>
      <c r="C16" s="27">
        <v>8</v>
      </c>
      <c r="D16" s="28" t="s">
        <v>51</v>
      </c>
      <c r="E16" s="53" t="s">
        <v>25</v>
      </c>
      <c r="F16" s="21" t="s">
        <v>24</v>
      </c>
      <c r="G16" s="21" t="s">
        <v>25</v>
      </c>
      <c r="H16" s="21" t="s">
        <v>25</v>
      </c>
      <c r="I16" s="17">
        <v>6</v>
      </c>
      <c r="J16" s="21" t="s">
        <v>26</v>
      </c>
      <c r="K16" s="21">
        <v>260</v>
      </c>
      <c r="L16" s="21">
        <v>190</v>
      </c>
      <c r="M16" s="21" t="s">
        <v>24</v>
      </c>
      <c r="N16" s="36" t="s">
        <v>26</v>
      </c>
      <c r="O16" s="29">
        <v>0.51</v>
      </c>
      <c r="P16" s="21" t="s">
        <v>24</v>
      </c>
      <c r="Q16" s="21">
        <v>0</v>
      </c>
      <c r="R16" s="21" t="s">
        <v>25</v>
      </c>
      <c r="S16" s="30">
        <v>85</v>
      </c>
      <c r="T16" s="31">
        <v>0.5</v>
      </c>
      <c r="U16" s="32">
        <v>1</v>
      </c>
      <c r="V16" s="13">
        <f>IF(AD16="-","-",ROUND($C16/AD16, 3)*Modifiers!$C$3*IF($E16="Yes",Modifiers!$C$5,1))</f>
        <v>0.36</v>
      </c>
      <c r="W16" s="17">
        <f>IF(AE16="-","-",ROUND($C16/AE16, 3)*Modifiers!$C$3*IF($E16="Yes",Modifiers!$C$5,1))</f>
        <v>0.51500000000000001</v>
      </c>
      <c r="X16" s="17">
        <f>IF(AF16="-","-",ROUND($C16/AF16, 3)*Modifiers!$C$3*IF($E16="Yes",Modifiers!$C$5,1))</f>
        <v>0.72</v>
      </c>
      <c r="Y16" s="17">
        <f>IF(AG16="-","-",ROUND($C16/AG16, 3)*Modifiers!$C$3*IF($E16="Yes",Modifiers!$C$5,1))</f>
        <v>1.1839999999999999</v>
      </c>
      <c r="Z16" s="23">
        <f t="shared" si="9"/>
        <v>20.260000000000002</v>
      </c>
      <c r="AA16" s="24">
        <f t="shared" si="10"/>
        <v>28.95</v>
      </c>
      <c r="AB16" s="24">
        <f t="shared" si="11"/>
        <v>40.53</v>
      </c>
      <c r="AC16" s="24">
        <f t="shared" si="12"/>
        <v>66.58</v>
      </c>
      <c r="AD16" s="69">
        <f t="shared" si="13"/>
        <v>22.207000000000001</v>
      </c>
      <c r="AE16" s="75">
        <f t="shared" si="14"/>
        <v>15.545</v>
      </c>
      <c r="AF16" s="71">
        <f t="shared" si="15"/>
        <v>11.103999999999999</v>
      </c>
      <c r="AG16" s="71">
        <f t="shared" si="16"/>
        <v>6.7590000000000003</v>
      </c>
      <c r="AH16" s="26" t="str">
        <f t="shared" si="1"/>
        <v>Psychoid Plant</v>
      </c>
    </row>
    <row r="17" spans="1:34" x14ac:dyDescent="0.25">
      <c r="A17" s="26" t="s">
        <v>54</v>
      </c>
      <c r="B17" s="23">
        <v>6</v>
      </c>
      <c r="C17" s="27">
        <v>4</v>
      </c>
      <c r="D17" s="28" t="s">
        <v>55</v>
      </c>
      <c r="E17" s="53" t="s">
        <v>25</v>
      </c>
      <c r="F17" s="21" t="s">
        <v>24</v>
      </c>
      <c r="G17" s="21" t="s">
        <v>24</v>
      </c>
      <c r="H17" s="21" t="s">
        <v>24</v>
      </c>
      <c r="I17" s="17" t="s">
        <v>26</v>
      </c>
      <c r="J17" s="21" t="s">
        <v>26</v>
      </c>
      <c r="K17" s="21" t="s">
        <v>26</v>
      </c>
      <c r="L17" s="21">
        <v>190</v>
      </c>
      <c r="M17" s="21" t="s">
        <v>25</v>
      </c>
      <c r="N17" s="36">
        <v>0.3</v>
      </c>
      <c r="O17" s="29">
        <v>0.51</v>
      </c>
      <c r="P17" s="21" t="s">
        <v>24</v>
      </c>
      <c r="Q17" s="21">
        <v>0</v>
      </c>
      <c r="R17" s="21" t="s">
        <v>25</v>
      </c>
      <c r="S17" s="30">
        <v>100</v>
      </c>
      <c r="T17" s="31">
        <v>0.3</v>
      </c>
      <c r="U17" s="32">
        <v>0.15</v>
      </c>
      <c r="V17" s="13">
        <f>IF(AD17="-","-",ROUND($C17/AD17, 3)*Modifiers!$C$3*IF($E17="Yes",Modifiers!$C$5,1))</f>
        <v>0.5</v>
      </c>
      <c r="W17" s="17">
        <f>IF(AE17="-","-",ROUND($C17/AE17, 3)*Modifiers!$C$3*IF($E17="Yes",Modifiers!$C$5,1))</f>
        <v>0.52400000000000002</v>
      </c>
      <c r="X17" s="17">
        <f>IF(AF17="-","-",ROUND($C17/AF17, 3)*Modifiers!$C$3*IF($E17="Yes",Modifiers!$C$5,1))</f>
        <v>0.55500000000000005</v>
      </c>
      <c r="Y17" s="17" t="str">
        <f>IF(AG17="-","-",ROUND($C17/AG17, 3)*Modifiers!$C$3*IF($E17="Yes",Modifiers!$C$5,1))</f>
        <v>-</v>
      </c>
      <c r="Z17" s="23" t="str">
        <f t="shared" si="9"/>
        <v>-</v>
      </c>
      <c r="AA17" s="24" t="str">
        <f t="shared" si="10"/>
        <v>-</v>
      </c>
      <c r="AB17" s="24" t="str">
        <f t="shared" si="11"/>
        <v>-</v>
      </c>
      <c r="AC17" s="24" t="str">
        <f t="shared" si="12"/>
        <v>-</v>
      </c>
      <c r="AD17" s="69">
        <f t="shared" si="13"/>
        <v>7.9960000000000004</v>
      </c>
      <c r="AE17" s="75">
        <f t="shared" si="14"/>
        <v>7.6360000000000001</v>
      </c>
      <c r="AF17" s="71">
        <f t="shared" si="15"/>
        <v>7.2039999999999997</v>
      </c>
      <c r="AG17" s="71" t="str">
        <f t="shared" si="16"/>
        <v>-</v>
      </c>
      <c r="AH17" s="26" t="str">
        <f t="shared" si="1"/>
        <v>Ambrosia Bush</v>
      </c>
    </row>
    <row r="18" spans="1:34" x14ac:dyDescent="0.25">
      <c r="A18" s="26" t="s">
        <v>52</v>
      </c>
      <c r="B18" s="23">
        <v>40</v>
      </c>
      <c r="C18" s="27">
        <v>20</v>
      </c>
      <c r="D18" s="28" t="s">
        <v>56</v>
      </c>
      <c r="E18" s="53" t="s">
        <v>25</v>
      </c>
      <c r="F18" s="21" t="s">
        <v>25</v>
      </c>
      <c r="G18" s="21" t="s">
        <v>24</v>
      </c>
      <c r="H18" s="21" t="s">
        <v>24</v>
      </c>
      <c r="I18" s="17" t="s">
        <v>26</v>
      </c>
      <c r="J18" s="21" t="s">
        <v>26</v>
      </c>
      <c r="K18" s="21" t="s">
        <v>26</v>
      </c>
      <c r="L18" s="21">
        <v>190</v>
      </c>
      <c r="M18" s="21" t="s">
        <v>24</v>
      </c>
      <c r="N18" s="36" t="s">
        <v>26</v>
      </c>
      <c r="O18" s="29">
        <v>0</v>
      </c>
      <c r="P18" s="21" t="s">
        <v>25</v>
      </c>
      <c r="Q18" s="21">
        <v>2</v>
      </c>
      <c r="R18" s="21" t="s">
        <v>24</v>
      </c>
      <c r="S18" s="30">
        <v>100</v>
      </c>
      <c r="T18" s="31">
        <v>0.01</v>
      </c>
      <c r="U18" s="32">
        <v>0.15</v>
      </c>
      <c r="V18" s="13">
        <f>IF(AD18="-","-",ROUND($C18/AD18, 3)*Modifiers!$C$3*IF($E18="Yes",Modifiers!$C$5,1))</f>
        <v>0.27600000000000002</v>
      </c>
      <c r="W18" s="17">
        <f>IF(AE18="-","-",ROUND($C18/AE18, 3)*Modifiers!$C$3*IF($E18="Yes",Modifiers!$C$5,1))</f>
        <v>0.28899999999999998</v>
      </c>
      <c r="X18" s="17">
        <f>IF(AF18="-","-",ROUND($C18/AF18, 3)*Modifiers!$C$3*IF($E18="Yes",Modifiers!$C$5,1))</f>
        <v>0.307</v>
      </c>
      <c r="Y18" s="17" t="str">
        <f>IF(AG18="-","-",ROUND($C18/AG18, 3)*Modifiers!$C$3*IF($E18="Yes",Modifiers!$C$5,1))</f>
        <v>-</v>
      </c>
      <c r="Z18" s="23" t="str">
        <f t="shared" si="9"/>
        <v>-</v>
      </c>
      <c r="AA18" s="24" t="str">
        <f t="shared" si="10"/>
        <v>-</v>
      </c>
      <c r="AB18" s="24" t="str">
        <f t="shared" si="11"/>
        <v>-</v>
      </c>
      <c r="AC18" s="24" t="str">
        <f t="shared" si="12"/>
        <v>-</v>
      </c>
      <c r="AD18" s="69">
        <f t="shared" si="13"/>
        <v>72.346999999999994</v>
      </c>
      <c r="AE18" s="75">
        <f t="shared" si="14"/>
        <v>69.090999999999994</v>
      </c>
      <c r="AF18" s="71">
        <f t="shared" si="15"/>
        <v>65.180000000000007</v>
      </c>
      <c r="AG18" s="71" t="str">
        <f t="shared" si="16"/>
        <v>-</v>
      </c>
      <c r="AH18" s="26" t="str">
        <f t="shared" si="1"/>
        <v>Glowstool</v>
      </c>
    </row>
    <row r="19" spans="1:34" x14ac:dyDescent="0.25">
      <c r="A19" s="26" t="s">
        <v>57</v>
      </c>
      <c r="B19" s="23">
        <v>60</v>
      </c>
      <c r="C19" s="27">
        <v>35</v>
      </c>
      <c r="D19" s="28" t="s">
        <v>56</v>
      </c>
      <c r="E19" s="53" t="s">
        <v>25</v>
      </c>
      <c r="F19" s="21" t="s">
        <v>25</v>
      </c>
      <c r="G19" s="21" t="s">
        <v>24</v>
      </c>
      <c r="H19" s="21" t="s">
        <v>24</v>
      </c>
      <c r="I19" s="17" t="s">
        <v>26</v>
      </c>
      <c r="J19" s="21" t="s">
        <v>26</v>
      </c>
      <c r="K19" s="21" t="s">
        <v>26</v>
      </c>
      <c r="L19" s="21">
        <v>190</v>
      </c>
      <c r="M19" s="21" t="s">
        <v>24</v>
      </c>
      <c r="N19" s="36" t="s">
        <v>26</v>
      </c>
      <c r="O19" s="29">
        <v>0</v>
      </c>
      <c r="P19" s="21" t="s">
        <v>25</v>
      </c>
      <c r="Q19" s="21">
        <v>4</v>
      </c>
      <c r="R19" s="21" t="s">
        <v>24</v>
      </c>
      <c r="S19" s="30">
        <v>150</v>
      </c>
      <c r="T19" s="31">
        <v>0.01</v>
      </c>
      <c r="U19" s="32">
        <v>0.15</v>
      </c>
      <c r="V19" s="13">
        <f>IF(AD19="-","-",ROUND($C19/AD19, 3)*Modifiers!$C$3*IF($E19="Yes",Modifiers!$C$5,1))</f>
        <v>0.32300000000000001</v>
      </c>
      <c r="W19" s="17">
        <f>IF(AE19="-","-",ROUND($C19/AE19, 3)*Modifiers!$C$3*IF($E19="Yes",Modifiers!$C$5,1))</f>
        <v>0.33800000000000002</v>
      </c>
      <c r="X19" s="17">
        <f>IF(AF19="-","-",ROUND($C19/AF19, 3)*Modifiers!$C$3*IF($E19="Yes",Modifiers!$C$5,1))</f>
        <v>0.35799999999999998</v>
      </c>
      <c r="Y19" s="17" t="str">
        <f>IF(AG19="-","-",ROUND($C19/AG19, 3)*Modifiers!$C$3*IF($E19="Yes",Modifiers!$C$5,1))</f>
        <v>-</v>
      </c>
      <c r="Z19" s="23" t="str">
        <f t="shared" si="9"/>
        <v>-</v>
      </c>
      <c r="AA19" s="24" t="str">
        <f t="shared" si="10"/>
        <v>-</v>
      </c>
      <c r="AB19" s="24" t="str">
        <f t="shared" si="11"/>
        <v>-</v>
      </c>
      <c r="AC19" s="24" t="str">
        <f t="shared" si="12"/>
        <v>-</v>
      </c>
      <c r="AD19" s="69">
        <f t="shared" si="13"/>
        <v>108.51900000000001</v>
      </c>
      <c r="AE19" s="75">
        <f t="shared" si="14"/>
        <v>103.636</v>
      </c>
      <c r="AF19" s="71">
        <f t="shared" si="15"/>
        <v>97.77</v>
      </c>
      <c r="AG19" s="71" t="str">
        <f t="shared" si="16"/>
        <v>-</v>
      </c>
      <c r="AH19" s="26" t="str">
        <f t="shared" si="1"/>
        <v>Agarilux</v>
      </c>
    </row>
    <row r="20" spans="1:34" x14ac:dyDescent="0.25">
      <c r="A20" s="26" t="s">
        <v>58</v>
      </c>
      <c r="B20" s="23">
        <v>5</v>
      </c>
      <c r="C20" s="27">
        <v>10</v>
      </c>
      <c r="D20" s="28" t="s">
        <v>59</v>
      </c>
      <c r="E20" s="53" t="s">
        <v>24</v>
      </c>
      <c r="F20" s="21" t="s">
        <v>25</v>
      </c>
      <c r="G20" s="21" t="s">
        <v>24</v>
      </c>
      <c r="H20" s="21" t="s">
        <v>24</v>
      </c>
      <c r="I20" s="17" t="s">
        <v>26</v>
      </c>
      <c r="J20" s="21" t="s">
        <v>26</v>
      </c>
      <c r="K20" s="21" t="s">
        <v>26</v>
      </c>
      <c r="L20" s="21">
        <v>300</v>
      </c>
      <c r="M20" s="21" t="s">
        <v>24</v>
      </c>
      <c r="N20" s="36" t="s">
        <v>26</v>
      </c>
      <c r="O20" s="29">
        <v>0.51</v>
      </c>
      <c r="P20" s="21" t="s">
        <v>24</v>
      </c>
      <c r="Q20" s="21">
        <v>0</v>
      </c>
      <c r="R20" s="21" t="s">
        <v>25</v>
      </c>
      <c r="S20" s="30">
        <v>200</v>
      </c>
      <c r="T20" s="31">
        <v>0.05</v>
      </c>
      <c r="U20" s="32">
        <v>0</v>
      </c>
      <c r="V20" s="13">
        <f>IF(AD20="-","-",ROUND($C20/AD20, 3)*Modifiers!$C$3*IF($E20="Yes",Modifiers!$C$5,1))</f>
        <v>1.1579999999999999</v>
      </c>
      <c r="W20" s="17">
        <f>IF(AE20="-","-",ROUND($C20/AE20, 3)*Modifiers!$C$3*IF($E20="Yes",Modifiers!$C$5,1))</f>
        <v>1.1579999999999999</v>
      </c>
      <c r="X20" s="17">
        <f>IF(AF20="-","-",ROUND($C20/AF20, 3)*Modifiers!$C$3*IF($E20="Yes",Modifiers!$C$5,1))</f>
        <v>1.1579999999999999</v>
      </c>
      <c r="Y20" s="17" t="str">
        <f>IF(AG20="-","-",ROUND($C20/AG20, 3)*Modifiers!$C$3*IF($E20="Yes",Modifiers!$C$5,1))</f>
        <v>-</v>
      </c>
      <c r="Z20" s="23" t="str">
        <f t="shared" si="9"/>
        <v>-</v>
      </c>
      <c r="AA20" s="24" t="str">
        <f t="shared" si="10"/>
        <v>-</v>
      </c>
      <c r="AB20" s="24" t="str">
        <f t="shared" si="11"/>
        <v>-</v>
      </c>
      <c r="AC20" s="24" t="str">
        <f t="shared" si="12"/>
        <v>-</v>
      </c>
      <c r="AD20" s="69">
        <f t="shared" si="13"/>
        <v>8.6359999999999992</v>
      </c>
      <c r="AE20" s="75">
        <f t="shared" si="14"/>
        <v>8.6359999999999992</v>
      </c>
      <c r="AF20" s="71">
        <f t="shared" si="15"/>
        <v>8.6359999999999992</v>
      </c>
      <c r="AG20" s="71" t="str">
        <f t="shared" si="16"/>
        <v>-</v>
      </c>
      <c r="AH20" s="26" t="str">
        <f t="shared" si="1"/>
        <v>Saguaro Cactus</v>
      </c>
    </row>
    <row r="21" spans="1:34" x14ac:dyDescent="0.25">
      <c r="A21" s="26" t="s">
        <v>60</v>
      </c>
      <c r="B21" s="23">
        <v>15</v>
      </c>
      <c r="C21" s="27">
        <v>25</v>
      </c>
      <c r="D21" s="28" t="s">
        <v>59</v>
      </c>
      <c r="E21" s="53" t="s">
        <v>24</v>
      </c>
      <c r="F21" s="21" t="s">
        <v>25</v>
      </c>
      <c r="G21" s="21" t="s">
        <v>25</v>
      </c>
      <c r="H21" s="21" t="s">
        <v>24</v>
      </c>
      <c r="I21" s="17" t="s">
        <v>26</v>
      </c>
      <c r="J21" s="21" t="s">
        <v>26</v>
      </c>
      <c r="K21" s="21">
        <v>1500</v>
      </c>
      <c r="L21" s="21">
        <v>650</v>
      </c>
      <c r="M21" s="21" t="s">
        <v>24</v>
      </c>
      <c r="N21" s="36" t="s">
        <v>26</v>
      </c>
      <c r="O21" s="29">
        <v>0.51</v>
      </c>
      <c r="P21" s="21" t="s">
        <v>24</v>
      </c>
      <c r="Q21" s="21">
        <v>1</v>
      </c>
      <c r="R21" s="21" t="s">
        <v>25</v>
      </c>
      <c r="S21" s="30">
        <v>300</v>
      </c>
      <c r="T21" s="31">
        <v>0.3</v>
      </c>
      <c r="U21" s="32">
        <v>0.5</v>
      </c>
      <c r="V21" s="13">
        <f>IF(AD21="-","-",ROUND($C21/AD21, 3)*Modifiers!$C$3*IF($E21="Yes",Modifiers!$C$5,1))</f>
        <v>0.82</v>
      </c>
      <c r="W21" s="17">
        <f>IF(AE21="-","-",ROUND($C21/AE21, 3)*Modifiers!$C$3*IF($E21="Yes",Modifiers!$C$5,1))</f>
        <v>0.96499999999999997</v>
      </c>
      <c r="X21" s="17">
        <f>IF(AF21="-","-",ROUND($C21/AF21, 3)*Modifiers!$C$3*IF($E21="Yes",Modifiers!$C$5,1))</f>
        <v>1.1579999999999999</v>
      </c>
      <c r="Y21" s="17" t="str">
        <f>IF(AG21="-","-",ROUND($C21/AG21, 3)*Modifiers!$C$3*IF($E21="Yes",Modifiers!$C$5,1))</f>
        <v>-</v>
      </c>
      <c r="Z21" s="23">
        <f t="shared" si="9"/>
        <v>70.540000000000006</v>
      </c>
      <c r="AA21" s="24">
        <f t="shared" si="10"/>
        <v>82.98</v>
      </c>
      <c r="AB21" s="24">
        <f t="shared" si="11"/>
        <v>99.58</v>
      </c>
      <c r="AC21" s="24" t="str">
        <f t="shared" si="12"/>
        <v>-</v>
      </c>
      <c r="AD21" s="69">
        <f t="shared" si="13"/>
        <v>30.481000000000002</v>
      </c>
      <c r="AE21" s="75">
        <f t="shared" si="14"/>
        <v>25.908999999999999</v>
      </c>
      <c r="AF21" s="71">
        <f t="shared" si="15"/>
        <v>21.591000000000001</v>
      </c>
      <c r="AG21" s="71" t="str">
        <f t="shared" si="16"/>
        <v>-</v>
      </c>
      <c r="AH21" s="26" t="str">
        <f t="shared" si="1"/>
        <v>Drago Tree</v>
      </c>
    </row>
    <row r="22" spans="1:34" x14ac:dyDescent="0.25">
      <c r="A22" s="26" t="s">
        <v>61</v>
      </c>
      <c r="B22" s="23">
        <v>13</v>
      </c>
      <c r="C22" s="27">
        <v>17</v>
      </c>
      <c r="D22" s="28" t="s">
        <v>59</v>
      </c>
      <c r="E22" s="53" t="s">
        <v>24</v>
      </c>
      <c r="F22" s="21" t="s">
        <v>25</v>
      </c>
      <c r="G22" s="21" t="s">
        <v>25</v>
      </c>
      <c r="H22" s="21" t="s">
        <v>24</v>
      </c>
      <c r="I22" s="17" t="s">
        <v>26</v>
      </c>
      <c r="J22" s="21" t="s">
        <v>26</v>
      </c>
      <c r="K22" s="21">
        <v>1500</v>
      </c>
      <c r="L22" s="21">
        <v>800</v>
      </c>
      <c r="M22" s="21" t="s">
        <v>24</v>
      </c>
      <c r="N22" s="36" t="s">
        <v>26</v>
      </c>
      <c r="O22" s="29">
        <v>0.51</v>
      </c>
      <c r="P22" s="21" t="s">
        <v>24</v>
      </c>
      <c r="Q22" s="21">
        <v>2</v>
      </c>
      <c r="R22" s="21" t="s">
        <v>25</v>
      </c>
      <c r="S22" s="30">
        <v>300</v>
      </c>
      <c r="T22" s="31">
        <v>0.3</v>
      </c>
      <c r="U22" s="32">
        <v>0.5</v>
      </c>
      <c r="V22" s="13">
        <f>IF(AD22="-","-",ROUND($C22/AD22, 3)*Modifiers!$C$3*IF($E22="Yes",Modifiers!$C$5,1))</f>
        <v>0.64400000000000002</v>
      </c>
      <c r="W22" s="17">
        <f>IF(AE22="-","-",ROUND($C22/AE22, 3)*Modifiers!$C$3*IF($E22="Yes",Modifiers!$C$5,1))</f>
        <v>0.75700000000000001</v>
      </c>
      <c r="X22" s="17">
        <f>IF(AF22="-","-",ROUND($C22/AF22, 3)*Modifiers!$C$3*IF($E22="Yes",Modifiers!$C$5,1))</f>
        <v>0.90800000000000003</v>
      </c>
      <c r="Y22" s="17" t="str">
        <f>IF(AG22="-","-",ROUND($C22/AG22, 3)*Modifiers!$C$3*IF($E22="Yes",Modifiers!$C$5,1))</f>
        <v>-</v>
      </c>
      <c r="Z22" s="23">
        <f t="shared" si="9"/>
        <v>87.06</v>
      </c>
      <c r="AA22" s="24">
        <f t="shared" si="10"/>
        <v>102.43</v>
      </c>
      <c r="AB22" s="24">
        <f t="shared" si="11"/>
        <v>122.91</v>
      </c>
      <c r="AC22" s="24" t="str">
        <f t="shared" si="12"/>
        <v>-</v>
      </c>
      <c r="AD22" s="69">
        <f t="shared" si="13"/>
        <v>26.417999999999999</v>
      </c>
      <c r="AE22" s="75">
        <f t="shared" si="14"/>
        <v>22.454999999999998</v>
      </c>
      <c r="AF22" s="71">
        <f t="shared" si="15"/>
        <v>18.713000000000001</v>
      </c>
      <c r="AG22" s="71" t="str">
        <f t="shared" si="16"/>
        <v>-</v>
      </c>
      <c r="AH22" s="26" t="str">
        <f t="shared" si="1"/>
        <v>Willow Tree</v>
      </c>
    </row>
    <row r="23" spans="1:34" x14ac:dyDescent="0.25">
      <c r="A23" s="26" t="s">
        <v>62</v>
      </c>
      <c r="B23" s="23">
        <v>35</v>
      </c>
      <c r="C23" s="27">
        <v>43</v>
      </c>
      <c r="D23" s="28" t="s">
        <v>59</v>
      </c>
      <c r="E23" s="53" t="s">
        <v>24</v>
      </c>
      <c r="F23" s="21" t="s">
        <v>25</v>
      </c>
      <c r="G23" s="21" t="s">
        <v>25</v>
      </c>
      <c r="H23" s="21" t="s">
        <v>24</v>
      </c>
      <c r="I23" s="17" t="s">
        <v>26</v>
      </c>
      <c r="J23" s="21" t="s">
        <v>26</v>
      </c>
      <c r="K23" s="21">
        <v>1500</v>
      </c>
      <c r="L23" s="21">
        <v>2200</v>
      </c>
      <c r="M23" s="21" t="s">
        <v>24</v>
      </c>
      <c r="N23" s="36" t="s">
        <v>26</v>
      </c>
      <c r="O23" s="29">
        <v>0.51</v>
      </c>
      <c r="P23" s="21" t="s">
        <v>24</v>
      </c>
      <c r="Q23" s="21">
        <v>1</v>
      </c>
      <c r="R23" s="21" t="s">
        <v>25</v>
      </c>
      <c r="S23" s="30">
        <v>300</v>
      </c>
      <c r="T23" s="31">
        <v>0.3</v>
      </c>
      <c r="U23" s="32">
        <v>0.5</v>
      </c>
      <c r="V23" s="13">
        <f>IF(AD23="-","-",ROUND($C23/AD23, 3)*Modifiers!$C$3*IF($E23="Yes",Modifiers!$C$5,1))</f>
        <v>0.60499999999999998</v>
      </c>
      <c r="W23" s="17">
        <f>IF(AE23="-","-",ROUND($C23/AE23, 3)*Modifiers!$C$3*IF($E23="Yes",Modifiers!$C$5,1))</f>
        <v>0.71099999999999997</v>
      </c>
      <c r="X23" s="17">
        <f>IF(AF23="-","-",ROUND($C23/AF23, 3)*Modifiers!$C$3*IF($E23="Yes",Modifiers!$C$5,1))</f>
        <v>0.85399999999999998</v>
      </c>
      <c r="Y23" s="17" t="str">
        <f>IF(AG23="-","-",ROUND($C23/AG23, 3)*Modifiers!$C$3*IF($E23="Yes",Modifiers!$C$5,1))</f>
        <v>-</v>
      </c>
      <c r="Z23" s="23">
        <f t="shared" si="9"/>
        <v>52.02</v>
      </c>
      <c r="AA23" s="24">
        <f t="shared" si="10"/>
        <v>61.2</v>
      </c>
      <c r="AB23" s="24">
        <f t="shared" si="11"/>
        <v>73.44</v>
      </c>
      <c r="AC23" s="24" t="str">
        <f t="shared" si="12"/>
        <v>-</v>
      </c>
      <c r="AD23" s="69">
        <f t="shared" si="13"/>
        <v>71.123999999999995</v>
      </c>
      <c r="AE23" s="75">
        <f t="shared" si="14"/>
        <v>60.454999999999998</v>
      </c>
      <c r="AF23" s="71">
        <f t="shared" si="15"/>
        <v>50.378999999999998</v>
      </c>
      <c r="AG23" s="71" t="str">
        <f t="shared" si="16"/>
        <v>-</v>
      </c>
      <c r="AH23" s="26" t="str">
        <f t="shared" si="1"/>
        <v>Cypress Tree</v>
      </c>
    </row>
    <row r="24" spans="1:34" x14ac:dyDescent="0.25">
      <c r="A24" s="26" t="s">
        <v>63</v>
      </c>
      <c r="B24" s="23">
        <v>25</v>
      </c>
      <c r="C24" s="27">
        <v>25</v>
      </c>
      <c r="D24" s="28" t="s">
        <v>59</v>
      </c>
      <c r="E24" s="53" t="s">
        <v>24</v>
      </c>
      <c r="F24" s="21" t="s">
        <v>25</v>
      </c>
      <c r="G24" s="21" t="s">
        <v>25</v>
      </c>
      <c r="H24" s="21" t="s">
        <v>24</v>
      </c>
      <c r="I24" s="17" t="s">
        <v>26</v>
      </c>
      <c r="J24" s="21" t="s">
        <v>26</v>
      </c>
      <c r="K24" s="21">
        <v>1500</v>
      </c>
      <c r="L24" s="21">
        <v>700</v>
      </c>
      <c r="M24" s="21" t="s">
        <v>24</v>
      </c>
      <c r="N24" s="36" t="s">
        <v>26</v>
      </c>
      <c r="O24" s="29">
        <v>0.51</v>
      </c>
      <c r="P24" s="21" t="s">
        <v>24</v>
      </c>
      <c r="Q24" s="21">
        <v>2</v>
      </c>
      <c r="R24" s="21" t="s">
        <v>25</v>
      </c>
      <c r="S24" s="30">
        <v>300</v>
      </c>
      <c r="T24" s="31">
        <v>0.3</v>
      </c>
      <c r="U24" s="32">
        <v>0.5</v>
      </c>
      <c r="V24" s="13">
        <f>IF(AD24="-","-",ROUND($C24/AD24, 3)*Modifiers!$C$3*IF($E24="Yes",Modifiers!$C$5,1))</f>
        <v>0.49199999999999999</v>
      </c>
      <c r="W24" s="17">
        <f>IF(AE24="-","-",ROUND($C24/AE24, 3)*Modifiers!$C$3*IF($E24="Yes",Modifiers!$C$5,1))</f>
        <v>0.57899999999999996</v>
      </c>
      <c r="X24" s="17">
        <f>IF(AF24="-","-",ROUND($C24/AF24, 3)*Modifiers!$C$3*IF($E24="Yes",Modifiers!$C$5,1))</f>
        <v>0.69499999999999995</v>
      </c>
      <c r="Y24" s="17" t="str">
        <f>IF(AG24="-","-",ROUND($C24/AG24, 3)*Modifiers!$C$3*IF($E24="Yes",Modifiers!$C$5,1))</f>
        <v>-</v>
      </c>
      <c r="Z24" s="23">
        <f t="shared" si="9"/>
        <v>43.31</v>
      </c>
      <c r="AA24" s="24">
        <f t="shared" si="10"/>
        <v>50.95</v>
      </c>
      <c r="AB24" s="24">
        <f t="shared" si="11"/>
        <v>61.14</v>
      </c>
      <c r="AC24" s="24" t="str">
        <f t="shared" si="12"/>
        <v>-</v>
      </c>
      <c r="AD24" s="69">
        <f t="shared" si="13"/>
        <v>50.802</v>
      </c>
      <c r="AE24" s="75">
        <f t="shared" si="14"/>
        <v>43.182000000000002</v>
      </c>
      <c r="AF24" s="71">
        <f t="shared" si="15"/>
        <v>35.984999999999999</v>
      </c>
      <c r="AG24" s="71" t="str">
        <f t="shared" si="16"/>
        <v>-</v>
      </c>
      <c r="AH24" s="26" t="str">
        <f t="shared" si="1"/>
        <v>Maple Tree</v>
      </c>
    </row>
    <row r="25" spans="1:34" x14ac:dyDescent="0.25">
      <c r="A25" s="26" t="s">
        <v>64</v>
      </c>
      <c r="B25" s="23">
        <v>30</v>
      </c>
      <c r="C25" s="27">
        <v>45</v>
      </c>
      <c r="D25" s="28" t="s">
        <v>59</v>
      </c>
      <c r="E25" s="53" t="s">
        <v>24</v>
      </c>
      <c r="F25" s="21" t="s">
        <v>25</v>
      </c>
      <c r="G25" s="21" t="s">
        <v>25</v>
      </c>
      <c r="H25" s="21" t="s">
        <v>24</v>
      </c>
      <c r="I25" s="17" t="s">
        <v>26</v>
      </c>
      <c r="J25" s="21" t="s">
        <v>26</v>
      </c>
      <c r="K25" s="21">
        <v>1500</v>
      </c>
      <c r="L25" s="21">
        <v>1000</v>
      </c>
      <c r="M25" s="21" t="s">
        <v>24</v>
      </c>
      <c r="N25" s="36" t="s">
        <v>26</v>
      </c>
      <c r="O25" s="29">
        <v>0.51</v>
      </c>
      <c r="P25" s="21" t="s">
        <v>24</v>
      </c>
      <c r="Q25" s="21">
        <v>2</v>
      </c>
      <c r="R25" s="21" t="s">
        <v>25</v>
      </c>
      <c r="S25" s="30">
        <v>300</v>
      </c>
      <c r="T25" s="31">
        <v>0.3</v>
      </c>
      <c r="U25" s="32">
        <v>0.5</v>
      </c>
      <c r="V25" s="13">
        <f>IF(AD25="-","-",ROUND($C25/AD25, 3)*Modifiers!$C$3*IF($E25="Yes",Modifiers!$C$5,1))</f>
        <v>0.73799999999999999</v>
      </c>
      <c r="W25" s="17">
        <f>IF(AE25="-","-",ROUND($C25/AE25, 3)*Modifiers!$C$3*IF($E25="Yes",Modifiers!$C$5,1))</f>
        <v>0.86799999999999999</v>
      </c>
      <c r="X25" s="17">
        <f>IF(AF25="-","-",ROUND($C25/AF25, 3)*Modifiers!$C$3*IF($E25="Yes",Modifiers!$C$5,1))</f>
        <v>1.042</v>
      </c>
      <c r="Y25" s="17" t="str">
        <f>IF(AG25="-","-",ROUND($C25/AG25, 3)*Modifiers!$C$3*IF($E25="Yes",Modifiers!$C$5,1))</f>
        <v>-</v>
      </c>
      <c r="Z25" s="23">
        <f t="shared" si="9"/>
        <v>41.01</v>
      </c>
      <c r="AA25" s="24">
        <f t="shared" si="10"/>
        <v>48.25</v>
      </c>
      <c r="AB25" s="24">
        <f t="shared" si="11"/>
        <v>57.89</v>
      </c>
      <c r="AC25" s="24" t="str">
        <f t="shared" si="12"/>
        <v>-</v>
      </c>
      <c r="AD25" s="69">
        <f t="shared" si="13"/>
        <v>60.962000000000003</v>
      </c>
      <c r="AE25" s="75">
        <f t="shared" si="14"/>
        <v>51.817999999999998</v>
      </c>
      <c r="AF25" s="71">
        <f t="shared" si="15"/>
        <v>43.182000000000002</v>
      </c>
      <c r="AG25" s="71" t="str">
        <f t="shared" si="16"/>
        <v>-</v>
      </c>
      <c r="AH25" s="26" t="str">
        <f t="shared" si="1"/>
        <v>Oak Tree</v>
      </c>
    </row>
    <row r="26" spans="1:34" x14ac:dyDescent="0.25">
      <c r="A26" s="26" t="s">
        <v>65</v>
      </c>
      <c r="B26" s="23">
        <v>15.05</v>
      </c>
      <c r="C26" s="27">
        <v>27</v>
      </c>
      <c r="D26" s="28" t="s">
        <v>59</v>
      </c>
      <c r="E26" s="53" t="s">
        <v>24</v>
      </c>
      <c r="F26" s="21" t="s">
        <v>25</v>
      </c>
      <c r="G26" s="21" t="s">
        <v>25</v>
      </c>
      <c r="H26" s="21" t="s">
        <v>24</v>
      </c>
      <c r="I26" s="17" t="s">
        <v>26</v>
      </c>
      <c r="J26" s="21" t="s">
        <v>26</v>
      </c>
      <c r="K26" s="21">
        <v>1500</v>
      </c>
      <c r="L26" s="21">
        <v>650</v>
      </c>
      <c r="M26" s="21" t="s">
        <v>24</v>
      </c>
      <c r="N26" s="36" t="s">
        <v>26</v>
      </c>
      <c r="O26" s="29">
        <v>0.51</v>
      </c>
      <c r="P26" s="21" t="s">
        <v>24</v>
      </c>
      <c r="Q26" s="21">
        <v>1</v>
      </c>
      <c r="R26" s="21" t="s">
        <v>25</v>
      </c>
      <c r="S26" s="30">
        <v>300</v>
      </c>
      <c r="T26" s="31">
        <v>0.3</v>
      </c>
      <c r="U26" s="32">
        <v>0.5</v>
      </c>
      <c r="V26" s="13">
        <f>IF(AD26="-","-",ROUND($C26/AD26, 3)*Modifiers!$C$3*IF($E26="Yes",Modifiers!$C$5,1))</f>
        <v>0.88300000000000001</v>
      </c>
      <c r="W26" s="17">
        <f>IF(AE26="-","-",ROUND($C26/AE26, 3)*Modifiers!$C$3*IF($E26="Yes",Modifiers!$C$5,1))</f>
        <v>1.0389999999999999</v>
      </c>
      <c r="X26" s="17">
        <f>IF(AF26="-","-",ROUND($C26/AF26, 3)*Modifiers!$C$3*IF($E26="Yes",Modifiers!$C$5,1))</f>
        <v>1.246</v>
      </c>
      <c r="Y26" s="17" t="str">
        <f>IF(AG26="-","-",ROUND($C26/AG26, 3)*Modifiers!$C$3*IF($E26="Yes",Modifiers!$C$5,1))</f>
        <v>-</v>
      </c>
      <c r="Z26" s="23">
        <f t="shared" si="9"/>
        <v>70.3</v>
      </c>
      <c r="AA26" s="24">
        <f t="shared" si="10"/>
        <v>82.71</v>
      </c>
      <c r="AB26" s="24">
        <f t="shared" si="11"/>
        <v>99.25</v>
      </c>
      <c r="AC26" s="24" t="str">
        <f t="shared" si="12"/>
        <v>-</v>
      </c>
      <c r="AD26" s="69">
        <f t="shared" si="13"/>
        <v>30.582000000000001</v>
      </c>
      <c r="AE26" s="75">
        <f t="shared" si="14"/>
        <v>25.995000000000001</v>
      </c>
      <c r="AF26" s="71">
        <f t="shared" si="15"/>
        <v>21.663</v>
      </c>
      <c r="AG26" s="71" t="str">
        <f t="shared" si="16"/>
        <v>-</v>
      </c>
      <c r="AH26" s="26" t="str">
        <f t="shared" si="1"/>
        <v>Poplar Tree</v>
      </c>
    </row>
    <row r="27" spans="1:34" x14ac:dyDescent="0.25">
      <c r="A27" s="26" t="s">
        <v>66</v>
      </c>
      <c r="B27" s="23">
        <v>20</v>
      </c>
      <c r="C27" s="27">
        <v>27</v>
      </c>
      <c r="D27" s="28" t="s">
        <v>59</v>
      </c>
      <c r="E27" s="53" t="s">
        <v>24</v>
      </c>
      <c r="F27" s="21" t="s">
        <v>25</v>
      </c>
      <c r="G27" s="21" t="s">
        <v>25</v>
      </c>
      <c r="H27" s="21" t="s">
        <v>24</v>
      </c>
      <c r="I27" s="17" t="s">
        <v>26</v>
      </c>
      <c r="J27" s="21" t="s">
        <v>26</v>
      </c>
      <c r="K27" s="21">
        <v>1500</v>
      </c>
      <c r="L27" s="21">
        <v>700</v>
      </c>
      <c r="M27" s="21" t="s">
        <v>24</v>
      </c>
      <c r="N27" s="36" t="s">
        <v>26</v>
      </c>
      <c r="O27" s="29">
        <v>0.51</v>
      </c>
      <c r="P27" s="21" t="s">
        <v>24</v>
      </c>
      <c r="Q27" s="21">
        <v>2</v>
      </c>
      <c r="R27" s="21" t="s">
        <v>25</v>
      </c>
      <c r="S27" s="30">
        <v>300</v>
      </c>
      <c r="T27" s="31">
        <v>0.3</v>
      </c>
      <c r="U27" s="32">
        <v>0.5</v>
      </c>
      <c r="V27" s="13">
        <f>IF(AD27="-","-",ROUND($C27/AD27, 3)*Modifiers!$C$3*IF($E27="Yes",Modifiers!$C$5,1))</f>
        <v>0.66400000000000003</v>
      </c>
      <c r="W27" s="17">
        <f>IF(AE27="-","-",ROUND($C27/AE27, 3)*Modifiers!$C$3*IF($E27="Yes",Modifiers!$C$5,1))</f>
        <v>0.78200000000000003</v>
      </c>
      <c r="X27" s="17">
        <f>IF(AF27="-","-",ROUND($C27/AF27, 3)*Modifiers!$C$3*IF($E27="Yes",Modifiers!$C$5,1))</f>
        <v>0.93799999999999994</v>
      </c>
      <c r="Y27" s="17" t="str">
        <f>IF(AG27="-","-",ROUND($C27/AG27, 3)*Modifiers!$C$3*IF($E27="Yes",Modifiers!$C$5,1))</f>
        <v>-</v>
      </c>
      <c r="Z27" s="23">
        <f t="shared" si="9"/>
        <v>54.13</v>
      </c>
      <c r="AA27" s="24">
        <f t="shared" si="10"/>
        <v>63.69</v>
      </c>
      <c r="AB27" s="24">
        <f t="shared" si="11"/>
        <v>76.42</v>
      </c>
      <c r="AC27" s="24" t="str">
        <f t="shared" si="12"/>
        <v>-</v>
      </c>
      <c r="AD27" s="69">
        <f t="shared" si="13"/>
        <v>40.640999999999998</v>
      </c>
      <c r="AE27" s="75">
        <f t="shared" si="14"/>
        <v>34.545000000000002</v>
      </c>
      <c r="AF27" s="71">
        <f t="shared" si="15"/>
        <v>28.788</v>
      </c>
      <c r="AG27" s="71" t="str">
        <f t="shared" si="16"/>
        <v>-</v>
      </c>
      <c r="AH27" s="26" t="str">
        <f t="shared" si="1"/>
        <v>Pine Tree</v>
      </c>
    </row>
    <row r="28" spans="1:34" x14ac:dyDescent="0.25">
      <c r="A28" s="26" t="s">
        <v>67</v>
      </c>
      <c r="B28" s="23">
        <v>20</v>
      </c>
      <c r="C28" s="27">
        <v>27</v>
      </c>
      <c r="D28" s="28" t="s">
        <v>59</v>
      </c>
      <c r="E28" s="53" t="s">
        <v>24</v>
      </c>
      <c r="F28" s="21" t="s">
        <v>25</v>
      </c>
      <c r="G28" s="21" t="s">
        <v>25</v>
      </c>
      <c r="H28" s="21" t="s">
        <v>24</v>
      </c>
      <c r="I28" s="17" t="s">
        <v>26</v>
      </c>
      <c r="J28" s="21" t="s">
        <v>26</v>
      </c>
      <c r="K28" s="21">
        <v>1500</v>
      </c>
      <c r="L28" s="21">
        <v>700</v>
      </c>
      <c r="M28" s="21" t="s">
        <v>24</v>
      </c>
      <c r="N28" s="36" t="s">
        <v>26</v>
      </c>
      <c r="O28" s="29">
        <v>0.51</v>
      </c>
      <c r="P28" s="21" t="s">
        <v>24</v>
      </c>
      <c r="Q28" s="21">
        <v>2</v>
      </c>
      <c r="R28" s="21" t="s">
        <v>25</v>
      </c>
      <c r="S28" s="30">
        <v>300</v>
      </c>
      <c r="T28" s="31">
        <v>0.3</v>
      </c>
      <c r="U28" s="32">
        <v>0.5</v>
      </c>
      <c r="V28" s="13">
        <f>IF(AD28="-","-",ROUND($C28/AD28, 3)*Modifiers!$C$3*IF($E28="Yes",Modifiers!$C$5,1))</f>
        <v>0.66400000000000003</v>
      </c>
      <c r="W28" s="17">
        <f>IF(AE28="-","-",ROUND($C28/AE28, 3)*Modifiers!$C$3*IF($E28="Yes",Modifiers!$C$5,1))</f>
        <v>0.78200000000000003</v>
      </c>
      <c r="X28" s="17">
        <f>IF(AF28="-","-",ROUND($C28/AF28, 3)*Modifiers!$C$3*IF($E28="Yes",Modifiers!$C$5,1))</f>
        <v>0.93799999999999994</v>
      </c>
      <c r="Y28" s="17" t="str">
        <f>IF(AG28="-","-",ROUND($C28/AG28, 3)*Modifiers!$C$3*IF($E28="Yes",Modifiers!$C$5,1))</f>
        <v>-</v>
      </c>
      <c r="Z28" s="23">
        <f t="shared" si="9"/>
        <v>54.13</v>
      </c>
      <c r="AA28" s="24">
        <f t="shared" si="10"/>
        <v>63.69</v>
      </c>
      <c r="AB28" s="24">
        <f t="shared" si="11"/>
        <v>76.42</v>
      </c>
      <c r="AC28" s="24" t="str">
        <f t="shared" si="12"/>
        <v>-</v>
      </c>
      <c r="AD28" s="69">
        <f t="shared" si="13"/>
        <v>40.640999999999998</v>
      </c>
      <c r="AE28" s="75">
        <f t="shared" si="14"/>
        <v>34.545000000000002</v>
      </c>
      <c r="AF28" s="71">
        <f t="shared" si="15"/>
        <v>28.788</v>
      </c>
      <c r="AG28" s="71" t="str">
        <f t="shared" si="16"/>
        <v>-</v>
      </c>
      <c r="AH28" s="26" t="str">
        <f t="shared" si="1"/>
        <v>Birch Tree</v>
      </c>
    </row>
    <row r="29" spans="1:34" x14ac:dyDescent="0.25">
      <c r="A29" s="26" t="s">
        <v>68</v>
      </c>
      <c r="B29" s="23">
        <v>32.5</v>
      </c>
      <c r="C29" s="27">
        <v>54</v>
      </c>
      <c r="D29" s="28" t="s">
        <v>59</v>
      </c>
      <c r="E29" s="53" t="s">
        <v>24</v>
      </c>
      <c r="F29" s="21" t="s">
        <v>25</v>
      </c>
      <c r="G29" s="21" t="s">
        <v>25</v>
      </c>
      <c r="H29" s="21" t="s">
        <v>24</v>
      </c>
      <c r="I29" s="17" t="s">
        <v>26</v>
      </c>
      <c r="J29" s="21" t="s">
        <v>26</v>
      </c>
      <c r="K29" s="21">
        <v>1500</v>
      </c>
      <c r="L29" s="21">
        <v>1200</v>
      </c>
      <c r="M29" s="21" t="s">
        <v>24</v>
      </c>
      <c r="N29" s="36" t="s">
        <v>26</v>
      </c>
      <c r="O29" s="29">
        <v>0.51</v>
      </c>
      <c r="P29" s="21" t="s">
        <v>24</v>
      </c>
      <c r="Q29" s="21">
        <v>2</v>
      </c>
      <c r="R29" s="21" t="s">
        <v>25</v>
      </c>
      <c r="S29" s="30">
        <v>300</v>
      </c>
      <c r="T29" s="31">
        <v>0.3</v>
      </c>
      <c r="U29" s="32">
        <v>0.5</v>
      </c>
      <c r="V29" s="13">
        <f>IF(AD29="-","-",ROUND($C29/AD29, 3)*Modifiers!$C$3*IF($E29="Yes",Modifiers!$C$5,1))</f>
        <v>0.81799999999999995</v>
      </c>
      <c r="W29" s="17">
        <f>IF(AE29="-","-",ROUND($C29/AE29, 3)*Modifiers!$C$3*IF($E29="Yes",Modifiers!$C$5,1))</f>
        <v>0.96199999999999997</v>
      </c>
      <c r="X29" s="17">
        <f>IF(AF29="-","-",ROUND($C29/AF29, 3)*Modifiers!$C$3*IF($E29="Yes",Modifiers!$C$5,1))</f>
        <v>1.1539999999999999</v>
      </c>
      <c r="Y29" s="17" t="str">
        <f>IF(AG29="-","-",ROUND($C29/AG29, 3)*Modifiers!$C$3*IF($E29="Yes",Modifiers!$C$5,1))</f>
        <v>-</v>
      </c>
      <c r="Z29" s="23">
        <f t="shared" si="9"/>
        <v>40.880000000000003</v>
      </c>
      <c r="AA29" s="24">
        <f t="shared" si="10"/>
        <v>48.1</v>
      </c>
      <c r="AB29" s="24">
        <f t="shared" si="11"/>
        <v>57.72</v>
      </c>
      <c r="AC29" s="24" t="str">
        <f t="shared" si="12"/>
        <v>-</v>
      </c>
      <c r="AD29" s="69">
        <f t="shared" si="13"/>
        <v>66.042000000000002</v>
      </c>
      <c r="AE29" s="75">
        <f t="shared" si="14"/>
        <v>56.136000000000003</v>
      </c>
      <c r="AF29" s="71">
        <f t="shared" si="15"/>
        <v>46.78</v>
      </c>
      <c r="AG29" s="71" t="str">
        <f t="shared" si="16"/>
        <v>-</v>
      </c>
      <c r="AH29" s="26" t="str">
        <f t="shared" si="1"/>
        <v>Teak Tree</v>
      </c>
    </row>
    <row r="30" spans="1:34" x14ac:dyDescent="0.25">
      <c r="A30" s="26" t="s">
        <v>69</v>
      </c>
      <c r="B30" s="23">
        <v>14</v>
      </c>
      <c r="C30" s="27">
        <v>18</v>
      </c>
      <c r="D30" s="28" t="s">
        <v>59</v>
      </c>
      <c r="E30" s="53" t="s">
        <v>24</v>
      </c>
      <c r="F30" s="21" t="s">
        <v>25</v>
      </c>
      <c r="G30" s="21" t="s">
        <v>25</v>
      </c>
      <c r="H30" s="21" t="s">
        <v>24</v>
      </c>
      <c r="I30" s="17" t="s">
        <v>26</v>
      </c>
      <c r="J30" s="21" t="s">
        <v>26</v>
      </c>
      <c r="K30" s="21">
        <v>1500</v>
      </c>
      <c r="L30" s="21">
        <v>550</v>
      </c>
      <c r="M30" s="21" t="s">
        <v>24</v>
      </c>
      <c r="N30" s="36" t="s">
        <v>26</v>
      </c>
      <c r="O30" s="29">
        <v>0.51</v>
      </c>
      <c r="P30" s="21" t="s">
        <v>24</v>
      </c>
      <c r="Q30" s="21">
        <v>1</v>
      </c>
      <c r="R30" s="21" t="s">
        <v>25</v>
      </c>
      <c r="S30" s="30">
        <v>300</v>
      </c>
      <c r="T30" s="31">
        <v>0.3</v>
      </c>
      <c r="U30" s="32">
        <v>0.5</v>
      </c>
      <c r="V30" s="13">
        <f>IF(AD30="-","-",ROUND($C30/AD30, 3)*Modifiers!$C$3*IF($E30="Yes",Modifiers!$C$5,1))</f>
        <v>0.63300000000000001</v>
      </c>
      <c r="W30" s="17">
        <f>IF(AE30="-","-",ROUND($C30/AE30, 3)*Modifiers!$C$3*IF($E30="Yes",Modifiers!$C$5,1))</f>
        <v>0.74399999999999999</v>
      </c>
      <c r="X30" s="17">
        <f>IF(AF30="-","-",ROUND($C30/AF30, 3)*Modifiers!$C$3*IF($E30="Yes",Modifiers!$C$5,1))</f>
        <v>0.89300000000000002</v>
      </c>
      <c r="Y30" s="17" t="str">
        <f>IF(AG30="-","-",ROUND($C30/AG30, 3)*Modifiers!$C$3*IF($E30="Yes",Modifiers!$C$5,1))</f>
        <v>-</v>
      </c>
      <c r="Z30" s="23">
        <f t="shared" si="9"/>
        <v>72.06</v>
      </c>
      <c r="AA30" s="24">
        <f t="shared" si="10"/>
        <v>84.77</v>
      </c>
      <c r="AB30" s="24">
        <f t="shared" si="11"/>
        <v>101.73</v>
      </c>
      <c r="AC30" s="24" t="str">
        <f t="shared" si="12"/>
        <v>-</v>
      </c>
      <c r="AD30" s="69">
        <f t="shared" si="13"/>
        <v>28.449000000000002</v>
      </c>
      <c r="AE30" s="75">
        <f t="shared" si="14"/>
        <v>24.181999999999999</v>
      </c>
      <c r="AF30" s="71">
        <f t="shared" si="15"/>
        <v>20.152000000000001</v>
      </c>
      <c r="AG30" s="71" t="str">
        <f t="shared" si="16"/>
        <v>-</v>
      </c>
      <c r="AH30" s="26" t="str">
        <f t="shared" si="1"/>
        <v>Cecropia Tree</v>
      </c>
    </row>
    <row r="31" spans="1:34" x14ac:dyDescent="0.25">
      <c r="A31" s="26" t="s">
        <v>70</v>
      </c>
      <c r="B31" s="23">
        <v>14</v>
      </c>
      <c r="C31" s="27">
        <v>18</v>
      </c>
      <c r="D31" s="28" t="s">
        <v>59</v>
      </c>
      <c r="E31" s="53" t="s">
        <v>24</v>
      </c>
      <c r="F31" s="21" t="s">
        <v>25</v>
      </c>
      <c r="G31" s="21" t="s">
        <v>25</v>
      </c>
      <c r="H31" s="21" t="s">
        <v>24</v>
      </c>
      <c r="I31" s="17" t="s">
        <v>26</v>
      </c>
      <c r="J31" s="21" t="s">
        <v>26</v>
      </c>
      <c r="K31" s="21">
        <v>1500</v>
      </c>
      <c r="L31" s="21">
        <v>550</v>
      </c>
      <c r="M31" s="21" t="s">
        <v>24</v>
      </c>
      <c r="N31" s="36" t="s">
        <v>26</v>
      </c>
      <c r="O31" s="29">
        <v>0.51</v>
      </c>
      <c r="P31" s="21" t="s">
        <v>24</v>
      </c>
      <c r="Q31" s="21">
        <v>1</v>
      </c>
      <c r="R31" s="21" t="s">
        <v>25</v>
      </c>
      <c r="S31" s="30">
        <v>300</v>
      </c>
      <c r="T31" s="31">
        <v>0.3</v>
      </c>
      <c r="U31" s="32">
        <v>0.5</v>
      </c>
      <c r="V31" s="13">
        <f>IF(AD31="-","-",ROUND($C31/AD31, 3)*Modifiers!$C$3*IF($E31="Yes",Modifiers!$C$5,1))</f>
        <v>0.63300000000000001</v>
      </c>
      <c r="W31" s="17">
        <f>IF(AE31="-","-",ROUND($C31/AE31, 3)*Modifiers!$C$3*IF($E31="Yes",Modifiers!$C$5,1))</f>
        <v>0.74399999999999999</v>
      </c>
      <c r="X31" s="17">
        <f>IF(AF31="-","-",ROUND($C31/AF31, 3)*Modifiers!$C$3*IF($E31="Yes",Modifiers!$C$5,1))</f>
        <v>0.89300000000000002</v>
      </c>
      <c r="Y31" s="17" t="str">
        <f>IF(AG31="-","-",ROUND($C31/AG31, 3)*Modifiers!$C$3*IF($E31="Yes",Modifiers!$C$5,1))</f>
        <v>-</v>
      </c>
      <c r="Z31" s="23">
        <f t="shared" si="9"/>
        <v>72.06</v>
      </c>
      <c r="AA31" s="24">
        <f t="shared" si="10"/>
        <v>84.77</v>
      </c>
      <c r="AB31" s="24">
        <f t="shared" si="11"/>
        <v>101.73</v>
      </c>
      <c r="AC31" s="24" t="str">
        <f t="shared" si="12"/>
        <v>-</v>
      </c>
      <c r="AD31" s="69">
        <f t="shared" si="13"/>
        <v>28.449000000000002</v>
      </c>
      <c r="AE31" s="75">
        <f t="shared" si="14"/>
        <v>24.181999999999999</v>
      </c>
      <c r="AF31" s="71">
        <f t="shared" si="15"/>
        <v>20.152000000000001</v>
      </c>
      <c r="AG31" s="71" t="str">
        <f t="shared" si="16"/>
        <v>-</v>
      </c>
      <c r="AH31" s="26" t="str">
        <f t="shared" si="1"/>
        <v>Palm Tree</v>
      </c>
    </row>
    <row r="32" spans="1:34" x14ac:dyDescent="0.25">
      <c r="A32" s="26" t="s">
        <v>71</v>
      </c>
      <c r="B32" s="23">
        <v>12</v>
      </c>
      <c r="C32" s="27">
        <v>13</v>
      </c>
      <c r="D32" s="28" t="s">
        <v>59</v>
      </c>
      <c r="E32" s="53" t="s">
        <v>24</v>
      </c>
      <c r="F32" s="21" t="s">
        <v>25</v>
      </c>
      <c r="G32" s="21" t="s">
        <v>25</v>
      </c>
      <c r="H32" s="21" t="s">
        <v>24</v>
      </c>
      <c r="I32" s="17" t="s">
        <v>26</v>
      </c>
      <c r="J32" s="21" t="s">
        <v>26</v>
      </c>
      <c r="K32" s="21">
        <v>1500</v>
      </c>
      <c r="L32" s="21">
        <v>500</v>
      </c>
      <c r="M32" s="21" t="s">
        <v>24</v>
      </c>
      <c r="N32" s="36" t="s">
        <v>26</v>
      </c>
      <c r="O32" s="29">
        <v>0.51</v>
      </c>
      <c r="P32" s="21" t="s">
        <v>24</v>
      </c>
      <c r="Q32" s="21">
        <v>0</v>
      </c>
      <c r="R32" s="21" t="s">
        <v>25</v>
      </c>
      <c r="S32" s="30">
        <v>300</v>
      </c>
      <c r="T32" s="31">
        <v>0.3</v>
      </c>
      <c r="U32" s="32">
        <v>0.5</v>
      </c>
      <c r="V32" s="13">
        <f>IF(AD32="-","-",ROUND($C32/AD32, 3)*Modifiers!$C$3*IF($E32="Yes",Modifiers!$C$5,1))</f>
        <v>0.53300000000000003</v>
      </c>
      <c r="W32" s="17">
        <f>IF(AE32="-","-",ROUND($C32/AE32, 3)*Modifiers!$C$3*IF($E32="Yes",Modifiers!$C$5,1))</f>
        <v>0.627</v>
      </c>
      <c r="X32" s="17">
        <f>IF(AF32="-","-",ROUND($C32/AF32, 3)*Modifiers!$C$3*IF($E32="Yes",Modifiers!$C$5,1))</f>
        <v>0.753</v>
      </c>
      <c r="Y32" s="17" t="str">
        <f>IF(AG32="-","-",ROUND($C32/AG32, 3)*Modifiers!$C$3*IF($E32="Yes",Modifiers!$C$5,1))</f>
        <v>-</v>
      </c>
      <c r="Z32" s="23">
        <f t="shared" si="9"/>
        <v>82.02</v>
      </c>
      <c r="AA32" s="24">
        <f t="shared" si="10"/>
        <v>96.49</v>
      </c>
      <c r="AB32" s="24">
        <f t="shared" si="11"/>
        <v>115.79</v>
      </c>
      <c r="AC32" s="24" t="str">
        <f t="shared" si="12"/>
        <v>-</v>
      </c>
      <c r="AD32" s="69">
        <f t="shared" si="13"/>
        <v>24.385000000000002</v>
      </c>
      <c r="AE32" s="75">
        <f t="shared" si="14"/>
        <v>20.727</v>
      </c>
      <c r="AF32" s="71">
        <f t="shared" si="15"/>
        <v>17.273</v>
      </c>
      <c r="AG32" s="71" t="str">
        <f t="shared" si="16"/>
        <v>-</v>
      </c>
      <c r="AH32" s="26" t="str">
        <f t="shared" si="1"/>
        <v>Bamboo Tree</v>
      </c>
    </row>
    <row r="33" spans="1:34" x14ac:dyDescent="0.25">
      <c r="A33" s="26" t="s">
        <v>163</v>
      </c>
      <c r="B33" s="23">
        <v>6.95</v>
      </c>
      <c r="C33" s="27">
        <v>12</v>
      </c>
      <c r="D33" s="28" t="s">
        <v>59</v>
      </c>
      <c r="E33" s="53" t="s">
        <v>24</v>
      </c>
      <c r="F33" s="21" t="s">
        <v>24</v>
      </c>
      <c r="G33" s="21" t="s">
        <v>25</v>
      </c>
      <c r="H33" s="21" t="s">
        <v>24</v>
      </c>
      <c r="I33" s="17">
        <v>10</v>
      </c>
      <c r="J33" s="21" t="s">
        <v>163</v>
      </c>
      <c r="K33" s="21">
        <v>1500</v>
      </c>
      <c r="L33" s="21">
        <v>500</v>
      </c>
      <c r="M33" s="21" t="s">
        <v>24</v>
      </c>
      <c r="N33" s="36" t="s">
        <v>26</v>
      </c>
      <c r="O33" s="29">
        <v>0.51</v>
      </c>
      <c r="P33" s="21" t="s">
        <v>24</v>
      </c>
      <c r="Q33" s="21">
        <v>1</v>
      </c>
      <c r="R33" s="21" t="s">
        <v>25</v>
      </c>
      <c r="S33" s="30">
        <v>150</v>
      </c>
      <c r="T33" s="31">
        <v>0.7</v>
      </c>
      <c r="U33" s="32">
        <v>0.6</v>
      </c>
      <c r="V33" s="13">
        <f>IF(AD33="-","-",ROUND($C33/AD33, 3)*Modifiers!$C$3*IF($E33="Yes",Modifiers!$C$5,1))</f>
        <v>0.82</v>
      </c>
      <c r="W33" s="17">
        <f>IF(AE33="-","-",ROUND($C33/AE33, 3)*Modifiers!$C$3*IF($E33="Yes",Modifiers!$C$5,1))</f>
        <v>1</v>
      </c>
      <c r="X33" s="17">
        <f>IF(AF33="-","-",ROUND($C33/AF33, 3)*Modifiers!$C$3*IF($E33="Yes",Modifiers!$C$5,1))</f>
        <v>1.24</v>
      </c>
      <c r="Y33" s="17" t="str">
        <f>IF(AG33="-","-",ROUND($C33/AG33, 3)*Modifiers!$C$3*IF($E33="Yes",Modifiers!$C$5,1))</f>
        <v>-</v>
      </c>
      <c r="Z33" s="23">
        <f t="shared" ref="Z33:Z34" si="22">IF(AND(OR($K33&lt;&gt;"-",$L33&lt;&gt;"-"),AD33&lt;&gt;"-",$G33="Yes"),ROUND((IF($K33="-",0,$K33)+IF($L33="-",0,$L33))/AD33,2),"-")</f>
        <v>136.61000000000001</v>
      </c>
      <c r="AA33" s="24">
        <f t="shared" ref="AA33:AA34" si="23">IF(AND(OR($K33&lt;&gt;"-",$L33&lt;&gt;"-"),AE33&lt;&gt;"-",$G33="Yes"),ROUND((IF($K33="-",0,$K33)+IF($L33="-",0,$L33))/AE33,2),"-")</f>
        <v>166.6</v>
      </c>
      <c r="AB33" s="24">
        <f t="shared" ref="AB33:AB34" si="24">IF(AND(OR($K33&lt;&gt;"-",$L33&lt;&gt;"-"),AF33&lt;&gt;"-",$G33="Yes"),ROUND((IF($K33="-",0,$K33)+IF($L33="-",0,$L33))/AF33,2),"-")</f>
        <v>206.59</v>
      </c>
      <c r="AC33" s="24" t="str">
        <f t="shared" ref="AC33:AC34" si="25">IF(AND(OR($K33&lt;&gt;"-",$L33&lt;&gt;"-"),AG33&lt;&gt;"-",$G33="Yes"),ROUND((IF($K33="-",0,$K33)+IF($L33="-",0,$L33))/AG33,2),"-")</f>
        <v>-</v>
      </c>
      <c r="AD33" s="69">
        <f t="shared" si="13"/>
        <v>14.64</v>
      </c>
      <c r="AE33" s="75">
        <f t="shared" si="14"/>
        <v>12.005000000000001</v>
      </c>
      <c r="AF33" s="71">
        <f t="shared" si="15"/>
        <v>9.6809999999999992</v>
      </c>
      <c r="AG33" s="71" t="str">
        <f t="shared" si="16"/>
        <v>-</v>
      </c>
      <c r="AH33" s="26" t="str">
        <f t="shared" ref="AH33:AH34" si="26">A33</f>
        <v>Branchvine</v>
      </c>
    </row>
    <row r="34" spans="1:34" x14ac:dyDescent="0.25">
      <c r="A34" s="26" t="s">
        <v>164</v>
      </c>
      <c r="B34" s="23">
        <v>30</v>
      </c>
      <c r="C34" s="27">
        <v>50</v>
      </c>
      <c r="D34" s="28" t="s">
        <v>165</v>
      </c>
      <c r="E34" s="53" t="s">
        <v>24</v>
      </c>
      <c r="F34" s="21" t="s">
        <v>24</v>
      </c>
      <c r="G34" s="21" t="s">
        <v>25</v>
      </c>
      <c r="H34" s="21" t="s">
        <v>24</v>
      </c>
      <c r="I34" s="17">
        <v>8</v>
      </c>
      <c r="J34" s="21" t="s">
        <v>164</v>
      </c>
      <c r="K34" s="21">
        <v>1500</v>
      </c>
      <c r="L34" s="21">
        <v>1600</v>
      </c>
      <c r="M34" s="21" t="s">
        <v>24</v>
      </c>
      <c r="N34" s="36" t="s">
        <v>26</v>
      </c>
      <c r="O34" s="29">
        <v>0.51</v>
      </c>
      <c r="P34" s="21" t="s">
        <v>24</v>
      </c>
      <c r="Q34" s="21">
        <v>0</v>
      </c>
      <c r="R34" s="21" t="s">
        <v>25</v>
      </c>
      <c r="S34" s="30">
        <v>150</v>
      </c>
      <c r="T34" s="31">
        <v>0.3</v>
      </c>
      <c r="U34" s="32">
        <v>0.5</v>
      </c>
      <c r="V34" s="13">
        <f>IF(AD34="-","-",ROUND($C34/AD34, 3)*Modifiers!$C$3*IF($E34="Yes",Modifiers!$C$5,1))</f>
        <v>0.82</v>
      </c>
      <c r="W34" s="17">
        <f>IF(AE34="-","-",ROUND($C34/AE34, 3)*Modifiers!$C$3*IF($E34="Yes",Modifiers!$C$5,1))</f>
        <v>0.96499999999999997</v>
      </c>
      <c r="X34" s="17">
        <f>IF(AF34="-","-",ROUND($C34/AF34, 3)*Modifiers!$C$3*IF($E34="Yes",Modifiers!$C$5,1))</f>
        <v>1.1579999999999999</v>
      </c>
      <c r="Y34" s="17" t="str">
        <f>IF(AG34="-","-",ROUND($C34/AG34, 3)*Modifiers!$C$3*IF($E34="Yes",Modifiers!$C$5,1))</f>
        <v>-</v>
      </c>
      <c r="Z34" s="23">
        <f t="shared" si="22"/>
        <v>50.85</v>
      </c>
      <c r="AA34" s="24">
        <f t="shared" si="23"/>
        <v>59.82</v>
      </c>
      <c r="AB34" s="24">
        <f t="shared" si="24"/>
        <v>71.790000000000006</v>
      </c>
      <c r="AC34" s="24" t="str">
        <f t="shared" si="25"/>
        <v>-</v>
      </c>
      <c r="AD34" s="69">
        <f t="shared" si="13"/>
        <v>60.962000000000003</v>
      </c>
      <c r="AE34" s="75">
        <f t="shared" si="14"/>
        <v>51.817999999999998</v>
      </c>
      <c r="AF34" s="71">
        <f t="shared" si="15"/>
        <v>43.182000000000002</v>
      </c>
      <c r="AG34" s="71" t="str">
        <f t="shared" si="16"/>
        <v>-</v>
      </c>
      <c r="AH34" s="26" t="str">
        <f t="shared" si="26"/>
        <v>Rocketree</v>
      </c>
    </row>
    <row r="35" spans="1:34" x14ac:dyDescent="0.25">
      <c r="A35" s="26" t="s">
        <v>72</v>
      </c>
      <c r="B35" s="23">
        <v>60</v>
      </c>
      <c r="C35" s="27" t="s">
        <v>26</v>
      </c>
      <c r="D35" s="28" t="s">
        <v>26</v>
      </c>
      <c r="E35" s="53" t="s">
        <v>26</v>
      </c>
      <c r="F35" s="21" t="s">
        <v>25</v>
      </c>
      <c r="G35" s="21" t="s">
        <v>24</v>
      </c>
      <c r="H35" s="21" t="s">
        <v>24</v>
      </c>
      <c r="I35" s="17" t="s">
        <v>26</v>
      </c>
      <c r="J35" s="21" t="s">
        <v>26</v>
      </c>
      <c r="K35" s="21" t="s">
        <v>26</v>
      </c>
      <c r="L35" s="21">
        <v>190</v>
      </c>
      <c r="M35" s="21" t="s">
        <v>24</v>
      </c>
      <c r="N35" s="36" t="s">
        <v>26</v>
      </c>
      <c r="O35" s="29">
        <v>0</v>
      </c>
      <c r="P35" s="21" t="s">
        <v>25</v>
      </c>
      <c r="Q35" s="21">
        <v>1</v>
      </c>
      <c r="R35" s="21" t="s">
        <v>24</v>
      </c>
      <c r="S35" s="30">
        <v>100</v>
      </c>
      <c r="T35" s="31">
        <v>0.3</v>
      </c>
      <c r="U35" s="32">
        <v>0.5</v>
      </c>
      <c r="V35" s="13" t="s">
        <v>26</v>
      </c>
      <c r="W35" s="17" t="s">
        <v>26</v>
      </c>
      <c r="X35" s="17" t="s">
        <v>26</v>
      </c>
      <c r="Y35" s="21" t="s">
        <v>26</v>
      </c>
      <c r="Z35" s="23" t="str">
        <f t="shared" si="9"/>
        <v>-</v>
      </c>
      <c r="AA35" s="24" t="str">
        <f t="shared" si="10"/>
        <v>-</v>
      </c>
      <c r="AB35" s="24" t="str">
        <f t="shared" si="11"/>
        <v>-</v>
      </c>
      <c r="AC35" s="24" t="str">
        <f t="shared" si="12"/>
        <v>-</v>
      </c>
      <c r="AD35" s="69">
        <f t="shared" si="13"/>
        <v>121.925</v>
      </c>
      <c r="AE35" s="75">
        <f t="shared" si="14"/>
        <v>103.636</v>
      </c>
      <c r="AF35" s="71">
        <f t="shared" si="15"/>
        <v>86.363</v>
      </c>
      <c r="AG35" s="71" t="str">
        <f t="shared" si="16"/>
        <v>-</v>
      </c>
      <c r="AH35" s="26" t="str">
        <f t="shared" si="1"/>
        <v>Bryolux</v>
      </c>
    </row>
    <row r="36" spans="1:34" x14ac:dyDescent="0.25">
      <c r="A36" s="26" t="s">
        <v>73</v>
      </c>
      <c r="B36" s="23">
        <v>1.5</v>
      </c>
      <c r="C36" s="27" t="s">
        <v>26</v>
      </c>
      <c r="D36" s="28" t="s">
        <v>26</v>
      </c>
      <c r="E36" s="53" t="s">
        <v>26</v>
      </c>
      <c r="F36" s="21" t="s">
        <v>24</v>
      </c>
      <c r="G36" s="21" t="s">
        <v>25</v>
      </c>
      <c r="H36" s="21" t="s">
        <v>24</v>
      </c>
      <c r="I36" s="17" t="s">
        <v>26</v>
      </c>
      <c r="J36" s="21" t="s">
        <v>26</v>
      </c>
      <c r="K36" s="21">
        <v>400</v>
      </c>
      <c r="L36" s="21" t="s">
        <v>26</v>
      </c>
      <c r="M36" s="21" t="s">
        <v>24</v>
      </c>
      <c r="N36" s="36" t="s">
        <v>26</v>
      </c>
      <c r="O36" s="29">
        <v>0.3</v>
      </c>
      <c r="P36" s="21" t="s">
        <v>24</v>
      </c>
      <c r="Q36" s="21">
        <v>14</v>
      </c>
      <c r="R36" s="21" t="s">
        <v>25</v>
      </c>
      <c r="S36" s="30">
        <v>85</v>
      </c>
      <c r="T36" s="31">
        <v>0.3</v>
      </c>
      <c r="U36" s="32">
        <v>1</v>
      </c>
      <c r="V36" s="13" t="s">
        <v>26</v>
      </c>
      <c r="W36" s="17" t="s">
        <v>26</v>
      </c>
      <c r="X36" s="17" t="s">
        <v>26</v>
      </c>
      <c r="Y36" s="21" t="s">
        <v>26</v>
      </c>
      <c r="Z36" s="23">
        <f>IF(AND(OR($K36&lt;&gt;"-",$L36&lt;&gt;"-"),AD36&lt;&gt;"-",$G36="Yes"),ROUND((IF($K36="-",0,$K36)+IF($L36="-",0,$L36))/AD36/8,2),"-")</f>
        <v>13.51</v>
      </c>
      <c r="AA36" s="24">
        <f>IF(AND(OR($K36&lt;&gt;"-",$L36&lt;&gt;"-"),AE36&lt;&gt;"-",$G36="Yes"),ROUND((IF($K36="-",0,$K36)+IF($L36="-",0,$L36))/AE36/8,2),"-")</f>
        <v>19.3</v>
      </c>
      <c r="AB36" s="24">
        <f>IF(AND(OR($K36&lt;&gt;"-",$L36&lt;&gt;"-"),AF36&lt;&gt;"-",$G36="Yes"),ROUND((IF($K36="-",0,$K36)+IF($L36="-",0,$L36))/AF36/8,2),"-")</f>
        <v>27.01</v>
      </c>
      <c r="AC36" s="24" t="str">
        <f t="shared" si="12"/>
        <v>-</v>
      </c>
      <c r="AD36" s="69">
        <f t="shared" si="13"/>
        <v>3.7010000000000001</v>
      </c>
      <c r="AE36" s="75">
        <f t="shared" si="14"/>
        <v>2.5910000000000002</v>
      </c>
      <c r="AF36" s="71">
        <f t="shared" si="15"/>
        <v>1.851</v>
      </c>
      <c r="AG36" s="71" t="str">
        <f t="shared" si="16"/>
        <v>-</v>
      </c>
      <c r="AH36" s="26" t="str">
        <f t="shared" si="1"/>
        <v>Rose</v>
      </c>
    </row>
    <row r="37" spans="1:34" x14ac:dyDescent="0.25">
      <c r="A37" s="26" t="s">
        <v>74</v>
      </c>
      <c r="B37" s="23">
        <v>1.5</v>
      </c>
      <c r="C37" s="27" t="s">
        <v>26</v>
      </c>
      <c r="D37" s="28" t="s">
        <v>26</v>
      </c>
      <c r="E37" s="53" t="s">
        <v>26</v>
      </c>
      <c r="F37" s="21" t="s">
        <v>24</v>
      </c>
      <c r="G37" s="21" t="s">
        <v>25</v>
      </c>
      <c r="H37" s="21" t="s">
        <v>24</v>
      </c>
      <c r="I37" s="17" t="s">
        <v>26</v>
      </c>
      <c r="J37" s="21" t="s">
        <v>26</v>
      </c>
      <c r="K37" s="21">
        <v>400</v>
      </c>
      <c r="L37" s="21" t="s">
        <v>26</v>
      </c>
      <c r="M37" s="21" t="s">
        <v>24</v>
      </c>
      <c r="N37" s="36" t="s">
        <v>26</v>
      </c>
      <c r="O37" s="29">
        <v>0.3</v>
      </c>
      <c r="P37" s="21" t="s">
        <v>24</v>
      </c>
      <c r="Q37" s="21">
        <v>18</v>
      </c>
      <c r="R37" s="21" t="s">
        <v>25</v>
      </c>
      <c r="S37" s="30">
        <v>85</v>
      </c>
      <c r="T37" s="31">
        <v>0.3</v>
      </c>
      <c r="U37" s="32">
        <v>1</v>
      </c>
      <c r="V37" s="13" t="s">
        <v>26</v>
      </c>
      <c r="W37" s="17" t="s">
        <v>26</v>
      </c>
      <c r="X37" s="17" t="s">
        <v>26</v>
      </c>
      <c r="Y37" s="21" t="s">
        <v>26</v>
      </c>
      <c r="Z37" s="23">
        <f>IF(AND(OR($K37&lt;&gt;"-",$L37&lt;&gt;"-"),AD37&lt;&gt;"-",$G37="Yes"),ROUND((IF($K37="-",0,$K37)+IF($L37="-",0,$L37))/AD37/5,2),"-")</f>
        <v>21.62</v>
      </c>
      <c r="AA37" s="24">
        <f>IF(AND(OR($K37&lt;&gt;"-",$L37&lt;&gt;"-"),AE37&lt;&gt;"-",$G37="Yes"),ROUND((IF($K37="-",0,$K37)+IF($L37="-",0,$L37))/AE37/5,2),"-")</f>
        <v>30.88</v>
      </c>
      <c r="AB37" s="24">
        <f>IF(AND(OR($K37&lt;&gt;"-",$L37&lt;&gt;"-"),AF37&lt;&gt;"-",$G37="Yes"),ROUND((IF($K37="-",0,$K37)+IF($L37="-",0,$L37))/AF37/5,2),"-")</f>
        <v>43.22</v>
      </c>
      <c r="AC37" s="24" t="str">
        <f t="shared" si="12"/>
        <v>-</v>
      </c>
      <c r="AD37" s="69">
        <f t="shared" si="13"/>
        <v>3.7010000000000001</v>
      </c>
      <c r="AE37" s="75">
        <f t="shared" si="14"/>
        <v>2.5910000000000002</v>
      </c>
      <c r="AF37" s="71">
        <f t="shared" si="15"/>
        <v>1.851</v>
      </c>
      <c r="AG37" s="71" t="str">
        <f t="shared" si="16"/>
        <v>-</v>
      </c>
      <c r="AH37" s="26" t="str">
        <f t="shared" si="1"/>
        <v>Daylily</v>
      </c>
    </row>
    <row r="38" spans="1:34" x14ac:dyDescent="0.25">
      <c r="A38" s="26" t="s">
        <v>75</v>
      </c>
      <c r="B38" s="23">
        <v>30</v>
      </c>
      <c r="C38" s="27" t="s">
        <v>26</v>
      </c>
      <c r="D38" s="28" t="s">
        <v>26</v>
      </c>
      <c r="E38" s="53" t="s">
        <v>26</v>
      </c>
      <c r="F38" s="21" t="s">
        <v>24</v>
      </c>
      <c r="G38" s="21" t="s">
        <v>24</v>
      </c>
      <c r="H38" s="21" t="s">
        <v>24</v>
      </c>
      <c r="I38" s="17" t="s">
        <v>26</v>
      </c>
      <c r="J38" s="21" t="s">
        <v>26</v>
      </c>
      <c r="K38" s="21" t="s">
        <v>26</v>
      </c>
      <c r="L38" s="21">
        <v>200</v>
      </c>
      <c r="M38" s="21" t="s">
        <v>24</v>
      </c>
      <c r="N38" s="36" t="s">
        <v>26</v>
      </c>
      <c r="O38" s="29">
        <v>0</v>
      </c>
      <c r="P38" s="21" t="s">
        <v>24</v>
      </c>
      <c r="Q38" s="21">
        <v>-20</v>
      </c>
      <c r="R38" s="21" t="s">
        <v>25</v>
      </c>
      <c r="S38" s="30">
        <v>100</v>
      </c>
      <c r="T38" s="31">
        <v>0.01</v>
      </c>
      <c r="U38" s="32">
        <v>0</v>
      </c>
      <c r="V38" s="13" t="s">
        <v>26</v>
      </c>
      <c r="W38" s="17" t="s">
        <v>26</v>
      </c>
      <c r="X38" s="17" t="s">
        <v>26</v>
      </c>
      <c r="Y38" s="21" t="s">
        <v>26</v>
      </c>
      <c r="Z38" s="23" t="str">
        <f t="shared" si="9"/>
        <v>-</v>
      </c>
      <c r="AA38" s="24" t="str">
        <f t="shared" si="10"/>
        <v>-</v>
      </c>
      <c r="AB38" s="24" t="str">
        <f t="shared" si="11"/>
        <v>-</v>
      </c>
      <c r="AC38" s="24" t="str">
        <f t="shared" si="12"/>
        <v>-</v>
      </c>
      <c r="AD38" s="69">
        <f t="shared" si="13"/>
        <v>51.817999999999998</v>
      </c>
      <c r="AE38" s="75">
        <f t="shared" si="14"/>
        <v>51.817999999999998</v>
      </c>
      <c r="AF38" s="71">
        <f t="shared" si="15"/>
        <v>51.817999999999998</v>
      </c>
      <c r="AG38" s="71" t="str">
        <f t="shared" si="16"/>
        <v>-</v>
      </c>
      <c r="AH38" s="26" t="str">
        <f t="shared" si="1"/>
        <v>Burned Tree</v>
      </c>
    </row>
    <row r="39" spans="1:34" x14ac:dyDescent="0.25">
      <c r="A39" s="26" t="s">
        <v>76</v>
      </c>
      <c r="B39" s="23">
        <v>2.5</v>
      </c>
      <c r="C39" s="27" t="s">
        <v>26</v>
      </c>
      <c r="D39" s="28" t="s">
        <v>26</v>
      </c>
      <c r="E39" s="53" t="s">
        <v>26</v>
      </c>
      <c r="F39" s="21" t="s">
        <v>25</v>
      </c>
      <c r="G39" s="21" t="s">
        <v>24</v>
      </c>
      <c r="H39" s="21" t="s">
        <v>24</v>
      </c>
      <c r="I39" s="17" t="s">
        <v>26</v>
      </c>
      <c r="J39" s="21" t="s">
        <v>26</v>
      </c>
      <c r="K39" s="21" t="s">
        <v>26</v>
      </c>
      <c r="L39" s="21">
        <v>190</v>
      </c>
      <c r="M39" s="21" t="s">
        <v>24</v>
      </c>
      <c r="N39" s="36" t="s">
        <v>26</v>
      </c>
      <c r="O39" s="29">
        <v>0.51</v>
      </c>
      <c r="P39" s="21" t="s">
        <v>24</v>
      </c>
      <c r="Q39" s="21">
        <v>0</v>
      </c>
      <c r="R39" s="21" t="s">
        <v>25</v>
      </c>
      <c r="S39" s="30">
        <v>150</v>
      </c>
      <c r="T39" s="31">
        <v>0.05</v>
      </c>
      <c r="U39" s="32">
        <v>0</v>
      </c>
      <c r="V39" s="13" t="s">
        <v>26</v>
      </c>
      <c r="W39" s="17" t="s">
        <v>26</v>
      </c>
      <c r="X39" s="17" t="s">
        <v>26</v>
      </c>
      <c r="Y39" s="21" t="s">
        <v>26</v>
      </c>
      <c r="Z39" s="23" t="str">
        <f t="shared" si="9"/>
        <v>-</v>
      </c>
      <c r="AA39" s="24" t="str">
        <f t="shared" si="10"/>
        <v>-</v>
      </c>
      <c r="AB39" s="24" t="str">
        <f t="shared" si="11"/>
        <v>-</v>
      </c>
      <c r="AC39" s="24" t="str">
        <f t="shared" si="12"/>
        <v>-</v>
      </c>
      <c r="AD39" s="69">
        <f t="shared" si="13"/>
        <v>4.3179999999999996</v>
      </c>
      <c r="AE39" s="75">
        <f t="shared" si="14"/>
        <v>4.3179999999999996</v>
      </c>
      <c r="AF39" s="71">
        <f t="shared" si="15"/>
        <v>4.3179999999999996</v>
      </c>
      <c r="AG39" s="71" t="str">
        <f t="shared" si="16"/>
        <v>-</v>
      </c>
      <c r="AH39" s="26" t="str">
        <f t="shared" si="1"/>
        <v>Pincushion Cactus</v>
      </c>
    </row>
    <row r="40" spans="1:34" x14ac:dyDescent="0.25">
      <c r="A40" s="26" t="s">
        <v>77</v>
      </c>
      <c r="B40" s="23">
        <v>2.5</v>
      </c>
      <c r="C40" s="27" t="s">
        <v>26</v>
      </c>
      <c r="D40" s="28" t="s">
        <v>26</v>
      </c>
      <c r="E40" s="53" t="s">
        <v>26</v>
      </c>
      <c r="F40" s="21" t="s">
        <v>25</v>
      </c>
      <c r="G40" s="21" t="s">
        <v>24</v>
      </c>
      <c r="H40" s="21" t="s">
        <v>24</v>
      </c>
      <c r="I40" s="17" t="s">
        <v>26</v>
      </c>
      <c r="J40" s="21" t="s">
        <v>26</v>
      </c>
      <c r="K40" s="21" t="s">
        <v>26</v>
      </c>
      <c r="L40" s="21">
        <v>40</v>
      </c>
      <c r="M40" s="21" t="s">
        <v>24</v>
      </c>
      <c r="N40" s="36" t="s">
        <v>26</v>
      </c>
      <c r="O40" s="29">
        <v>0.51</v>
      </c>
      <c r="P40" s="21" t="s">
        <v>24</v>
      </c>
      <c r="Q40" s="21">
        <v>0</v>
      </c>
      <c r="R40" s="21" t="s">
        <v>25</v>
      </c>
      <c r="S40" s="30">
        <v>85</v>
      </c>
      <c r="T40" s="31">
        <v>0.05</v>
      </c>
      <c r="U40" s="32">
        <v>0.3</v>
      </c>
      <c r="V40" s="13" t="s">
        <v>26</v>
      </c>
      <c r="W40" s="17" t="s">
        <v>26</v>
      </c>
      <c r="X40" s="17" t="s">
        <v>26</v>
      </c>
      <c r="Y40" s="21" t="s">
        <v>26</v>
      </c>
      <c r="Z40" s="23" t="str">
        <f t="shared" si="9"/>
        <v>-</v>
      </c>
      <c r="AA40" s="24" t="str">
        <f t="shared" si="10"/>
        <v>-</v>
      </c>
      <c r="AB40" s="24" t="str">
        <f t="shared" si="11"/>
        <v>-</v>
      </c>
      <c r="AC40" s="24" t="str">
        <f t="shared" si="12"/>
        <v>-</v>
      </c>
      <c r="AD40" s="69">
        <f t="shared" si="13"/>
        <v>4.7450000000000001</v>
      </c>
      <c r="AE40" s="75">
        <f t="shared" si="14"/>
        <v>4.3179999999999996</v>
      </c>
      <c r="AF40" s="71">
        <f t="shared" si="15"/>
        <v>3.855</v>
      </c>
      <c r="AG40" s="71" t="str">
        <f t="shared" si="16"/>
        <v>-</v>
      </c>
      <c r="AH40" s="26" t="str">
        <f t="shared" si="1"/>
        <v>Grass</v>
      </c>
    </row>
    <row r="41" spans="1:34" x14ac:dyDescent="0.25">
      <c r="A41" s="26" t="s">
        <v>78</v>
      </c>
      <c r="B41" s="23">
        <v>3</v>
      </c>
      <c r="C41" s="27" t="s">
        <v>26</v>
      </c>
      <c r="D41" s="28" t="s">
        <v>26</v>
      </c>
      <c r="E41" s="53" t="s">
        <v>26</v>
      </c>
      <c r="F41" s="21" t="s">
        <v>25</v>
      </c>
      <c r="G41" s="21" t="s">
        <v>24</v>
      </c>
      <c r="H41" s="21" t="s">
        <v>24</v>
      </c>
      <c r="I41" s="17" t="s">
        <v>26</v>
      </c>
      <c r="J41" s="21" t="s">
        <v>26</v>
      </c>
      <c r="K41" s="21" t="s">
        <v>26</v>
      </c>
      <c r="L41" s="21">
        <v>60</v>
      </c>
      <c r="M41" s="21" t="s">
        <v>24</v>
      </c>
      <c r="N41" s="36" t="s">
        <v>26</v>
      </c>
      <c r="O41" s="29">
        <v>0.51</v>
      </c>
      <c r="P41" s="21" t="s">
        <v>24</v>
      </c>
      <c r="Q41" s="21">
        <v>0</v>
      </c>
      <c r="R41" s="21" t="s">
        <v>25</v>
      </c>
      <c r="S41" s="30">
        <v>90</v>
      </c>
      <c r="T41" s="31">
        <v>0.5</v>
      </c>
      <c r="U41" s="32">
        <v>0.7</v>
      </c>
      <c r="V41" s="13" t="s">
        <v>26</v>
      </c>
      <c r="W41" s="17" t="s">
        <v>26</v>
      </c>
      <c r="X41" s="17" t="s">
        <v>26</v>
      </c>
      <c r="Y41" s="21" t="s">
        <v>26</v>
      </c>
      <c r="Z41" s="23" t="str">
        <f t="shared" si="9"/>
        <v>-</v>
      </c>
      <c r="AA41" s="24" t="str">
        <f t="shared" si="10"/>
        <v>-</v>
      </c>
      <c r="AB41" s="24" t="str">
        <f t="shared" si="11"/>
        <v>-</v>
      </c>
      <c r="AC41" s="24" t="str">
        <f t="shared" si="12"/>
        <v>-</v>
      </c>
      <c r="AD41" s="69">
        <f t="shared" si="13"/>
        <v>6.5590000000000002</v>
      </c>
      <c r="AE41" s="75">
        <f t="shared" si="14"/>
        <v>5.1820000000000004</v>
      </c>
      <c r="AF41" s="71">
        <f t="shared" si="15"/>
        <v>4.048</v>
      </c>
      <c r="AG41" s="71" t="str">
        <f t="shared" si="16"/>
        <v>-</v>
      </c>
      <c r="AH41" s="26" t="str">
        <f t="shared" si="1"/>
        <v>Tall Grass</v>
      </c>
    </row>
    <row r="42" spans="1:34" x14ac:dyDescent="0.25">
      <c r="A42" s="26" t="s">
        <v>79</v>
      </c>
      <c r="B42" s="23">
        <v>3</v>
      </c>
      <c r="C42" s="27" t="s">
        <v>26</v>
      </c>
      <c r="D42" s="28" t="s">
        <v>26</v>
      </c>
      <c r="E42" s="53" t="s">
        <v>26</v>
      </c>
      <c r="F42" s="21" t="s">
        <v>25</v>
      </c>
      <c r="G42" s="21" t="s">
        <v>24</v>
      </c>
      <c r="H42" s="21" t="s">
        <v>24</v>
      </c>
      <c r="I42" s="17" t="s">
        <v>26</v>
      </c>
      <c r="J42" s="21" t="s">
        <v>26</v>
      </c>
      <c r="K42" s="21" t="s">
        <v>26</v>
      </c>
      <c r="L42" s="21">
        <v>190</v>
      </c>
      <c r="M42" s="21" t="s">
        <v>24</v>
      </c>
      <c r="N42" s="36" t="s">
        <v>26</v>
      </c>
      <c r="O42" s="29">
        <v>0.51</v>
      </c>
      <c r="P42" s="21" t="s">
        <v>24</v>
      </c>
      <c r="Q42" s="21">
        <v>0</v>
      </c>
      <c r="R42" s="21" t="s">
        <v>25</v>
      </c>
      <c r="S42" s="30">
        <v>120</v>
      </c>
      <c r="T42" s="31">
        <v>0.4</v>
      </c>
      <c r="U42" s="32">
        <v>0.5</v>
      </c>
      <c r="V42" s="13" t="s">
        <v>26</v>
      </c>
      <c r="W42" s="17" t="s">
        <v>26</v>
      </c>
      <c r="X42" s="17" t="s">
        <v>26</v>
      </c>
      <c r="Y42" s="21" t="s">
        <v>26</v>
      </c>
      <c r="Z42" s="23" t="str">
        <f t="shared" si="9"/>
        <v>-</v>
      </c>
      <c r="AA42" s="24" t="str">
        <f t="shared" si="10"/>
        <v>-</v>
      </c>
      <c r="AB42" s="24" t="str">
        <f t="shared" si="11"/>
        <v>-</v>
      </c>
      <c r="AC42" s="24" t="str">
        <f t="shared" si="12"/>
        <v>-</v>
      </c>
      <c r="AD42" s="69">
        <f t="shared" si="13"/>
        <v>6.0960000000000001</v>
      </c>
      <c r="AE42" s="75">
        <f t="shared" si="14"/>
        <v>5.1820000000000004</v>
      </c>
      <c r="AF42" s="71">
        <f t="shared" si="15"/>
        <v>4.3179999999999996</v>
      </c>
      <c r="AG42" s="71" t="str">
        <f t="shared" si="16"/>
        <v>-</v>
      </c>
      <c r="AH42" s="26" t="str">
        <f t="shared" si="1"/>
        <v>Bush</v>
      </c>
    </row>
    <row r="43" spans="1:34" x14ac:dyDescent="0.25">
      <c r="A43" s="26" t="s">
        <v>80</v>
      </c>
      <c r="B43" s="23">
        <v>3</v>
      </c>
      <c r="C43" s="27" t="s">
        <v>26</v>
      </c>
      <c r="D43" s="28" t="s">
        <v>26</v>
      </c>
      <c r="E43" s="53" t="s">
        <v>26</v>
      </c>
      <c r="F43" s="21" t="s">
        <v>25</v>
      </c>
      <c r="G43" s="21" t="s">
        <v>24</v>
      </c>
      <c r="H43" s="21" t="s">
        <v>24</v>
      </c>
      <c r="I43" s="17" t="s">
        <v>26</v>
      </c>
      <c r="J43" s="21" t="s">
        <v>26</v>
      </c>
      <c r="K43" s="21" t="s">
        <v>26</v>
      </c>
      <c r="L43" s="21">
        <v>60</v>
      </c>
      <c r="M43" s="21" t="s">
        <v>24</v>
      </c>
      <c r="N43" s="36" t="s">
        <v>26</v>
      </c>
      <c r="O43" s="29">
        <v>0.51</v>
      </c>
      <c r="P43" s="21" t="s">
        <v>24</v>
      </c>
      <c r="Q43" s="21">
        <v>0</v>
      </c>
      <c r="R43" s="21" t="s">
        <v>25</v>
      </c>
      <c r="S43" s="30">
        <v>100</v>
      </c>
      <c r="T43" s="31">
        <v>0.5</v>
      </c>
      <c r="U43" s="32">
        <v>0.7</v>
      </c>
      <c r="V43" s="13" t="s">
        <v>26</v>
      </c>
      <c r="W43" s="17" t="s">
        <v>26</v>
      </c>
      <c r="X43" s="17" t="s">
        <v>26</v>
      </c>
      <c r="Y43" s="21" t="s">
        <v>26</v>
      </c>
      <c r="Z43" s="23" t="str">
        <f t="shared" si="9"/>
        <v>-</v>
      </c>
      <c r="AA43" s="24" t="str">
        <f t="shared" si="10"/>
        <v>-</v>
      </c>
      <c r="AB43" s="24" t="str">
        <f t="shared" si="11"/>
        <v>-</v>
      </c>
      <c r="AC43" s="24" t="str">
        <f t="shared" si="12"/>
        <v>-</v>
      </c>
      <c r="AD43" s="69">
        <f t="shared" si="13"/>
        <v>6.5590000000000002</v>
      </c>
      <c r="AE43" s="75">
        <f t="shared" si="14"/>
        <v>5.1820000000000004</v>
      </c>
      <c r="AF43" s="71">
        <f t="shared" si="15"/>
        <v>4.048</v>
      </c>
      <c r="AG43" s="71" t="str">
        <f t="shared" si="16"/>
        <v>-</v>
      </c>
      <c r="AH43" s="26" t="str">
        <f t="shared" si="1"/>
        <v>Brambles</v>
      </c>
    </row>
    <row r="44" spans="1:34" x14ac:dyDescent="0.25">
      <c r="A44" s="26" t="s">
        <v>81</v>
      </c>
      <c r="B44" s="23">
        <v>5</v>
      </c>
      <c r="C44" s="27" t="s">
        <v>26</v>
      </c>
      <c r="D44" s="28" t="s">
        <v>26</v>
      </c>
      <c r="E44" s="53" t="s">
        <v>26</v>
      </c>
      <c r="F44" s="21" t="s">
        <v>25</v>
      </c>
      <c r="G44" s="21" t="s">
        <v>24</v>
      </c>
      <c r="H44" s="21" t="s">
        <v>24</v>
      </c>
      <c r="I44" s="17" t="s">
        <v>26</v>
      </c>
      <c r="J44" s="21" t="s">
        <v>26</v>
      </c>
      <c r="K44" s="21" t="s">
        <v>26</v>
      </c>
      <c r="L44" s="21">
        <v>150</v>
      </c>
      <c r="M44" s="21" t="s">
        <v>24</v>
      </c>
      <c r="N44" s="36" t="s">
        <v>26</v>
      </c>
      <c r="O44" s="29">
        <v>0.51</v>
      </c>
      <c r="P44" s="21" t="s">
        <v>24</v>
      </c>
      <c r="Q44" s="21">
        <v>0</v>
      </c>
      <c r="R44" s="21" t="s">
        <v>25</v>
      </c>
      <c r="S44" s="30">
        <v>100</v>
      </c>
      <c r="T44" s="31">
        <v>0.5</v>
      </c>
      <c r="U44" s="32">
        <v>0.7</v>
      </c>
      <c r="V44" s="13" t="s">
        <v>26</v>
      </c>
      <c r="W44" s="17" t="s">
        <v>26</v>
      </c>
      <c r="X44" s="17" t="s">
        <v>26</v>
      </c>
      <c r="Y44" s="21" t="s">
        <v>26</v>
      </c>
      <c r="Z44" s="23" t="str">
        <f t="shared" si="9"/>
        <v>-</v>
      </c>
      <c r="AA44" s="24" t="str">
        <f t="shared" si="10"/>
        <v>-</v>
      </c>
      <c r="AB44" s="24" t="str">
        <f t="shared" si="11"/>
        <v>-</v>
      </c>
      <c r="AC44" s="24" t="str">
        <f t="shared" si="12"/>
        <v>-</v>
      </c>
      <c r="AD44" s="69">
        <f t="shared" si="13"/>
        <v>10.932</v>
      </c>
      <c r="AE44" s="75">
        <f t="shared" si="14"/>
        <v>8.6359999999999992</v>
      </c>
      <c r="AF44" s="71">
        <f t="shared" si="15"/>
        <v>6.7469999999999999</v>
      </c>
      <c r="AG44" s="71" t="str">
        <f t="shared" si="16"/>
        <v>-</v>
      </c>
      <c r="AH44" s="26" t="str">
        <f t="shared" si="1"/>
        <v>Chokevine</v>
      </c>
    </row>
    <row r="45" spans="1:34" x14ac:dyDescent="0.25">
      <c r="A45" s="26" t="s">
        <v>82</v>
      </c>
      <c r="B45" s="23">
        <v>2.5</v>
      </c>
      <c r="C45" s="27" t="s">
        <v>26</v>
      </c>
      <c r="D45" s="28" t="s">
        <v>26</v>
      </c>
      <c r="E45" s="53" t="s">
        <v>26</v>
      </c>
      <c r="F45" s="21" t="s">
        <v>25</v>
      </c>
      <c r="G45" s="21" t="s">
        <v>25</v>
      </c>
      <c r="H45" s="21" t="s">
        <v>24</v>
      </c>
      <c r="I45" s="17" t="s">
        <v>26</v>
      </c>
      <c r="J45" s="21" t="s">
        <v>26</v>
      </c>
      <c r="K45" s="21">
        <v>260</v>
      </c>
      <c r="L45" s="21" t="s">
        <v>26</v>
      </c>
      <c r="M45" s="21" t="s">
        <v>24</v>
      </c>
      <c r="N45" s="36" t="s">
        <v>26</v>
      </c>
      <c r="O45" s="29">
        <v>0.51</v>
      </c>
      <c r="P45" s="21" t="s">
        <v>24</v>
      </c>
      <c r="Q45" s="21">
        <v>4</v>
      </c>
      <c r="R45" s="21" t="s">
        <v>25</v>
      </c>
      <c r="S45" s="30">
        <v>85</v>
      </c>
      <c r="T45" s="31">
        <v>0.5</v>
      </c>
      <c r="U45" s="32">
        <v>0</v>
      </c>
      <c r="V45" s="13" t="s">
        <v>26</v>
      </c>
      <c r="W45" s="17" t="s">
        <v>26</v>
      </c>
      <c r="X45" s="17" t="s">
        <v>26</v>
      </c>
      <c r="Y45" s="21" t="s">
        <v>26</v>
      </c>
      <c r="Z45" s="23">
        <f>IF(AND(OR($K45&lt;&gt;"-",$L45&lt;&gt;"-"),AD45&lt;&gt;"-",$G45="Yes"),ROUND((IF($K45="-",0,$K45)+IF($L45="-",0,$L45))/AD45/6,2),"-")</f>
        <v>10.039999999999999</v>
      </c>
      <c r="AA45" s="24">
        <f>IF(AND(OR($K45&lt;&gt;"-",$L45&lt;&gt;"-"),AE45&lt;&gt;"-",$G45="Yes"),ROUND((IF($K45="-",0,$K45)+IF($L45="-",0,$L45))/AE45/6,2),"-")</f>
        <v>10.039999999999999</v>
      </c>
      <c r="AB45" s="24">
        <f>IF(AND(OR($K45&lt;&gt;"-",$L45&lt;&gt;"-"),AF45&lt;&gt;"-",$G45="Yes"),ROUND((IF($K45="-",0,$K45)+IF($L45="-",0,$L45))/AF45/6,2),"-")</f>
        <v>10.039999999999999</v>
      </c>
      <c r="AC45" s="24" t="str">
        <f t="shared" si="12"/>
        <v>-</v>
      </c>
      <c r="AD45" s="69">
        <f t="shared" si="13"/>
        <v>4.3179999999999996</v>
      </c>
      <c r="AE45" s="75">
        <f t="shared" si="14"/>
        <v>4.3179999999999996</v>
      </c>
      <c r="AF45" s="71">
        <f t="shared" si="15"/>
        <v>4.3179999999999996</v>
      </c>
      <c r="AG45" s="71" t="str">
        <f t="shared" si="16"/>
        <v>-</v>
      </c>
      <c r="AH45" s="26" t="str">
        <f t="shared" si="1"/>
        <v>Dandelions</v>
      </c>
    </row>
    <row r="46" spans="1:34" x14ac:dyDescent="0.25">
      <c r="A46" s="26" t="s">
        <v>83</v>
      </c>
      <c r="B46" s="23">
        <v>2.5</v>
      </c>
      <c r="C46" s="27" t="s">
        <v>26</v>
      </c>
      <c r="D46" s="28" t="s">
        <v>26</v>
      </c>
      <c r="E46" s="53" t="s">
        <v>26</v>
      </c>
      <c r="F46" s="21" t="s">
        <v>25</v>
      </c>
      <c r="G46" s="21" t="s">
        <v>24</v>
      </c>
      <c r="H46" s="21" t="s">
        <v>24</v>
      </c>
      <c r="I46" s="17" t="s">
        <v>26</v>
      </c>
      <c r="J46" s="21" t="s">
        <v>26</v>
      </c>
      <c r="K46" s="21" t="s">
        <v>26</v>
      </c>
      <c r="L46" s="21">
        <v>190</v>
      </c>
      <c r="M46" s="21" t="s">
        <v>24</v>
      </c>
      <c r="N46" s="36" t="s">
        <v>26</v>
      </c>
      <c r="O46" s="29">
        <v>0.51</v>
      </c>
      <c r="P46" s="21" t="s">
        <v>24</v>
      </c>
      <c r="Q46" s="21">
        <v>4</v>
      </c>
      <c r="R46" s="21" t="s">
        <v>25</v>
      </c>
      <c r="S46" s="30">
        <v>85</v>
      </c>
      <c r="T46" s="31">
        <v>0.5</v>
      </c>
      <c r="U46" s="32">
        <v>0</v>
      </c>
      <c r="V46" s="13" t="s">
        <v>26</v>
      </c>
      <c r="W46" s="17" t="s">
        <v>26</v>
      </c>
      <c r="X46" s="17" t="s">
        <v>26</v>
      </c>
      <c r="Y46" s="21" t="s">
        <v>26</v>
      </c>
      <c r="Z46" s="23" t="str">
        <f t="shared" si="9"/>
        <v>-</v>
      </c>
      <c r="AA46" s="24" t="str">
        <f t="shared" si="10"/>
        <v>-</v>
      </c>
      <c r="AB46" s="24" t="str">
        <f t="shared" si="11"/>
        <v>-</v>
      </c>
      <c r="AC46" s="24" t="str">
        <f t="shared" si="12"/>
        <v>-</v>
      </c>
      <c r="AD46" s="69">
        <f t="shared" si="13"/>
        <v>4.3179999999999996</v>
      </c>
      <c r="AE46" s="75">
        <f t="shared" si="14"/>
        <v>4.3179999999999996</v>
      </c>
      <c r="AF46" s="71">
        <f t="shared" si="15"/>
        <v>4.3179999999999996</v>
      </c>
      <c r="AG46" s="71" t="str">
        <f t="shared" si="16"/>
        <v>-</v>
      </c>
      <c r="AH46" s="26" t="str">
        <f t="shared" si="1"/>
        <v>Astragalus</v>
      </c>
    </row>
    <row r="47" spans="1:34" x14ac:dyDescent="0.25">
      <c r="A47" s="26" t="s">
        <v>84</v>
      </c>
      <c r="B47" s="23">
        <v>7.5</v>
      </c>
      <c r="C47" s="27" t="s">
        <v>26</v>
      </c>
      <c r="D47" s="28" t="s">
        <v>26</v>
      </c>
      <c r="E47" s="53" t="s">
        <v>26</v>
      </c>
      <c r="F47" s="21" t="s">
        <v>25</v>
      </c>
      <c r="G47" s="21" t="s">
        <v>24</v>
      </c>
      <c r="H47" s="21" t="s">
        <v>24</v>
      </c>
      <c r="I47" s="17" t="s">
        <v>26</v>
      </c>
      <c r="J47" s="21" t="s">
        <v>26</v>
      </c>
      <c r="K47" s="21" t="s">
        <v>26</v>
      </c>
      <c r="L47" s="21">
        <v>60</v>
      </c>
      <c r="M47" s="21" t="s">
        <v>24</v>
      </c>
      <c r="N47" s="36" t="s">
        <v>26</v>
      </c>
      <c r="O47" s="29">
        <v>0.51</v>
      </c>
      <c r="P47" s="21" t="s">
        <v>24</v>
      </c>
      <c r="Q47" s="21">
        <v>0</v>
      </c>
      <c r="R47" s="21" t="s">
        <v>25</v>
      </c>
      <c r="S47" s="30">
        <v>120</v>
      </c>
      <c r="T47" s="31">
        <v>0.5</v>
      </c>
      <c r="U47" s="32">
        <v>0</v>
      </c>
      <c r="V47" s="13" t="s">
        <v>26</v>
      </c>
      <c r="W47" s="17" t="s">
        <v>26</v>
      </c>
      <c r="X47" s="17" t="s">
        <v>26</v>
      </c>
      <c r="Y47" s="21" t="s">
        <v>26</v>
      </c>
      <c r="Z47" s="23" t="str">
        <f t="shared" si="9"/>
        <v>-</v>
      </c>
      <c r="AA47" s="24" t="str">
        <f t="shared" si="10"/>
        <v>-</v>
      </c>
      <c r="AB47" s="24" t="str">
        <f t="shared" si="11"/>
        <v>-</v>
      </c>
      <c r="AC47" s="24" t="str">
        <f t="shared" si="12"/>
        <v>-</v>
      </c>
      <c r="AD47" s="69">
        <f t="shared" si="13"/>
        <v>12.955</v>
      </c>
      <c r="AE47" s="75">
        <f t="shared" si="14"/>
        <v>12.955</v>
      </c>
      <c r="AF47" s="71">
        <f t="shared" si="15"/>
        <v>12.955</v>
      </c>
      <c r="AG47" s="71" t="str">
        <f t="shared" si="16"/>
        <v>-</v>
      </c>
      <c r="AH47" s="26" t="str">
        <f t="shared" si="1"/>
        <v>Moss</v>
      </c>
    </row>
    <row r="48" spans="1:34" x14ac:dyDescent="0.25">
      <c r="A48" s="26" t="s">
        <v>85</v>
      </c>
      <c r="B48" s="23">
        <v>3</v>
      </c>
      <c r="C48" s="27" t="s">
        <v>26</v>
      </c>
      <c r="D48" s="28" t="s">
        <v>26</v>
      </c>
      <c r="E48" s="53" t="s">
        <v>26</v>
      </c>
      <c r="F48" s="21" t="s">
        <v>25</v>
      </c>
      <c r="G48" s="21" t="s">
        <v>24</v>
      </c>
      <c r="H48" s="21" t="s">
        <v>24</v>
      </c>
      <c r="I48" s="17" t="s">
        <v>26</v>
      </c>
      <c r="J48" s="21" t="s">
        <v>26</v>
      </c>
      <c r="K48" s="21" t="s">
        <v>26</v>
      </c>
      <c r="L48" s="21">
        <v>60</v>
      </c>
      <c r="M48" s="21" t="s">
        <v>24</v>
      </c>
      <c r="N48" s="36" t="s">
        <v>26</v>
      </c>
      <c r="O48" s="29">
        <v>0.51</v>
      </c>
      <c r="P48" s="21" t="s">
        <v>24</v>
      </c>
      <c r="Q48" s="21">
        <v>0</v>
      </c>
      <c r="R48" s="21" t="s">
        <v>25</v>
      </c>
      <c r="S48" s="30">
        <v>90</v>
      </c>
      <c r="T48" s="31">
        <v>0.5</v>
      </c>
      <c r="U48" s="32">
        <v>0</v>
      </c>
      <c r="V48" s="13" t="s">
        <v>26</v>
      </c>
      <c r="W48" s="17" t="s">
        <v>26</v>
      </c>
      <c r="X48" s="17" t="s">
        <v>26</v>
      </c>
      <c r="Y48" s="21" t="s">
        <v>26</v>
      </c>
      <c r="Z48" s="23" t="str">
        <f t="shared" si="9"/>
        <v>-</v>
      </c>
      <c r="AA48" s="24" t="str">
        <f t="shared" si="10"/>
        <v>-</v>
      </c>
      <c r="AB48" s="24" t="str">
        <f t="shared" si="11"/>
        <v>-</v>
      </c>
      <c r="AC48" s="24" t="str">
        <f t="shared" si="12"/>
        <v>-</v>
      </c>
      <c r="AD48" s="69">
        <f t="shared" si="13"/>
        <v>5.1820000000000004</v>
      </c>
      <c r="AE48" s="75">
        <f t="shared" si="14"/>
        <v>5.1820000000000004</v>
      </c>
      <c r="AF48" s="71">
        <f t="shared" si="15"/>
        <v>5.1820000000000004</v>
      </c>
      <c r="AG48" s="71" t="str">
        <f t="shared" si="16"/>
        <v>-</v>
      </c>
      <c r="AH48" s="26" t="str">
        <f t="shared" si="1"/>
        <v>Low Shrubs</v>
      </c>
    </row>
    <row r="49" spans="1:34" x14ac:dyDescent="0.25">
      <c r="A49" s="26" t="s">
        <v>86</v>
      </c>
      <c r="B49" s="23">
        <v>3</v>
      </c>
      <c r="C49" s="27" t="s">
        <v>26</v>
      </c>
      <c r="D49" s="28" t="s">
        <v>26</v>
      </c>
      <c r="E49" s="53" t="s">
        <v>26</v>
      </c>
      <c r="F49" s="21" t="s">
        <v>25</v>
      </c>
      <c r="G49" s="21" t="s">
        <v>24</v>
      </c>
      <c r="H49" s="21" t="s">
        <v>24</v>
      </c>
      <c r="I49" s="17" t="s">
        <v>26</v>
      </c>
      <c r="J49" s="21" t="s">
        <v>26</v>
      </c>
      <c r="K49" s="21" t="s">
        <v>26</v>
      </c>
      <c r="L49" s="21">
        <v>190</v>
      </c>
      <c r="M49" s="21" t="s">
        <v>24</v>
      </c>
      <c r="N49" s="36" t="s">
        <v>26</v>
      </c>
      <c r="O49" s="29">
        <v>0.51</v>
      </c>
      <c r="P49" s="21" t="s">
        <v>24</v>
      </c>
      <c r="Q49" s="21">
        <v>0</v>
      </c>
      <c r="R49" s="21" t="s">
        <v>25</v>
      </c>
      <c r="S49" s="30">
        <v>120</v>
      </c>
      <c r="T49" s="31">
        <v>0.4</v>
      </c>
      <c r="U49" s="32">
        <v>0.5</v>
      </c>
      <c r="V49" s="13" t="s">
        <v>26</v>
      </c>
      <c r="W49" s="17" t="s">
        <v>26</v>
      </c>
      <c r="X49" s="17" t="s">
        <v>26</v>
      </c>
      <c r="Y49" s="21" t="s">
        <v>26</v>
      </c>
      <c r="Z49" s="23" t="str">
        <f t="shared" si="9"/>
        <v>-</v>
      </c>
      <c r="AA49" s="24" t="str">
        <f t="shared" si="10"/>
        <v>-</v>
      </c>
      <c r="AB49" s="24" t="str">
        <f t="shared" si="11"/>
        <v>-</v>
      </c>
      <c r="AC49" s="24" t="str">
        <f t="shared" si="12"/>
        <v>-</v>
      </c>
      <c r="AD49" s="69">
        <f t="shared" si="13"/>
        <v>6.0960000000000001</v>
      </c>
      <c r="AE49" s="75">
        <f t="shared" si="14"/>
        <v>5.1820000000000004</v>
      </c>
      <c r="AF49" s="71">
        <f t="shared" si="15"/>
        <v>4.3179999999999996</v>
      </c>
      <c r="AG49" s="71" t="str">
        <f t="shared" si="16"/>
        <v>-</v>
      </c>
      <c r="AH49" s="26" t="str">
        <f t="shared" si="1"/>
        <v>Alocasia</v>
      </c>
    </row>
    <row r="50" spans="1:34" x14ac:dyDescent="0.25">
      <c r="A50" s="26" t="s">
        <v>87</v>
      </c>
      <c r="B50" s="23">
        <v>3</v>
      </c>
      <c r="C50" s="27" t="s">
        <v>26</v>
      </c>
      <c r="D50" s="28" t="s">
        <v>26</v>
      </c>
      <c r="E50" s="53" t="s">
        <v>26</v>
      </c>
      <c r="F50" s="21" t="s">
        <v>25</v>
      </c>
      <c r="G50" s="21" t="s">
        <v>24</v>
      </c>
      <c r="H50" s="21" t="s">
        <v>24</v>
      </c>
      <c r="I50" s="17" t="s">
        <v>26</v>
      </c>
      <c r="J50" s="21" t="s">
        <v>26</v>
      </c>
      <c r="K50" s="21" t="s">
        <v>26</v>
      </c>
      <c r="L50" s="21">
        <v>190</v>
      </c>
      <c r="M50" s="21" t="s">
        <v>24</v>
      </c>
      <c r="N50" s="36" t="s">
        <v>26</v>
      </c>
      <c r="O50" s="29">
        <v>0.51</v>
      </c>
      <c r="P50" s="21" t="s">
        <v>24</v>
      </c>
      <c r="Q50" s="21">
        <v>2</v>
      </c>
      <c r="R50" s="21" t="s">
        <v>25</v>
      </c>
      <c r="S50" s="30">
        <v>120</v>
      </c>
      <c r="T50" s="31">
        <v>0.4</v>
      </c>
      <c r="U50" s="32">
        <v>0.5</v>
      </c>
      <c r="V50" s="13" t="s">
        <v>26</v>
      </c>
      <c r="W50" s="17" t="s">
        <v>26</v>
      </c>
      <c r="X50" s="17" t="s">
        <v>26</v>
      </c>
      <c r="Y50" s="21" t="s">
        <v>26</v>
      </c>
      <c r="Z50" s="23" t="str">
        <f t="shared" si="9"/>
        <v>-</v>
      </c>
      <c r="AA50" s="24" t="str">
        <f t="shared" si="10"/>
        <v>-</v>
      </c>
      <c r="AB50" s="24" t="str">
        <f t="shared" si="11"/>
        <v>-</v>
      </c>
      <c r="AC50" s="24" t="str">
        <f t="shared" si="12"/>
        <v>-</v>
      </c>
      <c r="AD50" s="69">
        <f t="shared" si="13"/>
        <v>6.0960000000000001</v>
      </c>
      <c r="AE50" s="75">
        <f t="shared" si="14"/>
        <v>5.1820000000000004</v>
      </c>
      <c r="AF50" s="71">
        <f t="shared" si="15"/>
        <v>4.3179999999999996</v>
      </c>
      <c r="AG50" s="71" t="str">
        <f t="shared" si="16"/>
        <v>-</v>
      </c>
      <c r="AH50" s="26" t="str">
        <f t="shared" si="1"/>
        <v>Clivia</v>
      </c>
    </row>
    <row r="51" spans="1:34" x14ac:dyDescent="0.25">
      <c r="A51" s="26" t="s">
        <v>88</v>
      </c>
      <c r="B51" s="23">
        <v>3</v>
      </c>
      <c r="C51" s="27" t="s">
        <v>26</v>
      </c>
      <c r="D51" s="28" t="s">
        <v>26</v>
      </c>
      <c r="E51" s="53" t="s">
        <v>26</v>
      </c>
      <c r="F51" s="21" t="s">
        <v>25</v>
      </c>
      <c r="G51" s="21" t="s">
        <v>24</v>
      </c>
      <c r="H51" s="21" t="s">
        <v>24</v>
      </c>
      <c r="I51" s="17" t="s">
        <v>26</v>
      </c>
      <c r="J51" s="21" t="s">
        <v>26</v>
      </c>
      <c r="K51" s="21" t="s">
        <v>26</v>
      </c>
      <c r="L51" s="21">
        <v>190</v>
      </c>
      <c r="M51" s="21" t="s">
        <v>24</v>
      </c>
      <c r="N51" s="36" t="s">
        <v>26</v>
      </c>
      <c r="O51" s="29">
        <v>0.51</v>
      </c>
      <c r="P51" s="21" t="s">
        <v>24</v>
      </c>
      <c r="Q51" s="21">
        <v>-6</v>
      </c>
      <c r="R51" s="21" t="s">
        <v>25</v>
      </c>
      <c r="S51" s="30">
        <v>120</v>
      </c>
      <c r="T51" s="31">
        <v>0.4</v>
      </c>
      <c r="U51" s="32">
        <v>0.5</v>
      </c>
      <c r="V51" s="13" t="s">
        <v>26</v>
      </c>
      <c r="W51" s="17" t="s">
        <v>26</v>
      </c>
      <c r="X51" s="17" t="s">
        <v>26</v>
      </c>
      <c r="Y51" s="21" t="s">
        <v>26</v>
      </c>
      <c r="Z51" s="23" t="str">
        <f t="shared" si="9"/>
        <v>-</v>
      </c>
      <c r="AA51" s="24" t="str">
        <f t="shared" si="10"/>
        <v>-</v>
      </c>
      <c r="AB51" s="24" t="str">
        <f t="shared" si="11"/>
        <v>-</v>
      </c>
      <c r="AC51" s="24" t="str">
        <f t="shared" si="12"/>
        <v>-</v>
      </c>
      <c r="AD51" s="69">
        <f t="shared" si="13"/>
        <v>6.0960000000000001</v>
      </c>
      <c r="AE51" s="75">
        <f t="shared" si="14"/>
        <v>5.1820000000000004</v>
      </c>
      <c r="AF51" s="71">
        <f t="shared" si="15"/>
        <v>4.3179999999999996</v>
      </c>
      <c r="AG51" s="71" t="str">
        <f t="shared" si="16"/>
        <v>-</v>
      </c>
      <c r="AH51" s="26" t="str">
        <f t="shared" si="1"/>
        <v>Giant Rafflesia</v>
      </c>
    </row>
    <row r="52" spans="1:34" x14ac:dyDescent="0.25">
      <c r="K52" s="73"/>
    </row>
  </sheetData>
  <pageMargins left="0.7" right="0.7" top="0.75" bottom="0.75" header="0.3" footer="0.3"/>
  <pageSetup orientation="portrait" r:id="rId1"/>
  <ignoredErrors>
    <ignoredError sqref="Z45:AB45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9" sqref="F19"/>
    </sheetView>
  </sheetViews>
  <sheetFormatPr defaultRowHeight="15" x14ac:dyDescent="0.25"/>
  <cols>
    <col min="1" max="1" width="27.42578125" customWidth="1"/>
    <col min="2" max="2" width="18.28515625" customWidth="1"/>
    <col min="3" max="4" width="13.140625" customWidth="1"/>
    <col min="5" max="5" width="16" customWidth="1"/>
    <col min="6" max="9" width="18.28515625" customWidth="1"/>
    <col min="10" max="15" width="9.140625" customWidth="1"/>
    <col min="30" max="30" width="27.42578125" customWidth="1"/>
  </cols>
  <sheetData>
    <row r="1" spans="1:30" ht="15.75" thickBot="1" x14ac:dyDescent="0.3">
      <c r="A1" s="9" t="s">
        <v>0</v>
      </c>
      <c r="B1" s="6" t="s">
        <v>6</v>
      </c>
      <c r="C1" s="7" t="s">
        <v>89</v>
      </c>
      <c r="D1" s="7" t="s">
        <v>92</v>
      </c>
      <c r="E1" s="8" t="s">
        <v>101</v>
      </c>
      <c r="F1" s="7" t="s">
        <v>90</v>
      </c>
      <c r="G1" s="7" t="s">
        <v>91</v>
      </c>
      <c r="H1" s="7" t="s">
        <v>93</v>
      </c>
      <c r="I1" s="8" t="s">
        <v>94</v>
      </c>
      <c r="J1" s="76" t="s">
        <v>97</v>
      </c>
      <c r="K1" s="77"/>
      <c r="L1" s="77"/>
      <c r="M1" s="78"/>
      <c r="N1" s="76" t="s">
        <v>100</v>
      </c>
      <c r="O1" s="77"/>
      <c r="P1" s="77"/>
      <c r="Q1" s="78"/>
      <c r="R1" s="76" t="s">
        <v>96</v>
      </c>
      <c r="S1" s="77"/>
      <c r="T1" s="77"/>
      <c r="U1" s="78"/>
      <c r="V1" s="76" t="s">
        <v>98</v>
      </c>
      <c r="W1" s="77"/>
      <c r="X1" s="77"/>
      <c r="Y1" s="78"/>
      <c r="Z1" s="76" t="s">
        <v>99</v>
      </c>
      <c r="AA1" s="77"/>
      <c r="AB1" s="77"/>
      <c r="AC1" s="78"/>
      <c r="AD1" s="9" t="s">
        <v>0</v>
      </c>
    </row>
    <row r="2" spans="1:30" x14ac:dyDescent="0.25">
      <c r="A2" s="42" t="str">
        <f>General!$A2</f>
        <v>Rice Plant</v>
      </c>
      <c r="B2" s="43" t="str">
        <f>VLOOKUP($A2,General!$A$2:$AH$51,4,FALSE)</f>
        <v>Rice</v>
      </c>
      <c r="C2" s="44">
        <v>0.05</v>
      </c>
      <c r="D2" s="44" t="s">
        <v>95</v>
      </c>
      <c r="E2" s="45">
        <v>40</v>
      </c>
      <c r="F2" s="38" t="str">
        <f>IF(VLOOKUP($A2,General!$A$2:$AH$51,22,FALSE)="-","-",ROUND(VLOOKUP($A2,General!$A$2:$AH$51,22,FALSE)*$C2, 4))</f>
        <v>-</v>
      </c>
      <c r="G2" s="39">
        <f>IF(VLOOKUP($A2,General!$A$2:$AH$51,23,FALSE)="-","-",ROUND(VLOOKUP($A2,General!$A$2:$AH$51,23,FALSE)*$C2, 4))</f>
        <v>5.79E-2</v>
      </c>
      <c r="H2" s="39">
        <f>IF(VLOOKUP($A2,General!$A$2:$AH$51,24,FALSE)="-","-",ROUND(VLOOKUP($A2,General!$A$2:$AH$51,24,FALSE)*$C2, 4))</f>
        <v>8.1100000000000005E-2</v>
      </c>
      <c r="I2" s="74">
        <f>IF(VLOOKUP($A2,General!$A$2:$AH$51,25,FALSE)="-","-",ROUND(VLOOKUP($A2,General!$A$2:$AH$51,25,FALSE)*$C2, 4))</f>
        <v>0.13320000000000001</v>
      </c>
      <c r="J2" s="44" t="str">
        <f>IF($F2="-","-",ROUNDUP(1.6/$F2, 1))</f>
        <v>-</v>
      </c>
      <c r="K2" s="44">
        <f>IF($G2="-","-",ROUNDUP(1.6/$G2, 1))</f>
        <v>27.700000000000003</v>
      </c>
      <c r="L2" s="44">
        <f>IF($H2="-","-",ROUNDUP(1.6/$H2, 1))</f>
        <v>19.8</v>
      </c>
      <c r="M2" s="44">
        <f>IF($I2="-","-",ROUNDUP(1.6/$I2, 1))</f>
        <v>12.1</v>
      </c>
      <c r="N2" s="40" t="str">
        <f>IF($F2="-","-",ROUNDUP(1/$F2, 1))</f>
        <v>-</v>
      </c>
      <c r="O2" s="41">
        <f>IF($G2="-","-",ROUNDUP(1/$G2, 1))</f>
        <v>17.3</v>
      </c>
      <c r="P2" s="41">
        <f>IF($H2="-","-",ROUNDUP(1/$H2, 1))</f>
        <v>12.4</v>
      </c>
      <c r="Q2" s="46">
        <f>IF($I2="-","-",ROUNDUP(1/$I2, 1))</f>
        <v>7.6</v>
      </c>
      <c r="R2" s="44" t="str">
        <f>IF($F2="-","-",ROUNDUP(0.64/$F2, 1))</f>
        <v>-</v>
      </c>
      <c r="S2" s="44">
        <f>IF($G2="-","-",ROUNDUP(0.64/$G2, 1))</f>
        <v>11.1</v>
      </c>
      <c r="T2" s="44">
        <f>IF($H2="-","-",ROUNDUP(0.64/$H2, 1))</f>
        <v>7.8999999999999995</v>
      </c>
      <c r="U2" s="44">
        <f>IF($I2="-","-",ROUNDUP(0.64/$I2, 1))</f>
        <v>4.8999999999999995</v>
      </c>
      <c r="V2" s="40" t="str">
        <f>IF($F2="-","-",ROUNDUP(0.6/$F2, 1))</f>
        <v>-</v>
      </c>
      <c r="W2" s="41">
        <f>IF($G2="-","-",ROUNDUP(0.6/$G2, 1))</f>
        <v>10.4</v>
      </c>
      <c r="X2" s="41">
        <f>IF($H2="-","-",ROUNDUP(0.6/$H2, 1))</f>
        <v>7.3999999999999995</v>
      </c>
      <c r="Y2" s="46">
        <f>IF($I2="-","-",ROUNDUP(0.6/$I2, 1))</f>
        <v>4.5999999999999996</v>
      </c>
      <c r="Z2" s="44" t="str">
        <f>IF($F2="-","-",ROUNDUP(0.5/$F2, 1))</f>
        <v>-</v>
      </c>
      <c r="AA2" s="44">
        <f>IF($G2="-","-",ROUNDUP(0.5/$G2, 1))</f>
        <v>8.6999999999999993</v>
      </c>
      <c r="AB2" s="44">
        <f>IF($H2="-","-",ROUNDUP(0.5/$H2, 1))</f>
        <v>6.1999999999999993</v>
      </c>
      <c r="AC2" s="44">
        <f>IF($I2="-","-",ROUNDUP(0.5/$I2, 1))</f>
        <v>3.8000000000000003</v>
      </c>
      <c r="AD2" s="47" t="str">
        <f t="shared" ref="AD2:AD13" si="0">$A2</f>
        <v>Rice Plant</v>
      </c>
    </row>
    <row r="3" spans="1:30" x14ac:dyDescent="0.25">
      <c r="A3" s="49" t="str">
        <f>General!$A3</f>
        <v>Potato Plant</v>
      </c>
      <c r="B3" s="16" t="str">
        <f>VLOOKUP($A3,General!$A$2:$AH$51,4,FALSE)</f>
        <v>Potatoes</v>
      </c>
      <c r="C3" s="14">
        <v>0.05</v>
      </c>
      <c r="D3" s="14" t="s">
        <v>95</v>
      </c>
      <c r="E3" s="15">
        <v>30</v>
      </c>
      <c r="F3" s="13">
        <f>IF(VLOOKUP($A3,General!$A$2:$AH$51,22,FALSE)="-","-",ROUND(VLOOKUP($A3,General!$A$2:$AH$51,22,FALSE)*$C3, 4))</f>
        <v>4.8300000000000003E-2</v>
      </c>
      <c r="G3" s="17">
        <f>IF(VLOOKUP($A3,General!$A$2:$AH$51,23,FALSE)="-","-",ROUND(VLOOKUP($A3,General!$A$2:$AH$51,23,FALSE)*$C3, 4))</f>
        <v>5.4899999999999997E-2</v>
      </c>
      <c r="H3" s="17">
        <f>IF(VLOOKUP($A3,General!$A$2:$AH$51,24,FALSE)="-","-",ROUND(VLOOKUP($A3,General!$A$2:$AH$51,24,FALSE)*$C3, 4))</f>
        <v>6.3700000000000007E-2</v>
      </c>
      <c r="I3" s="18">
        <f>IF(VLOOKUP($A3,General!$A$2:$AH$51,25,FALSE)="-","-",ROUND(VLOOKUP($A3,General!$A$2:$AH$51,25,FALSE)*$C3, 4))</f>
        <v>8.3500000000000005E-2</v>
      </c>
      <c r="J3" s="16">
        <f>IF($F3="-","-",ROUNDUP(1.6/$F3, 1))</f>
        <v>33.200000000000003</v>
      </c>
      <c r="K3" s="14">
        <f>IF($G3="-","-",ROUNDUP(1.6/$G3, 1))</f>
        <v>29.200000000000003</v>
      </c>
      <c r="L3" s="14">
        <f>IF($H3="-","-",ROUNDUP(1.6/$H3, 1))</f>
        <v>25.200000000000003</v>
      </c>
      <c r="M3" s="14">
        <f>IF($I3="-","-",ROUNDUP(1.6/$I3, 1))</f>
        <v>19.200000000000003</v>
      </c>
      <c r="N3" s="13">
        <f>IF($F3="-","-",ROUNDUP(1/$F3, 1))</f>
        <v>20.8</v>
      </c>
      <c r="O3" s="17">
        <f>IF($G3="-","-",ROUNDUP(1/$G3, 1))</f>
        <v>18.3</v>
      </c>
      <c r="P3" s="17">
        <f>IF($H3="-","-",ROUNDUP(1/$H3, 1))</f>
        <v>15.7</v>
      </c>
      <c r="Q3" s="18">
        <f>IF($I3="-","-",ROUNDUP(1/$I3, 1))</f>
        <v>12</v>
      </c>
      <c r="R3" s="14">
        <f>IF($F3="-","-",ROUNDUP(0.64/$F3, 1))</f>
        <v>13.299999999999999</v>
      </c>
      <c r="S3" s="14">
        <f>IF($G3="-","-",ROUNDUP(0.64/$G3, 1))</f>
        <v>11.7</v>
      </c>
      <c r="T3" s="14">
        <f>IF($H3="-","-",ROUNDUP(0.64/$H3, 1))</f>
        <v>10.1</v>
      </c>
      <c r="U3" s="14">
        <f>IF($I3="-","-",ROUNDUP(0.64/$I3, 1))</f>
        <v>7.6999999999999993</v>
      </c>
      <c r="V3" s="13">
        <f>IF($F3="-","-",ROUNDUP(0.6/$F3, 1))</f>
        <v>12.5</v>
      </c>
      <c r="W3" s="17">
        <f>IF($G3="-","-",ROUNDUP(0.6/$G3, 1))</f>
        <v>11</v>
      </c>
      <c r="X3" s="17">
        <f>IF($H3="-","-",ROUNDUP(0.6/$H3, 1))</f>
        <v>9.5</v>
      </c>
      <c r="Y3" s="18">
        <f>IF($I3="-","-",ROUNDUP(0.6/$I3, 1))</f>
        <v>7.1999999999999993</v>
      </c>
      <c r="Z3" s="14">
        <f>IF($F3="-","-",ROUNDUP(0.5/$F3, 1))</f>
        <v>10.4</v>
      </c>
      <c r="AA3" s="14">
        <f>IF($G3="-","-",ROUNDUP(0.5/$G3, 1))</f>
        <v>9.1999999999999993</v>
      </c>
      <c r="AB3" s="14">
        <f>IF($H3="-","-",ROUNDUP(0.5/$H3, 1))</f>
        <v>7.8999999999999995</v>
      </c>
      <c r="AC3" s="15">
        <f>IF($I3="-","-",ROUNDUP(0.5/$I3, 1))</f>
        <v>6</v>
      </c>
      <c r="AD3" s="12" t="str">
        <f t="shared" si="0"/>
        <v>Potato Plant</v>
      </c>
    </row>
    <row r="4" spans="1:30" x14ac:dyDescent="0.25">
      <c r="A4" s="48" t="str">
        <f>General!$A4</f>
        <v>Corn Plant</v>
      </c>
      <c r="B4" s="23" t="str">
        <f>VLOOKUP($A4,General!$A$2:$AH$51,4,FALSE)</f>
        <v>Corn</v>
      </c>
      <c r="C4" s="24">
        <v>0.05</v>
      </c>
      <c r="D4" s="24" t="s">
        <v>95</v>
      </c>
      <c r="E4" s="27">
        <v>60</v>
      </c>
      <c r="F4" s="13" t="str">
        <f>IF(VLOOKUP($A4,General!$A$2:$AH$51,22,FALSE)="-","-",ROUND(VLOOKUP($A4,General!$A$2:$AH$51,22,FALSE)*$C4, 4))</f>
        <v>-</v>
      </c>
      <c r="G4" s="17">
        <f>IF(VLOOKUP($A4,General!$A$2:$AH$51,23,FALSE)="-","-",ROUND(VLOOKUP($A4,General!$A$2:$AH$51,23,FALSE)*$C4, 4))</f>
        <v>5.6399999999999999E-2</v>
      </c>
      <c r="H4" s="17">
        <f>IF(VLOOKUP($A4,General!$A$2:$AH$51,24,FALSE)="-","-",ROUND(VLOOKUP($A4,General!$A$2:$AH$51,24,FALSE)*$C4, 4))</f>
        <v>7.8899999999999998E-2</v>
      </c>
      <c r="I4" s="18" t="str">
        <f>IF(VLOOKUP($A4,General!$A$2:$AH$51,25,FALSE)="-","-",ROUND(VLOOKUP($A4,General!$A$2:$AH$51,25,FALSE)*$C4, 4))</f>
        <v>-</v>
      </c>
      <c r="J4" s="16" t="str">
        <f>IF($F4="-","-",ROUNDUP(1.6/$F4, 1))</f>
        <v>-</v>
      </c>
      <c r="K4" s="14">
        <f>IF($G4="-","-",ROUNDUP(1.6/$G4, 1))</f>
        <v>28.400000000000002</v>
      </c>
      <c r="L4" s="14">
        <f>IF($H4="-","-",ROUNDUP(1.6/$H4, 1))</f>
        <v>20.3</v>
      </c>
      <c r="M4" s="14" t="str">
        <f>IF($I4="-","-",ROUNDUP(1.6/$I4, 1))</f>
        <v>-</v>
      </c>
      <c r="N4" s="13" t="str">
        <f>IF($F4="-","-",ROUNDUP(1/$F4, 1))</f>
        <v>-</v>
      </c>
      <c r="O4" s="17">
        <f>IF($G4="-","-",ROUNDUP(1/$G4, 1))</f>
        <v>17.8</v>
      </c>
      <c r="P4" s="17">
        <f>IF($H4="-","-",ROUNDUP(1/$H4, 1))</f>
        <v>12.7</v>
      </c>
      <c r="Q4" s="18" t="str">
        <f t="shared" ref="Q4:Q13" si="1">IF($I4="-","-",ROUNDUP(1/$I4, 1))</f>
        <v>-</v>
      </c>
      <c r="R4" s="14" t="str">
        <f>IF($F4="-","-",ROUNDUP(0.64/$F4, 1))</f>
        <v>-</v>
      </c>
      <c r="S4" s="14">
        <f>IF($G4="-","-",ROUNDUP(0.64/$G4, 1))</f>
        <v>11.4</v>
      </c>
      <c r="T4" s="14">
        <f>IF($H4="-","-",ROUNDUP(0.64/$H4, 1))</f>
        <v>8.1999999999999993</v>
      </c>
      <c r="U4" s="14" t="str">
        <f t="shared" ref="U4:U13" si="2">IF($I4="-","-",ROUNDUP(0.64/$I4, 1))</f>
        <v>-</v>
      </c>
      <c r="V4" s="13" t="str">
        <f>IF($F4="-","-",ROUNDUP(0.6/$F4, 1))</f>
        <v>-</v>
      </c>
      <c r="W4" s="17">
        <f>IF($G4="-","-",ROUNDUP(0.6/$G4, 1))</f>
        <v>10.7</v>
      </c>
      <c r="X4" s="17">
        <f>IF($H4="-","-",ROUNDUP(0.6/$H4, 1))</f>
        <v>7.6999999999999993</v>
      </c>
      <c r="Y4" s="18" t="str">
        <f t="shared" ref="Y4:Y12" si="3">IF($I4="-","-",ROUNDUP(0.6/$I4, 1))</f>
        <v>-</v>
      </c>
      <c r="Z4" s="14" t="str">
        <f>IF($F4="-","-",ROUNDUP(0.5/$F4, 1))</f>
        <v>-</v>
      </c>
      <c r="AA4" s="14">
        <f>IF($G4="-","-",ROUNDUP(0.5/$G4, 1))</f>
        <v>8.9</v>
      </c>
      <c r="AB4" s="14">
        <f>IF($H4="-","-",ROUNDUP(0.5/$H4, 1))</f>
        <v>6.3999999999999995</v>
      </c>
      <c r="AC4" s="15" t="str">
        <f>IF($I4="-","-",ROUNDUP(0.5/$I4, 1))</f>
        <v>-</v>
      </c>
      <c r="AD4" s="26" t="str">
        <f t="shared" si="0"/>
        <v>Corn Plant</v>
      </c>
    </row>
    <row r="5" spans="1:30" x14ac:dyDescent="0.25">
      <c r="A5" s="48" t="str">
        <f>General!$A5</f>
        <v>Artiveg Plant</v>
      </c>
      <c r="B5" s="23" t="str">
        <f>VLOOKUP($A5,General!$A$2:$AH$51,4,FALSE)</f>
        <v>Artiveg</v>
      </c>
      <c r="C5" s="24">
        <v>0.05</v>
      </c>
      <c r="D5" s="24" t="s">
        <v>95</v>
      </c>
      <c r="E5" s="27">
        <v>40</v>
      </c>
      <c r="F5" s="13" t="str">
        <f>IF(VLOOKUP($A5,General!$A$2:$AH$51,22,FALSE)="-","-",ROUND(VLOOKUP($A5,General!$A$2:$AH$51,22,FALSE)*$C5, 4))</f>
        <v>-</v>
      </c>
      <c r="G5" s="17" t="str">
        <f>IF(VLOOKUP($A5,General!$A$2:$AH$51,23,FALSE)="-","-",ROUND(VLOOKUP($A5,General!$A$2:$AH$51,23,FALSE)*$C5, 4))</f>
        <v>-</v>
      </c>
      <c r="H5" s="17">
        <f>IF(VLOOKUP($A5,General!$A$2:$AH$51,24,FALSE)="-","-",ROUND(VLOOKUP($A5,General!$A$2:$AH$51,24,FALSE)*$C5, 4))</f>
        <v>8.9099999999999999E-2</v>
      </c>
      <c r="I5" s="18">
        <f>IF(VLOOKUP($A5,General!$A$2:$AH$51,25,FALSE)="-","-",ROUND(VLOOKUP($A5,General!$A$2:$AH$51,25,FALSE)*$C5, 4))</f>
        <v>0.17299999999999999</v>
      </c>
      <c r="J5" s="16" t="str">
        <f t="shared" ref="J5:J6" si="4">IF($F5="-","-",ROUNDUP(1.6/$F5, 1))</f>
        <v>-</v>
      </c>
      <c r="K5" s="14" t="str">
        <f t="shared" ref="K5:K6" si="5">IF($G5="-","-",ROUNDUP(1.6/$G5, 1))</f>
        <v>-</v>
      </c>
      <c r="L5" s="14">
        <f t="shared" ref="L5:L6" si="6">IF($H5="-","-",ROUNDUP(1.6/$H5, 1))</f>
        <v>18</v>
      </c>
      <c r="M5" s="14">
        <f t="shared" ref="M5:M6" si="7">IF($I5="-","-",ROUNDUP(1.6/$I5, 1))</f>
        <v>9.2999999999999989</v>
      </c>
      <c r="N5" s="13" t="str">
        <f t="shared" ref="N5:N6" si="8">IF($F5="-","-",ROUNDUP(1/$F5, 1))</f>
        <v>-</v>
      </c>
      <c r="O5" s="17" t="str">
        <f t="shared" ref="O5:O6" si="9">IF($G5="-","-",ROUNDUP(1/$G5, 1))</f>
        <v>-</v>
      </c>
      <c r="P5" s="17">
        <f t="shared" ref="P5:P6" si="10">IF($H5="-","-",ROUNDUP(1/$H5, 1))</f>
        <v>11.299999999999999</v>
      </c>
      <c r="Q5" s="18">
        <f t="shared" si="1"/>
        <v>5.8</v>
      </c>
      <c r="R5" s="14" t="str">
        <f t="shared" ref="R5:R6" si="11">IF($F5="-","-",ROUNDUP(0.64/$F5, 1))</f>
        <v>-</v>
      </c>
      <c r="S5" s="14" t="str">
        <f t="shared" ref="S5:S6" si="12">IF($G5="-","-",ROUNDUP(0.64/$G5, 1))</f>
        <v>-</v>
      </c>
      <c r="T5" s="14">
        <f t="shared" ref="T5:T6" si="13">IF($H5="-","-",ROUNDUP(0.64/$H5, 1))</f>
        <v>7.1999999999999993</v>
      </c>
      <c r="U5" s="14">
        <f t="shared" si="2"/>
        <v>3.7</v>
      </c>
      <c r="V5" s="13" t="str">
        <f t="shared" ref="V5:V6" si="14">IF($F5="-","-",ROUNDUP(0.6/$F5, 1))</f>
        <v>-</v>
      </c>
      <c r="W5" s="17" t="str">
        <f t="shared" ref="W5:W6" si="15">IF($G5="-","-",ROUNDUP(0.6/$G5, 1))</f>
        <v>-</v>
      </c>
      <c r="X5" s="17">
        <f t="shared" ref="X5:X6" si="16">IF($H5="-","-",ROUNDUP(0.6/$H5, 1))</f>
        <v>6.8</v>
      </c>
      <c r="Y5" s="18">
        <f t="shared" si="3"/>
        <v>3.5</v>
      </c>
      <c r="Z5" s="14" t="str">
        <f t="shared" ref="Z5:Z6" si="17">IF($F5="-","-",ROUNDUP(0.5/$F5, 1))</f>
        <v>-</v>
      </c>
      <c r="AA5" s="14" t="str">
        <f t="shared" ref="AA5:AA6" si="18">IF($G5="-","-",ROUNDUP(0.5/$G5, 1))</f>
        <v>-</v>
      </c>
      <c r="AB5" s="14">
        <f t="shared" ref="AB5:AB6" si="19">IF($H5="-","-",ROUNDUP(0.5/$H5, 1))</f>
        <v>5.6999999999999993</v>
      </c>
      <c r="AC5" s="15">
        <f t="shared" ref="AC5:AC6" si="20">IF($I5="-","-",ROUNDUP(0.5/$I5, 1))</f>
        <v>2.9</v>
      </c>
      <c r="AD5" s="26" t="str">
        <f t="shared" si="0"/>
        <v>Artiveg Plant</v>
      </c>
    </row>
    <row r="6" spans="1:30" x14ac:dyDescent="0.25">
      <c r="A6" s="48" t="str">
        <f>General!$A6</f>
        <v>Duraveg Plant</v>
      </c>
      <c r="B6" s="23" t="str">
        <f>VLOOKUP($A6,General!$A$2:$AH$51,4,FALSE)</f>
        <v>Artiveg</v>
      </c>
      <c r="C6" s="24">
        <v>0.05</v>
      </c>
      <c r="D6" s="24" t="s">
        <v>95</v>
      </c>
      <c r="E6" s="27">
        <v>40</v>
      </c>
      <c r="F6" s="13">
        <f>IF(VLOOKUP($A6,General!$A$2:$AH$51,22,FALSE)="-","-",ROUND(VLOOKUP($A6,General!$A$2:$AH$51,22,FALSE)*$C6, 4))</f>
        <v>3.1399999999999997E-2</v>
      </c>
      <c r="G6" s="17">
        <f>IF(VLOOKUP($A6,General!$A$2:$AH$51,23,FALSE)="-","-",ROUND(VLOOKUP($A6,General!$A$2:$AH$51,23,FALSE)*$C6, 4))</f>
        <v>3.3399999999999999E-2</v>
      </c>
      <c r="H6" s="17">
        <f>IF(VLOOKUP($A6,General!$A$2:$AH$51,24,FALSE)="-","-",ROUND(VLOOKUP($A6,General!$A$2:$AH$51,24,FALSE)*$C6, 4))</f>
        <v>3.61E-2</v>
      </c>
      <c r="I6" s="18" t="str">
        <f>IF(VLOOKUP($A6,General!$A$2:$AH$51,25,FALSE)="-","-",ROUND(VLOOKUP($A6,General!$A$2:$AH$51,25,FALSE)*$C6, 4))</f>
        <v>-</v>
      </c>
      <c r="J6" s="16">
        <f t="shared" si="4"/>
        <v>51</v>
      </c>
      <c r="K6" s="14">
        <f t="shared" si="5"/>
        <v>48</v>
      </c>
      <c r="L6" s="14">
        <f t="shared" si="6"/>
        <v>44.4</v>
      </c>
      <c r="M6" s="14" t="str">
        <f t="shared" si="7"/>
        <v>-</v>
      </c>
      <c r="N6" s="13">
        <f t="shared" si="8"/>
        <v>31.900000000000002</v>
      </c>
      <c r="O6" s="17">
        <f t="shared" si="9"/>
        <v>30</v>
      </c>
      <c r="P6" s="17">
        <f t="shared" si="10"/>
        <v>27.8</v>
      </c>
      <c r="Q6" s="18" t="str">
        <f t="shared" si="1"/>
        <v>-</v>
      </c>
      <c r="R6" s="14">
        <f t="shared" si="11"/>
        <v>20.400000000000002</v>
      </c>
      <c r="S6" s="14">
        <f t="shared" si="12"/>
        <v>19.200000000000003</v>
      </c>
      <c r="T6" s="14">
        <f t="shared" si="13"/>
        <v>17.8</v>
      </c>
      <c r="U6" s="14" t="str">
        <f t="shared" si="2"/>
        <v>-</v>
      </c>
      <c r="V6" s="13">
        <f t="shared" si="14"/>
        <v>19.200000000000003</v>
      </c>
      <c r="W6" s="17">
        <f t="shared" si="15"/>
        <v>18</v>
      </c>
      <c r="X6" s="17">
        <f t="shared" si="16"/>
        <v>16.700000000000003</v>
      </c>
      <c r="Y6" s="18" t="str">
        <f t="shared" si="3"/>
        <v>-</v>
      </c>
      <c r="Z6" s="14">
        <f t="shared" si="17"/>
        <v>16</v>
      </c>
      <c r="AA6" s="14">
        <f t="shared" si="18"/>
        <v>15</v>
      </c>
      <c r="AB6" s="14">
        <f t="shared" si="19"/>
        <v>13.9</v>
      </c>
      <c r="AC6" s="15" t="str">
        <f t="shared" si="20"/>
        <v>-</v>
      </c>
      <c r="AD6" s="26" t="str">
        <f t="shared" si="0"/>
        <v>Duraveg Plant</v>
      </c>
    </row>
    <row r="7" spans="1:30" x14ac:dyDescent="0.25">
      <c r="A7" s="48" t="str">
        <f>General!$A7</f>
        <v>Strawberry Plant</v>
      </c>
      <c r="B7" s="23" t="str">
        <f>VLOOKUP($A7,General!$A$2:$AH$51,4,FALSE)</f>
        <v>Berries</v>
      </c>
      <c r="C7" s="24">
        <v>0.05</v>
      </c>
      <c r="D7" s="24" t="s">
        <v>95</v>
      </c>
      <c r="E7" s="27">
        <v>14</v>
      </c>
      <c r="F7" s="13">
        <f>IF(VLOOKUP($A7,General!$A$2:$AH$51,22,FALSE)="-","-",ROUND(VLOOKUP($A7,General!$A$2:$AH$51,22,FALSE)*$C7, 4))</f>
        <v>4.1099999999999998E-2</v>
      </c>
      <c r="G7" s="17">
        <f>IF(VLOOKUP($A7,General!$A$2:$AH$51,23,FALSE)="-","-",ROUND(VLOOKUP($A7,General!$A$2:$AH$51,23,FALSE)*$C7, 4))</f>
        <v>5.0200000000000002E-2</v>
      </c>
      <c r="H7" s="17">
        <f>IF(VLOOKUP($A7,General!$A$2:$AH$51,24,FALSE)="-","-",ROUND(VLOOKUP($A7,General!$A$2:$AH$51,24,FALSE)*$C7, 4))</f>
        <v>6.2199999999999998E-2</v>
      </c>
      <c r="I7" s="18">
        <f>IF(VLOOKUP($A7,General!$A$2:$AH$51,25,FALSE)="-","-",ROUND(VLOOKUP($A7,General!$A$2:$AH$51,25,FALSE)*$C7, 4))</f>
        <v>8.9300000000000004E-2</v>
      </c>
      <c r="J7" s="16">
        <f>IF($F7="-","-",ROUNDUP(1.6/$F7, 1))</f>
        <v>39</v>
      </c>
      <c r="K7" s="14">
        <f>IF($G7="-","-",ROUNDUP(1.6/$G7, 1))</f>
        <v>31.900000000000002</v>
      </c>
      <c r="L7" s="14">
        <f>IF($H7="-","-",ROUNDUP(1.6/$H7, 1))</f>
        <v>25.8</v>
      </c>
      <c r="M7" s="14">
        <f>IF($I7="-","-",ROUNDUP(1.6/$I7, 1))</f>
        <v>18</v>
      </c>
      <c r="N7" s="13">
        <f>IF($F7="-","-",ROUNDUP(1/$F7, 1))</f>
        <v>24.400000000000002</v>
      </c>
      <c r="O7" s="17">
        <f>IF($G7="-","-",ROUNDUP(1/$G7, 1))</f>
        <v>20</v>
      </c>
      <c r="P7" s="17">
        <f>IF($H7="-","-",ROUNDUP(1/$H7, 1))</f>
        <v>16.100000000000001</v>
      </c>
      <c r="Q7" s="18">
        <f t="shared" si="1"/>
        <v>11.2</v>
      </c>
      <c r="R7" s="14">
        <f>IF($F7="-","-",ROUNDUP(0.64/$F7, 1))</f>
        <v>15.6</v>
      </c>
      <c r="S7" s="14">
        <f>IF($G7="-","-",ROUNDUP(0.64/$G7, 1))</f>
        <v>12.799999999999999</v>
      </c>
      <c r="T7" s="14">
        <f>IF($H7="-","-",ROUNDUP(0.64/$H7, 1))</f>
        <v>10.299999999999999</v>
      </c>
      <c r="U7" s="14">
        <f t="shared" si="2"/>
        <v>7.1999999999999993</v>
      </c>
      <c r="V7" s="13">
        <f>IF($F7="-","-",ROUNDUP(0.6/$F7, 1))</f>
        <v>14.6</v>
      </c>
      <c r="W7" s="17">
        <f>IF($G7="-","-",ROUNDUP(0.6/$G7, 1))</f>
        <v>12</v>
      </c>
      <c r="X7" s="17">
        <f>IF($H7="-","-",ROUNDUP(0.6/$H7, 1))</f>
        <v>9.6999999999999993</v>
      </c>
      <c r="Y7" s="18">
        <f t="shared" si="3"/>
        <v>6.8</v>
      </c>
      <c r="Z7" s="14">
        <f>IF($F7="-","-",ROUNDUP(0.5/$F7, 1))</f>
        <v>12.2</v>
      </c>
      <c r="AA7" s="14">
        <f>IF($G7="-","-",ROUNDUP(0.5/$G7, 1))</f>
        <v>10</v>
      </c>
      <c r="AB7" s="14">
        <f>IF($H7="-","-",ROUNDUP(0.5/$H7, 1))</f>
        <v>8.1</v>
      </c>
      <c r="AC7" s="15">
        <f>IF($I7="-","-",ROUNDUP(0.5/$I7, 1))</f>
        <v>5.6</v>
      </c>
      <c r="AD7" s="26" t="str">
        <f t="shared" si="0"/>
        <v>Strawberry Plant</v>
      </c>
    </row>
    <row r="8" spans="1:30" x14ac:dyDescent="0.25">
      <c r="A8" s="48" t="str">
        <f>General!$A8</f>
        <v>Haygrass</v>
      </c>
      <c r="B8" s="23" t="str">
        <f>VLOOKUP($A8,General!$A$2:$AH$51,4,FALSE)</f>
        <v>Hay</v>
      </c>
      <c r="C8" s="24">
        <v>0.05</v>
      </c>
      <c r="D8" s="24" t="s">
        <v>95</v>
      </c>
      <c r="E8" s="27">
        <v>60</v>
      </c>
      <c r="F8" s="13">
        <f>IF(VLOOKUP($A8,General!$A$2:$AH$51,22,FALSE)="-","-",ROUND(VLOOKUP($A8,General!$A$2:$AH$51,22,FALSE)*$C8, 4))</f>
        <v>6.1100000000000002E-2</v>
      </c>
      <c r="G8" s="17">
        <f>IF(VLOOKUP($A8,General!$A$2:$AH$51,23,FALSE)="-","-",ROUND(VLOOKUP($A8,General!$A$2:$AH$51,23,FALSE)*$C8, 4))</f>
        <v>7.4499999999999997E-2</v>
      </c>
      <c r="H8" s="17">
        <f>IF(VLOOKUP($A8,General!$A$2:$AH$51,24,FALSE)="-","-",ROUND(VLOOKUP($A8,General!$A$2:$AH$51,24,FALSE)*$C8, 4))</f>
        <v>9.2299999999999993E-2</v>
      </c>
      <c r="I8" s="18" t="str">
        <f>IF(VLOOKUP($A8,General!$A$2:$AH$51,25,FALSE)="-","-",ROUND(VLOOKUP($A8,General!$A$2:$AH$51,25,FALSE)*$C8, 4))</f>
        <v>-</v>
      </c>
      <c r="J8" s="16">
        <f>IF($F8="-","-",ROUNDUP(1.6/$F8, 1))</f>
        <v>26.200000000000003</v>
      </c>
      <c r="K8" s="14">
        <f>IF($G8="-","-",ROUNDUP(1.6/$G8, 1))</f>
        <v>21.5</v>
      </c>
      <c r="L8" s="14">
        <f>IF($H8="-","-",ROUNDUP(1.6/$H8, 1))</f>
        <v>17.400000000000002</v>
      </c>
      <c r="M8" s="14" t="str">
        <f>IF($I8="-","-",ROUNDUP(1.6/$I8, 1))</f>
        <v>-</v>
      </c>
      <c r="N8" s="20" t="s">
        <v>26</v>
      </c>
      <c r="O8" s="21" t="s">
        <v>26</v>
      </c>
      <c r="P8" s="21" t="s">
        <v>26</v>
      </c>
      <c r="Q8" s="18" t="str">
        <f t="shared" si="1"/>
        <v>-</v>
      </c>
      <c r="R8" s="14">
        <f>IF($F8="-","-",ROUNDUP(0.64/$F8, 1))</f>
        <v>10.5</v>
      </c>
      <c r="S8" s="14">
        <f>IF($G8="-","-",ROUNDUP(0.64/$G8, 1))</f>
        <v>8.6</v>
      </c>
      <c r="T8" s="14">
        <f>IF($H8="-","-",ROUNDUP(0.64/$H8, 1))</f>
        <v>7</v>
      </c>
      <c r="U8" s="14" t="str">
        <f t="shared" si="2"/>
        <v>-</v>
      </c>
      <c r="V8" s="20" t="s">
        <v>26</v>
      </c>
      <c r="W8" s="21" t="s">
        <v>26</v>
      </c>
      <c r="X8" s="21" t="s">
        <v>26</v>
      </c>
      <c r="Y8" s="18" t="str">
        <f t="shared" si="3"/>
        <v>-</v>
      </c>
      <c r="Z8" s="24" t="s">
        <v>26</v>
      </c>
      <c r="AA8" s="24" t="s">
        <v>26</v>
      </c>
      <c r="AB8" s="24" t="s">
        <v>26</v>
      </c>
      <c r="AC8" s="15" t="str">
        <f t="shared" ref="AC8:AC13" si="21">IF($I8="-","-",ROUNDUP(0.5/$I8, 1))</f>
        <v>-</v>
      </c>
      <c r="AD8" s="26" t="str">
        <f t="shared" si="0"/>
        <v>Haygrass</v>
      </c>
    </row>
    <row r="9" spans="1:30" x14ac:dyDescent="0.25">
      <c r="A9" s="48" t="str">
        <f>General!$A9</f>
        <v>Agave</v>
      </c>
      <c r="B9" s="23" t="str">
        <f>VLOOKUP($A9,General!$A$2:$AH$51,4,FALSE)</f>
        <v>Agave Fruit</v>
      </c>
      <c r="C9" s="24">
        <v>0.05</v>
      </c>
      <c r="D9" s="24" t="s">
        <v>95</v>
      </c>
      <c r="E9" s="27">
        <v>25</v>
      </c>
      <c r="F9" s="13">
        <f>IF(VLOOKUP($A9,General!$A$2:$AH$51,22,FALSE)="-","-",ROUND(VLOOKUP($A9,General!$A$2:$AH$51,22,FALSE)*$C9, 4))</f>
        <v>0.1113</v>
      </c>
      <c r="G9" s="17">
        <f>IF(VLOOKUP($A9,General!$A$2:$AH$51,23,FALSE)="-","-",ROUND(VLOOKUP($A9,General!$A$2:$AH$51,23,FALSE)*$C9, 4))</f>
        <v>0.13100000000000001</v>
      </c>
      <c r="H9" s="17">
        <f>IF(VLOOKUP($A9,General!$A$2:$AH$51,24,FALSE)="-","-",ROUND(VLOOKUP($A9,General!$A$2:$AH$51,24,FALSE)*$C9, 4))</f>
        <v>0.15720000000000001</v>
      </c>
      <c r="I9" s="18" t="str">
        <f>IF(VLOOKUP($A9,General!$A$2:$AH$51,25,FALSE)="-","-",ROUND(VLOOKUP($A9,General!$A$2:$AH$51,25,FALSE)*$C9, 4))</f>
        <v>-</v>
      </c>
      <c r="J9" s="16">
        <f t="shared" ref="J9:J13" si="22">IF($F9="-","-",ROUNDUP(1.6/$F9, 1))</f>
        <v>14.4</v>
      </c>
      <c r="K9" s="14">
        <f t="shared" ref="K9:K13" si="23">IF($G9="-","-",ROUNDUP(1.6/$G9, 1))</f>
        <v>12.299999999999999</v>
      </c>
      <c r="L9" s="14">
        <f t="shared" ref="L9:L13" si="24">IF($H9="-","-",ROUNDUP(1.6/$H9, 1))</f>
        <v>10.199999999999999</v>
      </c>
      <c r="M9" s="14" t="str">
        <f t="shared" ref="M9:M13" si="25">IF($I9="-","-",ROUNDUP(1.6/$I9, 1))</f>
        <v>-</v>
      </c>
      <c r="N9" s="13">
        <f t="shared" ref="N9:N13" si="26">IF($F9="-","-",ROUNDUP(1/$F9, 1))</f>
        <v>9</v>
      </c>
      <c r="O9" s="17">
        <f t="shared" ref="O9:O13" si="27">IF($G9="-","-",ROUNDUP(1/$G9, 1))</f>
        <v>7.6999999999999993</v>
      </c>
      <c r="P9" s="17">
        <f t="shared" ref="P9:P13" si="28">IF($H9="-","-",ROUNDUP(1/$H9, 1))</f>
        <v>6.3999999999999995</v>
      </c>
      <c r="Q9" s="18" t="str">
        <f t="shared" si="1"/>
        <v>-</v>
      </c>
      <c r="R9" s="14">
        <f t="shared" ref="R9:R13" si="29">IF($F9="-","-",ROUNDUP(0.64/$F9, 1))</f>
        <v>5.8</v>
      </c>
      <c r="S9" s="14">
        <f t="shared" ref="S9:S13" si="30">IF($G9="-","-",ROUNDUP(0.64/$G9, 1))</f>
        <v>4.8999999999999995</v>
      </c>
      <c r="T9" s="14">
        <f t="shared" ref="T9:T13" si="31">IF($H9="-","-",ROUNDUP(0.64/$H9, 1))</f>
        <v>4.0999999999999996</v>
      </c>
      <c r="U9" s="14" t="str">
        <f t="shared" si="2"/>
        <v>-</v>
      </c>
      <c r="V9" s="13">
        <f t="shared" ref="V9:V13" si="32">IF($F9="-","-",ROUNDUP(0.6/$F9, 1))</f>
        <v>5.3999999999999995</v>
      </c>
      <c r="W9" s="17">
        <f t="shared" ref="W9:W13" si="33">IF($G9="-","-",ROUNDUP(0.6/$G9, 1))</f>
        <v>4.5999999999999996</v>
      </c>
      <c r="X9" s="17">
        <f t="shared" ref="X9:X13" si="34">IF($H9="-","-",ROUNDUP(0.6/$H9, 1))</f>
        <v>3.9</v>
      </c>
      <c r="Y9" s="18" t="str">
        <f t="shared" si="3"/>
        <v>-</v>
      </c>
      <c r="Z9" s="14">
        <f t="shared" ref="Z9:Z13" si="35">IF($F9="-","-",ROUNDUP(0.5/$F9, 1))</f>
        <v>4.5</v>
      </c>
      <c r="AA9" s="14">
        <f t="shared" ref="AA9:AA13" si="36">IF($G9="-","-",ROUNDUP(0.5/$G9, 1))</f>
        <v>3.9</v>
      </c>
      <c r="AB9" s="14">
        <f t="shared" ref="AB9:AB13" si="37">IF($H9="-","-",ROUNDUP(0.5/$H9, 1))</f>
        <v>3.2</v>
      </c>
      <c r="AC9" s="15" t="str">
        <f t="shared" si="21"/>
        <v>-</v>
      </c>
      <c r="AD9" s="26" t="str">
        <f t="shared" si="0"/>
        <v>Agave</v>
      </c>
    </row>
    <row r="10" spans="1:30" x14ac:dyDescent="0.25">
      <c r="A10" s="48" t="str">
        <f>General!$A10</f>
        <v>Raspberry Bush</v>
      </c>
      <c r="B10" s="23" t="str">
        <f>VLOOKUP($A10,General!$A$2:$AH$51,4,FALSE)</f>
        <v>Berries</v>
      </c>
      <c r="C10" s="24">
        <v>0.05</v>
      </c>
      <c r="D10" s="24" t="s">
        <v>95</v>
      </c>
      <c r="E10" s="27">
        <v>14</v>
      </c>
      <c r="F10" s="13">
        <f>IF(VLOOKUP($A10,General!$A$2:$AH$51,22,FALSE)="-","-",ROUND(VLOOKUP($A10,General!$A$2:$AH$51,22,FALSE)*$C10, 4))</f>
        <v>0.1113</v>
      </c>
      <c r="G10" s="17">
        <f>IF(VLOOKUP($A10,General!$A$2:$AH$51,23,FALSE)="-","-",ROUND(VLOOKUP($A10,General!$A$2:$AH$51,23,FALSE)*$C10, 4))</f>
        <v>0.13100000000000001</v>
      </c>
      <c r="H10" s="17">
        <f>IF(VLOOKUP($A10,General!$A$2:$AH$51,24,FALSE)="-","-",ROUND(VLOOKUP($A10,General!$A$2:$AH$51,24,FALSE)*$C10, 4))</f>
        <v>0.15720000000000001</v>
      </c>
      <c r="I10" s="18" t="str">
        <f>IF(VLOOKUP($A10,General!$A$2:$AH$51,25,FALSE)="-","-",ROUND(VLOOKUP($A10,General!$A$2:$AH$51,25,FALSE)*$C10, 4))</f>
        <v>-</v>
      </c>
      <c r="J10" s="16">
        <f t="shared" si="22"/>
        <v>14.4</v>
      </c>
      <c r="K10" s="14">
        <f t="shared" si="23"/>
        <v>12.299999999999999</v>
      </c>
      <c r="L10" s="14">
        <f t="shared" si="24"/>
        <v>10.199999999999999</v>
      </c>
      <c r="M10" s="14" t="str">
        <f t="shared" si="25"/>
        <v>-</v>
      </c>
      <c r="N10" s="13">
        <f t="shared" si="26"/>
        <v>9</v>
      </c>
      <c r="O10" s="17">
        <f t="shared" si="27"/>
        <v>7.6999999999999993</v>
      </c>
      <c r="P10" s="17">
        <f t="shared" si="28"/>
        <v>6.3999999999999995</v>
      </c>
      <c r="Q10" s="18" t="str">
        <f t="shared" si="1"/>
        <v>-</v>
      </c>
      <c r="R10" s="14">
        <f t="shared" si="29"/>
        <v>5.8</v>
      </c>
      <c r="S10" s="14">
        <f t="shared" si="30"/>
        <v>4.8999999999999995</v>
      </c>
      <c r="T10" s="14">
        <f t="shared" si="31"/>
        <v>4.0999999999999996</v>
      </c>
      <c r="U10" s="14" t="str">
        <f t="shared" si="2"/>
        <v>-</v>
      </c>
      <c r="V10" s="13">
        <f t="shared" si="32"/>
        <v>5.3999999999999995</v>
      </c>
      <c r="W10" s="17">
        <f t="shared" si="33"/>
        <v>4.5999999999999996</v>
      </c>
      <c r="X10" s="17">
        <f t="shared" si="34"/>
        <v>3.9</v>
      </c>
      <c r="Y10" s="18" t="str">
        <f t="shared" si="3"/>
        <v>-</v>
      </c>
      <c r="Z10" s="14">
        <f t="shared" si="35"/>
        <v>4.5</v>
      </c>
      <c r="AA10" s="14">
        <f t="shared" si="36"/>
        <v>3.9</v>
      </c>
      <c r="AB10" s="14">
        <f t="shared" si="37"/>
        <v>3.2</v>
      </c>
      <c r="AC10" s="15" t="str">
        <f t="shared" si="21"/>
        <v>-</v>
      </c>
      <c r="AD10" s="26" t="str">
        <f t="shared" si="0"/>
        <v>Raspberry Bush</v>
      </c>
    </row>
    <row r="11" spans="1:30" x14ac:dyDescent="0.25">
      <c r="A11" s="48" t="str">
        <f>General!$A17</f>
        <v>Ambrosia Bush</v>
      </c>
      <c r="B11" s="23" t="str">
        <f>VLOOKUP($A11,General!$A$2:$AH$51,4,FALSE)</f>
        <v>Ambrosia</v>
      </c>
      <c r="C11" s="24">
        <v>0.2</v>
      </c>
      <c r="D11" s="24" t="s">
        <v>95</v>
      </c>
      <c r="E11" s="27">
        <v>30</v>
      </c>
      <c r="F11" s="13">
        <f>IF(VLOOKUP($A11,General!$A$2:$AH$51,22,FALSE)="-","-",ROUND(VLOOKUP($A11,General!$A$2:$AH$51,22,FALSE)*$C11, 4))</f>
        <v>0.1</v>
      </c>
      <c r="G11" s="17">
        <f>IF(VLOOKUP($A11,General!$A$2:$AH$51,23,FALSE)="-","-",ROUND(VLOOKUP($A11,General!$A$2:$AH$51,23,FALSE)*$C11, 4))</f>
        <v>0.1048</v>
      </c>
      <c r="H11" s="17">
        <f>IF(VLOOKUP($A11,General!$A$2:$AH$51,24,FALSE)="-","-",ROUND(VLOOKUP($A11,General!$A$2:$AH$51,24,FALSE)*$C11, 4))</f>
        <v>0.111</v>
      </c>
      <c r="I11" s="18" t="str">
        <f>IF(VLOOKUP($A11,General!$A$2:$AH$51,25,FALSE)="-","-",ROUND(VLOOKUP($A11,General!$A$2:$AH$51,25,FALSE)*$C11, 4))</f>
        <v>-</v>
      </c>
      <c r="J11" s="16">
        <f t="shared" si="22"/>
        <v>16</v>
      </c>
      <c r="K11" s="14">
        <f t="shared" si="23"/>
        <v>15.299999999999999</v>
      </c>
      <c r="L11" s="14">
        <f t="shared" si="24"/>
        <v>14.5</v>
      </c>
      <c r="M11" s="14" t="str">
        <f t="shared" si="25"/>
        <v>-</v>
      </c>
      <c r="N11" s="20" t="s">
        <v>26</v>
      </c>
      <c r="O11" s="21" t="s">
        <v>26</v>
      </c>
      <c r="P11" s="21" t="s">
        <v>26</v>
      </c>
      <c r="Q11" s="18" t="str">
        <f t="shared" si="1"/>
        <v>-</v>
      </c>
      <c r="R11" s="24" t="s">
        <v>26</v>
      </c>
      <c r="S11" s="24" t="s">
        <v>26</v>
      </c>
      <c r="T11" s="24" t="s">
        <v>26</v>
      </c>
      <c r="U11" s="14" t="str">
        <f t="shared" si="2"/>
        <v>-</v>
      </c>
      <c r="V11" s="20" t="s">
        <v>26</v>
      </c>
      <c r="W11" s="21" t="s">
        <v>26</v>
      </c>
      <c r="X11" s="21" t="s">
        <v>26</v>
      </c>
      <c r="Y11" s="18" t="str">
        <f t="shared" si="3"/>
        <v>-</v>
      </c>
      <c r="Z11" s="24" t="s">
        <v>26</v>
      </c>
      <c r="AA11" s="24" t="s">
        <v>26</v>
      </c>
      <c r="AB11" s="24" t="s">
        <v>26</v>
      </c>
      <c r="AC11" s="15" t="str">
        <f t="shared" si="21"/>
        <v>-</v>
      </c>
      <c r="AD11" s="26" t="str">
        <f t="shared" si="0"/>
        <v>Ambrosia Bush</v>
      </c>
    </row>
    <row r="12" spans="1:30" x14ac:dyDescent="0.25">
      <c r="A12" s="48" t="str">
        <f>General!$A18</f>
        <v>Glowstool</v>
      </c>
      <c r="B12" s="23" t="str">
        <f>VLOOKUP($A12,General!$A$2:$AH$51,4,FALSE)</f>
        <v>Raw Fungus</v>
      </c>
      <c r="C12" s="24">
        <v>0.05</v>
      </c>
      <c r="D12" s="24" t="s">
        <v>95</v>
      </c>
      <c r="E12" s="27">
        <v>30</v>
      </c>
      <c r="F12" s="13">
        <f>IF(VLOOKUP($A12,General!$A$2:$AH$51,22,FALSE)="-","-",ROUND(VLOOKUP($A12,General!$A$2:$AH$51,22,FALSE)*$C12, 4))</f>
        <v>1.38E-2</v>
      </c>
      <c r="G12" s="17">
        <f>IF(VLOOKUP($A12,General!$A$2:$AH$51,23,FALSE)="-","-",ROUND(VLOOKUP($A12,General!$A$2:$AH$51,23,FALSE)*$C12, 4))</f>
        <v>1.4500000000000001E-2</v>
      </c>
      <c r="H12" s="17">
        <f>IF(VLOOKUP($A12,General!$A$2:$AH$51,24,FALSE)="-","-",ROUND(VLOOKUP($A12,General!$A$2:$AH$51,24,FALSE)*$C12, 4))</f>
        <v>1.54E-2</v>
      </c>
      <c r="I12" s="18" t="str">
        <f>IF(VLOOKUP($A12,General!$A$2:$AH$51,25,FALSE)="-","-",ROUND(VLOOKUP($A12,General!$A$2:$AH$51,25,FALSE)*$C12, 4))</f>
        <v>-</v>
      </c>
      <c r="J12" s="16">
        <f t="shared" si="22"/>
        <v>116</v>
      </c>
      <c r="K12" s="14">
        <f t="shared" si="23"/>
        <v>110.39999999999999</v>
      </c>
      <c r="L12" s="14">
        <f t="shared" si="24"/>
        <v>103.89999999999999</v>
      </c>
      <c r="M12" s="14" t="str">
        <f t="shared" si="25"/>
        <v>-</v>
      </c>
      <c r="N12" s="13">
        <f t="shared" si="26"/>
        <v>72.5</v>
      </c>
      <c r="O12" s="17">
        <f t="shared" si="27"/>
        <v>69</v>
      </c>
      <c r="P12" s="17">
        <f t="shared" si="28"/>
        <v>65</v>
      </c>
      <c r="Q12" s="18" t="str">
        <f t="shared" si="1"/>
        <v>-</v>
      </c>
      <c r="R12" s="14">
        <f t="shared" si="29"/>
        <v>46.4</v>
      </c>
      <c r="S12" s="14">
        <f t="shared" si="30"/>
        <v>44.2</v>
      </c>
      <c r="T12" s="14">
        <f t="shared" si="31"/>
        <v>41.6</v>
      </c>
      <c r="U12" s="14" t="str">
        <f t="shared" si="2"/>
        <v>-</v>
      </c>
      <c r="V12" s="13">
        <f t="shared" si="32"/>
        <v>43.5</v>
      </c>
      <c r="W12" s="17">
        <f t="shared" si="33"/>
        <v>41.4</v>
      </c>
      <c r="X12" s="17">
        <f t="shared" si="34"/>
        <v>39</v>
      </c>
      <c r="Y12" s="18" t="str">
        <f t="shared" si="3"/>
        <v>-</v>
      </c>
      <c r="Z12" s="14">
        <f t="shared" si="35"/>
        <v>36.300000000000004</v>
      </c>
      <c r="AA12" s="14">
        <f t="shared" si="36"/>
        <v>34.5</v>
      </c>
      <c r="AB12" s="14">
        <f t="shared" si="37"/>
        <v>32.5</v>
      </c>
      <c r="AC12" s="15" t="str">
        <f t="shared" si="21"/>
        <v>-</v>
      </c>
      <c r="AD12" s="26" t="str">
        <f t="shared" si="0"/>
        <v>Glowstool</v>
      </c>
    </row>
    <row r="13" spans="1:30" x14ac:dyDescent="0.25">
      <c r="A13" s="48" t="str">
        <f>General!$A19</f>
        <v>Agarilux</v>
      </c>
      <c r="B13" s="23" t="str">
        <f>VLOOKUP($A13,General!$A$2:$AH$51,4,FALSE)</f>
        <v>Raw Fungus</v>
      </c>
      <c r="C13" s="24">
        <v>0.05</v>
      </c>
      <c r="D13" s="14" t="s">
        <v>95</v>
      </c>
      <c r="E13" s="27">
        <v>30</v>
      </c>
      <c r="F13" s="13">
        <f>IF(VLOOKUP($A13,General!$A$2:$AH$51,22,FALSE)="-","-",ROUND(VLOOKUP($A13,General!$A$2:$AH$51,22,FALSE)*$C13, 4))</f>
        <v>1.6199999999999999E-2</v>
      </c>
      <c r="G13" s="17">
        <f>IF(VLOOKUP($A13,General!$A$2:$AH$51,23,FALSE)="-","-",ROUND(VLOOKUP($A13,General!$A$2:$AH$51,23,FALSE)*$C13, 4))</f>
        <v>1.6899999999999998E-2</v>
      </c>
      <c r="H13" s="17">
        <f>IF(VLOOKUP($A13,General!$A$2:$AH$51,24,FALSE)="-","-",ROUND(VLOOKUP($A13,General!$A$2:$AH$51,24,FALSE)*$C13, 4))</f>
        <v>1.7899999999999999E-2</v>
      </c>
      <c r="I13" s="18" t="str">
        <f>IF(VLOOKUP($A13,General!$A$2:$AH$51,25,FALSE)="-","-",ROUND(VLOOKUP($A13,General!$A$2:$AH$51,25,FALSE)*$C13, 4))</f>
        <v>-</v>
      </c>
      <c r="J13" s="16">
        <f t="shared" si="22"/>
        <v>98.8</v>
      </c>
      <c r="K13" s="14">
        <f t="shared" si="23"/>
        <v>94.699999999999989</v>
      </c>
      <c r="L13" s="14">
        <f t="shared" si="24"/>
        <v>89.399999999999991</v>
      </c>
      <c r="M13" s="14" t="str">
        <f t="shared" si="25"/>
        <v>-</v>
      </c>
      <c r="N13" s="13">
        <f t="shared" si="26"/>
        <v>61.800000000000004</v>
      </c>
      <c r="O13" s="17">
        <f t="shared" si="27"/>
        <v>59.2</v>
      </c>
      <c r="P13" s="17">
        <f t="shared" si="28"/>
        <v>55.9</v>
      </c>
      <c r="Q13" s="18" t="str">
        <f t="shared" si="1"/>
        <v>-</v>
      </c>
      <c r="R13" s="14">
        <f t="shared" si="29"/>
        <v>39.6</v>
      </c>
      <c r="S13" s="14">
        <f t="shared" si="30"/>
        <v>37.9</v>
      </c>
      <c r="T13" s="14">
        <f t="shared" si="31"/>
        <v>35.800000000000004</v>
      </c>
      <c r="U13" s="14" t="str">
        <f t="shared" si="2"/>
        <v>-</v>
      </c>
      <c r="V13" s="13">
        <f t="shared" si="32"/>
        <v>37.1</v>
      </c>
      <c r="W13" s="17">
        <f t="shared" si="33"/>
        <v>35.6</v>
      </c>
      <c r="X13" s="17">
        <f t="shared" si="34"/>
        <v>33.6</v>
      </c>
      <c r="Y13" s="18" t="str">
        <f>IF($I13="-","-",ROUNDUP(0.6/$I13, 1))</f>
        <v>-</v>
      </c>
      <c r="Z13" s="14">
        <f t="shared" si="35"/>
        <v>30.900000000000002</v>
      </c>
      <c r="AA13" s="14">
        <f t="shared" si="36"/>
        <v>29.6</v>
      </c>
      <c r="AB13" s="14">
        <f t="shared" si="37"/>
        <v>28</v>
      </c>
      <c r="AC13" s="15" t="str">
        <f t="shared" si="21"/>
        <v>-</v>
      </c>
      <c r="AD13" s="26" t="str">
        <f t="shared" si="0"/>
        <v>Agarilux</v>
      </c>
    </row>
  </sheetData>
  <mergeCells count="5">
    <mergeCell ref="J1:M1"/>
    <mergeCell ref="N1:Q1"/>
    <mergeCell ref="R1:U1"/>
    <mergeCell ref="V1:Y1"/>
    <mergeCell ref="Z1:AC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"/>
  <sheetViews>
    <sheetView zoomScaleNormal="100" workbookViewId="0">
      <pane xSplit="1" ySplit="1" topLeftCell="L8" activePane="bottomRight" state="frozen"/>
      <selection pane="topRight" activeCell="B1" sqref="B1"/>
      <selection pane="bottomLeft" activeCell="A2" sqref="A2"/>
      <selection pane="bottomRight" activeCell="U39" sqref="U39"/>
    </sheetView>
  </sheetViews>
  <sheetFormatPr defaultRowHeight="15" x14ac:dyDescent="0.25"/>
  <cols>
    <col min="1" max="1" width="27.42578125" customWidth="1"/>
    <col min="2" max="2" width="18.28515625" customWidth="1"/>
    <col min="3" max="6" width="16" customWidth="1"/>
    <col min="7" max="7" width="13.7109375" customWidth="1"/>
    <col min="8" max="9" width="16" customWidth="1"/>
    <col min="10" max="10" width="18.28515625" customWidth="1"/>
    <col min="11" max="11" width="13.7109375" customWidth="1"/>
    <col min="12" max="12" width="16" customWidth="1"/>
    <col min="13" max="13" width="18.28515625" customWidth="1"/>
    <col min="14" max="14" width="18.140625" customWidth="1"/>
    <col min="15" max="17" width="18.28515625" customWidth="1"/>
    <col min="22" max="22" width="9.140625" customWidth="1"/>
    <col min="26" max="26" width="27.42578125" customWidth="1"/>
  </cols>
  <sheetData>
    <row r="1" spans="1:26" x14ac:dyDescent="0.25">
      <c r="A1" s="11" t="s">
        <v>0</v>
      </c>
      <c r="B1" s="1" t="s">
        <v>103</v>
      </c>
      <c r="C1" s="2" t="s">
        <v>102</v>
      </c>
      <c r="D1" s="2" t="s">
        <v>104</v>
      </c>
      <c r="E1" s="2" t="s">
        <v>110</v>
      </c>
      <c r="F1" s="1" t="s">
        <v>105</v>
      </c>
      <c r="G1" s="2" t="s">
        <v>106</v>
      </c>
      <c r="H1" s="2" t="s">
        <v>107</v>
      </c>
      <c r="I1" s="2" t="s">
        <v>109</v>
      </c>
      <c r="J1" s="2" t="s">
        <v>108</v>
      </c>
      <c r="K1" s="2" t="s">
        <v>104</v>
      </c>
      <c r="L1" s="2" t="s">
        <v>110</v>
      </c>
      <c r="M1" s="2" t="s">
        <v>111</v>
      </c>
      <c r="N1" s="1" t="s">
        <v>18</v>
      </c>
      <c r="O1" s="2" t="s">
        <v>19</v>
      </c>
      <c r="P1" s="2" t="s">
        <v>20</v>
      </c>
      <c r="Q1" s="3" t="s">
        <v>21</v>
      </c>
      <c r="R1" s="79" t="s">
        <v>143</v>
      </c>
      <c r="S1" s="80"/>
      <c r="T1" s="80"/>
      <c r="U1" s="81"/>
      <c r="V1" s="79" t="s">
        <v>144</v>
      </c>
      <c r="W1" s="80"/>
      <c r="X1" s="80"/>
      <c r="Y1" s="81"/>
      <c r="Z1" s="2" t="s">
        <v>0</v>
      </c>
    </row>
    <row r="2" spans="1:26" x14ac:dyDescent="0.25">
      <c r="A2" s="12" t="str">
        <f>General!$A2</f>
        <v>Rice Plant</v>
      </c>
      <c r="B2" s="16" t="str">
        <f>VLOOKUP($A2,General!$A$2:$AH$51,4,FALSE)</f>
        <v>Rice</v>
      </c>
      <c r="C2" s="14">
        <v>1.1000000000000001</v>
      </c>
      <c r="D2" s="57">
        <v>1</v>
      </c>
      <c r="E2" s="14">
        <f>IF(C2*0.5*D2*Modifiers!$G$3*Modifiers!$G$5&lt;100,ROUND(C2*0.5*D2*Modifiers!$G$3*Modifiers!$G$5,2),ROUND(C2*0.5*D2*Modifiers!$G$3*Modifiers!$G$5,0))</f>
        <v>0.55000000000000004</v>
      </c>
      <c r="F2" s="13" t="s">
        <v>112</v>
      </c>
      <c r="G2" s="17">
        <v>5</v>
      </c>
      <c r="H2" s="17">
        <v>450</v>
      </c>
      <c r="I2" s="17" t="s">
        <v>26</v>
      </c>
      <c r="J2" s="17">
        <v>24</v>
      </c>
      <c r="K2" s="58">
        <v>1</v>
      </c>
      <c r="L2" s="17">
        <f>J2*0.5*K2*Modifiers!$G$3*Modifiers!$G$5</f>
        <v>12</v>
      </c>
      <c r="M2" s="59">
        <f>L2/(G2*E2+5*(2*0.5*Modifiers!$G$3*Modifiers!$G$5))-1</f>
        <v>0.54838709677419351</v>
      </c>
      <c r="N2" s="16" t="str">
        <f>VLOOKUP($A2,General!$A$2:$AH$51,22,FALSE)</f>
        <v>-</v>
      </c>
      <c r="O2" s="14">
        <f>VLOOKUP($A2,General!$A$2:$AH$51,23,FALSE)</f>
        <v>1.1579999999999999</v>
      </c>
      <c r="P2" s="14">
        <f>VLOOKUP($A2,General!$A$2:$AH$51,24,FALSE)</f>
        <v>1.621</v>
      </c>
      <c r="Q2" s="14">
        <f>VLOOKUP($A2,General!$A$2:$AH$51,25,FALSE)</f>
        <v>2.6629999999999998</v>
      </c>
      <c r="R2" s="22" t="str">
        <f t="shared" ref="R2:U11" si="0">IF(N2="-","-",ROUND(N2*$E2, 3))</f>
        <v>-</v>
      </c>
      <c r="S2" s="60">
        <f t="shared" si="0"/>
        <v>0.63700000000000001</v>
      </c>
      <c r="T2" s="60">
        <f t="shared" si="0"/>
        <v>0.89200000000000002</v>
      </c>
      <c r="U2" s="19">
        <f t="shared" si="0"/>
        <v>1.4650000000000001</v>
      </c>
      <c r="V2" s="16" t="str">
        <f>IF(N2="-","-",ROUND($L2/($G2/N2),3))</f>
        <v>-</v>
      </c>
      <c r="W2" s="24">
        <f t="shared" ref="W2:Y2" si="1">IF(O2="-","-",ROUND($L2/($G2/O2),3))</f>
        <v>2.7789999999999999</v>
      </c>
      <c r="X2" s="14">
        <f t="shared" si="1"/>
        <v>3.89</v>
      </c>
      <c r="Y2" s="14">
        <f t="shared" si="1"/>
        <v>6.391</v>
      </c>
      <c r="Z2" s="54" t="str">
        <f t="shared" ref="Z2:Z11" si="2">A2</f>
        <v>Rice Plant</v>
      </c>
    </row>
    <row r="3" spans="1:26" x14ac:dyDescent="0.25">
      <c r="A3" s="12" t="str">
        <f>General!$A3</f>
        <v>Potato Plant</v>
      </c>
      <c r="B3" s="16" t="str">
        <f>VLOOKUP($A3,General!$A$2:$AH$51,4,FALSE)</f>
        <v>Potatoes</v>
      </c>
      <c r="C3" s="14">
        <v>1.1000000000000001</v>
      </c>
      <c r="D3" s="57">
        <v>1</v>
      </c>
      <c r="E3" s="14">
        <f>IF(C3*0.5*D3*Modifiers!$G$3*Modifiers!$G$5&lt;100,ROUND(C3*0.5*D3*Modifiers!$G$3*Modifiers!$G$5,2),ROUND(C3*0.5*D3*Modifiers!$G$3*Modifiers!$G$5,0))</f>
        <v>0.55000000000000004</v>
      </c>
      <c r="F3" s="13" t="s">
        <v>112</v>
      </c>
      <c r="G3" s="17">
        <v>5</v>
      </c>
      <c r="H3" s="17">
        <v>450</v>
      </c>
      <c r="I3" s="17" t="s">
        <v>26</v>
      </c>
      <c r="J3" s="17">
        <v>24</v>
      </c>
      <c r="K3" s="58">
        <v>1</v>
      </c>
      <c r="L3" s="17">
        <f>J3*0.5*K3*Modifiers!$G$3*Modifiers!$G$5</f>
        <v>12</v>
      </c>
      <c r="M3" s="59">
        <f>L3/(G3*E3+5*(2*0.5*Modifiers!$G$3*Modifiers!$G$5))-1</f>
        <v>0.54838709677419351</v>
      </c>
      <c r="N3" s="16">
        <f>VLOOKUP($A3,General!$A$2:$AH$51,22,FALSE)</f>
        <v>0.96599999999999997</v>
      </c>
      <c r="O3" s="14">
        <f>VLOOKUP($A3,General!$A$2:$AH$51,23,FALSE)</f>
        <v>1.0980000000000001</v>
      </c>
      <c r="P3" s="14">
        <f>VLOOKUP($A3,General!$A$2:$AH$51,24,FALSE)</f>
        <v>1.274</v>
      </c>
      <c r="Q3" s="14">
        <f>VLOOKUP($A3,General!$A$2:$AH$51,25,FALSE)</f>
        <v>1.669</v>
      </c>
      <c r="R3" s="22">
        <f t="shared" si="0"/>
        <v>0.53100000000000003</v>
      </c>
      <c r="S3" s="60">
        <f t="shared" si="0"/>
        <v>0.60399999999999998</v>
      </c>
      <c r="T3" s="60">
        <f t="shared" si="0"/>
        <v>0.70099999999999996</v>
      </c>
      <c r="U3" s="19">
        <f t="shared" si="0"/>
        <v>0.91800000000000004</v>
      </c>
      <c r="V3" s="16">
        <f t="shared" ref="V3:V10" si="3">IF(N3="-","-",ROUND($L3/($G3/N3),3))</f>
        <v>2.3180000000000001</v>
      </c>
      <c r="W3" s="24">
        <f t="shared" ref="W3:W10" si="4">IF(O3="-","-",ROUND($L3/($G3/O3),3))</f>
        <v>2.6349999999999998</v>
      </c>
      <c r="X3" s="14">
        <f t="shared" ref="X3:X10" si="5">IF(P3="-","-",ROUND($L3/($G3/P3),3))</f>
        <v>3.0579999999999998</v>
      </c>
      <c r="Y3" s="14">
        <f t="shared" ref="Y3:Y10" si="6">IF(Q3="-","-",ROUND($L3/($G3/Q3),3))</f>
        <v>4.0060000000000002</v>
      </c>
      <c r="Z3" s="54" t="str">
        <f t="shared" si="2"/>
        <v>Potato Plant</v>
      </c>
    </row>
    <row r="4" spans="1:26" x14ac:dyDescent="0.25">
      <c r="A4" s="12" t="str">
        <f>General!$A4</f>
        <v>Corn Plant</v>
      </c>
      <c r="B4" s="16" t="str">
        <f>VLOOKUP($A4,General!$A$2:$AH$51,4,FALSE)</f>
        <v>Corn</v>
      </c>
      <c r="C4" s="14">
        <v>1.1000000000000001</v>
      </c>
      <c r="D4" s="57">
        <v>1</v>
      </c>
      <c r="E4" s="14">
        <f>IF(C4*0.5*D4*Modifiers!$G$3*Modifiers!$G$5&lt;100,ROUND(C4*0.5*D4*Modifiers!$G$3*Modifiers!$G$5,2),ROUND(C4*0.5*D4*Modifiers!$G$3*Modifiers!$G$5,0))</f>
        <v>0.55000000000000004</v>
      </c>
      <c r="F4" s="13" t="s">
        <v>112</v>
      </c>
      <c r="G4" s="17">
        <v>5</v>
      </c>
      <c r="H4" s="17">
        <v>450</v>
      </c>
      <c r="I4" s="17" t="s">
        <v>26</v>
      </c>
      <c r="J4" s="17">
        <v>24</v>
      </c>
      <c r="K4" s="58">
        <v>1</v>
      </c>
      <c r="L4" s="17">
        <f>J4*0.5*K4*Modifiers!$G$3*Modifiers!$G$5</f>
        <v>12</v>
      </c>
      <c r="M4" s="59">
        <f>L4/(G4*E4+5*(2*0.5*Modifiers!$G$3*Modifiers!$G$5))-1</f>
        <v>0.54838709677419351</v>
      </c>
      <c r="N4" s="16" t="str">
        <f>VLOOKUP($A4,General!$A$2:$AH$51,22,FALSE)</f>
        <v>-</v>
      </c>
      <c r="O4" s="14">
        <f>VLOOKUP($A4,General!$A$2:$AH$51,23,FALSE)</f>
        <v>1.127</v>
      </c>
      <c r="P4" s="14">
        <f>VLOOKUP($A4,General!$A$2:$AH$51,24,FALSE)</f>
        <v>1.5780000000000001</v>
      </c>
      <c r="Q4" s="14" t="str">
        <f>VLOOKUP($A4,General!$A$2:$AH$51,25,FALSE)</f>
        <v>-</v>
      </c>
      <c r="R4" s="22" t="str">
        <f t="shared" si="0"/>
        <v>-</v>
      </c>
      <c r="S4" s="60">
        <f t="shared" si="0"/>
        <v>0.62</v>
      </c>
      <c r="T4" s="60">
        <f t="shared" si="0"/>
        <v>0.86799999999999999</v>
      </c>
      <c r="U4" s="19" t="str">
        <f t="shared" si="0"/>
        <v>-</v>
      </c>
      <c r="V4" s="16" t="str">
        <f t="shared" si="3"/>
        <v>-</v>
      </c>
      <c r="W4" s="24">
        <f t="shared" si="4"/>
        <v>2.7050000000000001</v>
      </c>
      <c r="X4" s="14">
        <f t="shared" si="5"/>
        <v>3.7869999999999999</v>
      </c>
      <c r="Y4" s="14" t="str">
        <f t="shared" si="6"/>
        <v>-</v>
      </c>
      <c r="Z4" s="54" t="str">
        <f t="shared" si="2"/>
        <v>Corn Plant</v>
      </c>
    </row>
    <row r="5" spans="1:26" x14ac:dyDescent="0.25">
      <c r="A5" s="12" t="str">
        <f>General!$A5</f>
        <v>Artiveg Plant</v>
      </c>
      <c r="B5" s="16" t="str">
        <f>VLOOKUP($A5,General!$A$2:$AH$51,4,FALSE)</f>
        <v>Artiveg</v>
      </c>
      <c r="C5" s="14">
        <v>1.1000000000000001</v>
      </c>
      <c r="D5" s="57">
        <v>1</v>
      </c>
      <c r="E5" s="14">
        <f>IF(C5*0.5*D5*Modifiers!$G$3*Modifiers!$G$5&lt;100,ROUND(C5*0.5*D5*Modifiers!$G$3*Modifiers!$G$5,2),ROUND(C5*0.5*D5*Modifiers!$G$3*Modifiers!$G$5,0))</f>
        <v>0.55000000000000004</v>
      </c>
      <c r="F5" s="13" t="s">
        <v>112</v>
      </c>
      <c r="G5" s="17">
        <v>5</v>
      </c>
      <c r="H5" s="17">
        <v>450</v>
      </c>
      <c r="I5" s="17" t="s">
        <v>26</v>
      </c>
      <c r="J5" s="17">
        <v>24</v>
      </c>
      <c r="K5" s="58">
        <v>1</v>
      </c>
      <c r="L5" s="17">
        <f>J5*0.5*K5*Modifiers!$G$3*Modifiers!$G$5</f>
        <v>12</v>
      </c>
      <c r="M5" s="59">
        <f>L5/(G5*E5+5*(2*0.5*Modifiers!$G$3*Modifiers!$G$5))-1</f>
        <v>0.54838709677419351</v>
      </c>
      <c r="N5" s="16" t="str">
        <f>VLOOKUP($A5,General!$A$2:$AH$51,22,FALSE)</f>
        <v>-</v>
      </c>
      <c r="O5" s="14" t="str">
        <f>VLOOKUP($A5,General!$A$2:$AH$51,23,FALSE)</f>
        <v>-</v>
      </c>
      <c r="P5" s="14">
        <f>VLOOKUP($A5,General!$A$2:$AH$51,24,FALSE)</f>
        <v>1.782</v>
      </c>
      <c r="Q5" s="14">
        <f>VLOOKUP($A5,General!$A$2:$AH$51,25,FALSE)</f>
        <v>3.46</v>
      </c>
      <c r="R5" s="22" t="str">
        <f t="shared" ref="R5:R6" si="7">IF(N5="-","-",ROUND(N5*$E5, 3))</f>
        <v>-</v>
      </c>
      <c r="S5" s="60" t="str">
        <f t="shared" ref="S5:S6" si="8">IF(O5="-","-",ROUND(O5*$E5, 3))</f>
        <v>-</v>
      </c>
      <c r="T5" s="60">
        <f t="shared" ref="T5:T6" si="9">IF(P5="-","-",ROUND(P5*$E5, 3))</f>
        <v>0.98</v>
      </c>
      <c r="U5" s="19">
        <f t="shared" ref="U5:U6" si="10">IF(Q5="-","-",ROUND(Q5*$E5, 3))</f>
        <v>1.903</v>
      </c>
      <c r="V5" s="16" t="str">
        <f t="shared" ref="V5:V6" si="11">IF(N5="-","-",ROUND($L5/($G5/N5),3))</f>
        <v>-</v>
      </c>
      <c r="W5" s="24" t="str">
        <f t="shared" ref="W5:W6" si="12">IF(O5="-","-",ROUND($L5/($G5/O5),3))</f>
        <v>-</v>
      </c>
      <c r="X5" s="14">
        <f t="shared" ref="X5:X6" si="13">IF(P5="-","-",ROUND($L5/($G5/P5),3))</f>
        <v>4.2770000000000001</v>
      </c>
      <c r="Y5" s="14">
        <f t="shared" ref="Y5:Y6" si="14">IF(Q5="-","-",ROUND($L5/($G5/Q5),3))</f>
        <v>8.3040000000000003</v>
      </c>
      <c r="Z5" s="54" t="str">
        <f t="shared" ref="Z5:Z6" si="15">A5</f>
        <v>Artiveg Plant</v>
      </c>
    </row>
    <row r="6" spans="1:26" x14ac:dyDescent="0.25">
      <c r="A6" s="12" t="str">
        <f>General!$A6</f>
        <v>Duraveg Plant</v>
      </c>
      <c r="B6" s="16" t="str">
        <f>VLOOKUP($A6,General!$A$2:$AH$51,4,FALSE)</f>
        <v>Artiveg</v>
      </c>
      <c r="C6" s="14">
        <v>1.1000000000000001</v>
      </c>
      <c r="D6" s="57">
        <v>1</v>
      </c>
      <c r="E6" s="14">
        <f>IF(C6*0.5*D6*Modifiers!$G$3*Modifiers!$G$5&lt;100,ROUND(C6*0.5*D6*Modifiers!$G$3*Modifiers!$G$5,2),ROUND(C6*0.5*D6*Modifiers!$G$3*Modifiers!$G$5,0))</f>
        <v>0.55000000000000004</v>
      </c>
      <c r="F6" s="13" t="s">
        <v>112</v>
      </c>
      <c r="G6" s="17">
        <v>5</v>
      </c>
      <c r="H6" s="17">
        <v>450</v>
      </c>
      <c r="I6" s="17" t="s">
        <v>26</v>
      </c>
      <c r="J6" s="17">
        <v>24</v>
      </c>
      <c r="K6" s="58">
        <v>1</v>
      </c>
      <c r="L6" s="17">
        <f>J6*0.5*K6*Modifiers!$G$3*Modifiers!$G$5</f>
        <v>12</v>
      </c>
      <c r="M6" s="59">
        <f>L6/(G6*E6+5*(2*0.5*Modifiers!$G$3*Modifiers!$G$5))-1</f>
        <v>0.54838709677419351</v>
      </c>
      <c r="N6" s="16">
        <f>VLOOKUP($A6,General!$A$2:$AH$51,22,FALSE)</f>
        <v>0.628</v>
      </c>
      <c r="O6" s="14">
        <f>VLOOKUP($A6,General!$A$2:$AH$51,23,FALSE)</f>
        <v>0.66800000000000004</v>
      </c>
      <c r="P6" s="14">
        <f>VLOOKUP($A6,General!$A$2:$AH$51,24,FALSE)</f>
        <v>0.72099999999999997</v>
      </c>
      <c r="Q6" s="14" t="str">
        <f>VLOOKUP($A6,General!$A$2:$AH$51,25,FALSE)</f>
        <v>-</v>
      </c>
      <c r="R6" s="22">
        <f t="shared" si="7"/>
        <v>0.34499999999999997</v>
      </c>
      <c r="S6" s="60">
        <f t="shared" si="8"/>
        <v>0.36699999999999999</v>
      </c>
      <c r="T6" s="60">
        <f t="shared" si="9"/>
        <v>0.39700000000000002</v>
      </c>
      <c r="U6" s="19" t="str">
        <f t="shared" si="10"/>
        <v>-</v>
      </c>
      <c r="V6" s="16">
        <f t="shared" si="11"/>
        <v>1.5069999999999999</v>
      </c>
      <c r="W6" s="24">
        <f t="shared" si="12"/>
        <v>1.603</v>
      </c>
      <c r="X6" s="14">
        <f t="shared" si="13"/>
        <v>1.73</v>
      </c>
      <c r="Y6" s="14" t="str">
        <f t="shared" si="14"/>
        <v>-</v>
      </c>
      <c r="Z6" s="54" t="str">
        <f t="shared" si="15"/>
        <v>Duraveg Plant</v>
      </c>
    </row>
    <row r="7" spans="1:26" x14ac:dyDescent="0.25">
      <c r="A7" s="12" t="str">
        <f>General!$A7</f>
        <v>Strawberry Plant</v>
      </c>
      <c r="B7" s="16" t="str">
        <f>VLOOKUP($A7,General!$A$2:$AH$51,4,FALSE)</f>
        <v>Berries</v>
      </c>
      <c r="C7" s="14">
        <v>1.2</v>
      </c>
      <c r="D7" s="57">
        <v>1</v>
      </c>
      <c r="E7" s="14">
        <f>IF(C7*0.5*D7*Modifiers!$G$3*Modifiers!$G$5&lt;100,ROUND(C7*0.5*D7*Modifiers!$G$3*Modifiers!$G$5,2),ROUND(C7*0.5*D7*Modifiers!$G$3*Modifiers!$G$5,0))</f>
        <v>0.6</v>
      </c>
      <c r="F7" s="13" t="s">
        <v>112</v>
      </c>
      <c r="G7" s="17">
        <v>5</v>
      </c>
      <c r="H7" s="17">
        <v>450</v>
      </c>
      <c r="I7" s="17" t="s">
        <v>26</v>
      </c>
      <c r="J7" s="17">
        <v>24</v>
      </c>
      <c r="K7" s="58">
        <v>1</v>
      </c>
      <c r="L7" s="17">
        <f>J7*0.5*K7*Modifiers!$G$3*Modifiers!$G$5</f>
        <v>12</v>
      </c>
      <c r="M7" s="59">
        <f>L7/(G7*E7+5*(2*0.5*Modifiers!$G$3*Modifiers!$G$5))-1</f>
        <v>0.5</v>
      </c>
      <c r="N7" s="16">
        <f>VLOOKUP($A7,General!$A$2:$AH$51,22,FALSE)</f>
        <v>0.82199999999999995</v>
      </c>
      <c r="O7" s="14">
        <f>VLOOKUP($A7,General!$A$2:$AH$51,23,FALSE)</f>
        <v>1.0029999999999999</v>
      </c>
      <c r="P7" s="14">
        <f>VLOOKUP($A7,General!$A$2:$AH$51,24,FALSE)</f>
        <v>1.2430000000000001</v>
      </c>
      <c r="Q7" s="14">
        <f>VLOOKUP($A7,General!$A$2:$AH$51,25,FALSE)</f>
        <v>1.7849999999999999</v>
      </c>
      <c r="R7" s="22">
        <f t="shared" si="0"/>
        <v>0.49299999999999999</v>
      </c>
      <c r="S7" s="60">
        <f t="shared" si="0"/>
        <v>0.60199999999999998</v>
      </c>
      <c r="T7" s="60">
        <f t="shared" si="0"/>
        <v>0.746</v>
      </c>
      <c r="U7" s="19">
        <f t="shared" si="0"/>
        <v>1.071</v>
      </c>
      <c r="V7" s="16">
        <f t="shared" si="3"/>
        <v>1.9730000000000001</v>
      </c>
      <c r="W7" s="24">
        <f t="shared" si="4"/>
        <v>2.407</v>
      </c>
      <c r="X7" s="14">
        <f t="shared" si="5"/>
        <v>2.9830000000000001</v>
      </c>
      <c r="Y7" s="14">
        <f t="shared" si="6"/>
        <v>4.2839999999999998</v>
      </c>
      <c r="Z7" s="54" t="str">
        <f t="shared" si="2"/>
        <v>Strawberry Plant</v>
      </c>
    </row>
    <row r="8" spans="1:26" x14ac:dyDescent="0.25">
      <c r="A8" s="12" t="str">
        <f>General!$A8</f>
        <v>Haygrass</v>
      </c>
      <c r="B8" s="16" t="str">
        <f>VLOOKUP($A8,General!$A$2:$AH$51,4,FALSE)</f>
        <v>Hay</v>
      </c>
      <c r="C8" s="14">
        <v>0.6</v>
      </c>
      <c r="D8" s="57">
        <v>1</v>
      </c>
      <c r="E8" s="14">
        <f>IF(C8*0.5*D8*Modifiers!$G$3*Modifiers!$G$5&lt;100,ROUND(C8*0.5*D8*Modifiers!$G$3*Modifiers!$G$5,2),ROUND(C8*0.5*D8*Modifiers!$G$3*Modifiers!$G$5,0))</f>
        <v>0.3</v>
      </c>
      <c r="F8" s="13" t="s">
        <v>136</v>
      </c>
      <c r="G8" s="17">
        <v>20</v>
      </c>
      <c r="H8" s="17">
        <v>450</v>
      </c>
      <c r="I8" s="17" t="s">
        <v>26</v>
      </c>
      <c r="J8" s="17">
        <v>65</v>
      </c>
      <c r="K8" s="58">
        <v>1</v>
      </c>
      <c r="L8" s="17">
        <f>J8*0.5*K8*Modifiers!$G$3*Modifiers!$G$5</f>
        <v>32.5</v>
      </c>
      <c r="M8" s="59">
        <f>L8/(G8*E8+20*(2*0.5*Modifiers!$G$3*Modifiers!$G$5))-1</f>
        <v>0.25</v>
      </c>
      <c r="N8" s="16">
        <f>VLOOKUP($A8,General!$A$2:$AH$51,22,FALSE)</f>
        <v>1.2210000000000001</v>
      </c>
      <c r="O8" s="14">
        <f>VLOOKUP($A8,General!$A$2:$AH$51,23,FALSE)</f>
        <v>1.4890000000000001</v>
      </c>
      <c r="P8" s="14">
        <f>VLOOKUP($A8,General!$A$2:$AH$51,24,FALSE)</f>
        <v>1.8460000000000001</v>
      </c>
      <c r="Q8" s="14" t="str">
        <f>VLOOKUP($A8,General!$A$2:$AH$51,25,FALSE)</f>
        <v>-</v>
      </c>
      <c r="R8" s="22">
        <f t="shared" si="0"/>
        <v>0.36599999999999999</v>
      </c>
      <c r="S8" s="60">
        <f t="shared" si="0"/>
        <v>0.44700000000000001</v>
      </c>
      <c r="T8" s="60">
        <f t="shared" si="0"/>
        <v>0.55400000000000005</v>
      </c>
      <c r="U8" s="19" t="str">
        <f t="shared" si="0"/>
        <v>-</v>
      </c>
      <c r="V8" s="16">
        <f t="shared" si="3"/>
        <v>1.984</v>
      </c>
      <c r="W8" s="24">
        <f t="shared" si="4"/>
        <v>2.42</v>
      </c>
      <c r="X8" s="14">
        <f t="shared" si="5"/>
        <v>3</v>
      </c>
      <c r="Y8" s="14" t="str">
        <f t="shared" si="6"/>
        <v>-</v>
      </c>
      <c r="Z8" s="54" t="str">
        <f t="shared" si="2"/>
        <v>Haygrass</v>
      </c>
    </row>
    <row r="9" spans="1:26" x14ac:dyDescent="0.25">
      <c r="A9" s="12" t="str">
        <f>General!$A9</f>
        <v>Agave</v>
      </c>
      <c r="B9" s="16" t="str">
        <f>VLOOKUP($A9,General!$A$2:$AH$51,4,FALSE)</f>
        <v>Agave Fruit</v>
      </c>
      <c r="C9" s="14">
        <v>1.1000000000000001</v>
      </c>
      <c r="D9" s="57">
        <v>1</v>
      </c>
      <c r="E9" s="14">
        <f>IF(C9*0.5*D9*Modifiers!$G$3*Modifiers!$G$5&lt;100,ROUND(C9*0.5*D9*Modifiers!$G$3*Modifiers!$G$5,2),ROUND(C9*0.5*D9*Modifiers!$G$3*Modifiers!$G$5,0))</f>
        <v>0.55000000000000004</v>
      </c>
      <c r="F9" s="13" t="s">
        <v>112</v>
      </c>
      <c r="G9" s="17">
        <v>5</v>
      </c>
      <c r="H9" s="17">
        <v>450</v>
      </c>
      <c r="I9" s="17" t="s">
        <v>26</v>
      </c>
      <c r="J9" s="17">
        <v>24</v>
      </c>
      <c r="K9" s="58">
        <v>1</v>
      </c>
      <c r="L9" s="17">
        <f>J9*0.5*K9*Modifiers!$G$3*Modifiers!$G$5</f>
        <v>12</v>
      </c>
      <c r="M9" s="59">
        <f>L9/(G9*E9+5*(2*0.5*Modifiers!$G$3*Modifiers!$G$5))-1</f>
        <v>0.54838709677419351</v>
      </c>
      <c r="N9" s="16">
        <f>VLOOKUP($A9,General!$A$2:$AH$51,22,FALSE)</f>
        <v>2.226</v>
      </c>
      <c r="O9" s="14">
        <f>VLOOKUP($A9,General!$A$2:$AH$51,23,FALSE)</f>
        <v>2.6190000000000002</v>
      </c>
      <c r="P9" s="14">
        <f>VLOOKUP($A9,General!$A$2:$AH$51,24,FALSE)</f>
        <v>3.1429999999999998</v>
      </c>
      <c r="Q9" s="14" t="str">
        <f>VLOOKUP($A9,General!$A$2:$AH$51,25,FALSE)</f>
        <v>-</v>
      </c>
      <c r="R9" s="22">
        <f t="shared" si="0"/>
        <v>1.224</v>
      </c>
      <c r="S9" s="60">
        <f t="shared" si="0"/>
        <v>1.44</v>
      </c>
      <c r="T9" s="60">
        <f t="shared" si="0"/>
        <v>1.7290000000000001</v>
      </c>
      <c r="U9" s="19" t="str">
        <f t="shared" si="0"/>
        <v>-</v>
      </c>
      <c r="V9" s="16">
        <f t="shared" si="3"/>
        <v>5.3419999999999996</v>
      </c>
      <c r="W9" s="24">
        <f t="shared" si="4"/>
        <v>6.2859999999999996</v>
      </c>
      <c r="X9" s="14">
        <f t="shared" si="5"/>
        <v>7.5430000000000001</v>
      </c>
      <c r="Y9" s="14" t="str">
        <f t="shared" si="6"/>
        <v>-</v>
      </c>
      <c r="Z9" s="54" t="str">
        <f t="shared" si="2"/>
        <v>Agave</v>
      </c>
    </row>
    <row r="10" spans="1:26" x14ac:dyDescent="0.25">
      <c r="A10" s="12" t="str">
        <f>General!$A10</f>
        <v>Raspberry Bush</v>
      </c>
      <c r="B10" s="16" t="str">
        <f>VLOOKUP($A10,General!$A$2:$AH$51,4,FALSE)</f>
        <v>Berries</v>
      </c>
      <c r="C10" s="14">
        <v>1.2</v>
      </c>
      <c r="D10" s="57">
        <v>1</v>
      </c>
      <c r="E10" s="14">
        <f>IF(C10*0.5*D10*Modifiers!$G$3*Modifiers!$G$5&lt;100,ROUND(C10*0.5*D10*Modifiers!$G$3*Modifiers!$G$5,2),ROUND(C10*0.5*D10*Modifiers!$G$3*Modifiers!$G$5,0))</f>
        <v>0.6</v>
      </c>
      <c r="F10" s="13" t="s">
        <v>112</v>
      </c>
      <c r="G10" s="17">
        <v>5</v>
      </c>
      <c r="H10" s="17">
        <v>450</v>
      </c>
      <c r="I10" s="17" t="s">
        <v>26</v>
      </c>
      <c r="J10" s="17">
        <v>24</v>
      </c>
      <c r="K10" s="58">
        <v>1</v>
      </c>
      <c r="L10" s="17">
        <f>J10*0.5*K10*Modifiers!$G$3*Modifiers!$G$5</f>
        <v>12</v>
      </c>
      <c r="M10" s="59">
        <f>L10/(G10*E10+5*(2*0.5*Modifiers!$G$3*Modifiers!$G$5))-1</f>
        <v>0.5</v>
      </c>
      <c r="N10" s="16">
        <f>VLOOKUP($A10,General!$A$2:$AH$51,22,FALSE)</f>
        <v>2.226</v>
      </c>
      <c r="O10" s="14">
        <f>VLOOKUP($A10,General!$A$2:$AH$51,23,FALSE)</f>
        <v>2.6190000000000002</v>
      </c>
      <c r="P10" s="14">
        <f>VLOOKUP($A10,General!$A$2:$AH$51,24,FALSE)</f>
        <v>3.1429999999999998</v>
      </c>
      <c r="Q10" s="14" t="str">
        <f>VLOOKUP($A10,General!$A$2:$AH$51,25,FALSE)</f>
        <v>-</v>
      </c>
      <c r="R10" s="22">
        <f t="shared" si="0"/>
        <v>1.3360000000000001</v>
      </c>
      <c r="S10" s="60">
        <f t="shared" si="0"/>
        <v>1.571</v>
      </c>
      <c r="T10" s="60">
        <f t="shared" si="0"/>
        <v>1.8859999999999999</v>
      </c>
      <c r="U10" s="19" t="str">
        <f t="shared" si="0"/>
        <v>-</v>
      </c>
      <c r="V10" s="16">
        <f t="shared" si="3"/>
        <v>5.3419999999999996</v>
      </c>
      <c r="W10" s="24">
        <f t="shared" si="4"/>
        <v>6.2859999999999996</v>
      </c>
      <c r="X10" s="14">
        <f t="shared" si="5"/>
        <v>7.5430000000000001</v>
      </c>
      <c r="Y10" s="14" t="str">
        <f t="shared" si="6"/>
        <v>-</v>
      </c>
      <c r="Z10" s="54" t="str">
        <f t="shared" si="2"/>
        <v>Raspberry Bush</v>
      </c>
    </row>
    <row r="11" spans="1:26" x14ac:dyDescent="0.25">
      <c r="A11" s="12" t="str">
        <f>General!$A11</f>
        <v>Cotton Plant</v>
      </c>
      <c r="B11" s="16" t="str">
        <f>VLOOKUP($A11,General!$A$2:$AH$51,4,FALSE)</f>
        <v>Cloth</v>
      </c>
      <c r="C11" s="14">
        <v>1.5</v>
      </c>
      <c r="D11" s="57">
        <v>1</v>
      </c>
      <c r="E11" s="14">
        <f>IF(C11*0.5*D11*Modifiers!$G$3*Modifiers!$G$5&lt;100,ROUND(C11*0.5*D11*Modifiers!$G$3*Modifiers!$G$5,2),ROUND(C11*0.5*D11*Modifiers!$G$3*Modifiers!$G$5,0))</f>
        <v>0.75</v>
      </c>
      <c r="F11" s="13" t="s">
        <v>153</v>
      </c>
      <c r="G11" s="17">
        <v>20</v>
      </c>
      <c r="H11" s="17">
        <v>6500</v>
      </c>
      <c r="I11" s="17" t="s">
        <v>142</v>
      </c>
      <c r="J11" s="17">
        <f>IF((G11*C11+H11*0.0036)*Modifiers!$G$9&lt;200,ROUND((G11*C11+H11*0.0036)*Modifiers!$G$9,2),MROUND((G11*C11+H11*0.0036)*Modifiers!$G$9,5))</f>
        <v>53.4</v>
      </c>
      <c r="K11" s="58">
        <v>0.7</v>
      </c>
      <c r="L11" s="17">
        <f>IF(J11*0.5*K11*Modifiers!$G$3*Modifiers!$G$5&lt;100,ROUND(J11*0.5*K11*Modifiers!$G$3*Modifiers!$G$5,2),ROUND(J11*0.5*K11*Modifiers!$G$3*Modifiers!$G$5,0))</f>
        <v>18.690000000000001</v>
      </c>
      <c r="M11" s="59">
        <f>L11/(G11*E11)-1</f>
        <v>0.246</v>
      </c>
      <c r="N11" s="16">
        <f>VLOOKUP($A11,General!$A$2:$AH$51,22,FALSE)</f>
        <v>0.57199999999999995</v>
      </c>
      <c r="O11" s="14">
        <f>VLOOKUP($A11,General!$A$2:$AH$51,23,FALSE)</f>
        <v>0.72399999999999998</v>
      </c>
      <c r="P11" s="14">
        <f>VLOOKUP($A11,General!$A$2:$AH$51,24,FALSE)</f>
        <v>0.92600000000000005</v>
      </c>
      <c r="Q11" s="14">
        <f>VLOOKUP($A11,General!$A$2:$AH$51,25,FALSE)</f>
        <v>1.3819999999999999</v>
      </c>
      <c r="R11" s="22">
        <f t="shared" si="0"/>
        <v>0.42899999999999999</v>
      </c>
      <c r="S11" s="60">
        <f t="shared" si="0"/>
        <v>0.54300000000000004</v>
      </c>
      <c r="T11" s="60">
        <f t="shared" si="0"/>
        <v>0.69499999999999995</v>
      </c>
      <c r="U11" s="19">
        <f t="shared" si="0"/>
        <v>1.0369999999999999</v>
      </c>
      <c r="V11" s="16">
        <f t="shared" ref="V11" si="16">IF(N11="-","-",ROUND($L11/($G11/N11),3))</f>
        <v>0.53500000000000003</v>
      </c>
      <c r="W11" s="24">
        <f t="shared" ref="W11" si="17">IF(O11="-","-",ROUND($L11/($G11/O11),3))</f>
        <v>0.67700000000000005</v>
      </c>
      <c r="X11" s="14">
        <f t="shared" ref="X11" si="18">IF(P11="-","-",ROUND($L11/($G11/P11),3))</f>
        <v>0.86499999999999999</v>
      </c>
      <c r="Y11" s="14">
        <f t="shared" ref="Y11" si="19">IF(Q11="-","-",ROUND($L11/($G11/Q11),3))</f>
        <v>1.2909999999999999</v>
      </c>
      <c r="Z11" s="54" t="str">
        <f t="shared" si="2"/>
        <v>Cotton Plant</v>
      </c>
    </row>
    <row r="12" spans="1:26" x14ac:dyDescent="0.25">
      <c r="A12" s="12" t="str">
        <f>General!$A12</f>
        <v>Devilstrand</v>
      </c>
      <c r="B12" s="16" t="str">
        <f>VLOOKUP($A12,General!$A$2:$AH$51,4,FALSE)</f>
        <v>Devilstrand</v>
      </c>
      <c r="C12" s="14">
        <v>5.5</v>
      </c>
      <c r="D12" s="57">
        <v>1</v>
      </c>
      <c r="E12" s="14">
        <f>IF(C12*0.5*D12*Modifiers!$G$3*Modifiers!$G$5&lt;100,ROUND(C12*0.5*D12*Modifiers!$G$3*Modifiers!$G$5,2),ROUND(C12*0.5*D12*Modifiers!$G$3*Modifiers!$G$5,0))</f>
        <v>2.75</v>
      </c>
      <c r="F12" s="13" t="s">
        <v>153</v>
      </c>
      <c r="G12" s="17">
        <v>20</v>
      </c>
      <c r="H12" s="17">
        <f>6500*1.3</f>
        <v>8450</v>
      </c>
      <c r="I12" s="17" t="s">
        <v>142</v>
      </c>
      <c r="J12" s="17">
        <f>IF((G12*C12+H12*0.0036)*Modifiers!$G$9&lt;200,ROUND((G12*C12+H12*0.0036)*Modifiers!$G$9,2),MROUND((G12*C12+H12*0.0036)*Modifiers!$G$9,5))</f>
        <v>140.41999999999999</v>
      </c>
      <c r="K12" s="58">
        <v>0.7</v>
      </c>
      <c r="L12" s="17">
        <f>IF(J12*0.5*K12*Modifiers!$G$3*Modifiers!$G$5&lt;100,ROUND(J12*0.5*K12*Modifiers!$G$3*Modifiers!$G$5,2),ROUND(J12*0.5*K12*Modifiers!$G$3*Modifiers!$G$5,0))</f>
        <v>49.15</v>
      </c>
      <c r="M12" s="59">
        <f>L12/(G12*E12)-1</f>
        <v>-0.10636363636363644</v>
      </c>
      <c r="N12" s="16">
        <f>VLOOKUP($A12,General!$A$2:$AH$51,22,FALSE)</f>
        <v>0.108</v>
      </c>
      <c r="O12" s="14">
        <f>VLOOKUP($A12,General!$A$2:$AH$51,23,FALSE)</f>
        <v>0.154</v>
      </c>
      <c r="P12" s="14">
        <f>VLOOKUP($A12,General!$A$2:$AH$51,24,FALSE)</f>
        <v>0.216</v>
      </c>
      <c r="Q12" s="14" t="str">
        <f>VLOOKUP($A12,General!$A$2:$AH$51,25,FALSE)</f>
        <v>-</v>
      </c>
      <c r="R12" s="22">
        <f t="shared" ref="R12" si="20">IF(N12="-","-",ROUND(N12*$E12, 3))</f>
        <v>0.29699999999999999</v>
      </c>
      <c r="S12" s="60">
        <f t="shared" ref="S12" si="21">IF(O12="-","-",ROUND(O12*$E12, 3))</f>
        <v>0.42399999999999999</v>
      </c>
      <c r="T12" s="60">
        <f t="shared" ref="T12" si="22">IF(P12="-","-",ROUND(P12*$E12, 3))</f>
        <v>0.59399999999999997</v>
      </c>
      <c r="U12" s="19" t="str">
        <f t="shared" ref="U12" si="23">IF(Q12="-","-",ROUND(Q12*$E12, 3))</f>
        <v>-</v>
      </c>
      <c r="V12" s="16">
        <f t="shared" ref="V12" si="24">IF(N12="-","-",ROUND($L12/($G12/N12),3))</f>
        <v>0.26500000000000001</v>
      </c>
      <c r="W12" s="24">
        <f t="shared" ref="W12" si="25">IF(O12="-","-",ROUND($L12/($G12/O12),3))</f>
        <v>0.378</v>
      </c>
      <c r="X12" s="14">
        <f t="shared" ref="X12" si="26">IF(P12="-","-",ROUND($L12/($G12/P12),3))</f>
        <v>0.53100000000000003</v>
      </c>
      <c r="Y12" s="14" t="str">
        <f t="shared" ref="Y12" si="27">IF(Q12="-","-",ROUND($L12/($G12/Q12),3))</f>
        <v>-</v>
      </c>
      <c r="Z12" s="54" t="str">
        <f t="shared" ref="Z12" si="28">A12</f>
        <v>Devilstrand</v>
      </c>
    </row>
    <row r="13" spans="1:26" x14ac:dyDescent="0.25">
      <c r="A13" s="12" t="str">
        <f>General!$A13</f>
        <v>Healroot</v>
      </c>
      <c r="B13" s="16" t="str">
        <f>VLOOKUP($A13,General!$A$2:$AH$51,4,FALSE)</f>
        <v>Herbal Medicine</v>
      </c>
      <c r="C13" s="14">
        <v>10</v>
      </c>
      <c r="D13" s="57">
        <v>1</v>
      </c>
      <c r="E13" s="14">
        <f>IF(C13*0.5*D13*Modifiers!$G$3*Modifiers!$G$5&lt;100,ROUND(C13*0.5*D13*Modifiers!$G$3*Modifiers!$G$5,2),ROUND(C13*0.5*D13*Modifiers!$G$3*Modifiers!$G$5,0))</f>
        <v>5</v>
      </c>
      <c r="F13" s="13" t="s">
        <v>145</v>
      </c>
      <c r="G13" s="17">
        <v>1</v>
      </c>
      <c r="H13" s="17">
        <v>700</v>
      </c>
      <c r="I13" s="17" t="s">
        <v>26</v>
      </c>
      <c r="J13" s="17">
        <v>18</v>
      </c>
      <c r="K13" s="58">
        <v>1</v>
      </c>
      <c r="L13" s="17">
        <f>J13*0.5*K13*Modifiers!$G$3*Modifiers!$G$5</f>
        <v>9</v>
      </c>
      <c r="M13" s="59">
        <f>L13/(G13*E13+(6*0.5*Modifiers!$G$3*Modifiers!$G$5)+3*(1.5*0.5*Modifiers!$G$3*Modifiers!$G$5))-1</f>
        <v>-0.12195121951219512</v>
      </c>
      <c r="N13" s="16">
        <f>VLOOKUP($A13,General!$A$2:$AH$51,22,FALSE)</f>
        <v>6.2E-2</v>
      </c>
      <c r="O13" s="14">
        <f>VLOOKUP($A13,General!$A$2:$AH$51,23,FALSE)</f>
        <v>8.8999999999999996E-2</v>
      </c>
      <c r="P13" s="14">
        <f>VLOOKUP($A13,General!$A$2:$AH$51,24,FALSE)</f>
        <v>0.125</v>
      </c>
      <c r="Q13" s="14">
        <f>VLOOKUP($A13,General!$A$2:$AH$51,25,FALSE)</f>
        <v>0.20499999999999999</v>
      </c>
      <c r="R13" s="22">
        <f t="shared" ref="R13:R14" si="29">IF(N13="-","-",ROUND(N13*$E13, 3))</f>
        <v>0.31</v>
      </c>
      <c r="S13" s="60">
        <f t="shared" ref="S13:S14" si="30">IF(O13="-","-",ROUND(O13*$E13, 3))</f>
        <v>0.44500000000000001</v>
      </c>
      <c r="T13" s="60">
        <f t="shared" ref="T13:T14" si="31">IF(P13="-","-",ROUND(P13*$E13, 3))</f>
        <v>0.625</v>
      </c>
      <c r="U13" s="19">
        <f t="shared" ref="U13:U14" si="32">IF(Q13="-","-",ROUND(Q13*$E13, 3))</f>
        <v>1.0249999999999999</v>
      </c>
      <c r="V13" s="16">
        <f t="shared" ref="V13:V14" si="33">IF(N13="-","-",ROUND($L13/($G13/N13),3))</f>
        <v>0.55800000000000005</v>
      </c>
      <c r="W13" s="24">
        <f t="shared" ref="W13:W14" si="34">IF(O13="-","-",ROUND($L13/($G13/O13),3))</f>
        <v>0.80100000000000005</v>
      </c>
      <c r="X13" s="14">
        <f t="shared" ref="X13:X14" si="35">IF(P13="-","-",ROUND($L13/($G13/P13),3))</f>
        <v>1.125</v>
      </c>
      <c r="Y13" s="14">
        <f t="shared" ref="Y13:Y14" si="36">IF(Q13="-","-",ROUND($L13/($G13/Q13),3))</f>
        <v>1.845</v>
      </c>
      <c r="Z13" s="54" t="str">
        <f t="shared" ref="Z13:Z14" si="37">A13</f>
        <v>Healroot</v>
      </c>
    </row>
    <row r="14" spans="1:26" x14ac:dyDescent="0.25">
      <c r="A14" s="12" t="str">
        <f>General!$A14</f>
        <v>Hop Plant</v>
      </c>
      <c r="B14" s="16" t="str">
        <f>VLOOKUP($A14,General!$A$2:$AH$51,4,FALSE)</f>
        <v>Hops</v>
      </c>
      <c r="C14" s="14">
        <v>1.3</v>
      </c>
      <c r="D14" s="57">
        <v>1</v>
      </c>
      <c r="E14" s="14">
        <f>IF(C14*0.5*D14*Modifiers!$G$3*Modifiers!$G$5&lt;100,ROUND(C14*0.5*D14*Modifiers!$G$3*Modifiers!$G$5,2),ROUND(C14*0.5*D14*Modifiers!$G$3*Modifiers!$G$5,0))</f>
        <v>0.65</v>
      </c>
      <c r="F14" s="13" t="s">
        <v>146</v>
      </c>
      <c r="G14" s="17">
        <v>25</v>
      </c>
      <c r="H14" s="17">
        <v>601000</v>
      </c>
      <c r="I14" s="17" t="s">
        <v>26</v>
      </c>
      <c r="J14" s="17">
        <f>12*5</f>
        <v>60</v>
      </c>
      <c r="K14" s="58">
        <v>1</v>
      </c>
      <c r="L14" s="17">
        <f>J14*0.5*K14*Modifiers!$G$3*Modifiers!$G$5</f>
        <v>30</v>
      </c>
      <c r="M14" s="59">
        <f t="shared" ref="M14:M16" si="38">L14/(G14*E14)-1</f>
        <v>0.84615384615384626</v>
      </c>
      <c r="N14" s="16">
        <f>VLOOKUP($A14,General!$A$2:$AH$51,22,FALSE)</f>
        <v>0.73199999999999998</v>
      </c>
      <c r="O14" s="14">
        <f>VLOOKUP($A14,General!$A$2:$AH$51,23,FALSE)</f>
        <v>0.92600000000000005</v>
      </c>
      <c r="P14" s="14">
        <f>VLOOKUP($A14,General!$A$2:$AH$51,24,FALSE)</f>
        <v>1.1859999999999999</v>
      </c>
      <c r="Q14" s="14">
        <f>VLOOKUP($A14,General!$A$2:$AH$51,25,FALSE)</f>
        <v>1.77</v>
      </c>
      <c r="R14" s="22">
        <f t="shared" si="29"/>
        <v>0.47599999999999998</v>
      </c>
      <c r="S14" s="60">
        <f t="shared" si="30"/>
        <v>0.60199999999999998</v>
      </c>
      <c r="T14" s="60">
        <f t="shared" si="31"/>
        <v>0.77100000000000002</v>
      </c>
      <c r="U14" s="19">
        <f t="shared" si="32"/>
        <v>1.151</v>
      </c>
      <c r="V14" s="16">
        <f t="shared" si="33"/>
        <v>0.878</v>
      </c>
      <c r="W14" s="24">
        <f t="shared" si="34"/>
        <v>1.111</v>
      </c>
      <c r="X14" s="14">
        <f t="shared" si="35"/>
        <v>1.423</v>
      </c>
      <c r="Y14" s="14">
        <f t="shared" si="36"/>
        <v>2.1240000000000001</v>
      </c>
      <c r="Z14" s="54" t="str">
        <f t="shared" si="37"/>
        <v>Hop Plant</v>
      </c>
    </row>
    <row r="15" spans="1:26" x14ac:dyDescent="0.25">
      <c r="A15" s="12" t="str">
        <f>General!$A15</f>
        <v>Smokeleaf Plant</v>
      </c>
      <c r="B15" s="16" t="str">
        <f>VLOOKUP($A15,General!$A$2:$AH$51,4,FALSE)</f>
        <v>Smokeleaf Leaves</v>
      </c>
      <c r="C15" s="14">
        <v>1.7</v>
      </c>
      <c r="D15" s="57">
        <v>1</v>
      </c>
      <c r="E15" s="14">
        <f>IF(C15*0.5*D15*Modifiers!$G$3*Modifiers!$G$5&lt;100,ROUND(C15*0.5*D15*Modifiers!$G$3*Modifiers!$G$5,2),ROUND(C15*0.5*D15*Modifiers!$G$3*Modifiers!$G$5,0))</f>
        <v>0.85</v>
      </c>
      <c r="F15" s="13" t="s">
        <v>147</v>
      </c>
      <c r="G15" s="17">
        <v>4</v>
      </c>
      <c r="H15" s="17">
        <v>450</v>
      </c>
      <c r="I15" s="17" t="s">
        <v>26</v>
      </c>
      <c r="J15" s="17">
        <v>11</v>
      </c>
      <c r="K15" s="58">
        <v>1</v>
      </c>
      <c r="L15" s="17">
        <f>J15*0.5*K15*Modifiers!$G$3*Modifiers!$G$5</f>
        <v>5.5</v>
      </c>
      <c r="M15" s="59">
        <f t="shared" si="38"/>
        <v>0.61764705882352944</v>
      </c>
      <c r="N15" s="16">
        <f>VLOOKUP($A15,General!$A$2:$AH$51,22,FALSE)</f>
        <v>0.48599999999999999</v>
      </c>
      <c r="O15" s="14">
        <f>VLOOKUP($A15,General!$A$2:$AH$51,23,FALSE)</f>
        <v>0.69499999999999995</v>
      </c>
      <c r="P15" s="14">
        <f>VLOOKUP($A15,General!$A$2:$AH$51,24,FALSE)</f>
        <v>0.97299999999999998</v>
      </c>
      <c r="Q15" s="14">
        <f>VLOOKUP($A15,General!$A$2:$AH$51,25,FALSE)</f>
        <v>1.5980000000000001</v>
      </c>
      <c r="R15" s="22">
        <f t="shared" ref="R15" si="39">IF(N15="-","-",ROUND(N15*$E15, 3))</f>
        <v>0.41299999999999998</v>
      </c>
      <c r="S15" s="60">
        <f t="shared" ref="S15" si="40">IF(O15="-","-",ROUND(O15*$E15, 3))</f>
        <v>0.59099999999999997</v>
      </c>
      <c r="T15" s="60">
        <f t="shared" ref="T15" si="41">IF(P15="-","-",ROUND(P15*$E15, 3))</f>
        <v>0.82699999999999996</v>
      </c>
      <c r="U15" s="19">
        <f t="shared" ref="U15" si="42">IF(Q15="-","-",ROUND(Q15*$E15, 3))</f>
        <v>1.3580000000000001</v>
      </c>
      <c r="V15" s="16">
        <f t="shared" ref="V15" si="43">IF(N15="-","-",ROUND($L15/($G15/N15),3))</f>
        <v>0.66800000000000004</v>
      </c>
      <c r="W15" s="24">
        <f t="shared" ref="W15" si="44">IF(O15="-","-",ROUND($L15/($G15/O15),3))</f>
        <v>0.95599999999999996</v>
      </c>
      <c r="X15" s="14">
        <f t="shared" ref="X15" si="45">IF(P15="-","-",ROUND($L15/($G15/P15),3))</f>
        <v>1.3380000000000001</v>
      </c>
      <c r="Y15" s="14">
        <f t="shared" ref="Y15" si="46">IF(Q15="-","-",ROUND($L15/($G15/Q15),3))</f>
        <v>2.1970000000000001</v>
      </c>
      <c r="Z15" s="54" t="str">
        <f t="shared" ref="Z15" si="47">A15</f>
        <v>Smokeleaf Plant</v>
      </c>
    </row>
    <row r="16" spans="1:26" x14ac:dyDescent="0.25">
      <c r="A16" s="12" t="str">
        <f>General!$A16</f>
        <v>Psychoid Plant</v>
      </c>
      <c r="B16" s="16" t="str">
        <f>VLOOKUP($A16,General!$A$2:$AH$51,4,FALSE)</f>
        <v>Psychoid Leaves</v>
      </c>
      <c r="C16" s="14">
        <v>2.1</v>
      </c>
      <c r="D16" s="57">
        <v>1</v>
      </c>
      <c r="E16" s="14">
        <f>IF(C16*0.5*D16*Modifiers!$G$3*Modifiers!$G$5&lt;100,ROUND(C16*0.5*D16*Modifiers!$G$3*Modifiers!$G$5,2),ROUND(C16*0.5*D16*Modifiers!$G$3*Modifiers!$G$5,0))</f>
        <v>1.05</v>
      </c>
      <c r="F16" s="13" t="s">
        <v>148</v>
      </c>
      <c r="G16" s="17">
        <v>4</v>
      </c>
      <c r="H16" s="17">
        <v>400</v>
      </c>
      <c r="I16" s="17" t="s">
        <v>26</v>
      </c>
      <c r="J16" s="17">
        <v>14</v>
      </c>
      <c r="K16" s="58">
        <v>1</v>
      </c>
      <c r="L16" s="17">
        <f>J16*0.5*K16*Modifiers!$G$3*Modifiers!$G$5</f>
        <v>7</v>
      </c>
      <c r="M16" s="59">
        <f t="shared" si="38"/>
        <v>0.66666666666666652</v>
      </c>
      <c r="N16" s="16">
        <f>VLOOKUP($A16,General!$A$2:$AH$51,22,FALSE)</f>
        <v>0.36</v>
      </c>
      <c r="O16" s="14">
        <f>VLOOKUP($A16,General!$A$2:$AH$51,23,FALSE)</f>
        <v>0.51500000000000001</v>
      </c>
      <c r="P16" s="14">
        <f>VLOOKUP($A16,General!$A$2:$AH$51,24,FALSE)</f>
        <v>0.72</v>
      </c>
      <c r="Q16" s="14">
        <f>VLOOKUP($A16,General!$A$2:$AH$51,25,FALSE)</f>
        <v>1.1839999999999999</v>
      </c>
      <c r="R16" s="22">
        <f t="shared" ref="R16" si="48">IF(N16="-","-",ROUND(N16*$E16, 3))</f>
        <v>0.378</v>
      </c>
      <c r="S16" s="60">
        <f t="shared" ref="S16" si="49">IF(O16="-","-",ROUND(O16*$E16, 3))</f>
        <v>0.54100000000000004</v>
      </c>
      <c r="T16" s="60">
        <f t="shared" ref="T16" si="50">IF(P16="-","-",ROUND(P16*$E16, 3))</f>
        <v>0.75600000000000001</v>
      </c>
      <c r="U16" s="19">
        <f t="shared" ref="U16" si="51">IF(Q16="-","-",ROUND(Q16*$E16, 3))</f>
        <v>1.2430000000000001</v>
      </c>
      <c r="V16" s="16">
        <f t="shared" ref="V16" si="52">IF(N16="-","-",ROUND($L16/($G16/N16),3))</f>
        <v>0.63</v>
      </c>
      <c r="W16" s="24">
        <f t="shared" ref="W16" si="53">IF(O16="-","-",ROUND($L16/($G16/O16),3))</f>
        <v>0.90100000000000002</v>
      </c>
      <c r="X16" s="14">
        <f t="shared" ref="X16" si="54">IF(P16="-","-",ROUND($L16/($G16/P16),3))</f>
        <v>1.26</v>
      </c>
      <c r="Y16" s="14">
        <f t="shared" ref="Y16" si="55">IF(Q16="-","-",ROUND($L16/($G16/Q16),3))</f>
        <v>2.0720000000000001</v>
      </c>
      <c r="Z16" s="54" t="str">
        <f t="shared" ref="Z16" si="56">A16</f>
        <v>Psychoid Plant</v>
      </c>
    </row>
    <row r="17" spans="1:26" x14ac:dyDescent="0.25">
      <c r="A17" s="12" t="str">
        <f>General!$A17</f>
        <v>Ambrosia Bush</v>
      </c>
      <c r="B17" s="16" t="str">
        <f>VLOOKUP($A17,General!$A$2:$AH$51,4,FALSE)</f>
        <v>Ambrosia</v>
      </c>
      <c r="C17" s="14">
        <v>15</v>
      </c>
      <c r="D17" s="57">
        <v>1</v>
      </c>
      <c r="E17" s="14">
        <f>IF(C17*0.5*D17*Modifiers!$G$3*Modifiers!$G$5&lt;100,ROUND(C17*0.5*D17*Modifiers!$G$3*Modifiers!$G$5,2),ROUND(C17*0.5*D17*Modifiers!$G$3*Modifiers!$G$5,0))</f>
        <v>7.5</v>
      </c>
      <c r="F17" s="13" t="s">
        <v>149</v>
      </c>
      <c r="G17" s="17" t="s">
        <v>26</v>
      </c>
      <c r="H17" s="17" t="s">
        <v>26</v>
      </c>
      <c r="I17" s="17" t="s">
        <v>26</v>
      </c>
      <c r="J17" s="17" t="s">
        <v>26</v>
      </c>
      <c r="K17" s="58" t="s">
        <v>26</v>
      </c>
      <c r="L17" s="17" t="s">
        <v>26</v>
      </c>
      <c r="M17" s="59">
        <v>0</v>
      </c>
      <c r="N17" s="16">
        <f>VLOOKUP($A17,General!$A$2:$AH$51,22,FALSE)</f>
        <v>0.5</v>
      </c>
      <c r="O17" s="14">
        <f>VLOOKUP($A17,General!$A$2:$AH$51,23,FALSE)</f>
        <v>0.52400000000000002</v>
      </c>
      <c r="P17" s="14">
        <f>VLOOKUP($A17,General!$A$2:$AH$51,24,FALSE)</f>
        <v>0.55500000000000005</v>
      </c>
      <c r="Q17" s="14" t="str">
        <f>VLOOKUP($A17,General!$A$2:$AH$51,25,FALSE)</f>
        <v>-</v>
      </c>
      <c r="R17" s="22">
        <f t="shared" ref="R17:R18" si="57">IF(N17="-","-",ROUND(N17*$E17, 3))</f>
        <v>3.75</v>
      </c>
      <c r="S17" s="60">
        <f t="shared" ref="S17:S18" si="58">IF(O17="-","-",ROUND(O17*$E17, 3))</f>
        <v>3.93</v>
      </c>
      <c r="T17" s="60">
        <f t="shared" ref="T17:T18" si="59">IF(P17="-","-",ROUND(P17*$E17, 3))</f>
        <v>4.1630000000000003</v>
      </c>
      <c r="U17" s="19" t="str">
        <f t="shared" ref="U17:U18" si="60">IF(Q17="-","-",ROUND(Q17*$E17, 3))</f>
        <v>-</v>
      </c>
      <c r="V17" s="16" t="s">
        <v>26</v>
      </c>
      <c r="W17" s="24" t="s">
        <v>26</v>
      </c>
      <c r="X17" s="14" t="s">
        <v>26</v>
      </c>
      <c r="Y17" s="14" t="str">
        <f t="shared" ref="Y17:Y18" si="61">IF(Q17="-","-",ROUND($L17/($G17/Q17),3))</f>
        <v>-</v>
      </c>
      <c r="Z17" s="54" t="str">
        <f t="shared" ref="Z17:Z18" si="62">A17</f>
        <v>Ambrosia Bush</v>
      </c>
    </row>
    <row r="18" spans="1:26" x14ac:dyDescent="0.25">
      <c r="A18" s="12" t="str">
        <f>General!$A18</f>
        <v>Glowstool</v>
      </c>
      <c r="B18" s="16" t="str">
        <f>VLOOKUP($A18,General!$A$2:$AH$51,4,FALSE)</f>
        <v>Raw Fungus</v>
      </c>
      <c r="C18" s="14">
        <v>1.1000000000000001</v>
      </c>
      <c r="D18" s="57">
        <v>1</v>
      </c>
      <c r="E18" s="14">
        <f>IF(C18*0.5*D18*Modifiers!$G$3*Modifiers!$G$5&lt;100,ROUND(C18*0.5*D18*Modifiers!$G$3*Modifiers!$G$5,2),ROUND(C18*0.5*D18*Modifiers!$G$3*Modifiers!$G$5,0))</f>
        <v>0.55000000000000004</v>
      </c>
      <c r="F18" s="13" t="s">
        <v>112</v>
      </c>
      <c r="G18" s="17">
        <v>5</v>
      </c>
      <c r="H18" s="17">
        <v>450</v>
      </c>
      <c r="I18" s="17" t="s">
        <v>26</v>
      </c>
      <c r="J18" s="17">
        <v>24</v>
      </c>
      <c r="K18" s="58">
        <v>1</v>
      </c>
      <c r="L18" s="17">
        <f>J18*0.5*K18*Modifiers!$G$3*Modifiers!$G$5</f>
        <v>12</v>
      </c>
      <c r="M18" s="59">
        <f>L18/(G18*E18+5*(2*0.5*Modifiers!$G$3*Modifiers!$G$5))-1</f>
        <v>0.54838709677419351</v>
      </c>
      <c r="N18" s="16">
        <f>VLOOKUP($A18,General!$A$2:$AH$51,22,FALSE)</f>
        <v>0.27600000000000002</v>
      </c>
      <c r="O18" s="14">
        <f>VLOOKUP($A18,General!$A$2:$AH$51,23,FALSE)</f>
        <v>0.28899999999999998</v>
      </c>
      <c r="P18" s="14">
        <f>VLOOKUP($A18,General!$A$2:$AH$51,24,FALSE)</f>
        <v>0.307</v>
      </c>
      <c r="Q18" s="14" t="str">
        <f>VLOOKUP($A18,General!$A$2:$AH$51,25,FALSE)</f>
        <v>-</v>
      </c>
      <c r="R18" s="22">
        <f t="shared" si="57"/>
        <v>0.152</v>
      </c>
      <c r="S18" s="60">
        <f t="shared" si="58"/>
        <v>0.159</v>
      </c>
      <c r="T18" s="60">
        <f t="shared" si="59"/>
        <v>0.16900000000000001</v>
      </c>
      <c r="U18" s="19" t="str">
        <f t="shared" si="60"/>
        <v>-</v>
      </c>
      <c r="V18" s="16">
        <f>IF(N18="-","-",ROUND($L18/($G18/N18),3))</f>
        <v>0.66200000000000003</v>
      </c>
      <c r="W18" s="24">
        <f t="shared" ref="W18" si="63">IF(O18="-","-",ROUND($L18/($G18/O18),3))</f>
        <v>0.69399999999999995</v>
      </c>
      <c r="X18" s="14">
        <f t="shared" ref="X18" si="64">IF(P18="-","-",ROUND($L18/($G18/P18),3))</f>
        <v>0.73699999999999999</v>
      </c>
      <c r="Y18" s="14" t="str">
        <f t="shared" si="61"/>
        <v>-</v>
      </c>
      <c r="Z18" s="54" t="str">
        <f t="shared" si="62"/>
        <v>Glowstool</v>
      </c>
    </row>
    <row r="19" spans="1:26" x14ac:dyDescent="0.25">
      <c r="A19" s="12" t="str">
        <f>General!$A19</f>
        <v>Agarilux</v>
      </c>
      <c r="B19" s="16" t="str">
        <f>VLOOKUP($A19,General!$A$2:$AH$51,4,FALSE)</f>
        <v>Raw Fungus</v>
      </c>
      <c r="C19" s="14">
        <v>1.1000000000000001</v>
      </c>
      <c r="D19" s="57">
        <v>1</v>
      </c>
      <c r="E19" s="14">
        <f>IF(C19*0.5*D19*Modifiers!$G$3*Modifiers!$G$5&lt;100,ROUND(C19*0.5*D19*Modifiers!$G$3*Modifiers!$G$5,2),ROUND(C19*0.5*D19*Modifiers!$G$3*Modifiers!$G$5,0))</f>
        <v>0.55000000000000004</v>
      </c>
      <c r="F19" s="13" t="s">
        <v>112</v>
      </c>
      <c r="G19" s="17">
        <v>5</v>
      </c>
      <c r="H19" s="17">
        <v>450</v>
      </c>
      <c r="I19" s="17" t="s">
        <v>26</v>
      </c>
      <c r="J19" s="17">
        <v>24</v>
      </c>
      <c r="K19" s="58">
        <v>1</v>
      </c>
      <c r="L19" s="17">
        <f>J19*0.5*K19*Modifiers!$G$3*Modifiers!$G$5</f>
        <v>12</v>
      </c>
      <c r="M19" s="59">
        <f>L19/(G19*E19+5*(2*0.5*Modifiers!$G$3*Modifiers!$G$5))-1</f>
        <v>0.54838709677419351</v>
      </c>
      <c r="N19" s="16">
        <f>VLOOKUP($A19,General!$A$2:$AH$51,22,FALSE)</f>
        <v>0.32300000000000001</v>
      </c>
      <c r="O19" s="14">
        <f>VLOOKUP($A19,General!$A$2:$AH$51,23,FALSE)</f>
        <v>0.33800000000000002</v>
      </c>
      <c r="P19" s="14">
        <f>VLOOKUP($A19,General!$A$2:$AH$51,24,FALSE)</f>
        <v>0.35799999999999998</v>
      </c>
      <c r="Q19" s="14" t="str">
        <f>VLOOKUP($A19,General!$A$2:$AH$51,25,FALSE)</f>
        <v>-</v>
      </c>
      <c r="R19" s="22">
        <f t="shared" ref="R19:R20" si="65">IF(N19="-","-",ROUND(N19*$E19, 3))</f>
        <v>0.17799999999999999</v>
      </c>
      <c r="S19" s="60">
        <f t="shared" ref="S19:S20" si="66">IF(O19="-","-",ROUND(O19*$E19, 3))</f>
        <v>0.186</v>
      </c>
      <c r="T19" s="60">
        <f t="shared" ref="T19:T20" si="67">IF(P19="-","-",ROUND(P19*$E19, 3))</f>
        <v>0.19700000000000001</v>
      </c>
      <c r="U19" s="19" t="str">
        <f t="shared" ref="U19:U20" si="68">IF(Q19="-","-",ROUND(Q19*$E19, 3))</f>
        <v>-</v>
      </c>
      <c r="V19" s="16">
        <f>IF(N19="-","-",ROUND($L19/($G19/N19),3))</f>
        <v>0.77500000000000002</v>
      </c>
      <c r="W19" s="24">
        <f t="shared" ref="W19:W20" si="69">IF(O19="-","-",ROUND($L19/($G19/O19),3))</f>
        <v>0.81100000000000005</v>
      </c>
      <c r="X19" s="14">
        <f t="shared" ref="X19:X20" si="70">IF(P19="-","-",ROUND($L19/($G19/P19),3))</f>
        <v>0.85899999999999999</v>
      </c>
      <c r="Y19" s="14" t="str">
        <f t="shared" ref="Y19:Y20" si="71">IF(Q19="-","-",ROUND($L19/($G19/Q19),3))</f>
        <v>-</v>
      </c>
      <c r="Z19" s="54" t="str">
        <f t="shared" ref="Z19:Z20" si="72">A19</f>
        <v>Agarilux</v>
      </c>
    </row>
    <row r="20" spans="1:26" x14ac:dyDescent="0.25">
      <c r="A20" s="12" t="str">
        <f>General!$A20</f>
        <v>Saguaro Cactus</v>
      </c>
      <c r="B20" s="16" t="str">
        <f>VLOOKUP($A20,General!$A$2:$AH$51,4,FALSE)</f>
        <v>Wood</v>
      </c>
      <c r="C20" s="14">
        <v>1.2</v>
      </c>
      <c r="D20" s="57">
        <v>1</v>
      </c>
      <c r="E20" s="14">
        <f>IF(C20*0.5*D20*Modifiers!$G$3*Modifiers!$G$5&lt;100,ROUND(C20*0.5*D20*Modifiers!$G$3*Modifiers!$G$5,2),ROUND(C20*0.5*D20*Modifiers!$G$3*Modifiers!$G$5,0))</f>
        <v>0.6</v>
      </c>
      <c r="F20" s="13" t="s">
        <v>150</v>
      </c>
      <c r="G20" s="17">
        <v>260</v>
      </c>
      <c r="H20" s="17">
        <f>65000*0.7</f>
        <v>45500</v>
      </c>
      <c r="I20" s="17" t="s">
        <v>151</v>
      </c>
      <c r="J20" s="17">
        <f>IF((G20*C20+H20*0.0036)*Modifiers!$G$11&lt;200,ROUND((G20*C20+H20*0.0036)*Modifiers!$G$11,2),MROUND((G20*C20+H20*0.0036)*Modifiers!$G$11,5))</f>
        <v>475</v>
      </c>
      <c r="K20" s="58">
        <v>1.1000000000000001</v>
      </c>
      <c r="L20" s="17">
        <f>IF(J20*0.5*K20*Modifiers!$G$3*Modifiers!$G$5&lt;100,ROUND(J20*0.5*K20*Modifiers!$G$3*Modifiers!$G$5,2),ROUND(J20*0.5*K20*Modifiers!$G$3*Modifiers!$G$5,0))</f>
        <v>261</v>
      </c>
      <c r="M20" s="59">
        <f t="shared" ref="M20:M32" si="73">L20/(G20*E20)-1</f>
        <v>0.67307692307692313</v>
      </c>
      <c r="N20" s="16">
        <f>VLOOKUP($A20,General!$A$2:$AH$51,22,FALSE)</f>
        <v>1.1579999999999999</v>
      </c>
      <c r="O20" s="14">
        <f>VLOOKUP($A20,General!$A$2:$AH$51,23,FALSE)</f>
        <v>1.1579999999999999</v>
      </c>
      <c r="P20" s="14">
        <f>VLOOKUP($A20,General!$A$2:$AH$51,24,FALSE)</f>
        <v>1.1579999999999999</v>
      </c>
      <c r="Q20" s="14" t="str">
        <f>VLOOKUP($A20,General!$A$2:$AH$51,25,FALSE)</f>
        <v>-</v>
      </c>
      <c r="R20" s="22">
        <f t="shared" si="65"/>
        <v>0.69499999999999995</v>
      </c>
      <c r="S20" s="60">
        <f t="shared" si="66"/>
        <v>0.69499999999999995</v>
      </c>
      <c r="T20" s="60">
        <f t="shared" si="67"/>
        <v>0.69499999999999995</v>
      </c>
      <c r="U20" s="19" t="str">
        <f t="shared" si="68"/>
        <v>-</v>
      </c>
      <c r="V20" s="16">
        <f t="shared" ref="V20" si="74">IF(N20="-","-",ROUND($L20/($G20/N20),3))</f>
        <v>1.1619999999999999</v>
      </c>
      <c r="W20" s="24">
        <f t="shared" si="69"/>
        <v>1.1619999999999999</v>
      </c>
      <c r="X20" s="14">
        <f t="shared" si="70"/>
        <v>1.1619999999999999</v>
      </c>
      <c r="Y20" s="14" t="str">
        <f t="shared" si="71"/>
        <v>-</v>
      </c>
      <c r="Z20" s="54" t="str">
        <f t="shared" si="72"/>
        <v>Saguaro Cactus</v>
      </c>
    </row>
    <row r="21" spans="1:26" x14ac:dyDescent="0.25">
      <c r="A21" s="12" t="str">
        <f>General!$A21</f>
        <v>Drago Tree</v>
      </c>
      <c r="B21" s="16" t="str">
        <f>VLOOKUP($A21,General!$A$2:$AH$51,4,FALSE)</f>
        <v>Wood</v>
      </c>
      <c r="C21" s="14">
        <v>1.2</v>
      </c>
      <c r="D21" s="57">
        <v>1</v>
      </c>
      <c r="E21" s="14">
        <f>IF(C21*0.5*D21*Modifiers!$G$3*Modifiers!$G$5&lt;100,ROUND(C21*0.5*D21*Modifiers!$G$3*Modifiers!$G$5,2),ROUND(C21*0.5*D21*Modifiers!$G$3*Modifiers!$G$5,0))</f>
        <v>0.6</v>
      </c>
      <c r="F21" s="13" t="s">
        <v>150</v>
      </c>
      <c r="G21" s="17">
        <v>260</v>
      </c>
      <c r="H21" s="17">
        <f t="shared" ref="H21:H31" si="75">65000*0.7</f>
        <v>45500</v>
      </c>
      <c r="I21" s="17" t="s">
        <v>151</v>
      </c>
      <c r="J21" s="17">
        <f>IF((G21*C21+H21*0.0036)*Modifiers!$G$11&lt;200,ROUND((G21*C21+H21*0.0036)*Modifiers!$G$11,2),MROUND((G21*C21+H21*0.0036)*Modifiers!$G$11,5))</f>
        <v>475</v>
      </c>
      <c r="K21" s="58">
        <v>1.1000000000000001</v>
      </c>
      <c r="L21" s="17">
        <f>IF(J21*0.5*K21*Modifiers!$G$3*Modifiers!$G$5&lt;100,ROUND(J21*0.5*K21*Modifiers!$G$3*Modifiers!$G$5,2),ROUND(J21*0.5*K21*Modifiers!$G$3*Modifiers!$G$5,0))</f>
        <v>261</v>
      </c>
      <c r="M21" s="59">
        <f t="shared" si="73"/>
        <v>0.67307692307692313</v>
      </c>
      <c r="N21" s="16">
        <f>VLOOKUP($A21,General!$A$2:$AH$51,22,FALSE)</f>
        <v>0.82</v>
      </c>
      <c r="O21" s="14">
        <f>VLOOKUP($A21,General!$A$2:$AH$51,23,FALSE)</f>
        <v>0.96499999999999997</v>
      </c>
      <c r="P21" s="14">
        <f>VLOOKUP($A21,General!$A$2:$AH$51,24,FALSE)</f>
        <v>1.1579999999999999</v>
      </c>
      <c r="Q21" s="14" t="str">
        <f>VLOOKUP($A21,General!$A$2:$AH$51,25,FALSE)</f>
        <v>-</v>
      </c>
      <c r="R21" s="22">
        <f t="shared" ref="R21:R32" si="76">IF(N21="-","-",ROUND(N21*$E21, 3))</f>
        <v>0.49199999999999999</v>
      </c>
      <c r="S21" s="60">
        <f t="shared" ref="S21:S32" si="77">IF(O21="-","-",ROUND(O21*$E21, 3))</f>
        <v>0.57899999999999996</v>
      </c>
      <c r="T21" s="60">
        <f t="shared" ref="T21:T32" si="78">IF(P21="-","-",ROUND(P21*$E21, 3))</f>
        <v>0.69499999999999995</v>
      </c>
      <c r="U21" s="19" t="str">
        <f t="shared" ref="U21:U32" si="79">IF(Q21="-","-",ROUND(Q21*$E21, 3))</f>
        <v>-</v>
      </c>
      <c r="V21" s="16">
        <f t="shared" ref="V21:V32" si="80">IF(N21="-","-",ROUND($L21/($G21/N21),3))</f>
        <v>0.82299999999999995</v>
      </c>
      <c r="W21" s="24">
        <f t="shared" ref="W21:W32" si="81">IF(O21="-","-",ROUND($L21/($G21/O21),3))</f>
        <v>0.96899999999999997</v>
      </c>
      <c r="X21" s="14">
        <f t="shared" ref="X21:X32" si="82">IF(P21="-","-",ROUND($L21/($G21/P21),3))</f>
        <v>1.1619999999999999</v>
      </c>
      <c r="Y21" s="14" t="str">
        <f t="shared" ref="Y21:Y32" si="83">IF(Q21="-","-",ROUND($L21/($G21/Q21),3))</f>
        <v>-</v>
      </c>
      <c r="Z21" s="54" t="str">
        <f t="shared" ref="Z21:Z32" si="84">A21</f>
        <v>Drago Tree</v>
      </c>
    </row>
    <row r="22" spans="1:26" x14ac:dyDescent="0.25">
      <c r="A22" s="12" t="str">
        <f>General!$A22</f>
        <v>Willow Tree</v>
      </c>
      <c r="B22" s="16" t="str">
        <f>VLOOKUP($A22,General!$A$2:$AH$51,4,FALSE)</f>
        <v>Wood</v>
      </c>
      <c r="C22" s="14">
        <v>1.2</v>
      </c>
      <c r="D22" s="57">
        <v>1</v>
      </c>
      <c r="E22" s="14">
        <f>IF(C22*0.5*D22*Modifiers!$G$3*Modifiers!$G$5&lt;100,ROUND(C22*0.5*D22*Modifiers!$G$3*Modifiers!$G$5,2),ROUND(C22*0.5*D22*Modifiers!$G$3*Modifiers!$G$5,0))</f>
        <v>0.6</v>
      </c>
      <c r="F22" s="13" t="s">
        <v>150</v>
      </c>
      <c r="G22" s="17">
        <v>260</v>
      </c>
      <c r="H22" s="17">
        <f t="shared" si="75"/>
        <v>45500</v>
      </c>
      <c r="I22" s="17" t="s">
        <v>151</v>
      </c>
      <c r="J22" s="17">
        <f>IF((G22*C22+H22*0.0036)*Modifiers!$G$11&lt;200,ROUND((G22*C22+H22*0.0036)*Modifiers!$G$11,2),MROUND((G22*C22+H22*0.0036)*Modifiers!$G$11,5))</f>
        <v>475</v>
      </c>
      <c r="K22" s="58">
        <v>1.1000000000000001</v>
      </c>
      <c r="L22" s="17">
        <f>IF(J22*0.5*K22*Modifiers!$G$3*Modifiers!$G$5&lt;100,ROUND(J22*0.5*K22*Modifiers!$G$3*Modifiers!$G$5,2),ROUND(J22*0.5*K22*Modifiers!$G$3*Modifiers!$G$5,0))</f>
        <v>261</v>
      </c>
      <c r="M22" s="59">
        <f t="shared" si="73"/>
        <v>0.67307692307692313</v>
      </c>
      <c r="N22" s="16">
        <f>VLOOKUP($A22,General!$A$2:$AH$51,22,FALSE)</f>
        <v>0.64400000000000002</v>
      </c>
      <c r="O22" s="14">
        <f>VLOOKUP($A22,General!$A$2:$AH$51,23,FALSE)</f>
        <v>0.75700000000000001</v>
      </c>
      <c r="P22" s="14">
        <f>VLOOKUP($A22,General!$A$2:$AH$51,24,FALSE)</f>
        <v>0.90800000000000003</v>
      </c>
      <c r="Q22" s="14" t="str">
        <f>VLOOKUP($A22,General!$A$2:$AH$51,25,FALSE)</f>
        <v>-</v>
      </c>
      <c r="R22" s="22">
        <f t="shared" si="76"/>
        <v>0.38600000000000001</v>
      </c>
      <c r="S22" s="60">
        <f t="shared" si="77"/>
        <v>0.45400000000000001</v>
      </c>
      <c r="T22" s="60">
        <f t="shared" si="78"/>
        <v>0.54500000000000004</v>
      </c>
      <c r="U22" s="19" t="str">
        <f t="shared" si="79"/>
        <v>-</v>
      </c>
      <c r="V22" s="16">
        <f t="shared" si="80"/>
        <v>0.64600000000000002</v>
      </c>
      <c r="W22" s="24">
        <f t="shared" si="81"/>
        <v>0.76</v>
      </c>
      <c r="X22" s="14">
        <f t="shared" si="82"/>
        <v>0.91100000000000003</v>
      </c>
      <c r="Y22" s="14" t="str">
        <f t="shared" si="83"/>
        <v>-</v>
      </c>
      <c r="Z22" s="54" t="str">
        <f t="shared" si="84"/>
        <v>Willow Tree</v>
      </c>
    </row>
    <row r="23" spans="1:26" x14ac:dyDescent="0.25">
      <c r="A23" s="12" t="str">
        <f>General!$A23</f>
        <v>Cypress Tree</v>
      </c>
      <c r="B23" s="16" t="str">
        <f>VLOOKUP($A23,General!$A$2:$AH$51,4,FALSE)</f>
        <v>Wood</v>
      </c>
      <c r="C23" s="14">
        <v>1.2</v>
      </c>
      <c r="D23" s="57">
        <v>1</v>
      </c>
      <c r="E23" s="14">
        <f>IF(C23*0.5*D23*Modifiers!$G$3*Modifiers!$G$5&lt;100,ROUND(C23*0.5*D23*Modifiers!$G$3*Modifiers!$G$5,2),ROUND(C23*0.5*D23*Modifiers!$G$3*Modifiers!$G$5,0))</f>
        <v>0.6</v>
      </c>
      <c r="F23" s="13" t="s">
        <v>150</v>
      </c>
      <c r="G23" s="17">
        <v>260</v>
      </c>
      <c r="H23" s="17">
        <f t="shared" si="75"/>
        <v>45500</v>
      </c>
      <c r="I23" s="17" t="s">
        <v>151</v>
      </c>
      <c r="J23" s="17">
        <f>IF((G23*C23+H23*0.0036)*Modifiers!$G$11&lt;200,ROUND((G23*C23+H23*0.0036)*Modifiers!$G$11,2),MROUND((G23*C23+H23*0.0036)*Modifiers!$G$11,5))</f>
        <v>475</v>
      </c>
      <c r="K23" s="58">
        <v>1.1000000000000001</v>
      </c>
      <c r="L23" s="17">
        <f>IF(J23*0.5*K23*Modifiers!$G$3*Modifiers!$G$5&lt;100,ROUND(J23*0.5*K23*Modifiers!$G$3*Modifiers!$G$5,2),ROUND(J23*0.5*K23*Modifiers!$G$3*Modifiers!$G$5,0))</f>
        <v>261</v>
      </c>
      <c r="M23" s="59">
        <f t="shared" si="73"/>
        <v>0.67307692307692313</v>
      </c>
      <c r="N23" s="16">
        <f>VLOOKUP($A23,General!$A$2:$AH$51,22,FALSE)</f>
        <v>0.60499999999999998</v>
      </c>
      <c r="O23" s="14">
        <f>VLOOKUP($A23,General!$A$2:$AH$51,23,FALSE)</f>
        <v>0.71099999999999997</v>
      </c>
      <c r="P23" s="14">
        <f>VLOOKUP($A23,General!$A$2:$AH$51,24,FALSE)</f>
        <v>0.85399999999999998</v>
      </c>
      <c r="Q23" s="14" t="str">
        <f>VLOOKUP($A23,General!$A$2:$AH$51,25,FALSE)</f>
        <v>-</v>
      </c>
      <c r="R23" s="22">
        <f t="shared" si="76"/>
        <v>0.36299999999999999</v>
      </c>
      <c r="S23" s="60">
        <f t="shared" si="77"/>
        <v>0.42699999999999999</v>
      </c>
      <c r="T23" s="60">
        <f t="shared" si="78"/>
        <v>0.51200000000000001</v>
      </c>
      <c r="U23" s="19" t="str">
        <f t="shared" si="79"/>
        <v>-</v>
      </c>
      <c r="V23" s="16">
        <f t="shared" si="80"/>
        <v>0.60699999999999998</v>
      </c>
      <c r="W23" s="24">
        <f t="shared" si="81"/>
        <v>0.71399999999999997</v>
      </c>
      <c r="X23" s="14">
        <f t="shared" si="82"/>
        <v>0.85699999999999998</v>
      </c>
      <c r="Y23" s="14" t="str">
        <f t="shared" si="83"/>
        <v>-</v>
      </c>
      <c r="Z23" s="54" t="str">
        <f t="shared" si="84"/>
        <v>Cypress Tree</v>
      </c>
    </row>
    <row r="24" spans="1:26" x14ac:dyDescent="0.25">
      <c r="A24" s="12" t="str">
        <f>General!$A24</f>
        <v>Maple Tree</v>
      </c>
      <c r="B24" s="16" t="str">
        <f>VLOOKUP($A24,General!$A$2:$AH$51,4,FALSE)</f>
        <v>Wood</v>
      </c>
      <c r="C24" s="14">
        <v>1.2</v>
      </c>
      <c r="D24" s="57">
        <v>1</v>
      </c>
      <c r="E24" s="14">
        <f>IF(C24*0.5*D24*Modifiers!$G$3*Modifiers!$G$5&lt;100,ROUND(C24*0.5*D24*Modifiers!$G$3*Modifiers!$G$5,2),ROUND(C24*0.5*D24*Modifiers!$G$3*Modifiers!$G$5,0))</f>
        <v>0.6</v>
      </c>
      <c r="F24" s="13" t="s">
        <v>150</v>
      </c>
      <c r="G24" s="17">
        <v>260</v>
      </c>
      <c r="H24" s="17">
        <f t="shared" si="75"/>
        <v>45500</v>
      </c>
      <c r="I24" s="17" t="s">
        <v>151</v>
      </c>
      <c r="J24" s="17">
        <f>IF((G24*C24+H24*0.0036)*Modifiers!$G$11&lt;200,ROUND((G24*C24+H24*0.0036)*Modifiers!$G$11,2),MROUND((G24*C24+H24*0.0036)*Modifiers!$G$11,5))</f>
        <v>475</v>
      </c>
      <c r="K24" s="58">
        <v>1.1000000000000001</v>
      </c>
      <c r="L24" s="17">
        <f>IF(J24*0.5*K24*Modifiers!$G$3*Modifiers!$G$5&lt;100,ROUND(J24*0.5*K24*Modifiers!$G$3*Modifiers!$G$5,2),ROUND(J24*0.5*K24*Modifiers!$G$3*Modifiers!$G$5,0))</f>
        <v>261</v>
      </c>
      <c r="M24" s="59">
        <f t="shared" si="73"/>
        <v>0.67307692307692313</v>
      </c>
      <c r="N24" s="16">
        <f>VLOOKUP($A24,General!$A$2:$AH$51,22,FALSE)</f>
        <v>0.49199999999999999</v>
      </c>
      <c r="O24" s="14">
        <f>VLOOKUP($A24,General!$A$2:$AH$51,23,FALSE)</f>
        <v>0.57899999999999996</v>
      </c>
      <c r="P24" s="14">
        <f>VLOOKUP($A24,General!$A$2:$AH$51,24,FALSE)</f>
        <v>0.69499999999999995</v>
      </c>
      <c r="Q24" s="14" t="str">
        <f>VLOOKUP($A24,General!$A$2:$AH$51,25,FALSE)</f>
        <v>-</v>
      </c>
      <c r="R24" s="22">
        <f t="shared" si="76"/>
        <v>0.29499999999999998</v>
      </c>
      <c r="S24" s="60">
        <f t="shared" si="77"/>
        <v>0.34699999999999998</v>
      </c>
      <c r="T24" s="60">
        <f t="shared" si="78"/>
        <v>0.41699999999999998</v>
      </c>
      <c r="U24" s="19" t="str">
        <f t="shared" si="79"/>
        <v>-</v>
      </c>
      <c r="V24" s="16">
        <f t="shared" si="80"/>
        <v>0.49399999999999999</v>
      </c>
      <c r="W24" s="24">
        <f t="shared" si="81"/>
        <v>0.58099999999999996</v>
      </c>
      <c r="X24" s="14">
        <f t="shared" si="82"/>
        <v>0.69799999999999995</v>
      </c>
      <c r="Y24" s="14" t="str">
        <f t="shared" si="83"/>
        <v>-</v>
      </c>
      <c r="Z24" s="54" t="str">
        <f t="shared" si="84"/>
        <v>Maple Tree</v>
      </c>
    </row>
    <row r="25" spans="1:26" x14ac:dyDescent="0.25">
      <c r="A25" s="12" t="str">
        <f>General!$A25</f>
        <v>Oak Tree</v>
      </c>
      <c r="B25" s="16" t="str">
        <f>VLOOKUP($A25,General!$A$2:$AH$51,4,FALSE)</f>
        <v>Wood</v>
      </c>
      <c r="C25" s="14">
        <v>1.2</v>
      </c>
      <c r="D25" s="57">
        <v>1</v>
      </c>
      <c r="E25" s="14">
        <f>IF(C25*0.5*D25*Modifiers!$G$3*Modifiers!$G$5&lt;100,ROUND(C25*0.5*D25*Modifiers!$G$3*Modifiers!$G$5,2),ROUND(C25*0.5*D25*Modifiers!$G$3*Modifiers!$G$5,0))</f>
        <v>0.6</v>
      </c>
      <c r="F25" s="13" t="s">
        <v>150</v>
      </c>
      <c r="G25" s="17">
        <v>260</v>
      </c>
      <c r="H25" s="17">
        <f t="shared" si="75"/>
        <v>45500</v>
      </c>
      <c r="I25" s="17" t="s">
        <v>151</v>
      </c>
      <c r="J25" s="17">
        <f>IF((G25*C25+H25*0.0036)*Modifiers!$G$11&lt;200,ROUND((G25*C25+H25*0.0036)*Modifiers!$G$11,2),MROUND((G25*C25+H25*0.0036)*Modifiers!$G$11,5))</f>
        <v>475</v>
      </c>
      <c r="K25" s="58">
        <v>1.1000000000000001</v>
      </c>
      <c r="L25" s="17">
        <f>IF(J25*0.5*K25*Modifiers!$G$3*Modifiers!$G$5&lt;100,ROUND(J25*0.5*K25*Modifiers!$G$3*Modifiers!$G$5,2),ROUND(J25*0.5*K25*Modifiers!$G$3*Modifiers!$G$5,0))</f>
        <v>261</v>
      </c>
      <c r="M25" s="59">
        <f t="shared" si="73"/>
        <v>0.67307692307692313</v>
      </c>
      <c r="N25" s="16">
        <f>VLOOKUP($A25,General!$A$2:$AH$51,22,FALSE)</f>
        <v>0.73799999999999999</v>
      </c>
      <c r="O25" s="14">
        <f>VLOOKUP($A25,General!$A$2:$AH$51,23,FALSE)</f>
        <v>0.86799999999999999</v>
      </c>
      <c r="P25" s="14">
        <f>VLOOKUP($A25,General!$A$2:$AH$51,24,FALSE)</f>
        <v>1.042</v>
      </c>
      <c r="Q25" s="14" t="str">
        <f>VLOOKUP($A25,General!$A$2:$AH$51,25,FALSE)</f>
        <v>-</v>
      </c>
      <c r="R25" s="22">
        <f t="shared" si="76"/>
        <v>0.443</v>
      </c>
      <c r="S25" s="60">
        <f t="shared" si="77"/>
        <v>0.52100000000000002</v>
      </c>
      <c r="T25" s="60">
        <f t="shared" si="78"/>
        <v>0.625</v>
      </c>
      <c r="U25" s="19" t="str">
        <f t="shared" si="79"/>
        <v>-</v>
      </c>
      <c r="V25" s="16">
        <f t="shared" si="80"/>
        <v>0.74099999999999999</v>
      </c>
      <c r="W25" s="24">
        <f t="shared" si="81"/>
        <v>0.871</v>
      </c>
      <c r="X25" s="14">
        <f t="shared" si="82"/>
        <v>1.046</v>
      </c>
      <c r="Y25" s="14" t="str">
        <f t="shared" si="83"/>
        <v>-</v>
      </c>
      <c r="Z25" s="54" t="str">
        <f t="shared" si="84"/>
        <v>Oak Tree</v>
      </c>
    </row>
    <row r="26" spans="1:26" x14ac:dyDescent="0.25">
      <c r="A26" s="12" t="str">
        <f>General!$A26</f>
        <v>Poplar Tree</v>
      </c>
      <c r="B26" s="16" t="str">
        <f>VLOOKUP($A26,General!$A$2:$AH$51,4,FALSE)</f>
        <v>Wood</v>
      </c>
      <c r="C26" s="14">
        <v>1.2</v>
      </c>
      <c r="D26" s="57">
        <v>1</v>
      </c>
      <c r="E26" s="14">
        <f>IF(C26*0.5*D26*Modifiers!$G$3*Modifiers!$G$5&lt;100,ROUND(C26*0.5*D26*Modifiers!$G$3*Modifiers!$G$5,2),ROUND(C26*0.5*D26*Modifiers!$G$3*Modifiers!$G$5,0))</f>
        <v>0.6</v>
      </c>
      <c r="F26" s="13" t="s">
        <v>150</v>
      </c>
      <c r="G26" s="17">
        <v>260</v>
      </c>
      <c r="H26" s="17">
        <f t="shared" si="75"/>
        <v>45500</v>
      </c>
      <c r="I26" s="17" t="s">
        <v>151</v>
      </c>
      <c r="J26" s="17">
        <f>IF((G26*C26+H26*0.0036)*Modifiers!$G$11&lt;200,ROUND((G26*C26+H26*0.0036)*Modifiers!$G$11,2),MROUND((G26*C26+H26*0.0036)*Modifiers!$G$11,5))</f>
        <v>475</v>
      </c>
      <c r="K26" s="58">
        <v>1.1000000000000001</v>
      </c>
      <c r="L26" s="17">
        <f>IF(J26*0.5*K26*Modifiers!$G$3*Modifiers!$G$5&lt;100,ROUND(J26*0.5*K26*Modifiers!$G$3*Modifiers!$G$5,2),ROUND(J26*0.5*K26*Modifiers!$G$3*Modifiers!$G$5,0))</f>
        <v>261</v>
      </c>
      <c r="M26" s="59">
        <f t="shared" si="73"/>
        <v>0.67307692307692313</v>
      </c>
      <c r="N26" s="16">
        <f>VLOOKUP($A26,General!$A$2:$AH$51,22,FALSE)</f>
        <v>0.88300000000000001</v>
      </c>
      <c r="O26" s="14">
        <f>VLOOKUP($A26,General!$A$2:$AH$51,23,FALSE)</f>
        <v>1.0389999999999999</v>
      </c>
      <c r="P26" s="14">
        <f>VLOOKUP($A26,General!$A$2:$AH$51,24,FALSE)</f>
        <v>1.246</v>
      </c>
      <c r="Q26" s="14" t="str">
        <f>VLOOKUP($A26,General!$A$2:$AH$51,25,FALSE)</f>
        <v>-</v>
      </c>
      <c r="R26" s="22">
        <f t="shared" si="76"/>
        <v>0.53</v>
      </c>
      <c r="S26" s="60">
        <f t="shared" si="77"/>
        <v>0.623</v>
      </c>
      <c r="T26" s="60">
        <f t="shared" si="78"/>
        <v>0.748</v>
      </c>
      <c r="U26" s="19" t="str">
        <f t="shared" si="79"/>
        <v>-</v>
      </c>
      <c r="V26" s="16">
        <f t="shared" si="80"/>
        <v>0.88600000000000001</v>
      </c>
      <c r="W26" s="24">
        <f t="shared" si="81"/>
        <v>1.0429999999999999</v>
      </c>
      <c r="X26" s="14">
        <f t="shared" si="82"/>
        <v>1.2509999999999999</v>
      </c>
      <c r="Y26" s="14" t="str">
        <f t="shared" si="83"/>
        <v>-</v>
      </c>
      <c r="Z26" s="54" t="str">
        <f t="shared" si="84"/>
        <v>Poplar Tree</v>
      </c>
    </row>
    <row r="27" spans="1:26" x14ac:dyDescent="0.25">
      <c r="A27" s="12" t="str">
        <f>General!$A27</f>
        <v>Pine Tree</v>
      </c>
      <c r="B27" s="16" t="str">
        <f>VLOOKUP($A27,General!$A$2:$AH$51,4,FALSE)</f>
        <v>Wood</v>
      </c>
      <c r="C27" s="14">
        <v>1.2</v>
      </c>
      <c r="D27" s="57">
        <v>1</v>
      </c>
      <c r="E27" s="14">
        <f>IF(C27*0.5*D27*Modifiers!$G$3*Modifiers!$G$5&lt;100,ROUND(C27*0.5*D27*Modifiers!$G$3*Modifiers!$G$5,2),ROUND(C27*0.5*D27*Modifiers!$G$3*Modifiers!$G$5,0))</f>
        <v>0.6</v>
      </c>
      <c r="F27" s="13" t="s">
        <v>150</v>
      </c>
      <c r="G27" s="17">
        <v>260</v>
      </c>
      <c r="H27" s="17">
        <f t="shared" si="75"/>
        <v>45500</v>
      </c>
      <c r="I27" s="17" t="s">
        <v>151</v>
      </c>
      <c r="J27" s="17">
        <f>IF((G27*C27+H27*0.0036)*Modifiers!$G$11&lt;200,ROUND((G27*C27+H27*0.0036)*Modifiers!$G$11,2),MROUND((G27*C27+H27*0.0036)*Modifiers!$G$11,5))</f>
        <v>475</v>
      </c>
      <c r="K27" s="58">
        <v>1.1000000000000001</v>
      </c>
      <c r="L27" s="17">
        <f>IF(J27*0.5*K27*Modifiers!$G$3*Modifiers!$G$5&lt;100,ROUND(J27*0.5*K27*Modifiers!$G$3*Modifiers!$G$5,2),ROUND(J27*0.5*K27*Modifiers!$G$3*Modifiers!$G$5,0))</f>
        <v>261</v>
      </c>
      <c r="M27" s="59">
        <f t="shared" si="73"/>
        <v>0.67307692307692313</v>
      </c>
      <c r="N27" s="16">
        <f>VLOOKUP($A27,General!$A$2:$AH$51,22,FALSE)</f>
        <v>0.66400000000000003</v>
      </c>
      <c r="O27" s="14">
        <f>VLOOKUP($A27,General!$A$2:$AH$51,23,FALSE)</f>
        <v>0.78200000000000003</v>
      </c>
      <c r="P27" s="14">
        <f>VLOOKUP($A27,General!$A$2:$AH$51,24,FALSE)</f>
        <v>0.93799999999999994</v>
      </c>
      <c r="Q27" s="14" t="str">
        <f>VLOOKUP($A27,General!$A$2:$AH$51,25,FALSE)</f>
        <v>-</v>
      </c>
      <c r="R27" s="22">
        <f t="shared" si="76"/>
        <v>0.39800000000000002</v>
      </c>
      <c r="S27" s="60">
        <f t="shared" si="77"/>
        <v>0.46899999999999997</v>
      </c>
      <c r="T27" s="60">
        <f t="shared" si="78"/>
        <v>0.56299999999999994</v>
      </c>
      <c r="U27" s="19" t="str">
        <f t="shared" si="79"/>
        <v>-</v>
      </c>
      <c r="V27" s="16">
        <f t="shared" si="80"/>
        <v>0.66700000000000004</v>
      </c>
      <c r="W27" s="24">
        <f t="shared" si="81"/>
        <v>0.78500000000000003</v>
      </c>
      <c r="X27" s="14">
        <f t="shared" si="82"/>
        <v>0.94199999999999995</v>
      </c>
      <c r="Y27" s="14" t="str">
        <f t="shared" si="83"/>
        <v>-</v>
      </c>
      <c r="Z27" s="54" t="str">
        <f t="shared" si="84"/>
        <v>Pine Tree</v>
      </c>
    </row>
    <row r="28" spans="1:26" x14ac:dyDescent="0.25">
      <c r="A28" s="12" t="str">
        <f>General!$A28</f>
        <v>Birch Tree</v>
      </c>
      <c r="B28" s="16" t="str">
        <f>VLOOKUP($A28,General!$A$2:$AH$51,4,FALSE)</f>
        <v>Wood</v>
      </c>
      <c r="C28" s="14">
        <v>1.2</v>
      </c>
      <c r="D28" s="57">
        <v>1</v>
      </c>
      <c r="E28" s="14">
        <f>IF(C28*0.5*D28*Modifiers!$G$3*Modifiers!$G$5&lt;100,ROUND(C28*0.5*D28*Modifiers!$G$3*Modifiers!$G$5,2),ROUND(C28*0.5*D28*Modifiers!$G$3*Modifiers!$G$5,0))</f>
        <v>0.6</v>
      </c>
      <c r="F28" s="13" t="s">
        <v>150</v>
      </c>
      <c r="G28" s="17">
        <v>260</v>
      </c>
      <c r="H28" s="17">
        <f t="shared" si="75"/>
        <v>45500</v>
      </c>
      <c r="I28" s="17" t="s">
        <v>151</v>
      </c>
      <c r="J28" s="17">
        <f>IF((G28*C28+H28*0.0036)*Modifiers!$G$11&lt;200,ROUND((G28*C28+H28*0.0036)*Modifiers!$G$11,2),MROUND((G28*C28+H28*0.0036)*Modifiers!$G$11,5))</f>
        <v>475</v>
      </c>
      <c r="K28" s="58">
        <v>1.1000000000000001</v>
      </c>
      <c r="L28" s="17">
        <f>IF(J28*0.5*K28*Modifiers!$G$3*Modifiers!$G$5&lt;100,ROUND(J28*0.5*K28*Modifiers!$G$3*Modifiers!$G$5,2),ROUND(J28*0.5*K28*Modifiers!$G$3*Modifiers!$G$5,0))</f>
        <v>261</v>
      </c>
      <c r="M28" s="59">
        <f t="shared" si="73"/>
        <v>0.67307692307692313</v>
      </c>
      <c r="N28" s="16">
        <f>VLOOKUP($A28,General!$A$2:$AH$51,22,FALSE)</f>
        <v>0.66400000000000003</v>
      </c>
      <c r="O28" s="14">
        <f>VLOOKUP($A28,General!$A$2:$AH$51,23,FALSE)</f>
        <v>0.78200000000000003</v>
      </c>
      <c r="P28" s="14">
        <f>VLOOKUP($A28,General!$A$2:$AH$51,24,FALSE)</f>
        <v>0.93799999999999994</v>
      </c>
      <c r="Q28" s="14" t="str">
        <f>VLOOKUP($A28,General!$A$2:$AH$51,25,FALSE)</f>
        <v>-</v>
      </c>
      <c r="R28" s="22">
        <f t="shared" si="76"/>
        <v>0.39800000000000002</v>
      </c>
      <c r="S28" s="60">
        <f t="shared" si="77"/>
        <v>0.46899999999999997</v>
      </c>
      <c r="T28" s="60">
        <f t="shared" si="78"/>
        <v>0.56299999999999994</v>
      </c>
      <c r="U28" s="19" t="str">
        <f t="shared" si="79"/>
        <v>-</v>
      </c>
      <c r="V28" s="16">
        <f t="shared" si="80"/>
        <v>0.66700000000000004</v>
      </c>
      <c r="W28" s="24">
        <f t="shared" si="81"/>
        <v>0.78500000000000003</v>
      </c>
      <c r="X28" s="14">
        <f t="shared" si="82"/>
        <v>0.94199999999999995</v>
      </c>
      <c r="Y28" s="14" t="str">
        <f t="shared" si="83"/>
        <v>-</v>
      </c>
      <c r="Z28" s="54" t="str">
        <f t="shared" si="84"/>
        <v>Birch Tree</v>
      </c>
    </row>
    <row r="29" spans="1:26" x14ac:dyDescent="0.25">
      <c r="A29" s="12" t="str">
        <f>General!$A29</f>
        <v>Teak Tree</v>
      </c>
      <c r="B29" s="16" t="str">
        <f>VLOOKUP($A29,General!$A$2:$AH$51,4,FALSE)</f>
        <v>Wood</v>
      </c>
      <c r="C29" s="14">
        <v>1.2</v>
      </c>
      <c r="D29" s="57">
        <v>1</v>
      </c>
      <c r="E29" s="14">
        <f>IF(C29*0.5*D29*Modifiers!$G$3*Modifiers!$G$5&lt;100,ROUND(C29*0.5*D29*Modifiers!$G$3*Modifiers!$G$5,2),ROUND(C29*0.5*D29*Modifiers!$G$3*Modifiers!$G$5,0))</f>
        <v>0.6</v>
      </c>
      <c r="F29" s="13" t="s">
        <v>150</v>
      </c>
      <c r="G29" s="17">
        <v>260</v>
      </c>
      <c r="H29" s="17">
        <f t="shared" si="75"/>
        <v>45500</v>
      </c>
      <c r="I29" s="17" t="s">
        <v>151</v>
      </c>
      <c r="J29" s="17">
        <f>IF((G29*C29+H29*0.0036)*Modifiers!$G$11&lt;200,ROUND((G29*C29+H29*0.0036)*Modifiers!$G$11,2),MROUND((G29*C29+H29*0.0036)*Modifiers!$G$11,5))</f>
        <v>475</v>
      </c>
      <c r="K29" s="58">
        <v>1.1000000000000001</v>
      </c>
      <c r="L29" s="17">
        <f>IF(J29*0.5*K29*Modifiers!$G$3*Modifiers!$G$5&lt;100,ROUND(J29*0.5*K29*Modifiers!$G$3*Modifiers!$G$5,2),ROUND(J29*0.5*K29*Modifiers!$G$3*Modifiers!$G$5,0))</f>
        <v>261</v>
      </c>
      <c r="M29" s="59">
        <f t="shared" si="73"/>
        <v>0.67307692307692313</v>
      </c>
      <c r="N29" s="16">
        <f>VLOOKUP($A29,General!$A$2:$AH$51,22,FALSE)</f>
        <v>0.81799999999999995</v>
      </c>
      <c r="O29" s="14">
        <f>VLOOKUP($A29,General!$A$2:$AH$51,23,FALSE)</f>
        <v>0.96199999999999997</v>
      </c>
      <c r="P29" s="14">
        <f>VLOOKUP($A29,General!$A$2:$AH$51,24,FALSE)</f>
        <v>1.1539999999999999</v>
      </c>
      <c r="Q29" s="14" t="str">
        <f>VLOOKUP($A29,General!$A$2:$AH$51,25,FALSE)</f>
        <v>-</v>
      </c>
      <c r="R29" s="22">
        <f t="shared" si="76"/>
        <v>0.49099999999999999</v>
      </c>
      <c r="S29" s="60">
        <f t="shared" si="77"/>
        <v>0.57699999999999996</v>
      </c>
      <c r="T29" s="60">
        <f t="shared" si="78"/>
        <v>0.69199999999999995</v>
      </c>
      <c r="U29" s="19" t="str">
        <f t="shared" si="79"/>
        <v>-</v>
      </c>
      <c r="V29" s="16">
        <f t="shared" si="80"/>
        <v>0.82099999999999995</v>
      </c>
      <c r="W29" s="24">
        <f t="shared" si="81"/>
        <v>0.96599999999999997</v>
      </c>
      <c r="X29" s="14">
        <f t="shared" si="82"/>
        <v>1.1579999999999999</v>
      </c>
      <c r="Y29" s="14" t="str">
        <f t="shared" si="83"/>
        <v>-</v>
      </c>
      <c r="Z29" s="54" t="str">
        <f t="shared" si="84"/>
        <v>Teak Tree</v>
      </c>
    </row>
    <row r="30" spans="1:26" x14ac:dyDescent="0.25">
      <c r="A30" s="12" t="str">
        <f>General!$A30</f>
        <v>Cecropia Tree</v>
      </c>
      <c r="B30" s="16" t="str">
        <f>VLOOKUP($A30,General!$A$2:$AH$51,4,FALSE)</f>
        <v>Wood</v>
      </c>
      <c r="C30" s="14">
        <v>1.2</v>
      </c>
      <c r="D30" s="57">
        <v>1</v>
      </c>
      <c r="E30" s="14">
        <f>IF(C30*0.5*D30*Modifiers!$G$3*Modifiers!$G$5&lt;100,ROUND(C30*0.5*D30*Modifiers!$G$3*Modifiers!$G$5,2),ROUND(C30*0.5*D30*Modifiers!$G$3*Modifiers!$G$5,0))</f>
        <v>0.6</v>
      </c>
      <c r="F30" s="13" t="s">
        <v>150</v>
      </c>
      <c r="G30" s="17">
        <v>260</v>
      </c>
      <c r="H30" s="17">
        <f t="shared" si="75"/>
        <v>45500</v>
      </c>
      <c r="I30" s="17" t="s">
        <v>151</v>
      </c>
      <c r="J30" s="17">
        <f>IF((G30*C30+H30*0.0036)*Modifiers!$G$11&lt;200,ROUND((G30*C30+H30*0.0036)*Modifiers!$G$11,2),MROUND((G30*C30+H30*0.0036)*Modifiers!$G$11,5))</f>
        <v>475</v>
      </c>
      <c r="K30" s="58">
        <v>1.1000000000000001</v>
      </c>
      <c r="L30" s="17">
        <f>IF(J30*0.5*K30*Modifiers!$G$3*Modifiers!$G$5&lt;100,ROUND(J30*0.5*K30*Modifiers!$G$3*Modifiers!$G$5,2),ROUND(J30*0.5*K30*Modifiers!$G$3*Modifiers!$G$5,0))</f>
        <v>261</v>
      </c>
      <c r="M30" s="59">
        <f t="shared" si="73"/>
        <v>0.67307692307692313</v>
      </c>
      <c r="N30" s="16">
        <f>VLOOKUP($A30,General!$A$2:$AH$51,22,FALSE)</f>
        <v>0.63300000000000001</v>
      </c>
      <c r="O30" s="14">
        <f>VLOOKUP($A30,General!$A$2:$AH$51,23,FALSE)</f>
        <v>0.74399999999999999</v>
      </c>
      <c r="P30" s="14">
        <f>VLOOKUP($A30,General!$A$2:$AH$51,24,FALSE)</f>
        <v>0.89300000000000002</v>
      </c>
      <c r="Q30" s="14" t="str">
        <f>VLOOKUP($A30,General!$A$2:$AH$51,25,FALSE)</f>
        <v>-</v>
      </c>
      <c r="R30" s="22">
        <f t="shared" si="76"/>
        <v>0.38</v>
      </c>
      <c r="S30" s="60">
        <f t="shared" si="77"/>
        <v>0.44600000000000001</v>
      </c>
      <c r="T30" s="60">
        <f t="shared" si="78"/>
        <v>0.53600000000000003</v>
      </c>
      <c r="U30" s="19" t="str">
        <f t="shared" si="79"/>
        <v>-</v>
      </c>
      <c r="V30" s="16">
        <f t="shared" si="80"/>
        <v>0.63500000000000001</v>
      </c>
      <c r="W30" s="24">
        <f t="shared" si="81"/>
        <v>0.747</v>
      </c>
      <c r="X30" s="14">
        <f t="shared" si="82"/>
        <v>0.89600000000000002</v>
      </c>
      <c r="Y30" s="14" t="str">
        <f t="shared" si="83"/>
        <v>-</v>
      </c>
      <c r="Z30" s="54" t="str">
        <f t="shared" si="84"/>
        <v>Cecropia Tree</v>
      </c>
    </row>
    <row r="31" spans="1:26" x14ac:dyDescent="0.25">
      <c r="A31" s="12" t="str">
        <f>General!$A31</f>
        <v>Palm Tree</v>
      </c>
      <c r="B31" s="16" t="str">
        <f>VLOOKUP($A31,General!$A$2:$AH$51,4,FALSE)</f>
        <v>Wood</v>
      </c>
      <c r="C31" s="14">
        <v>1.2</v>
      </c>
      <c r="D31" s="57">
        <v>1</v>
      </c>
      <c r="E31" s="14">
        <f>IF(C31*0.5*D31*Modifiers!$G$3*Modifiers!$G$5&lt;100,ROUND(C31*0.5*D31*Modifiers!$G$3*Modifiers!$G$5,2),ROUND(C31*0.5*D31*Modifiers!$G$3*Modifiers!$G$5,0))</f>
        <v>0.6</v>
      </c>
      <c r="F31" s="13" t="s">
        <v>150</v>
      </c>
      <c r="G31" s="17">
        <v>260</v>
      </c>
      <c r="H31" s="17">
        <f t="shared" si="75"/>
        <v>45500</v>
      </c>
      <c r="I31" s="17" t="s">
        <v>151</v>
      </c>
      <c r="J31" s="17">
        <f>IF((G31*C31+H31*0.0036)*Modifiers!$G$11&lt;200,ROUND((G31*C31+H31*0.0036)*Modifiers!$G$11,2),MROUND((G31*C31+H31*0.0036)*Modifiers!$G$11,5))</f>
        <v>475</v>
      </c>
      <c r="K31" s="58">
        <v>1.1000000000000001</v>
      </c>
      <c r="L31" s="17">
        <f>IF(J31*0.5*K31*Modifiers!$G$3*Modifiers!$G$5&lt;100,ROUND(J31*0.5*K31*Modifiers!$G$3*Modifiers!$G$5,2),ROUND(J31*0.5*K31*Modifiers!$G$3*Modifiers!$G$5,0))</f>
        <v>261</v>
      </c>
      <c r="M31" s="59">
        <f t="shared" si="73"/>
        <v>0.67307692307692313</v>
      </c>
      <c r="N31" s="16">
        <f>VLOOKUP($A31,General!$A$2:$AH$51,22,FALSE)</f>
        <v>0.63300000000000001</v>
      </c>
      <c r="O31" s="14">
        <f>VLOOKUP($A31,General!$A$2:$AH$51,23,FALSE)</f>
        <v>0.74399999999999999</v>
      </c>
      <c r="P31" s="14">
        <f>VLOOKUP($A31,General!$A$2:$AH$51,24,FALSE)</f>
        <v>0.89300000000000002</v>
      </c>
      <c r="Q31" s="14" t="str">
        <f>VLOOKUP($A31,General!$A$2:$AH$51,25,FALSE)</f>
        <v>-</v>
      </c>
      <c r="R31" s="22">
        <f t="shared" si="76"/>
        <v>0.38</v>
      </c>
      <c r="S31" s="60">
        <f t="shared" si="77"/>
        <v>0.44600000000000001</v>
      </c>
      <c r="T31" s="60">
        <f t="shared" si="78"/>
        <v>0.53600000000000003</v>
      </c>
      <c r="U31" s="19" t="str">
        <f t="shared" si="79"/>
        <v>-</v>
      </c>
      <c r="V31" s="16">
        <f t="shared" si="80"/>
        <v>0.63500000000000001</v>
      </c>
      <c r="W31" s="24">
        <f t="shared" si="81"/>
        <v>0.747</v>
      </c>
      <c r="X31" s="14">
        <f t="shared" si="82"/>
        <v>0.89600000000000002</v>
      </c>
      <c r="Y31" s="14" t="str">
        <f t="shared" si="83"/>
        <v>-</v>
      </c>
      <c r="Z31" s="54" t="str">
        <f t="shared" si="84"/>
        <v>Palm Tree</v>
      </c>
    </row>
    <row r="32" spans="1:26" x14ac:dyDescent="0.25">
      <c r="A32" s="12" t="str">
        <f>General!$A32</f>
        <v>Bamboo Tree</v>
      </c>
      <c r="B32" s="16" t="str">
        <f>VLOOKUP($A32,General!$A$2:$AH$51,4,FALSE)</f>
        <v>Wood</v>
      </c>
      <c r="C32" s="14">
        <v>1.2</v>
      </c>
      <c r="D32" s="57">
        <v>1</v>
      </c>
      <c r="E32" s="14">
        <f>IF(C32*0.5*D32*Modifiers!$G$3*Modifiers!$G$5&lt;100,ROUND(C32*0.5*D32*Modifiers!$G$3*Modifiers!$G$5,2),ROUND(C32*0.5*D32*Modifiers!$G$3*Modifiers!$G$5,0))</f>
        <v>0.6</v>
      </c>
      <c r="F32" s="13" t="s">
        <v>150</v>
      </c>
      <c r="G32" s="17">
        <v>260</v>
      </c>
      <c r="H32" s="17">
        <f>65000*0.7</f>
        <v>45500</v>
      </c>
      <c r="I32" s="17" t="s">
        <v>151</v>
      </c>
      <c r="J32" s="17">
        <f>IF((G32*C32+H32*0.0036)*Modifiers!$G$11&lt;200,ROUND((G32*C32+H32*0.0036)*Modifiers!$G$11,2),MROUND((G32*C32+H32*0.0036)*Modifiers!$G$11,5))</f>
        <v>475</v>
      </c>
      <c r="K32" s="58">
        <v>1.1000000000000001</v>
      </c>
      <c r="L32" s="17">
        <f>IF(J32*0.5*K32*Modifiers!$G$3*Modifiers!$G$5&lt;100,ROUND(J32*0.5*K32*Modifiers!$G$3*Modifiers!$G$5,2),ROUND(J32*0.5*K32*Modifiers!$G$3*Modifiers!$G$5,0))</f>
        <v>261</v>
      </c>
      <c r="M32" s="59">
        <f t="shared" si="73"/>
        <v>0.67307692307692313</v>
      </c>
      <c r="N32" s="16">
        <f>VLOOKUP($A32,General!$A$2:$AH$51,22,FALSE)</f>
        <v>0.53300000000000003</v>
      </c>
      <c r="O32" s="14">
        <f>VLOOKUP($A32,General!$A$2:$AH$51,23,FALSE)</f>
        <v>0.627</v>
      </c>
      <c r="P32" s="14">
        <f>VLOOKUP($A32,General!$A$2:$AH$51,24,FALSE)</f>
        <v>0.753</v>
      </c>
      <c r="Q32" s="14" t="str">
        <f>VLOOKUP($A32,General!$A$2:$AH$51,25,FALSE)</f>
        <v>-</v>
      </c>
      <c r="R32" s="22">
        <f t="shared" si="76"/>
        <v>0.32</v>
      </c>
      <c r="S32" s="60">
        <f t="shared" si="77"/>
        <v>0.376</v>
      </c>
      <c r="T32" s="60">
        <f t="shared" si="78"/>
        <v>0.45200000000000001</v>
      </c>
      <c r="U32" s="19" t="str">
        <f t="shared" si="79"/>
        <v>-</v>
      </c>
      <c r="V32" s="16">
        <f t="shared" si="80"/>
        <v>0.53500000000000003</v>
      </c>
      <c r="W32" s="24">
        <f t="shared" si="81"/>
        <v>0.629</v>
      </c>
      <c r="X32" s="14">
        <f t="shared" si="82"/>
        <v>0.75600000000000001</v>
      </c>
      <c r="Y32" s="14" t="str">
        <f t="shared" si="83"/>
        <v>-</v>
      </c>
      <c r="Z32" s="54" t="str">
        <f t="shared" si="84"/>
        <v>Bamboo Tree</v>
      </c>
    </row>
    <row r="33" spans="1:26" x14ac:dyDescent="0.25">
      <c r="A33" s="12" t="str">
        <f>General!$A33</f>
        <v>Branchvine</v>
      </c>
      <c r="B33" s="16" t="str">
        <f>VLOOKUP($A33,General!$A$2:$AH$51,4,FALSE)</f>
        <v>Wood</v>
      </c>
      <c r="C33" s="14">
        <v>1.2</v>
      </c>
      <c r="D33" s="57">
        <v>1</v>
      </c>
      <c r="E33" s="14">
        <f>IF(C33*0.5*D33*Modifiers!$G$3*Modifiers!$G$5&lt;100,ROUND(C33*0.5*D33*Modifiers!$G$3*Modifiers!$G$5,2),ROUND(C33*0.5*D33*Modifiers!$G$3*Modifiers!$G$5,0))</f>
        <v>0.6</v>
      </c>
      <c r="F33" s="13" t="s">
        <v>150</v>
      </c>
      <c r="G33" s="17">
        <v>260</v>
      </c>
      <c r="H33" s="17">
        <f t="shared" ref="H33" si="85">65000*0.7</f>
        <v>45500</v>
      </c>
      <c r="I33" s="17" t="s">
        <v>151</v>
      </c>
      <c r="J33" s="17">
        <f>IF((G33*C33+H33*0.0036)*Modifiers!$G$11&lt;200,ROUND((G33*C33+H33*0.0036)*Modifiers!$G$11,2),MROUND((G33*C33+H33*0.0036)*Modifiers!$G$11,5))</f>
        <v>475</v>
      </c>
      <c r="K33" s="58">
        <v>1.1000000000000001</v>
      </c>
      <c r="L33" s="17">
        <f>IF(J33*0.5*K33*Modifiers!$G$3*Modifiers!$G$5&lt;100,ROUND(J33*0.5*K33*Modifiers!$G$3*Modifiers!$G$5,2),ROUND(J33*0.5*K33*Modifiers!$G$3*Modifiers!$G$5,0))</f>
        <v>261</v>
      </c>
      <c r="M33" s="59">
        <f t="shared" ref="M33" si="86">L33/(G33*E33)-1</f>
        <v>0.67307692307692313</v>
      </c>
      <c r="N33" s="16">
        <f>VLOOKUP($A33,General!$A$2:$AH$51,22,FALSE)</f>
        <v>0.82</v>
      </c>
      <c r="O33" s="14">
        <f>VLOOKUP($A33,General!$A$2:$AH$51,23,FALSE)</f>
        <v>1</v>
      </c>
      <c r="P33" s="14">
        <f>VLOOKUP($A33,General!$A$2:$AH$51,24,FALSE)</f>
        <v>1.24</v>
      </c>
      <c r="Q33" s="14" t="str">
        <f>VLOOKUP($A33,General!$A$2:$AH$51,25,FALSE)</f>
        <v>-</v>
      </c>
      <c r="R33" s="22">
        <f t="shared" ref="R33:R34" si="87">IF(N33="-","-",ROUND(N33*$E33, 3))</f>
        <v>0.49199999999999999</v>
      </c>
      <c r="S33" s="60">
        <f t="shared" ref="S33:S34" si="88">IF(O33="-","-",ROUND(O33*$E33, 3))</f>
        <v>0.6</v>
      </c>
      <c r="T33" s="60">
        <f t="shared" ref="T33:T34" si="89">IF(P33="-","-",ROUND(P33*$E33, 3))</f>
        <v>0.74399999999999999</v>
      </c>
      <c r="U33" s="19" t="str">
        <f t="shared" ref="U33:U34" si="90">IF(Q33="-","-",ROUND(Q33*$E33, 3))</f>
        <v>-</v>
      </c>
      <c r="V33" s="16">
        <f t="shared" ref="V33" si="91">IF(N33="-","-",ROUND($L33/($G33/N33),3))</f>
        <v>0.82299999999999995</v>
      </c>
      <c r="W33" s="24">
        <f t="shared" ref="W33" si="92">IF(O33="-","-",ROUND($L33/($G33/O33),3))</f>
        <v>1.004</v>
      </c>
      <c r="X33" s="14">
        <f t="shared" ref="X33" si="93">IF(P33="-","-",ROUND($L33/($G33/P33),3))</f>
        <v>1.2450000000000001</v>
      </c>
      <c r="Y33" s="14" t="str">
        <f t="shared" ref="Y33:Y34" si="94">IF(Q33="-","-",ROUND($L33/($G33/Q33),3))</f>
        <v>-</v>
      </c>
      <c r="Z33" s="54" t="str">
        <f t="shared" ref="Z33:Z34" si="95">A33</f>
        <v>Branchvine</v>
      </c>
    </row>
    <row r="34" spans="1:26" x14ac:dyDescent="0.25">
      <c r="A34" s="12" t="str">
        <f>General!$A34</f>
        <v>Rocketree</v>
      </c>
      <c r="B34" s="16" t="str">
        <f>VLOOKUP($A34,General!$A$2:$AH$51,4,FALSE)</f>
        <v>Chemfuel</v>
      </c>
      <c r="C34" s="14">
        <v>3</v>
      </c>
      <c r="D34" s="57">
        <v>1</v>
      </c>
      <c r="E34" s="14">
        <f>IF(C34*0.5*D34*Modifiers!$G$3*Modifiers!$G$5&lt;100,ROUND(C34*0.5*D34*Modifiers!$G$3*Modifiers!$G$5,2),ROUND(C34*0.5*D34*Modifiers!$G$3*Modifiers!$G$5,0))</f>
        <v>1.5</v>
      </c>
      <c r="F34" s="13" t="s">
        <v>149</v>
      </c>
      <c r="G34" s="17" t="s">
        <v>26</v>
      </c>
      <c r="H34" s="17" t="s">
        <v>26</v>
      </c>
      <c r="I34" s="17" t="s">
        <v>26</v>
      </c>
      <c r="J34" s="17" t="s">
        <v>26</v>
      </c>
      <c r="K34" s="58" t="s">
        <v>26</v>
      </c>
      <c r="L34" s="17" t="s">
        <v>26</v>
      </c>
      <c r="M34" s="59">
        <v>0</v>
      </c>
      <c r="N34" s="16">
        <f>VLOOKUP($A34,General!$A$2:$AH$51,22,FALSE)</f>
        <v>0.82</v>
      </c>
      <c r="O34" s="14">
        <f>VLOOKUP($A34,General!$A$2:$AH$51,23,FALSE)</f>
        <v>0.96499999999999997</v>
      </c>
      <c r="P34" s="14">
        <f>VLOOKUP($A34,General!$A$2:$AH$51,24,FALSE)</f>
        <v>1.1579999999999999</v>
      </c>
      <c r="Q34" s="14" t="str">
        <f>VLOOKUP($A34,General!$A$2:$AH$51,25,FALSE)</f>
        <v>-</v>
      </c>
      <c r="R34" s="22">
        <f t="shared" si="87"/>
        <v>1.23</v>
      </c>
      <c r="S34" s="60">
        <f t="shared" si="88"/>
        <v>1.448</v>
      </c>
      <c r="T34" s="60">
        <f t="shared" si="89"/>
        <v>1.7370000000000001</v>
      </c>
      <c r="U34" s="19" t="str">
        <f t="shared" si="90"/>
        <v>-</v>
      </c>
      <c r="V34" s="16" t="s">
        <v>26</v>
      </c>
      <c r="W34" s="24" t="s">
        <v>26</v>
      </c>
      <c r="X34" s="14" t="s">
        <v>26</v>
      </c>
      <c r="Y34" s="14" t="str">
        <f t="shared" si="94"/>
        <v>-</v>
      </c>
      <c r="Z34" s="54" t="str">
        <f t="shared" si="95"/>
        <v>Rocketree</v>
      </c>
    </row>
  </sheetData>
  <mergeCells count="2">
    <mergeCell ref="R1:U1"/>
    <mergeCell ref="V1:Y1"/>
  </mergeCells>
  <conditionalFormatting sqref="M2:M4 M7:M10">
    <cfRule type="colorScale" priority="21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22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11">
    <cfRule type="colorScale" priority="19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20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12">
    <cfRule type="colorScale" priority="17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18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14:M16">
    <cfRule type="colorScale" priority="15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16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13">
    <cfRule type="colorScale" priority="13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14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18:M19">
    <cfRule type="colorScale" priority="11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12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20:M32">
    <cfRule type="colorScale" priority="9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10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17">
    <cfRule type="colorScale" priority="7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8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5:M6">
    <cfRule type="colorScale" priority="5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6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33">
    <cfRule type="colorScale" priority="3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4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conditionalFormatting sqref="M34">
    <cfRule type="colorScale" priority="1">
      <colorScale>
        <cfvo type="num" val="-0.35"/>
        <cfvo type="num" val="0"/>
        <cfvo type="num" val="0.5"/>
        <color rgb="FFF8696B"/>
        <color rgb="FFFFEB84"/>
        <color rgb="FF63BE7B"/>
      </colorScale>
    </cfRule>
    <cfRule type="colorScale" priority="2">
      <colorScale>
        <cfvo type="num" val="-0.25"/>
        <cfvo type="num" val="0"/>
        <cfvo type="num" val="0.35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"/>
    </sheetView>
  </sheetViews>
  <sheetFormatPr defaultRowHeight="15" x14ac:dyDescent="0.25"/>
  <cols>
    <col min="1" max="2" width="16" customWidth="1"/>
    <col min="3" max="3" width="13.7109375" customWidth="1"/>
    <col min="5" max="5" width="16" customWidth="1"/>
    <col min="6" max="6" width="22.85546875" customWidth="1"/>
    <col min="7" max="7" width="13.7109375" customWidth="1"/>
    <col min="9" max="10" width="16" customWidth="1"/>
    <col min="11" max="11" width="13.7109375" customWidth="1"/>
  </cols>
  <sheetData>
    <row r="1" spans="1:7" ht="15.75" thickBot="1" x14ac:dyDescent="0.3">
      <c r="A1" s="82" t="s">
        <v>127</v>
      </c>
      <c r="B1" s="83"/>
      <c r="C1" s="84"/>
      <c r="E1" s="82" t="s">
        <v>116</v>
      </c>
      <c r="F1" s="83"/>
      <c r="G1" s="84"/>
    </row>
    <row r="2" spans="1:7" x14ac:dyDescent="0.25">
      <c r="A2" s="1" t="s">
        <v>113</v>
      </c>
      <c r="B2" s="2" t="s">
        <v>114</v>
      </c>
      <c r="C2" s="3" t="s">
        <v>115</v>
      </c>
      <c r="E2" s="1" t="s">
        <v>113</v>
      </c>
      <c r="F2" s="2" t="s">
        <v>114</v>
      </c>
      <c r="G2" s="3" t="s">
        <v>115</v>
      </c>
    </row>
    <row r="3" spans="1:7" ht="15.75" thickBot="1" x14ac:dyDescent="0.3">
      <c r="A3" s="10" t="s">
        <v>119</v>
      </c>
      <c r="B3" s="4" t="s">
        <v>128</v>
      </c>
      <c r="C3" s="5">
        <f>VLOOKUP(A3,ModifierLookupIndex!D1:E7,2,FALSE)</f>
        <v>1</v>
      </c>
      <c r="E3" s="66" t="str">
        <f>A3</f>
        <v>Peaceful</v>
      </c>
      <c r="F3" s="4" t="s">
        <v>110</v>
      </c>
      <c r="G3" s="5">
        <f>VLOOKUP(E3,ModifierLookupIndex!A1:B7,2,FALSE)</f>
        <v>1</v>
      </c>
    </row>
    <row r="4" spans="1:7" x14ac:dyDescent="0.25">
      <c r="A4" s="1" t="s">
        <v>130</v>
      </c>
      <c r="B4" s="2" t="s">
        <v>114</v>
      </c>
      <c r="C4" s="3" t="s">
        <v>115</v>
      </c>
      <c r="E4" s="1" t="s">
        <v>124</v>
      </c>
      <c r="F4" s="2" t="s">
        <v>114</v>
      </c>
      <c r="G4" s="3" t="s">
        <v>115</v>
      </c>
    </row>
    <row r="5" spans="1:7" x14ac:dyDescent="0.25">
      <c r="A5" s="61">
        <v>20</v>
      </c>
      <c r="B5" s="25" t="s">
        <v>128</v>
      </c>
      <c r="C5" s="64">
        <f>MEDIAN(0,ROUND(VLOOKUP(A5,ModifierLookupIndex!G1:H22,2,FALSE)*(1+(A7-1)*0.3)*MEDIAN(0,(1+(B7-1)*0.2),1),2),1)</f>
        <v>1</v>
      </c>
      <c r="E5" s="61">
        <v>0</v>
      </c>
      <c r="F5" s="25" t="s">
        <v>110</v>
      </c>
      <c r="G5" s="64">
        <f>ROUND((E5*0.015)*(1+(E7-1)*0.3)*(1+(F7-1)*0.3)+1,2)</f>
        <v>1</v>
      </c>
    </row>
    <row r="6" spans="1:7" x14ac:dyDescent="0.25">
      <c r="A6" s="50" t="s">
        <v>131</v>
      </c>
      <c r="B6" s="51" t="s">
        <v>132</v>
      </c>
      <c r="C6" s="65"/>
      <c r="E6" s="50" t="s">
        <v>125</v>
      </c>
      <c r="F6" s="51" t="s">
        <v>126</v>
      </c>
      <c r="G6" s="65"/>
    </row>
    <row r="7" spans="1:7" ht="15.75" thickBot="1" x14ac:dyDescent="0.3">
      <c r="A7" s="62">
        <v>1</v>
      </c>
      <c r="B7" s="63">
        <v>1</v>
      </c>
      <c r="C7" s="5"/>
      <c r="E7" s="62">
        <v>1</v>
      </c>
      <c r="F7" s="63">
        <v>1</v>
      </c>
      <c r="G7" s="5"/>
    </row>
    <row r="8" spans="1:7" x14ac:dyDescent="0.25">
      <c r="E8" s="1" t="s">
        <v>140</v>
      </c>
      <c r="F8" s="2" t="s">
        <v>114</v>
      </c>
      <c r="G8" s="3" t="s">
        <v>115</v>
      </c>
    </row>
    <row r="9" spans="1:7" ht="15.75" thickBot="1" x14ac:dyDescent="0.3">
      <c r="E9" s="10" t="s">
        <v>139</v>
      </c>
      <c r="F9" s="4" t="s">
        <v>141</v>
      </c>
      <c r="G9" s="5">
        <f>VLOOKUP(E9,ModifierLookupIndex!$J$2:$K$23,2,FALSE)</f>
        <v>1</v>
      </c>
    </row>
    <row r="10" spans="1:7" x14ac:dyDescent="0.25">
      <c r="E10" s="52" t="s">
        <v>152</v>
      </c>
      <c r="F10" s="55" t="s">
        <v>114</v>
      </c>
      <c r="G10" s="56" t="s">
        <v>115</v>
      </c>
    </row>
    <row r="11" spans="1:7" ht="15.75" thickBot="1" x14ac:dyDescent="0.3">
      <c r="E11" s="10" t="s">
        <v>139</v>
      </c>
      <c r="F11" s="4" t="s">
        <v>141</v>
      </c>
      <c r="G11" s="5">
        <f>VLOOKUP(E11,ModifierLookupIndex!$J$2:$K$23,2,FALSE)</f>
        <v>1</v>
      </c>
    </row>
  </sheetData>
  <mergeCells count="2">
    <mergeCell ref="E1:G1"/>
    <mergeCell ref="A1:C1"/>
  </mergeCells>
  <dataValidations count="2">
    <dataValidation type="whole" allowBlank="1" showInputMessage="1" showErrorMessage="1" sqref="E5 A5">
      <formula1>0</formula1>
      <formula2>20</formula2>
    </dataValidation>
    <dataValidation type="decimal" operator="greaterThanOrEqual" allowBlank="1" showInputMessage="1" showErrorMessage="1" sqref="E7:F7 A7:B7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ModifierLookupIndex!$A$2:$A$7</xm:f>
          </x14:formula1>
          <xm:sqref>A3</xm:sqref>
        </x14:dataValidation>
        <x14:dataValidation type="list" allowBlank="1" showInputMessage="1" showErrorMessage="1">
          <x14:formula1>
            <xm:f>ModifierLookupIndex!$J$2:$J$23</xm:f>
          </x14:formula1>
          <xm:sqref>E9 E11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M4" sqref="M4"/>
    </sheetView>
  </sheetViews>
  <sheetFormatPr defaultRowHeight="15" x14ac:dyDescent="0.25"/>
  <sheetData>
    <row r="1" spans="1:11" x14ac:dyDescent="0.25">
      <c r="A1" t="s">
        <v>113</v>
      </c>
      <c r="B1" t="s">
        <v>118</v>
      </c>
      <c r="D1" t="s">
        <v>113</v>
      </c>
      <c r="E1" t="s">
        <v>129</v>
      </c>
      <c r="G1" t="s">
        <v>133</v>
      </c>
      <c r="H1" t="s">
        <v>134</v>
      </c>
      <c r="J1" t="s">
        <v>137</v>
      </c>
      <c r="K1" t="s">
        <v>138</v>
      </c>
    </row>
    <row r="2" spans="1:11" x14ac:dyDescent="0.25">
      <c r="A2" t="s">
        <v>119</v>
      </c>
      <c r="B2">
        <v>1</v>
      </c>
      <c r="D2" t="s">
        <v>119</v>
      </c>
      <c r="E2">
        <v>1</v>
      </c>
      <c r="G2">
        <v>0</v>
      </c>
      <c r="H2">
        <v>0.6</v>
      </c>
      <c r="J2" t="s">
        <v>139</v>
      </c>
      <c r="K2">
        <v>1</v>
      </c>
    </row>
    <row r="3" spans="1:11" x14ac:dyDescent="0.25">
      <c r="A3" t="s">
        <v>120</v>
      </c>
      <c r="B3">
        <v>1</v>
      </c>
      <c r="D3" t="s">
        <v>120</v>
      </c>
      <c r="E3">
        <v>1</v>
      </c>
      <c r="G3">
        <f>G2+1</f>
        <v>1</v>
      </c>
      <c r="H3">
        <v>0.7</v>
      </c>
      <c r="J3">
        <v>0</v>
      </c>
      <c r="K3">
        <v>0.47</v>
      </c>
    </row>
    <row r="4" spans="1:11" x14ac:dyDescent="0.25">
      <c r="A4" t="s">
        <v>117</v>
      </c>
      <c r="B4">
        <v>0.95</v>
      </c>
      <c r="D4" t="s">
        <v>117</v>
      </c>
      <c r="E4">
        <v>1</v>
      </c>
      <c r="G4">
        <f t="shared" ref="G4:G21" si="0">G3+1</f>
        <v>2</v>
      </c>
      <c r="H4">
        <v>0.75</v>
      </c>
      <c r="J4">
        <f>J3+1</f>
        <v>1</v>
      </c>
      <c r="K4">
        <v>0.5</v>
      </c>
    </row>
    <row r="5" spans="1:11" x14ac:dyDescent="0.25">
      <c r="A5" t="s">
        <v>121</v>
      </c>
      <c r="B5">
        <v>0.9</v>
      </c>
      <c r="D5" t="s">
        <v>121</v>
      </c>
      <c r="E5">
        <v>1</v>
      </c>
      <c r="G5">
        <f t="shared" si="0"/>
        <v>3</v>
      </c>
      <c r="H5">
        <v>0.8</v>
      </c>
      <c r="J5">
        <f t="shared" ref="J5:J23" si="1">J4+1</f>
        <v>2</v>
      </c>
      <c r="K5">
        <v>0.53</v>
      </c>
    </row>
    <row r="6" spans="1:11" x14ac:dyDescent="0.25">
      <c r="A6" t="s">
        <v>122</v>
      </c>
      <c r="B6">
        <v>0.85</v>
      </c>
      <c r="D6" t="s">
        <v>122</v>
      </c>
      <c r="E6">
        <v>1</v>
      </c>
      <c r="G6">
        <f t="shared" si="0"/>
        <v>4</v>
      </c>
      <c r="H6">
        <v>0.85</v>
      </c>
      <c r="J6">
        <f t="shared" si="1"/>
        <v>3</v>
      </c>
      <c r="K6">
        <v>0.57999999999999996</v>
      </c>
    </row>
    <row r="7" spans="1:11" x14ac:dyDescent="0.25">
      <c r="A7" t="s">
        <v>123</v>
      </c>
      <c r="B7">
        <v>0.8</v>
      </c>
      <c r="D7" t="s">
        <v>123</v>
      </c>
      <c r="E7">
        <v>0.9</v>
      </c>
      <c r="G7">
        <f t="shared" si="0"/>
        <v>5</v>
      </c>
      <c r="H7">
        <v>0.9</v>
      </c>
      <c r="J7">
        <f t="shared" si="1"/>
        <v>4</v>
      </c>
      <c r="K7">
        <v>0.63</v>
      </c>
    </row>
    <row r="8" spans="1:11" x14ac:dyDescent="0.25">
      <c r="G8">
        <f t="shared" si="0"/>
        <v>6</v>
      </c>
      <c r="H8">
        <v>0.95</v>
      </c>
      <c r="J8">
        <f t="shared" si="1"/>
        <v>5</v>
      </c>
      <c r="K8">
        <v>0.68</v>
      </c>
    </row>
    <row r="9" spans="1:11" x14ac:dyDescent="0.25">
      <c r="G9">
        <f t="shared" si="0"/>
        <v>7</v>
      </c>
      <c r="H9">
        <v>0.97499999999999998</v>
      </c>
      <c r="J9">
        <f t="shared" si="1"/>
        <v>6</v>
      </c>
      <c r="K9">
        <v>0.74</v>
      </c>
    </row>
    <row r="10" spans="1:11" x14ac:dyDescent="0.25">
      <c r="G10">
        <f t="shared" si="0"/>
        <v>8</v>
      </c>
      <c r="H10">
        <v>1</v>
      </c>
      <c r="J10">
        <f t="shared" si="1"/>
        <v>7</v>
      </c>
      <c r="K10">
        <v>0.81</v>
      </c>
    </row>
    <row r="11" spans="1:11" x14ac:dyDescent="0.25">
      <c r="G11">
        <f t="shared" si="0"/>
        <v>9</v>
      </c>
      <c r="H11">
        <f>H10</f>
        <v>1</v>
      </c>
      <c r="J11">
        <f t="shared" si="1"/>
        <v>8</v>
      </c>
      <c r="K11">
        <v>0.88</v>
      </c>
    </row>
    <row r="12" spans="1:11" x14ac:dyDescent="0.25">
      <c r="G12">
        <f t="shared" si="0"/>
        <v>10</v>
      </c>
      <c r="H12">
        <f t="shared" ref="H12:H22" si="2">H11</f>
        <v>1</v>
      </c>
      <c r="J12">
        <f t="shared" si="1"/>
        <v>9</v>
      </c>
      <c r="K12">
        <v>0.95</v>
      </c>
    </row>
    <row r="13" spans="1:11" x14ac:dyDescent="0.25">
      <c r="G13">
        <f t="shared" si="0"/>
        <v>11</v>
      </c>
      <c r="H13">
        <f t="shared" si="2"/>
        <v>1</v>
      </c>
      <c r="J13">
        <f t="shared" si="1"/>
        <v>10</v>
      </c>
      <c r="K13">
        <v>1.02</v>
      </c>
    </row>
    <row r="14" spans="1:11" x14ac:dyDescent="0.25">
      <c r="G14">
        <f t="shared" si="0"/>
        <v>12</v>
      </c>
      <c r="H14">
        <f t="shared" si="2"/>
        <v>1</v>
      </c>
      <c r="J14">
        <f t="shared" si="1"/>
        <v>11</v>
      </c>
      <c r="K14">
        <v>1.08</v>
      </c>
    </row>
    <row r="15" spans="1:11" x14ac:dyDescent="0.25">
      <c r="G15">
        <f t="shared" si="0"/>
        <v>13</v>
      </c>
      <c r="H15">
        <f t="shared" si="2"/>
        <v>1</v>
      </c>
      <c r="J15">
        <f t="shared" si="1"/>
        <v>12</v>
      </c>
      <c r="K15">
        <v>1.1499999999999999</v>
      </c>
    </row>
    <row r="16" spans="1:11" x14ac:dyDescent="0.25">
      <c r="G16">
        <f t="shared" si="0"/>
        <v>14</v>
      </c>
      <c r="H16">
        <f t="shared" si="2"/>
        <v>1</v>
      </c>
      <c r="J16">
        <f t="shared" si="1"/>
        <v>13</v>
      </c>
      <c r="K16">
        <v>1.22</v>
      </c>
    </row>
    <row r="17" spans="7:11" x14ac:dyDescent="0.25">
      <c r="G17">
        <f t="shared" si="0"/>
        <v>15</v>
      </c>
      <c r="H17">
        <f t="shared" si="2"/>
        <v>1</v>
      </c>
      <c r="J17">
        <f t="shared" si="1"/>
        <v>14</v>
      </c>
      <c r="K17">
        <v>1.29</v>
      </c>
    </row>
    <row r="18" spans="7:11" x14ac:dyDescent="0.25">
      <c r="G18">
        <f t="shared" si="0"/>
        <v>16</v>
      </c>
      <c r="H18">
        <f t="shared" si="2"/>
        <v>1</v>
      </c>
      <c r="J18">
        <f t="shared" si="1"/>
        <v>15</v>
      </c>
      <c r="K18">
        <v>1.36</v>
      </c>
    </row>
    <row r="19" spans="7:11" x14ac:dyDescent="0.25">
      <c r="G19">
        <f t="shared" si="0"/>
        <v>17</v>
      </c>
      <c r="H19">
        <f t="shared" si="2"/>
        <v>1</v>
      </c>
      <c r="J19">
        <f t="shared" si="1"/>
        <v>16</v>
      </c>
      <c r="K19">
        <v>1.44</v>
      </c>
    </row>
    <row r="20" spans="7:11" x14ac:dyDescent="0.25">
      <c r="G20">
        <f t="shared" si="0"/>
        <v>18</v>
      </c>
      <c r="H20">
        <f t="shared" si="2"/>
        <v>1</v>
      </c>
      <c r="J20">
        <f t="shared" si="1"/>
        <v>17</v>
      </c>
      <c r="K20">
        <v>1.52</v>
      </c>
    </row>
    <row r="21" spans="7:11" x14ac:dyDescent="0.25">
      <c r="G21">
        <f t="shared" si="0"/>
        <v>19</v>
      </c>
      <c r="H21">
        <f t="shared" si="2"/>
        <v>1</v>
      </c>
      <c r="J21">
        <f t="shared" si="1"/>
        <v>18</v>
      </c>
      <c r="K21">
        <v>1.62</v>
      </c>
    </row>
    <row r="22" spans="7:11" x14ac:dyDescent="0.25">
      <c r="G22">
        <f>G21+1</f>
        <v>20</v>
      </c>
      <c r="H22">
        <f t="shared" si="2"/>
        <v>1</v>
      </c>
      <c r="J22">
        <f t="shared" si="1"/>
        <v>19</v>
      </c>
      <c r="K22">
        <v>1.72</v>
      </c>
    </row>
    <row r="23" spans="7:11" x14ac:dyDescent="0.25">
      <c r="J23">
        <f t="shared" si="1"/>
        <v>20</v>
      </c>
      <c r="K23">
        <v>1.84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Food</vt:lpstr>
      <vt:lpstr>Economy</vt:lpstr>
      <vt:lpstr>Modifiers</vt:lpstr>
      <vt:lpstr>ModifierLookupIndex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2018-02-19T20:13:42Z</dcterms:modified>
</cp:coreProperties>
</file>