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USHI KAPOOR\Desktop\217 R\"/>
    </mc:Choice>
  </mc:AlternateContent>
  <bookViews>
    <workbookView xWindow="0" yWindow="0" windowWidth="20490" windowHeight="7530" activeTab="2"/>
  </bookViews>
  <sheets>
    <sheet name="PROFORMA INCOME STATEMENT" sheetId="1" r:id="rId1"/>
    <sheet name="COST OF CAPITAL" sheetId="4" r:id="rId2"/>
    <sheet name="SCENARIO ANALYSIS" sheetId="6" r:id="rId3"/>
    <sheet name="CONCLUSION" sheetId="3" r:id="rId4"/>
  </sheets>
  <calcPr calcId="171027"/>
</workbook>
</file>

<file path=xl/calcChain.xml><?xml version="1.0" encoding="utf-8"?>
<calcChain xmlns="http://schemas.openxmlformats.org/spreadsheetml/2006/main">
  <c r="A41" i="1" l="1"/>
  <c r="H14" i="1"/>
  <c r="G14" i="1"/>
  <c r="F14" i="1"/>
  <c r="E14" i="1"/>
  <c r="D14" i="1"/>
  <c r="C14" i="1"/>
  <c r="J118" i="6" l="1"/>
  <c r="J76" i="6"/>
  <c r="D6" i="6"/>
  <c r="E6" i="6"/>
  <c r="F6" i="6"/>
  <c r="G6" i="6"/>
  <c r="H6" i="6"/>
  <c r="I6" i="6"/>
  <c r="J6" i="6"/>
  <c r="E8" i="6"/>
  <c r="F8" i="6"/>
  <c r="G8" i="6"/>
  <c r="H8" i="6"/>
  <c r="I8" i="6"/>
  <c r="J8" i="6"/>
  <c r="B9" i="6"/>
  <c r="B17" i="6" s="1"/>
  <c r="B27" i="6" s="1"/>
  <c r="C9" i="6"/>
  <c r="C10" i="6" s="1"/>
  <c r="C12" i="6"/>
  <c r="C17" i="6" s="1"/>
  <c r="B20" i="6"/>
  <c r="C20" i="6"/>
  <c r="D20" i="6"/>
  <c r="E20" i="6"/>
  <c r="F20" i="6"/>
  <c r="G20" i="6"/>
  <c r="H20" i="6"/>
  <c r="I20" i="6"/>
  <c r="I36" i="6" s="1"/>
  <c r="J20" i="6"/>
  <c r="J36" i="6" s="1"/>
  <c r="B29" i="6"/>
  <c r="C29" i="6"/>
  <c r="D29" i="6"/>
  <c r="E29" i="6"/>
  <c r="F29" i="6"/>
  <c r="G29" i="6"/>
  <c r="H29" i="6"/>
  <c r="I29" i="6"/>
  <c r="J29" i="6"/>
  <c r="C37" i="6"/>
  <c r="D37" i="6"/>
  <c r="E37" i="6"/>
  <c r="F37" i="6"/>
  <c r="G37" i="6"/>
  <c r="H37" i="6"/>
  <c r="I37" i="6"/>
  <c r="J37" i="6"/>
  <c r="C45" i="6"/>
  <c r="D45" i="6" s="1"/>
  <c r="E45" i="6" s="1"/>
  <c r="D46" i="6"/>
  <c r="D74" i="6" s="1"/>
  <c r="E46" i="6"/>
  <c r="F46" i="6"/>
  <c r="G46" i="6"/>
  <c r="H46" i="6"/>
  <c r="I46" i="6"/>
  <c r="J46" i="6"/>
  <c r="D47" i="6"/>
  <c r="E47" i="6" s="1"/>
  <c r="F47" i="6" s="1"/>
  <c r="G47" i="6" s="1"/>
  <c r="H47" i="6" s="1"/>
  <c r="I47" i="6" s="1"/>
  <c r="J47" i="6" s="1"/>
  <c r="B49" i="6"/>
  <c r="B57" i="6" s="1"/>
  <c r="B60" i="6"/>
  <c r="C60" i="6"/>
  <c r="D60" i="6"/>
  <c r="E60" i="6"/>
  <c r="F60" i="6"/>
  <c r="G60" i="6"/>
  <c r="H60" i="6"/>
  <c r="I60" i="6"/>
  <c r="I76" i="6" s="1"/>
  <c r="J60" i="6"/>
  <c r="B69" i="6"/>
  <c r="C69" i="6"/>
  <c r="D69" i="6"/>
  <c r="E69" i="6"/>
  <c r="F69" i="6"/>
  <c r="G69" i="6"/>
  <c r="H69" i="6"/>
  <c r="I69" i="6"/>
  <c r="J69" i="6"/>
  <c r="C77" i="6"/>
  <c r="D77" i="6"/>
  <c r="E77" i="6"/>
  <c r="F77" i="6"/>
  <c r="G77" i="6"/>
  <c r="H77" i="6"/>
  <c r="I77" i="6"/>
  <c r="J77" i="6"/>
  <c r="C87" i="6"/>
  <c r="D87" i="6" s="1"/>
  <c r="E87" i="6" s="1"/>
  <c r="F87" i="6" s="1"/>
  <c r="D88" i="6"/>
  <c r="D90" i="6" s="1"/>
  <c r="D89" i="6" s="1"/>
  <c r="E88" i="6"/>
  <c r="E90" i="6" s="1"/>
  <c r="F88" i="6"/>
  <c r="F90" i="6" s="1"/>
  <c r="G88" i="6"/>
  <c r="G90" i="6" s="1"/>
  <c r="H88" i="6"/>
  <c r="H90" i="6" s="1"/>
  <c r="I88" i="6"/>
  <c r="I90" i="6" s="1"/>
  <c r="J88" i="6"/>
  <c r="J90" i="6" s="1"/>
  <c r="B91" i="6"/>
  <c r="B99" i="6" s="1"/>
  <c r="C94" i="6"/>
  <c r="B102" i="6"/>
  <c r="C102" i="6"/>
  <c r="D102" i="6"/>
  <c r="E102" i="6"/>
  <c r="F102" i="6"/>
  <c r="G102" i="6"/>
  <c r="H102" i="6"/>
  <c r="I102" i="6"/>
  <c r="I118" i="6" s="1"/>
  <c r="J102" i="6"/>
  <c r="B111" i="6"/>
  <c r="C111" i="6"/>
  <c r="D111" i="6"/>
  <c r="E111" i="6"/>
  <c r="F111" i="6"/>
  <c r="G111" i="6"/>
  <c r="H111" i="6"/>
  <c r="I111" i="6"/>
  <c r="J111" i="6"/>
  <c r="C119" i="6"/>
  <c r="D119" i="6"/>
  <c r="E119" i="6"/>
  <c r="F119" i="6"/>
  <c r="G119" i="6"/>
  <c r="H119" i="6"/>
  <c r="I119" i="6"/>
  <c r="J119" i="6"/>
  <c r="C52" i="6" l="1"/>
  <c r="D94" i="6"/>
  <c r="B68" i="6"/>
  <c r="C49" i="6"/>
  <c r="D116" i="6"/>
  <c r="B21" i="6"/>
  <c r="E74" i="6"/>
  <c r="D75" i="6"/>
  <c r="C27" i="6"/>
  <c r="C18" i="6"/>
  <c r="B109" i="6"/>
  <c r="D49" i="6"/>
  <c r="D50" i="6" s="1"/>
  <c r="B28" i="6"/>
  <c r="B30" i="6" s="1"/>
  <c r="C28" i="6"/>
  <c r="B110" i="6"/>
  <c r="B103" i="6"/>
  <c r="C91" i="6"/>
  <c r="G87" i="6"/>
  <c r="F94" i="6"/>
  <c r="E89" i="6"/>
  <c r="F89" i="6" s="1"/>
  <c r="G89" i="6" s="1"/>
  <c r="H89" i="6" s="1"/>
  <c r="I89" i="6" s="1"/>
  <c r="J89" i="6" s="1"/>
  <c r="D91" i="6"/>
  <c r="B67" i="6"/>
  <c r="B61" i="6"/>
  <c r="F45" i="6"/>
  <c r="E49" i="6"/>
  <c r="E52" i="6"/>
  <c r="E94" i="6"/>
  <c r="D5" i="6"/>
  <c r="D34" i="6"/>
  <c r="D8" i="6"/>
  <c r="D7" i="6" s="1"/>
  <c r="E7" i="6" s="1"/>
  <c r="F7" i="6" s="1"/>
  <c r="G7" i="6" s="1"/>
  <c r="H7" i="6" s="1"/>
  <c r="I7" i="6" s="1"/>
  <c r="J7" i="6" s="1"/>
  <c r="D52" i="6"/>
  <c r="C21" i="6"/>
  <c r="C22" i="6" s="1"/>
  <c r="J35" i="1"/>
  <c r="B112" i="6" l="1"/>
  <c r="C50" i="6"/>
  <c r="C57" i="6"/>
  <c r="B70" i="6"/>
  <c r="B64" i="6" s="1"/>
  <c r="D57" i="6"/>
  <c r="D61" i="6" s="1"/>
  <c r="D62" i="6" s="1"/>
  <c r="C30" i="6"/>
  <c r="D117" i="6"/>
  <c r="E116" i="6"/>
  <c r="C92" i="6"/>
  <c r="C99" i="6"/>
  <c r="F74" i="6"/>
  <c r="E75" i="6"/>
  <c r="B24" i="6"/>
  <c r="D99" i="6"/>
  <c r="D92" i="6"/>
  <c r="E34" i="6"/>
  <c r="D35" i="6"/>
  <c r="E91" i="6"/>
  <c r="E50" i="6"/>
  <c r="E57" i="6"/>
  <c r="B106" i="6"/>
  <c r="F91" i="6"/>
  <c r="E5" i="6"/>
  <c r="D9" i="6"/>
  <c r="D12" i="6"/>
  <c r="G45" i="6"/>
  <c r="F52" i="6"/>
  <c r="F49" i="6"/>
  <c r="H87" i="6"/>
  <c r="G91" i="6"/>
  <c r="G94" i="6"/>
  <c r="C3" i="4"/>
  <c r="E3" i="4"/>
  <c r="C4" i="4"/>
  <c r="E4" i="4"/>
  <c r="C5" i="4"/>
  <c r="E5" i="4"/>
  <c r="C6" i="4"/>
  <c r="E6" i="4"/>
  <c r="C7" i="4"/>
  <c r="E7" i="4"/>
  <c r="C8" i="4"/>
  <c r="E8" i="4"/>
  <c r="I7" i="4" s="1"/>
  <c r="L8" i="4"/>
  <c r="C9" i="4"/>
  <c r="E9" i="4"/>
  <c r="C10" i="4"/>
  <c r="E10" i="4"/>
  <c r="I10" i="4"/>
  <c r="C11" i="4"/>
  <c r="E11" i="4"/>
  <c r="C12" i="4"/>
  <c r="E12" i="4"/>
  <c r="C13" i="4"/>
  <c r="E13" i="4"/>
  <c r="C14" i="4"/>
  <c r="E14" i="4"/>
  <c r="C15" i="4"/>
  <c r="E15" i="4"/>
  <c r="C16" i="4"/>
  <c r="E16" i="4"/>
  <c r="C17" i="4"/>
  <c r="E17" i="4"/>
  <c r="C18" i="4"/>
  <c r="E18" i="4"/>
  <c r="C19" i="4"/>
  <c r="E19" i="4"/>
  <c r="C20" i="4"/>
  <c r="E20" i="4"/>
  <c r="C21" i="4"/>
  <c r="E21" i="4"/>
  <c r="C22" i="4"/>
  <c r="E22" i="4"/>
  <c r="C23" i="4"/>
  <c r="E23" i="4"/>
  <c r="C24" i="4"/>
  <c r="E24" i="4"/>
  <c r="C25" i="4"/>
  <c r="E25" i="4"/>
  <c r="C26" i="4"/>
  <c r="E26" i="4"/>
  <c r="H26" i="4"/>
  <c r="J17" i="4" s="1"/>
  <c r="C27" i="4"/>
  <c r="E27" i="4"/>
  <c r="C28" i="4"/>
  <c r="E28" i="4"/>
  <c r="C29" i="4"/>
  <c r="E29" i="4"/>
  <c r="C30" i="4"/>
  <c r="E30" i="4"/>
  <c r="C31" i="4"/>
  <c r="E31" i="4"/>
  <c r="C32" i="4"/>
  <c r="E32" i="4"/>
  <c r="C33" i="4"/>
  <c r="E33" i="4"/>
  <c r="C34" i="4"/>
  <c r="E34" i="4"/>
  <c r="C35" i="4"/>
  <c r="E35" i="4"/>
  <c r="C36" i="4"/>
  <c r="E36" i="4"/>
  <c r="C37" i="4"/>
  <c r="E37" i="4"/>
  <c r="C38" i="4"/>
  <c r="E38" i="4"/>
  <c r="C39" i="4"/>
  <c r="E39" i="4"/>
  <c r="C40" i="4"/>
  <c r="E40" i="4"/>
  <c r="C41" i="4"/>
  <c r="E41" i="4"/>
  <c r="C42" i="4"/>
  <c r="E42" i="4"/>
  <c r="C43" i="4"/>
  <c r="E43" i="4"/>
  <c r="C44" i="4"/>
  <c r="E44" i="4"/>
  <c r="C45" i="4"/>
  <c r="E45" i="4"/>
  <c r="C46" i="4"/>
  <c r="E46" i="4"/>
  <c r="C47" i="4"/>
  <c r="E47" i="4"/>
  <c r="C48" i="4"/>
  <c r="E48" i="4"/>
  <c r="C49" i="4"/>
  <c r="E49" i="4"/>
  <c r="C50" i="4"/>
  <c r="E50" i="4"/>
  <c r="C51" i="4"/>
  <c r="E51" i="4"/>
  <c r="C52" i="4"/>
  <c r="E52" i="4"/>
  <c r="C53" i="4"/>
  <c r="E53" i="4"/>
  <c r="C54" i="4"/>
  <c r="E54" i="4"/>
  <c r="C55" i="4"/>
  <c r="E55" i="4"/>
  <c r="C56" i="4"/>
  <c r="E56" i="4"/>
  <c r="C57" i="4"/>
  <c r="E57" i="4"/>
  <c r="C58" i="4"/>
  <c r="E58" i="4"/>
  <c r="C59" i="4"/>
  <c r="E59" i="4"/>
  <c r="C60" i="4"/>
  <c r="E60" i="4"/>
  <c r="C61" i="4"/>
  <c r="E61" i="4"/>
  <c r="C62" i="4"/>
  <c r="E62" i="4"/>
  <c r="C63" i="4"/>
  <c r="E63" i="4"/>
  <c r="C64" i="4"/>
  <c r="E64" i="4"/>
  <c r="C65" i="4"/>
  <c r="E65" i="4"/>
  <c r="C66" i="4"/>
  <c r="E66" i="4"/>
  <c r="C67" i="4"/>
  <c r="E67" i="4"/>
  <c r="C68" i="4"/>
  <c r="E68" i="4"/>
  <c r="C69" i="4"/>
  <c r="E69" i="4"/>
  <c r="C70" i="4"/>
  <c r="E70" i="4"/>
  <c r="C71" i="4"/>
  <c r="E71" i="4"/>
  <c r="C72" i="4"/>
  <c r="E72" i="4"/>
  <c r="C73" i="4"/>
  <c r="E73" i="4"/>
  <c r="C74" i="4"/>
  <c r="E74" i="4"/>
  <c r="C75" i="4"/>
  <c r="E75" i="4"/>
  <c r="C76" i="4"/>
  <c r="E76" i="4"/>
  <c r="C77" i="4"/>
  <c r="E77" i="4"/>
  <c r="C78" i="4"/>
  <c r="E78" i="4"/>
  <c r="C79" i="4"/>
  <c r="E79" i="4"/>
  <c r="C80" i="4"/>
  <c r="E80" i="4"/>
  <c r="C81" i="4"/>
  <c r="E81" i="4"/>
  <c r="C82" i="4"/>
  <c r="E82" i="4"/>
  <c r="C83" i="4"/>
  <c r="E83" i="4"/>
  <c r="C84" i="4"/>
  <c r="E84" i="4"/>
  <c r="C85" i="4"/>
  <c r="E85" i="4"/>
  <c r="C86" i="4"/>
  <c r="E86" i="4"/>
  <c r="C87" i="4"/>
  <c r="E87" i="4"/>
  <c r="C88" i="4"/>
  <c r="E88" i="4"/>
  <c r="C89" i="4"/>
  <c r="E89" i="4"/>
  <c r="C90" i="4"/>
  <c r="E90" i="4"/>
  <c r="C91" i="4"/>
  <c r="E91" i="4"/>
  <c r="C92" i="4"/>
  <c r="E92" i="4"/>
  <c r="C93" i="4"/>
  <c r="E93" i="4"/>
  <c r="C94" i="4"/>
  <c r="E94" i="4"/>
  <c r="C95" i="4"/>
  <c r="E95" i="4"/>
  <c r="C96" i="4"/>
  <c r="E96" i="4"/>
  <c r="C97" i="4"/>
  <c r="E97" i="4"/>
  <c r="C98" i="4"/>
  <c r="E98" i="4"/>
  <c r="C99" i="4"/>
  <c r="E99" i="4"/>
  <c r="C100" i="4"/>
  <c r="E100" i="4"/>
  <c r="C101" i="4"/>
  <c r="E101" i="4"/>
  <c r="C102" i="4"/>
  <c r="E102" i="4"/>
  <c r="C103" i="4"/>
  <c r="E103" i="4"/>
  <c r="C104" i="4"/>
  <c r="E104" i="4"/>
  <c r="C105" i="4"/>
  <c r="E105" i="4"/>
  <c r="D36" i="1"/>
  <c r="E36" i="1"/>
  <c r="F36" i="1"/>
  <c r="G36" i="1"/>
  <c r="H36" i="1"/>
  <c r="I36" i="1"/>
  <c r="J36" i="1"/>
  <c r="C36" i="1"/>
  <c r="D68" i="6" l="1"/>
  <c r="C58" i="6"/>
  <c r="C68" i="6"/>
  <c r="C67" i="6"/>
  <c r="C70" i="6" s="1"/>
  <c r="C71" i="6" s="1"/>
  <c r="C61" i="6"/>
  <c r="C62" i="6" s="1"/>
  <c r="D67" i="6"/>
  <c r="I6" i="4"/>
  <c r="I8" i="4" s="1"/>
  <c r="I12" i="4" s="1"/>
  <c r="D58" i="6"/>
  <c r="C24" i="6"/>
  <c r="C31" i="6"/>
  <c r="E117" i="6"/>
  <c r="F116" i="6"/>
  <c r="F75" i="6"/>
  <c r="G74" i="6"/>
  <c r="C109" i="6"/>
  <c r="C103" i="6"/>
  <c r="C104" i="6" s="1"/>
  <c r="C100" i="6"/>
  <c r="C110" i="6"/>
  <c r="C64" i="6"/>
  <c r="G99" i="6"/>
  <c r="G92" i="6"/>
  <c r="F5" i="6"/>
  <c r="E12" i="6"/>
  <c r="E9" i="6"/>
  <c r="E58" i="6"/>
  <c r="E67" i="6"/>
  <c r="E70" i="6" s="1"/>
  <c r="E61" i="6"/>
  <c r="E62" i="6" s="1"/>
  <c r="E68" i="6"/>
  <c r="E35" i="6"/>
  <c r="F34" i="6"/>
  <c r="D10" i="6"/>
  <c r="D17" i="6"/>
  <c r="B120" i="6"/>
  <c r="B107" i="6"/>
  <c r="G49" i="6"/>
  <c r="G52" i="6"/>
  <c r="H45" i="6"/>
  <c r="F92" i="6"/>
  <c r="F99" i="6"/>
  <c r="F57" i="6"/>
  <c r="F50" i="6"/>
  <c r="H91" i="6"/>
  <c r="I87" i="6"/>
  <c r="H94" i="6"/>
  <c r="B65" i="6"/>
  <c r="B78" i="6"/>
  <c r="E92" i="6"/>
  <c r="E99" i="6"/>
  <c r="D100" i="6"/>
  <c r="D109" i="6"/>
  <c r="D103" i="6"/>
  <c r="D104" i="6" s="1"/>
  <c r="D110" i="6"/>
  <c r="B38" i="6"/>
  <c r="B25" i="6"/>
  <c r="D70" i="6"/>
  <c r="J23" i="4"/>
  <c r="J19" i="4"/>
  <c r="J24" i="4"/>
  <c r="J20" i="4"/>
  <c r="J16" i="4"/>
  <c r="J22" i="4"/>
  <c r="J18" i="4"/>
  <c r="J25" i="4"/>
  <c r="J21" i="4"/>
  <c r="G116" i="6" l="1"/>
  <c r="F117" i="6"/>
  <c r="D112" i="6"/>
  <c r="D113" i="6" s="1"/>
  <c r="C38" i="6"/>
  <c r="C25" i="6"/>
  <c r="C78" i="6"/>
  <c r="C65" i="6"/>
  <c r="C112" i="6"/>
  <c r="G75" i="6"/>
  <c r="H74" i="6"/>
  <c r="F103" i="6"/>
  <c r="F104" i="6" s="1"/>
  <c r="F109" i="6"/>
  <c r="F100" i="6"/>
  <c r="F110" i="6"/>
  <c r="G50" i="6"/>
  <c r="G57" i="6"/>
  <c r="F35" i="6"/>
  <c r="G34" i="6"/>
  <c r="E71" i="6"/>
  <c r="E64" i="6"/>
  <c r="F9" i="6"/>
  <c r="F12" i="6"/>
  <c r="G5" i="6"/>
  <c r="D71" i="6"/>
  <c r="D64" i="6"/>
  <c r="I91" i="6"/>
  <c r="I94" i="6"/>
  <c r="J87" i="6"/>
  <c r="H49" i="6"/>
  <c r="H52" i="6"/>
  <c r="I45" i="6"/>
  <c r="E100" i="6"/>
  <c r="E110" i="6"/>
  <c r="E109" i="6"/>
  <c r="E103" i="6"/>
  <c r="E104" i="6" s="1"/>
  <c r="H99" i="6"/>
  <c r="H92" i="6"/>
  <c r="F58" i="6"/>
  <c r="F67" i="6"/>
  <c r="F61" i="6"/>
  <c r="F62" i="6" s="1"/>
  <c r="F68" i="6"/>
  <c r="D18" i="6"/>
  <c r="D27" i="6"/>
  <c r="D21" i="6"/>
  <c r="D22" i="6" s="1"/>
  <c r="D28" i="6"/>
  <c r="E17" i="6"/>
  <c r="E10" i="6"/>
  <c r="G109" i="6"/>
  <c r="G112" i="6" s="1"/>
  <c r="G103" i="6"/>
  <c r="G104" i="6" s="1"/>
  <c r="G100" i="6"/>
  <c r="G110" i="6"/>
  <c r="I26" i="4"/>
  <c r="L12" i="4" l="1"/>
  <c r="I13" i="4"/>
  <c r="D106" i="6"/>
  <c r="D107" i="6" s="1"/>
  <c r="H116" i="6"/>
  <c r="G117" i="6"/>
  <c r="C113" i="6"/>
  <c r="C106" i="6"/>
  <c r="E112" i="6"/>
  <c r="E113" i="6" s="1"/>
  <c r="I74" i="6"/>
  <c r="H75" i="6"/>
  <c r="H50" i="6"/>
  <c r="H57" i="6"/>
  <c r="F10" i="6"/>
  <c r="F17" i="6"/>
  <c r="H100" i="6"/>
  <c r="H109" i="6"/>
  <c r="H103" i="6"/>
  <c r="H104" i="6" s="1"/>
  <c r="H110" i="6"/>
  <c r="J91" i="6"/>
  <c r="J94" i="6"/>
  <c r="E65" i="6"/>
  <c r="E78" i="6"/>
  <c r="G61" i="6"/>
  <c r="G62" i="6" s="1"/>
  <c r="G58" i="6"/>
  <c r="G67" i="6"/>
  <c r="G68" i="6"/>
  <c r="F112" i="6"/>
  <c r="E18" i="6"/>
  <c r="E27" i="6"/>
  <c r="E28" i="6"/>
  <c r="E21" i="6"/>
  <c r="E22" i="6" s="1"/>
  <c r="E106" i="6"/>
  <c r="I92" i="6"/>
  <c r="I99" i="6"/>
  <c r="H34" i="6"/>
  <c r="G35" i="6"/>
  <c r="D78" i="6"/>
  <c r="D65" i="6"/>
  <c r="G113" i="6"/>
  <c r="G106" i="6"/>
  <c r="D30" i="6"/>
  <c r="F70" i="6"/>
  <c r="J45" i="6"/>
  <c r="I49" i="6"/>
  <c r="I52" i="6"/>
  <c r="H5" i="6"/>
  <c r="G9" i="6"/>
  <c r="G12" i="6"/>
  <c r="C19" i="1"/>
  <c r="D19" i="1"/>
  <c r="E19" i="1"/>
  <c r="F19" i="1"/>
  <c r="G19" i="1"/>
  <c r="H19" i="1"/>
  <c r="I19" i="1"/>
  <c r="I35" i="1" s="1"/>
  <c r="J19" i="1"/>
  <c r="B19" i="1"/>
  <c r="F7" i="1"/>
  <c r="G7" i="1"/>
  <c r="H7" i="1"/>
  <c r="I7" i="1"/>
  <c r="J7" i="1"/>
  <c r="E7" i="1"/>
  <c r="F5" i="1"/>
  <c r="G5" i="1"/>
  <c r="H5" i="1"/>
  <c r="I5" i="1"/>
  <c r="J5" i="1"/>
  <c r="E5" i="1"/>
  <c r="D5" i="1"/>
  <c r="D7" i="1" s="1"/>
  <c r="D6" i="1" s="1"/>
  <c r="C11" i="1"/>
  <c r="D120" i="6" l="1"/>
  <c r="I116" i="6"/>
  <c r="H117" i="6"/>
  <c r="J74" i="6"/>
  <c r="J75" i="6" s="1"/>
  <c r="I75" i="6"/>
  <c r="C107" i="6"/>
  <c r="C120" i="6"/>
  <c r="J49" i="6"/>
  <c r="J52" i="6"/>
  <c r="F21" i="6"/>
  <c r="F22" i="6" s="1"/>
  <c r="F18" i="6"/>
  <c r="F27" i="6"/>
  <c r="F28" i="6"/>
  <c r="I5" i="6"/>
  <c r="H9" i="6"/>
  <c r="H12" i="6"/>
  <c r="E30" i="6"/>
  <c r="I34" i="6"/>
  <c r="H35" i="6"/>
  <c r="E107" i="6"/>
  <c r="E120" i="6"/>
  <c r="H112" i="6"/>
  <c r="H67" i="6"/>
  <c r="H70" i="6" s="1"/>
  <c r="H61" i="6"/>
  <c r="H62" i="6" s="1"/>
  <c r="H58" i="6"/>
  <c r="H68" i="6"/>
  <c r="G10" i="6"/>
  <c r="G17" i="6"/>
  <c r="F64" i="6"/>
  <c r="F71" i="6"/>
  <c r="G70" i="6"/>
  <c r="D31" i="6"/>
  <c r="D24" i="6"/>
  <c r="I50" i="6"/>
  <c r="I57" i="6"/>
  <c r="G120" i="6"/>
  <c r="G107" i="6"/>
  <c r="I103" i="6"/>
  <c r="I104" i="6" s="1"/>
  <c r="I110" i="6"/>
  <c r="I100" i="6"/>
  <c r="I109" i="6"/>
  <c r="F113" i="6"/>
  <c r="F106" i="6"/>
  <c r="J92" i="6"/>
  <c r="J99" i="6"/>
  <c r="D4" i="1"/>
  <c r="D11" i="1" s="1"/>
  <c r="E6" i="1"/>
  <c r="F6" i="1" s="1"/>
  <c r="G6" i="1" s="1"/>
  <c r="H6" i="1" s="1"/>
  <c r="I6" i="1" s="1"/>
  <c r="J6" i="1" s="1"/>
  <c r="E4" i="1"/>
  <c r="F4" i="1" s="1"/>
  <c r="G4" i="1" s="1"/>
  <c r="H4" i="1" s="1"/>
  <c r="I4" i="1" s="1"/>
  <c r="J4" i="1" s="1"/>
  <c r="D33" i="1"/>
  <c r="C28" i="1"/>
  <c r="D28" i="1"/>
  <c r="E28" i="1"/>
  <c r="F28" i="1"/>
  <c r="G28" i="1"/>
  <c r="H28" i="1"/>
  <c r="I28" i="1"/>
  <c r="J28" i="1"/>
  <c r="B28" i="1"/>
  <c r="C8" i="1"/>
  <c r="I117" i="6" l="1"/>
  <c r="J116" i="6"/>
  <c r="J117" i="6" s="1"/>
  <c r="F120" i="6"/>
  <c r="F107" i="6"/>
  <c r="G64" i="6"/>
  <c r="G71" i="6"/>
  <c r="H71" i="6"/>
  <c r="H64" i="6"/>
  <c r="H106" i="6"/>
  <c r="H113" i="6"/>
  <c r="I35" i="6"/>
  <c r="J34" i="6"/>
  <c r="J35" i="6" s="1"/>
  <c r="J5" i="6"/>
  <c r="I12" i="6"/>
  <c r="I9" i="6"/>
  <c r="J103" i="6"/>
  <c r="J104" i="6" s="1"/>
  <c r="J100" i="6"/>
  <c r="J109" i="6"/>
  <c r="J110" i="6"/>
  <c r="I112" i="6"/>
  <c r="D25" i="6"/>
  <c r="D38" i="6"/>
  <c r="F65" i="6"/>
  <c r="F78" i="6"/>
  <c r="E24" i="6"/>
  <c r="E31" i="6"/>
  <c r="I58" i="6"/>
  <c r="I67" i="6"/>
  <c r="I61" i="6"/>
  <c r="I62" i="6" s="1"/>
  <c r="I68" i="6"/>
  <c r="H10" i="6"/>
  <c r="H17" i="6"/>
  <c r="G27" i="6"/>
  <c r="G21" i="6"/>
  <c r="G22" i="6" s="1"/>
  <c r="G18" i="6"/>
  <c r="G28" i="6"/>
  <c r="F30" i="6"/>
  <c r="J57" i="6"/>
  <c r="J50" i="6"/>
  <c r="E33" i="1"/>
  <c r="D34" i="1"/>
  <c r="D8" i="1"/>
  <c r="C9" i="1"/>
  <c r="B8" i="1"/>
  <c r="J112" i="6" l="1"/>
  <c r="G30" i="6"/>
  <c r="G31" i="6" s="1"/>
  <c r="F24" i="6"/>
  <c r="F31" i="6"/>
  <c r="E25" i="6"/>
  <c r="E38" i="6"/>
  <c r="J9" i="6"/>
  <c r="J12" i="6"/>
  <c r="H107" i="6"/>
  <c r="H120" i="6"/>
  <c r="G78" i="6"/>
  <c r="G65" i="6"/>
  <c r="H18" i="6"/>
  <c r="H27" i="6"/>
  <c r="H21" i="6"/>
  <c r="H22" i="6" s="1"/>
  <c r="H28" i="6"/>
  <c r="I106" i="6"/>
  <c r="I113" i="6"/>
  <c r="H78" i="6"/>
  <c r="H65" i="6"/>
  <c r="J58" i="6"/>
  <c r="J61" i="6"/>
  <c r="J62" i="6" s="1"/>
  <c r="J67" i="6"/>
  <c r="J68" i="6"/>
  <c r="J106" i="6"/>
  <c r="J113" i="6"/>
  <c r="G24" i="6"/>
  <c r="I70" i="6"/>
  <c r="I17" i="6"/>
  <c r="I10" i="6"/>
  <c r="F33" i="1"/>
  <c r="E34" i="1"/>
  <c r="D16" i="1"/>
  <c r="C16" i="1"/>
  <c r="D9" i="1"/>
  <c r="B16" i="1"/>
  <c r="H30" i="6" l="1"/>
  <c r="J70" i="6"/>
  <c r="J64" i="6" s="1"/>
  <c r="I107" i="6"/>
  <c r="I120" i="6"/>
  <c r="I71" i="6"/>
  <c r="I64" i="6"/>
  <c r="G38" i="6"/>
  <c r="G25" i="6"/>
  <c r="I18" i="6"/>
  <c r="I27" i="6"/>
  <c r="I21" i="6"/>
  <c r="I22" i="6" s="1"/>
  <c r="I28" i="6"/>
  <c r="H31" i="6"/>
  <c r="H24" i="6"/>
  <c r="J120" i="6"/>
  <c r="A122" i="6" s="1"/>
  <c r="B4" i="3" s="1"/>
  <c r="J107" i="6"/>
  <c r="J10" i="6"/>
  <c r="J17" i="6"/>
  <c r="F38" i="6"/>
  <c r="F25" i="6"/>
  <c r="G33" i="1"/>
  <c r="F34" i="1"/>
  <c r="B26" i="1"/>
  <c r="B27" i="1"/>
  <c r="D26" i="1"/>
  <c r="D27" i="1"/>
  <c r="C26" i="1"/>
  <c r="C27" i="1"/>
  <c r="D20" i="1"/>
  <c r="D17" i="1"/>
  <c r="B20" i="1"/>
  <c r="C17" i="1"/>
  <c r="C20" i="1"/>
  <c r="J71" i="6" l="1"/>
  <c r="I30" i="6"/>
  <c r="I24" i="6" s="1"/>
  <c r="H25" i="6"/>
  <c r="H38" i="6"/>
  <c r="I65" i="6"/>
  <c r="I78" i="6"/>
  <c r="J65" i="6"/>
  <c r="J78" i="6"/>
  <c r="A80" i="6" s="1"/>
  <c r="J21" i="6"/>
  <c r="J22" i="6" s="1"/>
  <c r="J18" i="6"/>
  <c r="J27" i="6"/>
  <c r="J28" i="6"/>
  <c r="I31" i="6"/>
  <c r="H33" i="1"/>
  <c r="G34" i="1"/>
  <c r="D29" i="1"/>
  <c r="B29" i="1"/>
  <c r="C29" i="1"/>
  <c r="C23" i="1" s="1"/>
  <c r="D21" i="1"/>
  <c r="C21" i="1"/>
  <c r="B3" i="3" l="1"/>
  <c r="B5" i="3" s="1"/>
  <c r="I25" i="6"/>
  <c r="I38" i="6"/>
  <c r="J30" i="6"/>
  <c r="C24" i="1"/>
  <c r="C37" i="1"/>
  <c r="I33" i="1"/>
  <c r="H34" i="1"/>
  <c r="B23" i="1"/>
  <c r="D23" i="1"/>
  <c r="D30" i="1"/>
  <c r="C30" i="1"/>
  <c r="J24" i="6" l="1"/>
  <c r="J31" i="6"/>
  <c r="D24" i="1"/>
  <c r="D37" i="1"/>
  <c r="J33" i="1"/>
  <c r="J34" i="1" s="1"/>
  <c r="I34" i="1"/>
  <c r="B24" i="1"/>
  <c r="B37" i="1"/>
  <c r="J38" i="6" l="1"/>
  <c r="J25" i="6"/>
  <c r="H11" i="1"/>
  <c r="E11" i="1"/>
  <c r="F11" i="1"/>
  <c r="I11" i="1"/>
  <c r="J11" i="1"/>
  <c r="G11" i="1"/>
  <c r="E8" i="1"/>
  <c r="H8" i="1"/>
  <c r="G8" i="1"/>
  <c r="G9" i="1" s="1"/>
  <c r="J8" i="1"/>
  <c r="I8" i="1"/>
  <c r="I9" i="1" s="1"/>
  <c r="F8" i="1"/>
  <c r="E16" i="1" l="1"/>
  <c r="J16" i="1"/>
  <c r="J27" i="1" s="1"/>
  <c r="F16" i="1"/>
  <c r="F20" i="1" s="1"/>
  <c r="F21" i="1" s="1"/>
  <c r="H16" i="1"/>
  <c r="H17" i="1" s="1"/>
  <c r="F9" i="1"/>
  <c r="J9" i="1"/>
  <c r="I16" i="1"/>
  <c r="I26" i="1" s="1"/>
  <c r="E9" i="1"/>
  <c r="E17" i="1"/>
  <c r="E26" i="1"/>
  <c r="E20" i="1"/>
  <c r="E21" i="1" s="1"/>
  <c r="E27" i="1"/>
  <c r="H9" i="1"/>
  <c r="G16" i="1"/>
  <c r="J20" i="1" l="1"/>
  <c r="J21" i="1" s="1"/>
  <c r="J26" i="1"/>
  <c r="J17" i="1"/>
  <c r="F17" i="1"/>
  <c r="F27" i="1"/>
  <c r="H26" i="1"/>
  <c r="H20" i="1"/>
  <c r="H21" i="1" s="1"/>
  <c r="H27" i="1"/>
  <c r="F26" i="1"/>
  <c r="F29" i="1" s="1"/>
  <c r="F30" i="1" s="1"/>
  <c r="I17" i="1"/>
  <c r="I27" i="1"/>
  <c r="I29" i="1" s="1"/>
  <c r="I30" i="1" s="1"/>
  <c r="I20" i="1"/>
  <c r="I21" i="1" s="1"/>
  <c r="E29" i="1"/>
  <c r="E30" i="1" s="1"/>
  <c r="G26" i="1"/>
  <c r="G17" i="1"/>
  <c r="G20" i="1"/>
  <c r="G21" i="1" s="1"/>
  <c r="G27" i="1"/>
  <c r="J29" i="1"/>
  <c r="J30" i="1" s="1"/>
  <c r="H29" i="1" l="1"/>
  <c r="H30" i="1" s="1"/>
  <c r="I23" i="1"/>
  <c r="G29" i="1"/>
  <c r="G30" i="1" s="1"/>
  <c r="J23" i="1"/>
  <c r="H23" i="1"/>
  <c r="F23" i="1"/>
  <c r="E23" i="1"/>
  <c r="H24" i="1" l="1"/>
  <c r="H37" i="1"/>
  <c r="J24" i="1"/>
  <c r="J37" i="1"/>
  <c r="E24" i="1"/>
  <c r="E37" i="1"/>
  <c r="F24" i="1"/>
  <c r="F37" i="1"/>
  <c r="I24" i="1"/>
  <c r="I37" i="1"/>
  <c r="G23" i="1"/>
  <c r="G24" i="1" l="1"/>
  <c r="G37" i="1"/>
  <c r="A40" i="1" s="1"/>
  <c r="B2" i="3" s="1"/>
  <c r="C5" i="3" l="1"/>
  <c r="C8" i="3" l="1"/>
  <c r="C9" i="3" s="1"/>
  <c r="C6" i="3"/>
</calcChain>
</file>

<file path=xl/sharedStrings.xml><?xml version="1.0" encoding="utf-8"?>
<sst xmlns="http://schemas.openxmlformats.org/spreadsheetml/2006/main" count="158" uniqueCount="67">
  <si>
    <t>P&amp;L</t>
  </si>
  <si>
    <t>Revenue</t>
  </si>
  <si>
    <t>revenue growth</t>
  </si>
  <si>
    <t>Cost of sales</t>
  </si>
  <si>
    <t>COGS growth</t>
  </si>
  <si>
    <t>Gross profit</t>
  </si>
  <si>
    <t>Gross profit margin</t>
  </si>
  <si>
    <t>General and administrative expenses</t>
  </si>
  <si>
    <t>Other expenses, net</t>
  </si>
  <si>
    <t>Operating profit</t>
  </si>
  <si>
    <t>Operating margin</t>
  </si>
  <si>
    <t>Depreciation and Amortization</t>
  </si>
  <si>
    <t>adjusted EBITDA</t>
  </si>
  <si>
    <t>adjusted EBITDA margin</t>
  </si>
  <si>
    <t>Profit before income tax</t>
  </si>
  <si>
    <t>Income tax expense</t>
  </si>
  <si>
    <t>Effective tax rate</t>
  </si>
  <si>
    <t>Net income</t>
  </si>
  <si>
    <t>Net Income margin</t>
  </si>
  <si>
    <t>CapEx</t>
  </si>
  <si>
    <t xml:space="preserve">Core financial data </t>
  </si>
  <si>
    <t>R&amp;D expenses</t>
  </si>
  <si>
    <t>Labor</t>
  </si>
  <si>
    <t>Depreciation</t>
  </si>
  <si>
    <t>OCF</t>
  </si>
  <si>
    <t>OCF/EBITDA</t>
  </si>
  <si>
    <t>NWC</t>
  </si>
  <si>
    <t>deltaNWC</t>
  </si>
  <si>
    <t>CFA</t>
  </si>
  <si>
    <t>Opportunity cost</t>
  </si>
  <si>
    <t>Pessimistic</t>
  </si>
  <si>
    <t>R_wacc</t>
  </si>
  <si>
    <t>coupon rate</t>
  </si>
  <si>
    <t>market value</t>
  </si>
  <si>
    <t>cost of equity</t>
  </si>
  <si>
    <t>stock equity</t>
  </si>
  <si>
    <t>R_riskfree</t>
  </si>
  <si>
    <t>equity value</t>
  </si>
  <si>
    <t>beta</t>
  </si>
  <si>
    <t>price</t>
  </si>
  <si>
    <t>var(R_SP500)</t>
  </si>
  <si>
    <t>share outstanding</t>
  </si>
  <si>
    <t>COV(R_SP500,R_SBUX)</t>
  </si>
  <si>
    <t>YTM_10</t>
  </si>
  <si>
    <t>R_SBUX</t>
  </si>
  <si>
    <t>SBUX</t>
  </si>
  <si>
    <t>R_SP500</t>
  </si>
  <si>
    <t>SP500</t>
  </si>
  <si>
    <t>Date</t>
  </si>
  <si>
    <t>NPV</t>
  </si>
  <si>
    <t>Base</t>
  </si>
  <si>
    <t xml:space="preserve">Optimistic </t>
  </si>
  <si>
    <t>Standard Deviation</t>
  </si>
  <si>
    <t>Probabilities</t>
  </si>
  <si>
    <t xml:space="preserve">Expected </t>
  </si>
  <si>
    <t>Share Price</t>
  </si>
  <si>
    <t>cost of debt</t>
  </si>
  <si>
    <t>Change in Share Price</t>
  </si>
  <si>
    <t>Sales(million $)</t>
  </si>
  <si>
    <t>Years</t>
  </si>
  <si>
    <t>Cost of Research</t>
  </si>
  <si>
    <t>Sales Growth rate</t>
  </si>
  <si>
    <t>Initial Cost</t>
  </si>
  <si>
    <t>Depreciation Rate</t>
  </si>
  <si>
    <t>BASE CASE</t>
  </si>
  <si>
    <t>OPTIMISTIC CASE</t>
  </si>
  <si>
    <t>PESSIMISTIC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</si>
</sst>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#,##0.0"/>
    <numFmt numFmtId="167" formatCode="#,##0.000"/>
    <numFmt numFmtId="168" formatCode="_-* #,##0\ _₽_-;\-* #,##0\ _₽_-;_-* &quot;-&quot;??\ _₽_-;_-@_-"/>
    <numFmt numFmtId="169" formatCode="0.000%"/>
    <numFmt numFmtId="170" formatCode="_(* #,##0.000_);_(* \(#,##0.000\);_(* &quot;-&quot;??_);_(@_)"/>
    <numFmt numFmtId="171" formatCode="&quot;$&quot;#,##0.00"/>
    <numFmt numFmtId="172" formatCode="0.000000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b/>
      <u/>
      <sz val="1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name val="Calibri"/>
      <family val="2"/>
      <scheme val="minor"/>
    </font>
    <font>
      <b/>
      <u val="singleAccounting"/>
      <sz val="11"/>
      <name val="Calibri"/>
      <family val="2"/>
      <scheme val="minor"/>
    </font>
    <font>
      <i/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59">
    <xf numFmtId="0" fontId="0" fillId="0" borderId="0" xfId="0"/>
    <xf numFmtId="0" fontId="3" fillId="2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right"/>
    </xf>
    <xf numFmtId="0" fontId="4" fillId="0" borderId="0" xfId="0" applyFont="1" applyFill="1"/>
    <xf numFmtId="43" fontId="3" fillId="0" borderId="0" xfId="0" applyNumberFormat="1" applyFont="1" applyFill="1"/>
    <xf numFmtId="166" fontId="3" fillId="0" borderId="0" xfId="0" applyNumberFormat="1" applyFont="1" applyFill="1"/>
    <xf numFmtId="3" fontId="3" fillId="2" borderId="0" xfId="0" applyNumberFormat="1" applyFont="1" applyFill="1"/>
    <xf numFmtId="3" fontId="3" fillId="0" borderId="0" xfId="0" applyNumberFormat="1" applyFont="1" applyFill="1"/>
    <xf numFmtId="166" fontId="4" fillId="0" borderId="0" xfId="0" applyNumberFormat="1" applyFont="1" applyFill="1"/>
    <xf numFmtId="0" fontId="3" fillId="0" borderId="0" xfId="0" applyFont="1" applyFill="1" applyBorder="1" applyAlignment="1"/>
    <xf numFmtId="168" fontId="3" fillId="0" borderId="0" xfId="0" applyNumberFormat="1" applyFont="1" applyFill="1"/>
    <xf numFmtId="0" fontId="6" fillId="0" borderId="0" xfId="4"/>
    <xf numFmtId="14" fontId="6" fillId="0" borderId="0" xfId="4" applyNumberFormat="1"/>
    <xf numFmtId="0" fontId="6" fillId="6" borderId="0" xfId="4" applyFill="1"/>
    <xf numFmtId="43" fontId="0" fillId="0" borderId="0" xfId="5" applyFont="1"/>
    <xf numFmtId="0" fontId="6" fillId="4" borderId="0" xfId="4" applyFill="1"/>
    <xf numFmtId="8" fontId="3" fillId="0" borderId="0" xfId="0" applyNumberFormat="1" applyFont="1" applyFill="1" applyBorder="1" applyAlignment="1"/>
    <xf numFmtId="8" fontId="3" fillId="0" borderId="0" xfId="0" applyNumberFormat="1" applyFont="1" applyFill="1"/>
    <xf numFmtId="8" fontId="0" fillId="0" borderId="0" xfId="0" applyNumberFormat="1"/>
    <xf numFmtId="171" fontId="0" fillId="0" borderId="0" xfId="0" applyNumberFormat="1"/>
    <xf numFmtId="172" fontId="0" fillId="0" borderId="0" xfId="0" applyNumberFormat="1"/>
    <xf numFmtId="0" fontId="3" fillId="0" borderId="4" xfId="0" applyFont="1" applyFill="1" applyBorder="1"/>
    <xf numFmtId="0" fontId="3" fillId="0" borderId="0" xfId="0" applyFont="1" applyFill="1" applyBorder="1"/>
    <xf numFmtId="0" fontId="3" fillId="0" borderId="6" xfId="0" applyFont="1" applyFill="1" applyBorder="1"/>
    <xf numFmtId="0" fontId="3" fillId="0" borderId="7" xfId="0" applyFont="1" applyFill="1" applyBorder="1"/>
    <xf numFmtId="0" fontId="3" fillId="2" borderId="7" xfId="0" applyFont="1" applyFill="1" applyBorder="1"/>
    <xf numFmtId="0" fontId="3" fillId="0" borderId="8" xfId="0" applyFont="1" applyFill="1" applyBorder="1"/>
    <xf numFmtId="0" fontId="2" fillId="3" borderId="4" xfId="0" applyFont="1" applyFill="1" applyBorder="1"/>
    <xf numFmtId="0" fontId="3" fillId="3" borderId="4" xfId="0" applyFont="1" applyFill="1" applyBorder="1"/>
    <xf numFmtId="0" fontId="4" fillId="3" borderId="4" xfId="0" applyFont="1" applyFill="1" applyBorder="1"/>
    <xf numFmtId="0" fontId="5" fillId="3" borderId="4" xfId="0" applyFont="1" applyFill="1" applyBorder="1"/>
    <xf numFmtId="0" fontId="2" fillId="12" borderId="9" xfId="0" applyFont="1" applyFill="1" applyBorder="1" applyAlignment="1">
      <alignment horizontal="left"/>
    </xf>
    <xf numFmtId="0" fontId="2" fillId="12" borderId="10" xfId="0" applyFont="1" applyFill="1" applyBorder="1" applyAlignment="1">
      <alignment horizontal="left"/>
    </xf>
    <xf numFmtId="0" fontId="2" fillId="12" borderId="11" xfId="0" applyFont="1" applyFill="1" applyBorder="1" applyAlignment="1">
      <alignment horizontal="left"/>
    </xf>
    <xf numFmtId="0" fontId="2" fillId="12" borderId="0" xfId="0" applyFont="1" applyFill="1" applyBorder="1"/>
    <xf numFmtId="3" fontId="2" fillId="12" borderId="0" xfId="0" applyNumberFormat="1" applyFont="1" applyFill="1" applyBorder="1" applyAlignment="1"/>
    <xf numFmtId="3" fontId="2" fillId="12" borderId="5" xfId="0" applyNumberFormat="1" applyFont="1" applyFill="1" applyBorder="1" applyAlignment="1"/>
    <xf numFmtId="44" fontId="3" fillId="12" borderId="0" xfId="1" applyNumberFormat="1" applyFont="1" applyFill="1" applyBorder="1" applyAlignment="1"/>
    <xf numFmtId="44" fontId="3" fillId="12" borderId="5" xfId="1" applyNumberFormat="1" applyFont="1" applyFill="1" applyBorder="1" applyAlignment="1"/>
    <xf numFmtId="0" fontId="4" fillId="12" borderId="0" xfId="0" applyFont="1" applyFill="1" applyBorder="1"/>
    <xf numFmtId="169" fontId="4" fillId="12" borderId="0" xfId="2" applyNumberFormat="1" applyFont="1" applyFill="1" applyBorder="1"/>
    <xf numFmtId="165" fontId="4" fillId="12" borderId="0" xfId="2" applyNumberFormat="1" applyFont="1" applyFill="1" applyBorder="1"/>
    <xf numFmtId="165" fontId="4" fillId="12" borderId="5" xfId="2" applyNumberFormat="1" applyFont="1" applyFill="1" applyBorder="1"/>
    <xf numFmtId="44" fontId="3" fillId="12" borderId="0" xfId="0" applyNumberFormat="1" applyFont="1" applyFill="1" applyBorder="1"/>
    <xf numFmtId="164" fontId="4" fillId="12" borderId="0" xfId="0" applyNumberFormat="1" applyFont="1" applyFill="1" applyBorder="1"/>
    <xf numFmtId="169" fontId="4" fillId="12" borderId="0" xfId="1" applyNumberFormat="1" applyFont="1" applyFill="1" applyBorder="1" applyAlignment="1"/>
    <xf numFmtId="0" fontId="3" fillId="12" borderId="0" xfId="0" applyFont="1" applyFill="1" applyBorder="1" applyAlignment="1"/>
    <xf numFmtId="3" fontId="3" fillId="12" borderId="0" xfId="0" applyNumberFormat="1" applyFont="1" applyFill="1" applyBorder="1" applyAlignment="1"/>
    <xf numFmtId="3" fontId="3" fillId="12" borderId="5" xfId="0" applyNumberFormat="1" applyFont="1" applyFill="1" applyBorder="1" applyAlignment="1"/>
    <xf numFmtId="0" fontId="3" fillId="12" borderId="0" xfId="0" applyFont="1" applyFill="1" applyBorder="1"/>
    <xf numFmtId="167" fontId="3" fillId="12" borderId="0" xfId="0" applyNumberFormat="1" applyFont="1" applyFill="1" applyBorder="1" applyAlignment="1"/>
    <xf numFmtId="167" fontId="3" fillId="12" borderId="5" xfId="0" applyNumberFormat="1" applyFont="1" applyFill="1" applyBorder="1" applyAlignment="1"/>
    <xf numFmtId="44" fontId="3" fillId="12" borderId="5" xfId="0" applyNumberFormat="1" applyFont="1" applyFill="1" applyBorder="1"/>
    <xf numFmtId="167" fontId="3" fillId="12" borderId="0" xfId="0" applyNumberFormat="1" applyFont="1" applyFill="1" applyBorder="1"/>
    <xf numFmtId="167" fontId="3" fillId="12" borderId="5" xfId="0" applyNumberFormat="1" applyFont="1" applyFill="1" applyBorder="1"/>
    <xf numFmtId="9" fontId="4" fillId="12" borderId="0" xfId="0" applyNumberFormat="1" applyFont="1" applyFill="1" applyBorder="1"/>
    <xf numFmtId="9" fontId="4" fillId="12" borderId="5" xfId="0" applyNumberFormat="1" applyFont="1" applyFill="1" applyBorder="1"/>
    <xf numFmtId="3" fontId="4" fillId="12" borderId="0" xfId="0" applyNumberFormat="1" applyFont="1" applyFill="1" applyBorder="1"/>
    <xf numFmtId="3" fontId="4" fillId="12" borderId="5" xfId="0" applyNumberFormat="1" applyFont="1" applyFill="1" applyBorder="1"/>
    <xf numFmtId="0" fontId="2" fillId="12" borderId="4" xfId="0" applyFont="1" applyFill="1" applyBorder="1"/>
    <xf numFmtId="164" fontId="3" fillId="12" borderId="4" xfId="1" applyNumberFormat="1" applyFont="1" applyFill="1" applyBorder="1" applyAlignment="1"/>
    <xf numFmtId="0" fontId="4" fillId="12" borderId="4" xfId="0" applyFont="1" applyFill="1" applyBorder="1"/>
    <xf numFmtId="164" fontId="4" fillId="12" borderId="4" xfId="1" applyNumberFormat="1" applyFont="1" applyFill="1" applyBorder="1" applyAlignment="1"/>
    <xf numFmtId="0" fontId="3" fillId="12" borderId="4" xfId="0" applyFont="1" applyFill="1" applyBorder="1" applyAlignment="1"/>
    <xf numFmtId="44" fontId="3" fillId="12" borderId="4" xfId="1" applyNumberFormat="1" applyFont="1" applyFill="1" applyBorder="1" applyAlignment="1"/>
    <xf numFmtId="165" fontId="4" fillId="12" borderId="4" xfId="2" applyNumberFormat="1" applyFont="1" applyFill="1" applyBorder="1"/>
    <xf numFmtId="0" fontId="3" fillId="12" borderId="4" xfId="0" applyFont="1" applyFill="1" applyBorder="1"/>
    <xf numFmtId="44" fontId="3" fillId="12" borderId="4" xfId="0" applyNumberFormat="1" applyFont="1" applyFill="1" applyBorder="1"/>
    <xf numFmtId="9" fontId="4" fillId="12" borderId="4" xfId="0" applyNumberFormat="1" applyFont="1" applyFill="1" applyBorder="1"/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9" fontId="4" fillId="12" borderId="6" xfId="2" applyFont="1" applyFill="1" applyBorder="1"/>
    <xf numFmtId="9" fontId="4" fillId="12" borderId="7" xfId="2" applyFont="1" applyFill="1" applyBorder="1"/>
    <xf numFmtId="9" fontId="4" fillId="12" borderId="8" xfId="2" applyFont="1" applyFill="1" applyBorder="1"/>
    <xf numFmtId="165" fontId="4" fillId="12" borderId="6" xfId="2" applyNumberFormat="1" applyFont="1" applyFill="1" applyBorder="1"/>
    <xf numFmtId="165" fontId="4" fillId="12" borderId="7" xfId="2" applyNumberFormat="1" applyFont="1" applyFill="1" applyBorder="1"/>
    <xf numFmtId="165" fontId="4" fillId="12" borderId="8" xfId="2" applyNumberFormat="1" applyFont="1" applyFill="1" applyBorder="1"/>
    <xf numFmtId="44" fontId="5" fillId="12" borderId="9" xfId="0" applyNumberFormat="1" applyFont="1" applyFill="1" applyBorder="1"/>
    <xf numFmtId="44" fontId="5" fillId="12" borderId="10" xfId="0" applyNumberFormat="1" applyFont="1" applyFill="1" applyBorder="1"/>
    <xf numFmtId="44" fontId="5" fillId="12" borderId="11" xfId="0" applyNumberFormat="1" applyFont="1" applyFill="1" applyBorder="1"/>
    <xf numFmtId="44" fontId="5" fillId="12" borderId="1" xfId="0" applyNumberFormat="1" applyFont="1" applyFill="1" applyBorder="1"/>
    <xf numFmtId="44" fontId="5" fillId="12" borderId="2" xfId="0" applyNumberFormat="1" applyFont="1" applyFill="1" applyBorder="1"/>
    <xf numFmtId="44" fontId="5" fillId="12" borderId="3" xfId="0" applyNumberFormat="1" applyFont="1" applyFill="1" applyBorder="1"/>
    <xf numFmtId="0" fontId="2" fillId="3" borderId="1" xfId="0" applyFont="1" applyFill="1" applyBorder="1" applyAlignment="1">
      <alignment horizontal="left"/>
    </xf>
    <xf numFmtId="44" fontId="7" fillId="12" borderId="9" xfId="0" applyNumberFormat="1" applyFont="1" applyFill="1" applyBorder="1"/>
    <xf numFmtId="44" fontId="7" fillId="12" borderId="10" xfId="0" applyNumberFormat="1" applyFont="1" applyFill="1" applyBorder="1"/>
    <xf numFmtId="44" fontId="7" fillId="12" borderId="11" xfId="0" applyNumberFormat="1" applyFont="1" applyFill="1" applyBorder="1"/>
    <xf numFmtId="165" fontId="4" fillId="12" borderId="0" xfId="1" applyNumberFormat="1" applyFont="1" applyFill="1" applyBorder="1" applyAlignment="1"/>
    <xf numFmtId="165" fontId="4" fillId="12" borderId="5" xfId="1" applyNumberFormat="1" applyFont="1" applyFill="1" applyBorder="1" applyAlignment="1"/>
    <xf numFmtId="0" fontId="3" fillId="2" borderId="0" xfId="0" applyFont="1" applyFill="1" applyBorder="1"/>
    <xf numFmtId="0" fontId="3" fillId="0" borderId="5" xfId="0" applyFont="1" applyFill="1" applyBorder="1"/>
    <xf numFmtId="0" fontId="8" fillId="0" borderId="12" xfId="0" applyFont="1" applyFill="1" applyBorder="1"/>
    <xf numFmtId="0" fontId="8" fillId="2" borderId="12" xfId="0" applyFont="1" applyFill="1" applyBorder="1"/>
    <xf numFmtId="0" fontId="6" fillId="3" borderId="1" xfId="4" applyFill="1" applyBorder="1"/>
    <xf numFmtId="0" fontId="6" fillId="3" borderId="3" xfId="4" applyFill="1" applyBorder="1"/>
    <xf numFmtId="0" fontId="6" fillId="3" borderId="4" xfId="4" applyFill="1" applyBorder="1"/>
    <xf numFmtId="0" fontId="6" fillId="3" borderId="5" xfId="4" applyFill="1" applyBorder="1"/>
    <xf numFmtId="0" fontId="6" fillId="0" borderId="4" xfId="4" applyBorder="1"/>
    <xf numFmtId="0" fontId="6" fillId="0" borderId="5" xfId="4" applyBorder="1"/>
    <xf numFmtId="169" fontId="0" fillId="9" borderId="4" xfId="6" applyNumberFormat="1" applyFont="1" applyFill="1" applyBorder="1"/>
    <xf numFmtId="169" fontId="0" fillId="9" borderId="5" xfId="6" applyNumberFormat="1" applyFont="1" applyFill="1" applyBorder="1"/>
    <xf numFmtId="0" fontId="6" fillId="7" borderId="4" xfId="4" applyFill="1" applyBorder="1"/>
    <xf numFmtId="10" fontId="6" fillId="7" borderId="5" xfId="4" applyNumberFormat="1" applyFill="1" applyBorder="1"/>
    <xf numFmtId="0" fontId="6" fillId="6" borderId="6" xfId="4" applyFill="1" applyBorder="1"/>
    <xf numFmtId="10" fontId="6" fillId="6" borderId="8" xfId="4" applyNumberFormat="1" applyFill="1" applyBorder="1"/>
    <xf numFmtId="0" fontId="6" fillId="10" borderId="1" xfId="4" applyFill="1" applyBorder="1"/>
    <xf numFmtId="44" fontId="6" fillId="10" borderId="3" xfId="4" applyNumberFormat="1" applyFill="1" applyBorder="1"/>
    <xf numFmtId="0" fontId="6" fillId="10" borderId="4" xfId="4" applyFill="1" applyBorder="1"/>
    <xf numFmtId="44" fontId="6" fillId="10" borderId="5" xfId="4" applyNumberFormat="1" applyFill="1" applyBorder="1"/>
    <xf numFmtId="44" fontId="0" fillId="10" borderId="5" xfId="5" applyNumberFormat="1" applyFont="1" applyFill="1" applyBorder="1"/>
    <xf numFmtId="44" fontId="6" fillId="0" borderId="5" xfId="4" applyNumberFormat="1" applyBorder="1"/>
    <xf numFmtId="0" fontId="6" fillId="8" borderId="6" xfId="4" applyFill="1" applyBorder="1"/>
    <xf numFmtId="44" fontId="0" fillId="8" borderId="8" xfId="5" applyNumberFormat="1" applyFont="1" applyFill="1" applyBorder="1"/>
    <xf numFmtId="44" fontId="6" fillId="0" borderId="0" xfId="4" applyNumberFormat="1" applyFill="1"/>
    <xf numFmtId="0" fontId="6" fillId="5" borderId="9" xfId="4" applyFill="1" applyBorder="1"/>
    <xf numFmtId="170" fontId="6" fillId="5" borderId="11" xfId="4" applyNumberFormat="1" applyFill="1" applyBorder="1"/>
    <xf numFmtId="0" fontId="9" fillId="3" borderId="6" xfId="0" applyFont="1" applyFill="1" applyBorder="1"/>
    <xf numFmtId="0" fontId="7" fillId="13" borderId="10" xfId="0" applyFont="1" applyFill="1" applyBorder="1" applyAlignment="1">
      <alignment horizontal="left"/>
    </xf>
    <xf numFmtId="0" fontId="7" fillId="13" borderId="10" xfId="0" applyFont="1" applyFill="1" applyBorder="1"/>
    <xf numFmtId="0" fontId="7" fillId="13" borderId="11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164" fontId="3" fillId="13" borderId="4" xfId="1" applyNumberFormat="1" applyFont="1" applyFill="1" applyBorder="1" applyAlignment="1"/>
    <xf numFmtId="0" fontId="4" fillId="13" borderId="4" xfId="0" applyFont="1" applyFill="1" applyBorder="1"/>
    <xf numFmtId="0" fontId="4" fillId="13" borderId="0" xfId="0" applyFont="1" applyFill="1" applyBorder="1"/>
    <xf numFmtId="169" fontId="4" fillId="13" borderId="0" xfId="2" applyNumberFormat="1" applyFont="1" applyFill="1" applyBorder="1"/>
    <xf numFmtId="165" fontId="4" fillId="13" borderId="0" xfId="2" applyNumberFormat="1" applyFont="1" applyFill="1" applyBorder="1"/>
    <xf numFmtId="165" fontId="4" fillId="13" borderId="5" xfId="2" applyNumberFormat="1" applyFont="1" applyFill="1" applyBorder="1"/>
    <xf numFmtId="164" fontId="3" fillId="13" borderId="0" xfId="1" applyNumberFormat="1" applyFont="1" applyFill="1" applyBorder="1" applyAlignment="1"/>
    <xf numFmtId="164" fontId="4" fillId="13" borderId="4" xfId="1" applyNumberFormat="1" applyFont="1" applyFill="1" applyBorder="1" applyAlignment="1"/>
    <xf numFmtId="10" fontId="4" fillId="13" borderId="0" xfId="1" applyNumberFormat="1" applyFont="1" applyFill="1" applyBorder="1" applyAlignment="1"/>
    <xf numFmtId="10" fontId="4" fillId="13" borderId="5" xfId="1" applyNumberFormat="1" applyFont="1" applyFill="1" applyBorder="1" applyAlignment="1"/>
    <xf numFmtId="0" fontId="3" fillId="13" borderId="4" xfId="0" applyFont="1" applyFill="1" applyBorder="1" applyAlignment="1"/>
    <xf numFmtId="3" fontId="3" fillId="13" borderId="0" xfId="0" applyNumberFormat="1" applyFont="1" applyFill="1" applyBorder="1" applyAlignment="1"/>
    <xf numFmtId="3" fontId="3" fillId="13" borderId="5" xfId="0" applyNumberFormat="1" applyFont="1" applyFill="1" applyBorder="1" applyAlignment="1"/>
    <xf numFmtId="165" fontId="4" fillId="13" borderId="4" xfId="2" applyNumberFormat="1" applyFont="1" applyFill="1" applyBorder="1"/>
    <xf numFmtId="0" fontId="3" fillId="13" borderId="4" xfId="0" applyFont="1" applyFill="1" applyBorder="1"/>
    <xf numFmtId="0" fontId="3" fillId="13" borderId="0" xfId="0" applyFont="1" applyFill="1" applyBorder="1"/>
    <xf numFmtId="167" fontId="3" fillId="13" borderId="0" xfId="0" applyNumberFormat="1" applyFont="1" applyFill="1" applyBorder="1" applyAlignment="1"/>
    <xf numFmtId="167" fontId="3" fillId="13" borderId="5" xfId="0" applyNumberFormat="1" applyFont="1" applyFill="1" applyBorder="1" applyAlignment="1"/>
    <xf numFmtId="167" fontId="3" fillId="13" borderId="0" xfId="0" applyNumberFormat="1" applyFont="1" applyFill="1" applyBorder="1"/>
    <xf numFmtId="167" fontId="3" fillId="13" borderId="5" xfId="0" applyNumberFormat="1" applyFont="1" applyFill="1" applyBorder="1"/>
    <xf numFmtId="9" fontId="4" fillId="13" borderId="4" xfId="0" applyNumberFormat="1" applyFont="1" applyFill="1" applyBorder="1"/>
    <xf numFmtId="9" fontId="4" fillId="13" borderId="0" xfId="0" applyNumberFormat="1" applyFont="1" applyFill="1" applyBorder="1"/>
    <xf numFmtId="9" fontId="4" fillId="13" borderId="5" xfId="0" applyNumberFormat="1" applyFont="1" applyFill="1" applyBorder="1"/>
    <xf numFmtId="3" fontId="4" fillId="13" borderId="0" xfId="0" applyNumberFormat="1" applyFont="1" applyFill="1" applyBorder="1"/>
    <xf numFmtId="3" fontId="4" fillId="13" borderId="5" xfId="0" applyNumberFormat="1" applyFont="1" applyFill="1" applyBorder="1"/>
    <xf numFmtId="0" fontId="2" fillId="13" borderId="0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169" fontId="4" fillId="13" borderId="5" xfId="2" applyNumberFormat="1" applyFont="1" applyFill="1" applyBorder="1"/>
    <xf numFmtId="169" fontId="4" fillId="13" borderId="0" xfId="1" applyNumberFormat="1" applyFont="1" applyFill="1" applyBorder="1" applyAlignment="1"/>
    <xf numFmtId="164" fontId="4" fillId="13" borderId="0" xfId="1" applyNumberFormat="1" applyFont="1" applyFill="1" applyBorder="1" applyAlignment="1"/>
    <xf numFmtId="0" fontId="7" fillId="13" borderId="10" xfId="0" applyFont="1" applyFill="1" applyBorder="1" applyAlignment="1">
      <alignment horizontal="right"/>
    </xf>
    <xf numFmtId="0" fontId="2" fillId="13" borderId="0" xfId="0" applyFont="1" applyFill="1" applyBorder="1" applyAlignment="1">
      <alignment horizontal="right"/>
    </xf>
    <xf numFmtId="0" fontId="4" fillId="13" borderId="0" xfId="0" applyFont="1" applyFill="1" applyBorder="1" applyAlignment="1">
      <alignment horizontal="right"/>
    </xf>
    <xf numFmtId="164" fontId="4" fillId="13" borderId="0" xfId="0" applyNumberFormat="1" applyFont="1" applyFill="1" applyBorder="1" applyAlignment="1">
      <alignment horizontal="right"/>
    </xf>
    <xf numFmtId="0" fontId="3" fillId="13" borderId="0" xfId="0" applyFont="1" applyFill="1" applyBorder="1" applyAlignment="1">
      <alignment horizontal="right"/>
    </xf>
    <xf numFmtId="9" fontId="4" fillId="13" borderId="0" xfId="0" applyNumberFormat="1" applyFont="1" applyFill="1" applyBorder="1" applyAlignment="1">
      <alignment horizontal="right"/>
    </xf>
    <xf numFmtId="168" fontId="3" fillId="0" borderId="0" xfId="0" applyNumberFormat="1" applyFont="1" applyFill="1" applyAlignment="1">
      <alignment horizontal="right"/>
    </xf>
    <xf numFmtId="9" fontId="4" fillId="13" borderId="6" xfId="2" applyFont="1" applyFill="1" applyBorder="1"/>
    <xf numFmtId="9" fontId="4" fillId="13" borderId="7" xfId="2" applyFont="1" applyFill="1" applyBorder="1" applyAlignment="1">
      <alignment horizontal="right"/>
    </xf>
    <xf numFmtId="9" fontId="4" fillId="13" borderId="7" xfId="2" applyFont="1" applyFill="1" applyBorder="1"/>
    <xf numFmtId="9" fontId="4" fillId="13" borderId="8" xfId="2" applyFont="1" applyFill="1" applyBorder="1"/>
    <xf numFmtId="165" fontId="4" fillId="13" borderId="6" xfId="2" applyNumberFormat="1" applyFont="1" applyFill="1" applyBorder="1"/>
    <xf numFmtId="165" fontId="4" fillId="13" borderId="7" xfId="2" applyNumberFormat="1" applyFont="1" applyFill="1" applyBorder="1" applyAlignment="1">
      <alignment horizontal="right"/>
    </xf>
    <xf numFmtId="165" fontId="4" fillId="13" borderId="7" xfId="2" applyNumberFormat="1" applyFont="1" applyFill="1" applyBorder="1"/>
    <xf numFmtId="165" fontId="4" fillId="13" borderId="8" xfId="2" applyNumberFormat="1" applyFont="1" applyFill="1" applyBorder="1"/>
    <xf numFmtId="44" fontId="2" fillId="13" borderId="0" xfId="0" applyNumberFormat="1" applyFont="1" applyFill="1" applyBorder="1"/>
    <xf numFmtId="44" fontId="2" fillId="13" borderId="0" xfId="0" applyNumberFormat="1" applyFont="1" applyFill="1" applyBorder="1" applyAlignment="1">
      <alignment horizontal="right"/>
    </xf>
    <xf numFmtId="44" fontId="2" fillId="13" borderId="0" xfId="0" applyNumberFormat="1" applyFont="1" applyFill="1" applyBorder="1" applyAlignment="1"/>
    <xf numFmtId="44" fontId="2" fillId="13" borderId="5" xfId="0" applyNumberFormat="1" applyFont="1" applyFill="1" applyBorder="1" applyAlignment="1"/>
    <xf numFmtId="44" fontId="3" fillId="13" borderId="0" xfId="1" applyNumberFormat="1" applyFont="1" applyFill="1" applyBorder="1" applyAlignment="1"/>
    <xf numFmtId="44" fontId="3" fillId="13" borderId="0" xfId="1" applyNumberFormat="1" applyFont="1" applyFill="1" applyBorder="1" applyAlignment="1">
      <alignment horizontal="right"/>
    </xf>
    <xf numFmtId="44" fontId="3" fillId="13" borderId="5" xfId="1" applyNumberFormat="1" applyFont="1" applyFill="1" applyBorder="1" applyAlignment="1"/>
    <xf numFmtId="44" fontId="3" fillId="13" borderId="0" xfId="0" applyNumberFormat="1" applyFont="1" applyFill="1" applyBorder="1" applyAlignment="1">
      <alignment horizontal="right"/>
    </xf>
    <xf numFmtId="44" fontId="5" fillId="13" borderId="1" xfId="0" applyNumberFormat="1" applyFont="1" applyFill="1" applyBorder="1"/>
    <xf numFmtId="44" fontId="5" fillId="13" borderId="2" xfId="0" applyNumberFormat="1" applyFont="1" applyFill="1" applyBorder="1" applyAlignment="1">
      <alignment horizontal="right"/>
    </xf>
    <xf numFmtId="44" fontId="5" fillId="13" borderId="2" xfId="0" applyNumberFormat="1" applyFont="1" applyFill="1" applyBorder="1"/>
    <xf numFmtId="44" fontId="5" fillId="13" borderId="3" xfId="0" applyNumberFormat="1" applyFont="1" applyFill="1" applyBorder="1"/>
    <xf numFmtId="165" fontId="4" fillId="13" borderId="0" xfId="1" applyNumberFormat="1" applyFont="1" applyFill="1" applyBorder="1" applyAlignment="1"/>
    <xf numFmtId="165" fontId="4" fillId="13" borderId="5" xfId="1" applyNumberFormat="1" applyFont="1" applyFill="1" applyBorder="1" applyAlignment="1"/>
    <xf numFmtId="44" fontId="3" fillId="13" borderId="0" xfId="0" applyNumberFormat="1" applyFont="1" applyFill="1" applyBorder="1" applyAlignment="1"/>
    <xf numFmtId="44" fontId="3" fillId="13" borderId="5" xfId="0" applyNumberFormat="1" applyFont="1" applyFill="1" applyBorder="1" applyAlignment="1"/>
    <xf numFmtId="44" fontId="3" fillId="13" borderId="0" xfId="0" applyNumberFormat="1" applyFont="1" applyFill="1" applyBorder="1"/>
    <xf numFmtId="44" fontId="3" fillId="13" borderId="5" xfId="0" applyNumberFormat="1" applyFont="1" applyFill="1" applyBorder="1"/>
    <xf numFmtId="44" fontId="3" fillId="13" borderId="2" xfId="0" applyNumberFormat="1" applyFont="1" applyFill="1" applyBorder="1" applyAlignment="1">
      <alignment horizontal="right"/>
    </xf>
    <xf numFmtId="44" fontId="3" fillId="13" borderId="2" xfId="0" applyNumberFormat="1" applyFont="1" applyFill="1" applyBorder="1" applyAlignment="1"/>
    <xf numFmtId="44" fontId="3" fillId="13" borderId="3" xfId="0" applyNumberFormat="1" applyFont="1" applyFill="1" applyBorder="1" applyAlignment="1"/>
    <xf numFmtId="9" fontId="3" fillId="13" borderId="6" xfId="2" applyFont="1" applyFill="1" applyBorder="1"/>
    <xf numFmtId="9" fontId="3" fillId="13" borderId="7" xfId="2" applyFont="1" applyFill="1" applyBorder="1" applyAlignment="1">
      <alignment horizontal="right"/>
    </xf>
    <xf numFmtId="9" fontId="3" fillId="13" borderId="7" xfId="2" applyFont="1" applyFill="1" applyBorder="1"/>
    <xf numFmtId="9" fontId="3" fillId="13" borderId="8" xfId="2" applyFont="1" applyFill="1" applyBorder="1"/>
    <xf numFmtId="44" fontId="3" fillId="13" borderId="1" xfId="0" applyNumberFormat="1" applyFont="1" applyFill="1" applyBorder="1" applyAlignment="1"/>
    <xf numFmtId="44" fontId="10" fillId="13" borderId="10" xfId="0" applyNumberFormat="1" applyFont="1" applyFill="1" applyBorder="1" applyAlignment="1">
      <alignment horizontal="right"/>
    </xf>
    <xf numFmtId="9" fontId="11" fillId="13" borderId="6" xfId="2" applyFont="1" applyFill="1" applyBorder="1"/>
    <xf numFmtId="9" fontId="11" fillId="13" borderId="7" xfId="2" applyFont="1" applyFill="1" applyBorder="1" applyAlignment="1">
      <alignment horizontal="right"/>
    </xf>
    <xf numFmtId="9" fontId="11" fillId="13" borderId="7" xfId="2" applyFont="1" applyFill="1" applyBorder="1"/>
    <xf numFmtId="9" fontId="11" fillId="13" borderId="8" xfId="2" applyFont="1" applyFill="1" applyBorder="1"/>
    <xf numFmtId="44" fontId="10" fillId="13" borderId="1" xfId="0" applyNumberFormat="1" applyFont="1" applyFill="1" applyBorder="1" applyAlignment="1"/>
    <xf numFmtId="44" fontId="10" fillId="13" borderId="2" xfId="0" applyNumberFormat="1" applyFont="1" applyFill="1" applyBorder="1" applyAlignment="1">
      <alignment horizontal="right"/>
    </xf>
    <xf numFmtId="44" fontId="10" fillId="13" borderId="2" xfId="0" applyNumberFormat="1" applyFont="1" applyFill="1" applyBorder="1" applyAlignment="1"/>
    <xf numFmtId="44" fontId="10" fillId="13" borderId="3" xfId="0" applyNumberFormat="1" applyFont="1" applyFill="1" applyBorder="1" applyAlignment="1"/>
    <xf numFmtId="44" fontId="5" fillId="13" borderId="9" xfId="0" applyNumberFormat="1" applyFont="1" applyFill="1" applyBorder="1"/>
    <xf numFmtId="44" fontId="5" fillId="13" borderId="10" xfId="0" applyNumberFormat="1" applyFont="1" applyFill="1" applyBorder="1" applyAlignment="1">
      <alignment horizontal="right"/>
    </xf>
    <xf numFmtId="44" fontId="5" fillId="13" borderId="10" xfId="0" applyNumberFormat="1" applyFont="1" applyFill="1" applyBorder="1"/>
    <xf numFmtId="44" fontId="5" fillId="13" borderId="11" xfId="0" applyNumberFormat="1" applyFont="1" applyFill="1" applyBorder="1"/>
    <xf numFmtId="0" fontId="2" fillId="11" borderId="15" xfId="0" applyFont="1" applyFill="1" applyBorder="1" applyAlignment="1">
      <alignment horizontal="left"/>
    </xf>
    <xf numFmtId="0" fontId="2" fillId="11" borderId="15" xfId="0" applyFont="1" applyFill="1" applyBorder="1"/>
    <xf numFmtId="0" fontId="3" fillId="11" borderId="15" xfId="0" applyFont="1" applyFill="1" applyBorder="1"/>
    <xf numFmtId="0" fontId="4" fillId="11" borderId="15" xfId="0" applyFont="1" applyFill="1" applyBorder="1"/>
    <xf numFmtId="0" fontId="5" fillId="11" borderId="15" xfId="0" applyFont="1" applyFill="1" applyBorder="1"/>
    <xf numFmtId="0" fontId="3" fillId="11" borderId="4" xfId="0" applyFont="1" applyFill="1" applyBorder="1"/>
    <xf numFmtId="0" fontId="4" fillId="11" borderId="4" xfId="0" applyFont="1" applyFill="1" applyBorder="1"/>
    <xf numFmtId="0" fontId="9" fillId="11" borderId="16" xfId="0" applyFont="1" applyFill="1" applyBorder="1"/>
    <xf numFmtId="0" fontId="9" fillId="11" borderId="13" xfId="0" applyFont="1" applyFill="1" applyBorder="1"/>
    <xf numFmtId="0" fontId="7" fillId="14" borderId="13" xfId="0" applyFont="1" applyFill="1" applyBorder="1"/>
    <xf numFmtId="0" fontId="2" fillId="14" borderId="14" xfId="0" applyFont="1" applyFill="1" applyBorder="1" applyAlignment="1">
      <alignment horizontal="left"/>
    </xf>
    <xf numFmtId="0" fontId="2" fillId="14" borderId="15" xfId="0" applyFont="1" applyFill="1" applyBorder="1"/>
    <xf numFmtId="0" fontId="3" fillId="14" borderId="15" xfId="0" applyFont="1" applyFill="1" applyBorder="1"/>
    <xf numFmtId="0" fontId="4" fillId="14" borderId="15" xfId="0" applyFont="1" applyFill="1" applyBorder="1"/>
    <xf numFmtId="0" fontId="5" fillId="14" borderId="15" xfId="0" applyFont="1" applyFill="1" applyBorder="1"/>
    <xf numFmtId="0" fontId="2" fillId="13" borderId="2" xfId="0" applyFont="1" applyFill="1" applyBorder="1" applyAlignment="1">
      <alignment horizontal="right"/>
    </xf>
    <xf numFmtId="0" fontId="7" fillId="13" borderId="9" xfId="0" applyFont="1" applyFill="1" applyBorder="1" applyAlignment="1">
      <alignment horizontal="right"/>
    </xf>
    <xf numFmtId="0" fontId="7" fillId="13" borderId="11" xfId="0" applyFont="1" applyFill="1" applyBorder="1" applyAlignment="1">
      <alignment horizontal="right"/>
    </xf>
    <xf numFmtId="44" fontId="2" fillId="13" borderId="4" xfId="0" applyNumberFormat="1" applyFont="1" applyFill="1" applyBorder="1"/>
    <xf numFmtId="44" fontId="3" fillId="13" borderId="4" xfId="1" applyNumberFormat="1" applyFont="1" applyFill="1" applyBorder="1" applyAlignment="1"/>
    <xf numFmtId="44" fontId="3" fillId="13" borderId="4" xfId="0" applyNumberFormat="1" applyFont="1" applyFill="1" applyBorder="1"/>
    <xf numFmtId="44" fontId="3" fillId="12" borderId="1" xfId="0" applyNumberFormat="1" applyFont="1" applyFill="1" applyBorder="1" applyAlignment="1"/>
    <xf numFmtId="44" fontId="3" fillId="12" borderId="2" xfId="0" applyNumberFormat="1" applyFont="1" applyFill="1" applyBorder="1" applyAlignment="1"/>
    <xf numFmtId="44" fontId="3" fillId="12" borderId="3" xfId="0" applyNumberFormat="1" applyFont="1" applyFill="1" applyBorder="1" applyAlignment="1"/>
    <xf numFmtId="9" fontId="3" fillId="12" borderId="6" xfId="2" applyFont="1" applyFill="1" applyBorder="1"/>
    <xf numFmtId="9" fontId="3" fillId="12" borderId="7" xfId="2" applyFont="1" applyFill="1" applyBorder="1"/>
    <xf numFmtId="9" fontId="3" fillId="12" borderId="8" xfId="2" applyFont="1" applyFill="1" applyBorder="1"/>
    <xf numFmtId="0" fontId="9" fillId="14" borderId="16" xfId="0" applyFont="1" applyFill="1" applyBorder="1"/>
    <xf numFmtId="44" fontId="10" fillId="13" borderId="9" xfId="0" applyNumberFormat="1" applyFont="1" applyFill="1" applyBorder="1"/>
    <xf numFmtId="44" fontId="10" fillId="13" borderId="10" xfId="0" applyNumberFormat="1" applyFont="1" applyFill="1" applyBorder="1"/>
    <xf numFmtId="44" fontId="10" fillId="13" borderId="11" xfId="0" applyNumberFormat="1" applyFont="1" applyFill="1" applyBorder="1"/>
    <xf numFmtId="0" fontId="2" fillId="15" borderId="10" xfId="0" applyFont="1" applyFill="1" applyBorder="1" applyAlignment="1">
      <alignment horizontal="right"/>
    </xf>
    <xf numFmtId="0" fontId="3" fillId="15" borderId="10" xfId="0" applyFont="1" applyFill="1" applyBorder="1"/>
    <xf numFmtId="0" fontId="3" fillId="15" borderId="11" xfId="0" applyFont="1" applyFill="1" applyBorder="1"/>
    <xf numFmtId="0" fontId="7" fillId="15" borderId="13" xfId="0" applyFont="1" applyFill="1" applyBorder="1"/>
    <xf numFmtId="0" fontId="2" fillId="15" borderId="9" xfId="0" applyFont="1" applyFill="1" applyBorder="1" applyAlignment="1">
      <alignment horizontal="left"/>
    </xf>
    <xf numFmtId="0" fontId="2" fillId="15" borderId="14" xfId="0" applyFont="1" applyFill="1" applyBorder="1" applyAlignment="1">
      <alignment horizontal="left"/>
    </xf>
    <xf numFmtId="0" fontId="2" fillId="15" borderId="15" xfId="0" applyFont="1" applyFill="1" applyBorder="1"/>
    <xf numFmtId="0" fontId="3" fillId="15" borderId="15" xfId="0" applyFont="1" applyFill="1" applyBorder="1"/>
    <xf numFmtId="0" fontId="4" fillId="15" borderId="15" xfId="0" applyFont="1" applyFill="1" applyBorder="1"/>
    <xf numFmtId="0" fontId="5" fillId="15" borderId="15" xfId="0" applyFont="1" applyFill="1" applyBorder="1"/>
    <xf numFmtId="0" fontId="2" fillId="13" borderId="4" xfId="0" applyFont="1" applyFill="1" applyBorder="1"/>
    <xf numFmtId="3" fontId="2" fillId="13" borderId="0" xfId="0" applyNumberFormat="1" applyFont="1" applyFill="1" applyBorder="1" applyAlignment="1"/>
    <xf numFmtId="3" fontId="2" fillId="13" borderId="5" xfId="0" applyNumberFormat="1" applyFont="1" applyFill="1" applyBorder="1" applyAlignment="1"/>
    <xf numFmtId="9" fontId="3" fillId="13" borderId="4" xfId="2" applyFont="1" applyFill="1" applyBorder="1"/>
    <xf numFmtId="9" fontId="3" fillId="13" borderId="0" xfId="2" applyFont="1" applyFill="1" applyBorder="1" applyAlignment="1">
      <alignment horizontal="right"/>
    </xf>
    <xf numFmtId="9" fontId="3" fillId="13" borderId="0" xfId="2" applyFont="1" applyFill="1" applyBorder="1"/>
    <xf numFmtId="9" fontId="3" fillId="13" borderId="5" xfId="2" applyFont="1" applyFill="1" applyBorder="1"/>
    <xf numFmtId="0" fontId="9" fillId="15" borderId="16" xfId="0" applyFont="1" applyFill="1" applyBorder="1"/>
    <xf numFmtId="44" fontId="3" fillId="13" borderId="4" xfId="0" applyNumberFormat="1" applyFont="1" applyFill="1" applyBorder="1" applyAlignment="1"/>
  </cellXfs>
  <cellStyles count="7">
    <cellStyle name="Comma" xfId="1" builtinId="3"/>
    <cellStyle name="Comma 2" xfId="5"/>
    <cellStyle name="Normal" xfId="0" builtinId="0"/>
    <cellStyle name="Normal 2" xfId="4"/>
    <cellStyle name="Percent" xfId="2" builtinId="5"/>
    <cellStyle name="Percent 2" xfId="6"/>
    <cellStyle name="Обычный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showGridLines="0" topLeftCell="A14" workbookViewId="0">
      <selection activeCell="K15" sqref="K15"/>
    </sheetView>
  </sheetViews>
  <sheetFormatPr defaultColWidth="9.140625" defaultRowHeight="15" outlineLevelCol="1" x14ac:dyDescent="0.25"/>
  <cols>
    <col min="1" max="1" width="45.140625" style="2" customWidth="1"/>
    <col min="2" max="2" width="14" style="2" customWidth="1" outlineLevel="1"/>
    <col min="3" max="3" width="14.28515625" style="2" bestFit="1" customWidth="1" outlineLevel="1"/>
    <col min="4" max="4" width="14.28515625" style="1" bestFit="1" customWidth="1"/>
    <col min="5" max="6" width="14.28515625" style="2" bestFit="1" customWidth="1" outlineLevel="1"/>
    <col min="7" max="8" width="14.28515625" style="1" bestFit="1" customWidth="1"/>
    <col min="9" max="10" width="14.28515625" style="2" bestFit="1" customWidth="1" outlineLevel="1"/>
    <col min="11" max="11" width="11.85546875" style="1" customWidth="1"/>
    <col min="12" max="12" width="5.7109375" style="2" bestFit="1" customWidth="1" outlineLevel="1"/>
    <col min="13" max="13" width="17.28515625" style="2" bestFit="1" customWidth="1" outlineLevel="1"/>
    <col min="14" max="14" width="15.85546875" style="1" bestFit="1" customWidth="1"/>
    <col min="15" max="15" width="18.7109375" style="2" bestFit="1" customWidth="1" outlineLevel="1"/>
    <col min="16" max="16" width="11.28515625" style="2" bestFit="1" customWidth="1" outlineLevel="1"/>
    <col min="17" max="17" width="18.85546875" style="1" bestFit="1" customWidth="1"/>
    <col min="18" max="18" width="13" style="2" bestFit="1" customWidth="1" outlineLevel="1"/>
    <col min="19" max="19" width="12.28515625" style="2" bestFit="1" customWidth="1" outlineLevel="1"/>
    <col min="20" max="20" width="13" style="2" bestFit="1" customWidth="1"/>
    <col min="21" max="21" width="12.140625" style="2" customWidth="1" outlineLevel="1"/>
    <col min="22" max="22" width="12.140625" style="1" customWidth="1"/>
    <col min="23" max="23" width="15.42578125" style="2" customWidth="1"/>
    <col min="24" max="24" width="10.140625" style="2" bestFit="1" customWidth="1"/>
    <col min="25" max="25" width="12" style="2" bestFit="1" customWidth="1"/>
    <col min="26" max="16384" width="9.140625" style="2"/>
  </cols>
  <sheetData>
    <row r="1" spans="1:25" ht="16.5" thickBot="1" x14ac:dyDescent="0.3">
      <c r="A1" s="32"/>
      <c r="B1" s="32">
        <v>2018</v>
      </c>
      <c r="C1" s="33">
        <v>2019</v>
      </c>
      <c r="D1" s="33">
        <v>2020</v>
      </c>
      <c r="E1" s="33">
        <v>2021</v>
      </c>
      <c r="F1" s="33">
        <v>2022</v>
      </c>
      <c r="G1" s="33">
        <v>2023</v>
      </c>
      <c r="H1" s="33">
        <v>2024</v>
      </c>
      <c r="I1" s="33">
        <v>2025</v>
      </c>
      <c r="J1" s="34">
        <v>2026</v>
      </c>
      <c r="K1" s="7"/>
      <c r="L1" s="93" t="s">
        <v>59</v>
      </c>
      <c r="M1" s="93" t="s">
        <v>60</v>
      </c>
      <c r="N1" s="94" t="s">
        <v>58</v>
      </c>
      <c r="O1" s="93" t="s">
        <v>61</v>
      </c>
      <c r="P1" s="93" t="s">
        <v>62</v>
      </c>
      <c r="Q1" s="94" t="s">
        <v>63</v>
      </c>
      <c r="R1" s="93" t="s">
        <v>23</v>
      </c>
    </row>
    <row r="2" spans="1:25" s="3" customFormat="1" x14ac:dyDescent="0.25">
      <c r="A2" s="85" t="s">
        <v>20</v>
      </c>
      <c r="B2" s="70"/>
      <c r="C2" s="71"/>
      <c r="D2" s="71"/>
      <c r="E2" s="71"/>
      <c r="F2" s="71"/>
      <c r="G2" s="71"/>
      <c r="H2" s="71"/>
      <c r="I2" s="71"/>
      <c r="J2" s="72"/>
      <c r="K2" s="7"/>
      <c r="L2" s="22"/>
      <c r="M2" s="23"/>
      <c r="N2" s="91"/>
      <c r="O2" s="23"/>
      <c r="P2" s="23"/>
      <c r="Q2" s="91"/>
      <c r="R2" s="92"/>
      <c r="S2" s="2"/>
      <c r="T2" s="2"/>
      <c r="U2" s="2"/>
      <c r="V2" s="1"/>
    </row>
    <row r="3" spans="1:25" x14ac:dyDescent="0.25">
      <c r="A3" s="28" t="s">
        <v>0</v>
      </c>
      <c r="B3" s="60"/>
      <c r="C3" s="35"/>
      <c r="D3" s="36"/>
      <c r="E3" s="36"/>
      <c r="F3" s="36"/>
      <c r="G3" s="36"/>
      <c r="H3" s="36"/>
      <c r="I3" s="36"/>
      <c r="J3" s="37"/>
      <c r="K3" s="7"/>
      <c r="L3" s="22">
        <v>2018</v>
      </c>
      <c r="M3" s="23">
        <v>-80000</v>
      </c>
      <c r="N3" s="91">
        <v>0</v>
      </c>
      <c r="O3" s="23"/>
      <c r="P3" s="23">
        <v>-210000</v>
      </c>
      <c r="Q3" s="91"/>
      <c r="R3" s="92"/>
    </row>
    <row r="4" spans="1:25" x14ac:dyDescent="0.25">
      <c r="A4" s="29" t="s">
        <v>1</v>
      </c>
      <c r="B4" s="61">
        <v>0</v>
      </c>
      <c r="C4" s="38">
        <v>1692032.2960000001</v>
      </c>
      <c r="D4" s="38">
        <f t="shared" ref="D4:J4" si="0">C4+C4*D5</f>
        <v>1742708.6632652001</v>
      </c>
      <c r="E4" s="38">
        <f t="shared" si="0"/>
        <v>1768849.2932141782</v>
      </c>
      <c r="F4" s="38">
        <f t="shared" si="0"/>
        <v>1795382.0326123908</v>
      </c>
      <c r="G4" s="38">
        <f t="shared" si="0"/>
        <v>1822312.7631015766</v>
      </c>
      <c r="H4" s="38">
        <f t="shared" si="0"/>
        <v>1849647.4545481002</v>
      </c>
      <c r="I4" s="38">
        <f t="shared" si="0"/>
        <v>1877392.1663663217</v>
      </c>
      <c r="J4" s="39">
        <f t="shared" si="0"/>
        <v>1905553.0488618165</v>
      </c>
      <c r="K4" s="7"/>
      <c r="L4" s="22">
        <v>2019</v>
      </c>
      <c r="M4" s="23">
        <v>0</v>
      </c>
      <c r="N4" s="91">
        <v>1.6920322957611811</v>
      </c>
      <c r="O4" s="23">
        <v>2.2100015418615726E-3</v>
      </c>
      <c r="P4" s="23">
        <v>0</v>
      </c>
      <c r="Q4" s="91">
        <v>0.2</v>
      </c>
      <c r="R4" s="92">
        <v>-42000</v>
      </c>
    </row>
    <row r="5" spans="1:25" s="4" customFormat="1" x14ac:dyDescent="0.25">
      <c r="A5" s="30" t="s">
        <v>2</v>
      </c>
      <c r="B5" s="62"/>
      <c r="C5" s="40"/>
      <c r="D5" s="41">
        <f>2.995%</f>
        <v>2.9950000000000001E-2</v>
      </c>
      <c r="E5" s="42">
        <f t="shared" ref="E5:J5" si="1">1.5%</f>
        <v>1.4999999999999999E-2</v>
      </c>
      <c r="F5" s="42">
        <f t="shared" si="1"/>
        <v>1.4999999999999999E-2</v>
      </c>
      <c r="G5" s="42">
        <f t="shared" si="1"/>
        <v>1.4999999999999999E-2</v>
      </c>
      <c r="H5" s="42">
        <f t="shared" si="1"/>
        <v>1.4999999999999999E-2</v>
      </c>
      <c r="I5" s="42">
        <f t="shared" si="1"/>
        <v>1.4999999999999999E-2</v>
      </c>
      <c r="J5" s="43">
        <f t="shared" si="1"/>
        <v>1.4999999999999999E-2</v>
      </c>
      <c r="K5" s="7"/>
      <c r="L5" s="22">
        <v>2020</v>
      </c>
      <c r="M5" s="23">
        <v>0</v>
      </c>
      <c r="N5" s="91">
        <v>1.695771689743693</v>
      </c>
      <c r="O5" s="23">
        <v>1.4999999999999999E-2</v>
      </c>
      <c r="P5" s="23">
        <v>0</v>
      </c>
      <c r="Q5" s="91">
        <v>0.32</v>
      </c>
      <c r="R5" s="92">
        <v>-67200</v>
      </c>
      <c r="S5" s="2"/>
      <c r="T5" s="2"/>
      <c r="U5" s="2"/>
      <c r="V5" s="1"/>
    </row>
    <row r="6" spans="1:25" x14ac:dyDescent="0.25">
      <c r="A6" s="29" t="s">
        <v>3</v>
      </c>
      <c r="B6" s="61"/>
      <c r="C6" s="44">
        <v>-717442.20431949198</v>
      </c>
      <c r="D6" s="38">
        <f t="shared" ref="D6:J6" si="2">C6+D7*C6</f>
        <v>-738929.59833886079</v>
      </c>
      <c r="E6" s="38">
        <f t="shared" si="2"/>
        <v>-750013.54231394373</v>
      </c>
      <c r="F6" s="38">
        <f t="shared" si="2"/>
        <v>-761263.74544865289</v>
      </c>
      <c r="G6" s="38">
        <f t="shared" si="2"/>
        <v>-772682.70163038268</v>
      </c>
      <c r="H6" s="38">
        <f t="shared" si="2"/>
        <v>-784272.94215483847</v>
      </c>
      <c r="I6" s="38">
        <f t="shared" si="2"/>
        <v>-796037.03628716106</v>
      </c>
      <c r="J6" s="39">
        <f t="shared" si="2"/>
        <v>-807977.59183146851</v>
      </c>
      <c r="L6" s="22">
        <v>2021</v>
      </c>
      <c r="M6" s="23">
        <v>0</v>
      </c>
      <c r="N6" s="91">
        <v>1.7212082650898481</v>
      </c>
      <c r="O6" s="23">
        <v>1.4999999999999999E-2</v>
      </c>
      <c r="P6" s="23">
        <v>0</v>
      </c>
      <c r="Q6" s="91">
        <v>0.192</v>
      </c>
      <c r="R6" s="92">
        <v>-40320</v>
      </c>
      <c r="Y6" s="5"/>
    </row>
    <row r="7" spans="1:25" s="4" customFormat="1" ht="15.75" thickBot="1" x14ac:dyDescent="0.3">
      <c r="A7" s="30" t="s">
        <v>4</v>
      </c>
      <c r="B7" s="63"/>
      <c r="C7" s="45"/>
      <c r="D7" s="46">
        <f>D5</f>
        <v>2.9950000000000001E-2</v>
      </c>
      <c r="E7" s="89">
        <f t="shared" ref="E7:J7" si="3">1.5%</f>
        <v>1.4999999999999999E-2</v>
      </c>
      <c r="F7" s="89">
        <f t="shared" si="3"/>
        <v>1.4999999999999999E-2</v>
      </c>
      <c r="G7" s="89">
        <f t="shared" si="3"/>
        <v>1.4999999999999999E-2</v>
      </c>
      <c r="H7" s="89">
        <f t="shared" si="3"/>
        <v>1.4999999999999999E-2</v>
      </c>
      <c r="I7" s="89">
        <f t="shared" si="3"/>
        <v>1.4999999999999999E-2</v>
      </c>
      <c r="J7" s="90">
        <f t="shared" si="3"/>
        <v>1.4999999999999999E-2</v>
      </c>
      <c r="K7" s="1"/>
      <c r="L7" s="22">
        <v>2022</v>
      </c>
      <c r="M7" s="23">
        <v>0</v>
      </c>
      <c r="N7" s="91">
        <v>1.7470263890661957</v>
      </c>
      <c r="O7" s="23">
        <v>1.4999999999999999E-2</v>
      </c>
      <c r="P7" s="23">
        <v>0</v>
      </c>
      <c r="Q7" s="91">
        <v>0.1152</v>
      </c>
      <c r="R7" s="92">
        <v>-24192</v>
      </c>
      <c r="S7" s="2"/>
      <c r="T7" s="2"/>
      <c r="U7" s="2"/>
      <c r="V7" s="1"/>
    </row>
    <row r="8" spans="1:25" x14ac:dyDescent="0.25">
      <c r="A8" s="31" t="s">
        <v>5</v>
      </c>
      <c r="B8" s="82">
        <f t="shared" ref="B8:J8" si="4">B4+B6</f>
        <v>0</v>
      </c>
      <c r="C8" s="83">
        <f t="shared" si="4"/>
        <v>974590.09168050811</v>
      </c>
      <c r="D8" s="83">
        <f t="shared" si="4"/>
        <v>1003779.0649263393</v>
      </c>
      <c r="E8" s="83">
        <f t="shared" si="4"/>
        <v>1018835.7509002344</v>
      </c>
      <c r="F8" s="83">
        <f t="shared" si="4"/>
        <v>1034118.2871637379</v>
      </c>
      <c r="G8" s="83">
        <f t="shared" si="4"/>
        <v>1049630.061471194</v>
      </c>
      <c r="H8" s="83">
        <f t="shared" si="4"/>
        <v>1065374.5123932618</v>
      </c>
      <c r="I8" s="83">
        <f t="shared" si="4"/>
        <v>1081355.1300791607</v>
      </c>
      <c r="J8" s="84">
        <f t="shared" si="4"/>
        <v>1097575.457030348</v>
      </c>
      <c r="L8" s="22">
        <v>2023</v>
      </c>
      <c r="M8" s="23">
        <v>0</v>
      </c>
      <c r="N8" s="91">
        <v>1.7732317849021884</v>
      </c>
      <c r="O8" s="23">
        <v>1.4999999999999999E-2</v>
      </c>
      <c r="P8" s="23">
        <v>0</v>
      </c>
      <c r="Q8" s="91">
        <v>0.1152</v>
      </c>
      <c r="R8" s="92">
        <v>-24192</v>
      </c>
    </row>
    <row r="9" spans="1:25" s="4" customFormat="1" ht="15.75" thickBot="1" x14ac:dyDescent="0.3">
      <c r="A9" s="30" t="s">
        <v>6</v>
      </c>
      <c r="B9" s="73"/>
      <c r="C9" s="74">
        <f t="shared" ref="C9:J9" si="5">C8/C4</f>
        <v>0.57598787800000006</v>
      </c>
      <c r="D9" s="74">
        <f t="shared" si="5"/>
        <v>0.57598787800000006</v>
      </c>
      <c r="E9" s="74">
        <f t="shared" si="5"/>
        <v>0.57598787800000006</v>
      </c>
      <c r="F9" s="74">
        <f t="shared" si="5"/>
        <v>0.57598787800000006</v>
      </c>
      <c r="G9" s="74">
        <f t="shared" si="5"/>
        <v>0.57598787800000018</v>
      </c>
      <c r="H9" s="74">
        <f t="shared" si="5"/>
        <v>0.57598787800000006</v>
      </c>
      <c r="I9" s="74">
        <f t="shared" si="5"/>
        <v>0.57598787800000006</v>
      </c>
      <c r="J9" s="75">
        <f t="shared" si="5"/>
        <v>0.57598787799999995</v>
      </c>
      <c r="K9" s="1"/>
      <c r="L9" s="22">
        <v>2024</v>
      </c>
      <c r="M9" s="23">
        <v>0</v>
      </c>
      <c r="N9" s="91">
        <v>1.7998302616757209</v>
      </c>
      <c r="O9" s="23">
        <v>1.4999999999999999E-2</v>
      </c>
      <c r="P9" s="23">
        <v>0</v>
      </c>
      <c r="Q9" s="91">
        <v>5.7599999999999998E-2</v>
      </c>
      <c r="R9" s="92">
        <v>-12096</v>
      </c>
      <c r="S9" s="2"/>
      <c r="T9" s="2"/>
      <c r="U9" s="2"/>
      <c r="V9" s="1"/>
    </row>
    <row r="10" spans="1:25" x14ac:dyDescent="0.25">
      <c r="A10" s="29"/>
      <c r="B10" s="64"/>
      <c r="C10" s="47"/>
      <c r="D10" s="48"/>
      <c r="E10" s="48"/>
      <c r="F10" s="48"/>
      <c r="G10" s="48"/>
      <c r="H10" s="48"/>
      <c r="I10" s="48"/>
      <c r="J10" s="49"/>
      <c r="L10" s="22">
        <v>2025</v>
      </c>
      <c r="M10" s="23">
        <v>0</v>
      </c>
      <c r="N10" s="91">
        <v>1.8268277156008565</v>
      </c>
      <c r="O10" s="23">
        <v>1.4999999999999999E-2</v>
      </c>
      <c r="P10" s="23">
        <v>0</v>
      </c>
      <c r="Q10" s="91">
        <v>0</v>
      </c>
      <c r="R10" s="92">
        <v>0</v>
      </c>
    </row>
    <row r="11" spans="1:25" x14ac:dyDescent="0.25">
      <c r="A11" s="29" t="s">
        <v>7</v>
      </c>
      <c r="B11" s="65"/>
      <c r="C11" s="38">
        <f t="shared" ref="C11:J11" si="6">-C4*0.210630567</f>
        <v>-356393.72188879183</v>
      </c>
      <c r="D11" s="38">
        <f t="shared" si="6"/>
        <v>-367067.71385936113</v>
      </c>
      <c r="E11" s="38">
        <f t="shared" si="6"/>
        <v>-372573.72956725158</v>
      </c>
      <c r="F11" s="38">
        <f t="shared" si="6"/>
        <v>-378162.33551076037</v>
      </c>
      <c r="G11" s="38">
        <f t="shared" si="6"/>
        <v>-383834.77054342174</v>
      </c>
      <c r="H11" s="38">
        <f t="shared" si="6"/>
        <v>-389592.29210157308</v>
      </c>
      <c r="I11" s="38">
        <f t="shared" si="6"/>
        <v>-395436.17648309667</v>
      </c>
      <c r="J11" s="39">
        <f t="shared" si="6"/>
        <v>-401367.71913034312</v>
      </c>
      <c r="L11" s="22">
        <v>2026</v>
      </c>
      <c r="M11" s="23">
        <v>0</v>
      </c>
      <c r="N11" s="91">
        <v>1.8542301313348692</v>
      </c>
      <c r="O11" s="23">
        <v>1.4999999999999999E-2</v>
      </c>
      <c r="P11" s="23">
        <v>0</v>
      </c>
      <c r="Q11" s="91">
        <v>0</v>
      </c>
      <c r="R11" s="92">
        <v>0</v>
      </c>
      <c r="W11" s="6"/>
    </row>
    <row r="12" spans="1:25" x14ac:dyDescent="0.25">
      <c r="A12" s="29" t="s">
        <v>21</v>
      </c>
      <c r="B12" s="65">
        <v>-80000</v>
      </c>
      <c r="C12" s="38">
        <v>0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8">
        <v>0</v>
      </c>
      <c r="J12" s="39">
        <v>0</v>
      </c>
      <c r="L12" s="22">
        <v>2027</v>
      </c>
      <c r="M12" s="23"/>
      <c r="N12" s="91"/>
      <c r="O12" s="23"/>
      <c r="P12" s="23"/>
      <c r="Q12" s="91">
        <v>0</v>
      </c>
      <c r="R12" s="92">
        <v>0</v>
      </c>
      <c r="W12" s="6"/>
    </row>
    <row r="13" spans="1:25" ht="15.75" thickBot="1" x14ac:dyDescent="0.3">
      <c r="A13" s="29" t="s">
        <v>22</v>
      </c>
      <c r="B13" s="65"/>
      <c r="C13" s="38">
        <v>-395735.21959423402</v>
      </c>
      <c r="D13" s="38">
        <v>-394501.43870695698</v>
      </c>
      <c r="E13" s="38">
        <v>-393961.659568773</v>
      </c>
      <c r="F13" s="38">
        <v>-394308.66044332</v>
      </c>
      <c r="G13" s="38">
        <v>-394308.66044332</v>
      </c>
      <c r="H13" s="38">
        <v>-394308.66044332</v>
      </c>
      <c r="I13" s="38">
        <v>-394308.66044332</v>
      </c>
      <c r="J13" s="39">
        <v>-394308.66044332</v>
      </c>
      <c r="L13" s="24"/>
      <c r="M13" s="25"/>
      <c r="N13" s="26"/>
      <c r="O13" s="25"/>
      <c r="P13" s="25"/>
      <c r="Q13" s="26"/>
      <c r="R13" s="27">
        <v>-210000</v>
      </c>
      <c r="W13" s="6"/>
    </row>
    <row r="14" spans="1:25" x14ac:dyDescent="0.25">
      <c r="A14" s="29" t="s">
        <v>23</v>
      </c>
      <c r="B14" s="65"/>
      <c r="C14" s="38">
        <f>R4</f>
        <v>-42000</v>
      </c>
      <c r="D14" s="38">
        <f>R5</f>
        <v>-67200</v>
      </c>
      <c r="E14" s="38">
        <f>R6</f>
        <v>-40320</v>
      </c>
      <c r="F14" s="38">
        <f>R7</f>
        <v>-24192</v>
      </c>
      <c r="G14" s="38">
        <f>R8</f>
        <v>-24192</v>
      </c>
      <c r="H14" s="38">
        <f>-R9</f>
        <v>12096</v>
      </c>
      <c r="I14" s="38">
        <v>0</v>
      </c>
      <c r="J14" s="39">
        <v>0</v>
      </c>
      <c r="W14" s="6"/>
    </row>
    <row r="15" spans="1:25" ht="15.75" thickBot="1" x14ac:dyDescent="0.3">
      <c r="A15" s="29" t="s">
        <v>8</v>
      </c>
      <c r="B15" s="65"/>
      <c r="C15" s="38">
        <v>-76443.327109897102</v>
      </c>
      <c r="D15" s="38">
        <v>-77589.977016545497</v>
      </c>
      <c r="E15" s="38">
        <v>-78753.826671793693</v>
      </c>
      <c r="F15" s="38">
        <v>-79935.134071870605</v>
      </c>
      <c r="G15" s="38">
        <v>-81134.161082948602</v>
      </c>
      <c r="H15" s="38">
        <v>-82351.173499192897</v>
      </c>
      <c r="I15" s="38">
        <v>-83586.441101680801</v>
      </c>
      <c r="J15" s="39">
        <v>-84840.237718206001</v>
      </c>
      <c r="W15" s="6"/>
    </row>
    <row r="16" spans="1:25" x14ac:dyDescent="0.25">
      <c r="A16" s="31" t="s">
        <v>9</v>
      </c>
      <c r="B16" s="82">
        <f t="shared" ref="B16:J16" si="7">B8+SUM(B11:B15)</f>
        <v>-80000</v>
      </c>
      <c r="C16" s="83">
        <f t="shared" si="7"/>
        <v>104017.82308758516</v>
      </c>
      <c r="D16" s="83">
        <f t="shared" si="7"/>
        <v>97419.935343475663</v>
      </c>
      <c r="E16" s="83">
        <f t="shared" si="7"/>
        <v>133226.53509241622</v>
      </c>
      <c r="F16" s="83">
        <f t="shared" si="7"/>
        <v>157520.15713778697</v>
      </c>
      <c r="G16" s="83">
        <f t="shared" si="7"/>
        <v>166160.46940150368</v>
      </c>
      <c r="H16" s="83">
        <f t="shared" si="7"/>
        <v>211218.38634917571</v>
      </c>
      <c r="I16" s="83">
        <f t="shared" si="7"/>
        <v>208023.85205106321</v>
      </c>
      <c r="J16" s="84">
        <f t="shared" si="7"/>
        <v>217058.83973847888</v>
      </c>
      <c r="W16" s="6"/>
    </row>
    <row r="17" spans="1:24" s="4" customFormat="1" ht="15.75" thickBot="1" x14ac:dyDescent="0.3">
      <c r="A17" s="30" t="s">
        <v>10</v>
      </c>
      <c r="B17" s="76"/>
      <c r="C17" s="77">
        <f t="shared" ref="C17:J17" si="8">C16/C4</f>
        <v>6.1475081376097536E-2</v>
      </c>
      <c r="D17" s="77">
        <f t="shared" si="8"/>
        <v>5.5901446637067982E-2</v>
      </c>
      <c r="E17" s="77">
        <f t="shared" si="8"/>
        <v>7.5318194491476503E-2</v>
      </c>
      <c r="F17" s="77">
        <f t="shared" si="8"/>
        <v>8.7736289144314028E-2</v>
      </c>
      <c r="G17" s="77">
        <f t="shared" si="8"/>
        <v>9.1181092930885554E-2</v>
      </c>
      <c r="H17" s="77">
        <f t="shared" si="8"/>
        <v>0.11419386209507686</v>
      </c>
      <c r="I17" s="77">
        <f t="shared" si="8"/>
        <v>0.11080468736251936</v>
      </c>
      <c r="J17" s="78">
        <f t="shared" si="8"/>
        <v>0.11390857886015178</v>
      </c>
      <c r="K17" s="1"/>
      <c r="L17" s="2"/>
      <c r="M17" s="2"/>
      <c r="N17" s="1"/>
      <c r="O17" s="2"/>
      <c r="P17" s="2"/>
      <c r="Q17" s="1"/>
      <c r="R17" s="2"/>
      <c r="S17" s="2"/>
      <c r="T17" s="2"/>
      <c r="U17" s="2"/>
      <c r="V17" s="1"/>
      <c r="W17" s="6"/>
    </row>
    <row r="18" spans="1:24" x14ac:dyDescent="0.25">
      <c r="A18" s="29"/>
      <c r="B18" s="67"/>
      <c r="C18" s="50"/>
      <c r="D18" s="51"/>
      <c r="E18" s="51"/>
      <c r="F18" s="51"/>
      <c r="G18" s="51"/>
      <c r="H18" s="51"/>
      <c r="I18" s="51"/>
      <c r="J18" s="52"/>
      <c r="W18" s="6"/>
    </row>
    <row r="19" spans="1:24" ht="15.75" thickBot="1" x14ac:dyDescent="0.3">
      <c r="A19" s="29" t="s">
        <v>11</v>
      </c>
      <c r="B19" s="68">
        <f t="shared" ref="B19:J19" si="9">B14</f>
        <v>0</v>
      </c>
      <c r="C19" s="44">
        <f t="shared" si="9"/>
        <v>-42000</v>
      </c>
      <c r="D19" s="44">
        <f t="shared" si="9"/>
        <v>-67200</v>
      </c>
      <c r="E19" s="44">
        <f t="shared" si="9"/>
        <v>-40320</v>
      </c>
      <c r="F19" s="44">
        <f t="shared" si="9"/>
        <v>-24192</v>
      </c>
      <c r="G19" s="44">
        <f t="shared" si="9"/>
        <v>-24192</v>
      </c>
      <c r="H19" s="44">
        <f t="shared" si="9"/>
        <v>12096</v>
      </c>
      <c r="I19" s="44">
        <f t="shared" si="9"/>
        <v>0</v>
      </c>
      <c r="J19" s="53">
        <f t="shared" si="9"/>
        <v>0</v>
      </c>
      <c r="W19" s="6"/>
    </row>
    <row r="20" spans="1:24" x14ac:dyDescent="0.25">
      <c r="A20" s="31" t="s">
        <v>12</v>
      </c>
      <c r="B20" s="82">
        <f t="shared" ref="B20:J20" si="10">B16-B19</f>
        <v>-80000</v>
      </c>
      <c r="C20" s="83">
        <f t="shared" si="10"/>
        <v>146017.82308758516</v>
      </c>
      <c r="D20" s="83">
        <f t="shared" si="10"/>
        <v>164619.93534347566</v>
      </c>
      <c r="E20" s="83">
        <f t="shared" si="10"/>
        <v>173546.53509241622</v>
      </c>
      <c r="F20" s="83">
        <f t="shared" si="10"/>
        <v>181712.15713778697</v>
      </c>
      <c r="G20" s="83">
        <f t="shared" si="10"/>
        <v>190352.46940150368</v>
      </c>
      <c r="H20" s="83">
        <f t="shared" si="10"/>
        <v>199122.38634917571</v>
      </c>
      <c r="I20" s="83">
        <f t="shared" si="10"/>
        <v>208023.85205106321</v>
      </c>
      <c r="J20" s="84">
        <f t="shared" si="10"/>
        <v>217058.83973847888</v>
      </c>
      <c r="W20" s="6"/>
    </row>
    <row r="21" spans="1:24" s="4" customFormat="1" ht="15.75" thickBot="1" x14ac:dyDescent="0.3">
      <c r="A21" s="30" t="s">
        <v>13</v>
      </c>
      <c r="B21" s="76"/>
      <c r="C21" s="77">
        <f t="shared" ref="C21:J21" si="11">C20/C4</f>
        <v>8.6297302618144084E-2</v>
      </c>
      <c r="D21" s="77">
        <f t="shared" si="11"/>
        <v>9.4462108792778929E-2</v>
      </c>
      <c r="E21" s="77">
        <f t="shared" si="11"/>
        <v>9.811267458352238E-2</v>
      </c>
      <c r="F21" s="77">
        <f t="shared" si="11"/>
        <v>0.10121085865685346</v>
      </c>
      <c r="G21" s="77">
        <f t="shared" si="11"/>
        <v>0.10445653087427416</v>
      </c>
      <c r="H21" s="77">
        <f t="shared" si="11"/>
        <v>0.10765423749242238</v>
      </c>
      <c r="I21" s="77">
        <f t="shared" si="11"/>
        <v>0.11080468736251936</v>
      </c>
      <c r="J21" s="78">
        <f t="shared" si="11"/>
        <v>0.11390857886015178</v>
      </c>
      <c r="K21" s="1"/>
      <c r="L21" s="2"/>
      <c r="M21" s="2"/>
      <c r="N21" s="1"/>
      <c r="O21" s="2"/>
      <c r="P21" s="2"/>
      <c r="Q21" s="1"/>
      <c r="R21" s="2"/>
      <c r="S21" s="2"/>
      <c r="T21" s="2"/>
      <c r="U21" s="2"/>
      <c r="V21" s="1"/>
      <c r="W21" s="6"/>
    </row>
    <row r="22" spans="1:24" ht="15.75" thickBot="1" x14ac:dyDescent="0.3">
      <c r="A22" s="29"/>
      <c r="B22" s="67"/>
      <c r="C22" s="50"/>
      <c r="D22" s="51"/>
      <c r="E22" s="51"/>
      <c r="F22" s="51"/>
      <c r="G22" s="51"/>
      <c r="H22" s="51"/>
      <c r="I22" s="51"/>
      <c r="J22" s="52"/>
      <c r="W22" s="6"/>
    </row>
    <row r="23" spans="1:24" x14ac:dyDescent="0.25">
      <c r="A23" s="29" t="s">
        <v>24</v>
      </c>
      <c r="B23" s="230">
        <f t="shared" ref="B23:J23" si="12">B29-B19</f>
        <v>-52800</v>
      </c>
      <c r="C23" s="231">
        <f t="shared" si="12"/>
        <v>110651.76323780621</v>
      </c>
      <c r="D23" s="231">
        <f t="shared" si="12"/>
        <v>131497.15732669394</v>
      </c>
      <c r="E23" s="231">
        <f t="shared" si="12"/>
        <v>128249.5131609947</v>
      </c>
      <c r="F23" s="231">
        <f t="shared" si="12"/>
        <v>128155.30371093939</v>
      </c>
      <c r="G23" s="231">
        <f t="shared" si="12"/>
        <v>133857.90980499244</v>
      </c>
      <c r="H23" s="231">
        <f t="shared" si="12"/>
        <v>127308.13499045596</v>
      </c>
      <c r="I23" s="231">
        <f t="shared" si="12"/>
        <v>137295.74235370173</v>
      </c>
      <c r="J23" s="232">
        <f t="shared" si="12"/>
        <v>143258.83422739606</v>
      </c>
      <c r="W23" s="6"/>
    </row>
    <row r="24" spans="1:24" s="4" customFormat="1" ht="15.75" thickBot="1" x14ac:dyDescent="0.3">
      <c r="A24" s="30" t="s">
        <v>25</v>
      </c>
      <c r="B24" s="233">
        <f t="shared" ref="B24:J24" si="13">B23/B20</f>
        <v>0.66</v>
      </c>
      <c r="C24" s="234">
        <f t="shared" si="13"/>
        <v>0.75779628060496773</v>
      </c>
      <c r="D24" s="234">
        <f t="shared" si="13"/>
        <v>0.79879242481980195</v>
      </c>
      <c r="E24" s="234">
        <f t="shared" si="13"/>
        <v>0.73899206972181752</v>
      </c>
      <c r="F24" s="234">
        <f t="shared" si="13"/>
        <v>0.7052654358935545</v>
      </c>
      <c r="G24" s="234">
        <f t="shared" si="13"/>
        <v>0.70321078694624506</v>
      </c>
      <c r="H24" s="234">
        <f t="shared" si="13"/>
        <v>0.63934616958241852</v>
      </c>
      <c r="I24" s="234">
        <f t="shared" si="13"/>
        <v>0.66</v>
      </c>
      <c r="J24" s="235">
        <f t="shared" si="13"/>
        <v>0.66</v>
      </c>
      <c r="K24" s="1"/>
      <c r="L24" s="2"/>
      <c r="M24" s="2"/>
      <c r="N24" s="1"/>
      <c r="O24" s="2"/>
      <c r="P24" s="2"/>
      <c r="Q24" s="1"/>
      <c r="R24" s="2"/>
      <c r="S24" s="2"/>
      <c r="T24" s="2"/>
      <c r="U24" s="2"/>
      <c r="V24" s="1"/>
      <c r="W24" s="6"/>
    </row>
    <row r="25" spans="1:24" ht="15.75" thickBot="1" x14ac:dyDescent="0.3">
      <c r="A25" s="29"/>
      <c r="B25" s="67"/>
      <c r="C25" s="50"/>
      <c r="D25" s="54"/>
      <c r="E25" s="54"/>
      <c r="F25" s="54"/>
      <c r="G25" s="54"/>
      <c r="H25" s="54"/>
      <c r="I25" s="54"/>
      <c r="J25" s="55"/>
      <c r="W25" s="6"/>
    </row>
    <row r="26" spans="1:24" ht="15.75" thickBot="1" x14ac:dyDescent="0.3">
      <c r="A26" s="31" t="s">
        <v>14</v>
      </c>
      <c r="B26" s="79">
        <f t="shared" ref="B26:J26" si="14">B16</f>
        <v>-80000</v>
      </c>
      <c r="C26" s="80">
        <f t="shared" si="14"/>
        <v>104017.82308758516</v>
      </c>
      <c r="D26" s="80">
        <f t="shared" si="14"/>
        <v>97419.935343475663</v>
      </c>
      <c r="E26" s="80">
        <f t="shared" si="14"/>
        <v>133226.53509241622</v>
      </c>
      <c r="F26" s="80">
        <f t="shared" si="14"/>
        <v>157520.15713778697</v>
      </c>
      <c r="G26" s="80">
        <f t="shared" si="14"/>
        <v>166160.46940150368</v>
      </c>
      <c r="H26" s="80">
        <f t="shared" si="14"/>
        <v>211218.38634917571</v>
      </c>
      <c r="I26" s="80">
        <f t="shared" si="14"/>
        <v>208023.85205106321</v>
      </c>
      <c r="J26" s="81">
        <f t="shared" si="14"/>
        <v>217058.83973847888</v>
      </c>
      <c r="W26" s="6"/>
      <c r="X26" s="5"/>
    </row>
    <row r="27" spans="1:24" x14ac:dyDescent="0.25">
      <c r="A27" s="29" t="s">
        <v>15</v>
      </c>
      <c r="B27" s="65">
        <f t="shared" ref="B27:J27" si="15">-B28*B16</f>
        <v>27200.000000000004</v>
      </c>
      <c r="C27" s="38">
        <f t="shared" si="15"/>
        <v>-35366.059849778954</v>
      </c>
      <c r="D27" s="38">
        <f t="shared" si="15"/>
        <v>-33122.778016781725</v>
      </c>
      <c r="E27" s="38">
        <f t="shared" si="15"/>
        <v>-45297.021931421521</v>
      </c>
      <c r="F27" s="38">
        <f t="shared" si="15"/>
        <v>-53556.853426847571</v>
      </c>
      <c r="G27" s="38">
        <f t="shared" si="15"/>
        <v>-56494.559596511259</v>
      </c>
      <c r="H27" s="38">
        <f t="shared" si="15"/>
        <v>-71814.251358719746</v>
      </c>
      <c r="I27" s="38">
        <f t="shared" si="15"/>
        <v>-70728.109697361491</v>
      </c>
      <c r="J27" s="39">
        <f t="shared" si="15"/>
        <v>-73800.005511082825</v>
      </c>
      <c r="W27" s="6"/>
      <c r="X27" s="5"/>
    </row>
    <row r="28" spans="1:24" s="4" customFormat="1" ht="15.75" thickBot="1" x14ac:dyDescent="0.3">
      <c r="A28" s="30" t="s">
        <v>16</v>
      </c>
      <c r="B28" s="69">
        <f>34%</f>
        <v>0.34</v>
      </c>
      <c r="C28" s="56">
        <f>34%</f>
        <v>0.34</v>
      </c>
      <c r="D28" s="56">
        <f>34%</f>
        <v>0.34</v>
      </c>
      <c r="E28" s="56">
        <f>34%</f>
        <v>0.34</v>
      </c>
      <c r="F28" s="56">
        <f>34%</f>
        <v>0.34</v>
      </c>
      <c r="G28" s="56">
        <f>34%</f>
        <v>0.34</v>
      </c>
      <c r="H28" s="56">
        <f>34%</f>
        <v>0.34</v>
      </c>
      <c r="I28" s="56">
        <f>34%</f>
        <v>0.34</v>
      </c>
      <c r="J28" s="57">
        <f>34%</f>
        <v>0.34</v>
      </c>
      <c r="K28" s="1"/>
      <c r="L28" s="2"/>
      <c r="M28" s="2"/>
      <c r="N28" s="1"/>
      <c r="O28" s="2"/>
      <c r="P28" s="2"/>
      <c r="Q28" s="1"/>
      <c r="R28" s="2"/>
      <c r="S28" s="2"/>
      <c r="T28" s="2"/>
      <c r="U28" s="2"/>
      <c r="V28" s="1"/>
      <c r="W28" s="6"/>
    </row>
    <row r="29" spans="1:24" x14ac:dyDescent="0.25">
      <c r="A29" s="31" t="s">
        <v>17</v>
      </c>
      <c r="B29" s="82">
        <f t="shared" ref="B29:J29" si="16">B26+B27</f>
        <v>-52800</v>
      </c>
      <c r="C29" s="83">
        <f t="shared" si="16"/>
        <v>68651.763237806212</v>
      </c>
      <c r="D29" s="83">
        <f t="shared" si="16"/>
        <v>64297.157326693938</v>
      </c>
      <c r="E29" s="83">
        <f t="shared" si="16"/>
        <v>87929.513160994698</v>
      </c>
      <c r="F29" s="83">
        <f t="shared" si="16"/>
        <v>103963.30371093939</v>
      </c>
      <c r="G29" s="83">
        <f t="shared" si="16"/>
        <v>109665.90980499242</v>
      </c>
      <c r="H29" s="83">
        <f t="shared" si="16"/>
        <v>139404.13499045596</v>
      </c>
      <c r="I29" s="83">
        <f t="shared" si="16"/>
        <v>137295.74235370173</v>
      </c>
      <c r="J29" s="84">
        <f t="shared" si="16"/>
        <v>143258.83422739606</v>
      </c>
      <c r="W29" s="6"/>
    </row>
    <row r="30" spans="1:24" s="4" customFormat="1" ht="15.75" thickBot="1" x14ac:dyDescent="0.3">
      <c r="A30" s="30" t="s">
        <v>18</v>
      </c>
      <c r="B30" s="76"/>
      <c r="C30" s="77">
        <f t="shared" ref="C30:J30" si="17">C29/C4</f>
        <v>4.057355370822438E-2</v>
      </c>
      <c r="D30" s="77">
        <f t="shared" si="17"/>
        <v>3.6894954780464867E-2</v>
      </c>
      <c r="E30" s="77">
        <f t="shared" si="17"/>
        <v>4.9710008364374489E-2</v>
      </c>
      <c r="F30" s="77">
        <f t="shared" si="17"/>
        <v>5.7905950835247258E-2</v>
      </c>
      <c r="G30" s="77">
        <f t="shared" si="17"/>
        <v>6.0179521334384457E-2</v>
      </c>
      <c r="H30" s="77">
        <f t="shared" si="17"/>
        <v>7.5367948982750732E-2</v>
      </c>
      <c r="I30" s="77">
        <f t="shared" si="17"/>
        <v>7.3131093659262777E-2</v>
      </c>
      <c r="J30" s="78">
        <f t="shared" si="17"/>
        <v>7.5179662047700171E-2</v>
      </c>
      <c r="K30" s="1"/>
      <c r="L30" s="2"/>
      <c r="M30" s="2"/>
      <c r="N30" s="1"/>
      <c r="O30" s="2"/>
      <c r="P30" s="2"/>
      <c r="Q30" s="1"/>
      <c r="R30" s="2"/>
      <c r="S30" s="2"/>
      <c r="T30" s="2"/>
      <c r="U30" s="2"/>
      <c r="V30" s="1"/>
      <c r="W30" s="6"/>
    </row>
    <row r="31" spans="1:24" s="4" customFormat="1" x14ac:dyDescent="0.25">
      <c r="A31" s="30"/>
      <c r="B31" s="66"/>
      <c r="C31" s="40"/>
      <c r="D31" s="42"/>
      <c r="E31" s="42"/>
      <c r="F31" s="42"/>
      <c r="G31" s="42"/>
      <c r="H31" s="42"/>
      <c r="I31" s="42"/>
      <c r="J31" s="43"/>
      <c r="K31" s="1"/>
      <c r="L31" s="2"/>
      <c r="M31" s="2"/>
      <c r="N31" s="1"/>
      <c r="O31" s="2"/>
      <c r="P31" s="2"/>
      <c r="Q31" s="1"/>
      <c r="R31" s="2"/>
      <c r="S31" s="2"/>
      <c r="T31" s="2"/>
      <c r="U31" s="2"/>
      <c r="V31" s="1"/>
      <c r="W31" s="9"/>
    </row>
    <row r="32" spans="1:24" s="4" customFormat="1" x14ac:dyDescent="0.25">
      <c r="A32" s="30"/>
      <c r="B32" s="61"/>
      <c r="C32" s="40"/>
      <c r="D32" s="58"/>
      <c r="E32" s="58"/>
      <c r="F32" s="58"/>
      <c r="G32" s="58"/>
      <c r="H32" s="58"/>
      <c r="I32" s="58"/>
      <c r="J32" s="59"/>
      <c r="K32" s="1"/>
      <c r="L32" s="2"/>
      <c r="M32" s="2"/>
      <c r="N32" s="1"/>
      <c r="O32" s="2"/>
      <c r="P32" s="2"/>
      <c r="Q32" s="1"/>
      <c r="R32" s="2"/>
      <c r="S32" s="2"/>
      <c r="T32" s="2"/>
      <c r="U32" s="2"/>
      <c r="V32" s="1"/>
    </row>
    <row r="33" spans="1:10" x14ac:dyDescent="0.25">
      <c r="A33" s="29" t="s">
        <v>26</v>
      </c>
      <c r="B33" s="68"/>
      <c r="C33" s="44">
        <v>-20000</v>
      </c>
      <c r="D33" s="44">
        <f t="shared" ref="D33:J33" si="18">C33+C33*D5</f>
        <v>-20599</v>
      </c>
      <c r="E33" s="44">
        <f t="shared" si="18"/>
        <v>-20907.985000000001</v>
      </c>
      <c r="F33" s="44">
        <f t="shared" si="18"/>
        <v>-21221.604775</v>
      </c>
      <c r="G33" s="44">
        <f t="shared" si="18"/>
        <v>-21539.928846625</v>
      </c>
      <c r="H33" s="44">
        <f t="shared" si="18"/>
        <v>-21863.027779324377</v>
      </c>
      <c r="I33" s="44">
        <f t="shared" si="18"/>
        <v>-22190.973196014242</v>
      </c>
      <c r="J33" s="53">
        <f t="shared" si="18"/>
        <v>-22523.837793954455</v>
      </c>
    </row>
    <row r="34" spans="1:10" x14ac:dyDescent="0.25">
      <c r="A34" s="29" t="s">
        <v>27</v>
      </c>
      <c r="B34" s="68"/>
      <c r="C34" s="44"/>
      <c r="D34" s="44">
        <f t="shared" ref="D34:J34" si="19">D33-C33</f>
        <v>-599</v>
      </c>
      <c r="E34" s="44">
        <f t="shared" si="19"/>
        <v>-308.98500000000058</v>
      </c>
      <c r="F34" s="44">
        <f t="shared" si="19"/>
        <v>-313.61977499999921</v>
      </c>
      <c r="G34" s="44">
        <f t="shared" si="19"/>
        <v>-318.32407162500022</v>
      </c>
      <c r="H34" s="44">
        <f t="shared" si="19"/>
        <v>-323.09893269937675</v>
      </c>
      <c r="I34" s="44">
        <f t="shared" si="19"/>
        <v>-327.94541668986494</v>
      </c>
      <c r="J34" s="53">
        <f t="shared" si="19"/>
        <v>-332.86459794021357</v>
      </c>
    </row>
    <row r="35" spans="1:10" x14ac:dyDescent="0.25">
      <c r="A35" s="29" t="s">
        <v>19</v>
      </c>
      <c r="B35" s="68">
        <v>-210000</v>
      </c>
      <c r="C35" s="44">
        <v>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f>I19</f>
        <v>0</v>
      </c>
      <c r="J35" s="53">
        <f>30000*(1-0.34)</f>
        <v>19799.999999999996</v>
      </c>
    </row>
    <row r="36" spans="1:10" ht="15" customHeight="1" thickBot="1" x14ac:dyDescent="0.3">
      <c r="A36" s="29" t="s">
        <v>29</v>
      </c>
      <c r="B36" s="68"/>
      <c r="C36" s="44">
        <f t="shared" ref="C36:J36" si="20">-5%*400000*2</f>
        <v>-40000</v>
      </c>
      <c r="D36" s="44">
        <f t="shared" si="20"/>
        <v>-40000</v>
      </c>
      <c r="E36" s="44">
        <f t="shared" si="20"/>
        <v>-40000</v>
      </c>
      <c r="F36" s="44">
        <f t="shared" si="20"/>
        <v>-40000</v>
      </c>
      <c r="G36" s="44">
        <f t="shared" si="20"/>
        <v>-40000</v>
      </c>
      <c r="H36" s="44">
        <f t="shared" si="20"/>
        <v>-40000</v>
      </c>
      <c r="I36" s="44">
        <f t="shared" si="20"/>
        <v>-40000</v>
      </c>
      <c r="J36" s="53">
        <f t="shared" si="20"/>
        <v>-40000</v>
      </c>
    </row>
    <row r="37" spans="1:10" ht="15.75" thickBot="1" x14ac:dyDescent="0.3">
      <c r="A37" s="118" t="s">
        <v>28</v>
      </c>
      <c r="B37" s="86">
        <f t="shared" ref="B37:J37" si="21">B23+B34+B35+B36</f>
        <v>-262800</v>
      </c>
      <c r="C37" s="87">
        <f t="shared" si="21"/>
        <v>70651.763237806212</v>
      </c>
      <c r="D37" s="87">
        <f t="shared" si="21"/>
        <v>90898.157326693938</v>
      </c>
      <c r="E37" s="87">
        <f t="shared" si="21"/>
        <v>87940.528160994698</v>
      </c>
      <c r="F37" s="87">
        <f t="shared" si="21"/>
        <v>87841.683935939393</v>
      </c>
      <c r="G37" s="87">
        <f t="shared" si="21"/>
        <v>93539.585733367421</v>
      </c>
      <c r="H37" s="87">
        <f t="shared" si="21"/>
        <v>86985.036057756588</v>
      </c>
      <c r="I37" s="87">
        <f t="shared" si="21"/>
        <v>96967.796937011881</v>
      </c>
      <c r="J37" s="88">
        <f t="shared" si="21"/>
        <v>122725.96962945585</v>
      </c>
    </row>
    <row r="38" spans="1:10" x14ac:dyDescent="0.25">
      <c r="A38" s="10"/>
      <c r="B38" s="10"/>
      <c r="C38" s="10"/>
      <c r="D38" s="7"/>
      <c r="E38" s="8"/>
      <c r="F38" s="8"/>
      <c r="G38" s="7"/>
      <c r="H38" s="7"/>
      <c r="I38" s="8"/>
      <c r="J38" s="8"/>
    </row>
    <row r="39" spans="1:10" x14ac:dyDescent="0.25">
      <c r="A39" s="10"/>
      <c r="B39" s="10"/>
      <c r="C39" s="10"/>
      <c r="D39" s="7"/>
      <c r="E39" s="8"/>
      <c r="F39" s="8"/>
      <c r="G39" s="7"/>
      <c r="H39" s="7"/>
      <c r="I39" s="8"/>
      <c r="J39" s="8"/>
    </row>
    <row r="40" spans="1:10" x14ac:dyDescent="0.25">
      <c r="A40" s="17">
        <f>NPV(0.027,C37:J37)</f>
        <v>650769.96866630437</v>
      </c>
      <c r="B40" s="10"/>
      <c r="C40" s="10"/>
      <c r="D40" s="7"/>
      <c r="E40" s="8"/>
      <c r="F40" s="8"/>
      <c r="G40" s="7"/>
      <c r="H40" s="7"/>
      <c r="I40" s="8"/>
      <c r="J40" s="8"/>
    </row>
    <row r="41" spans="1:10" x14ac:dyDescent="0.25">
      <c r="A41" s="18">
        <f>A40+B37</f>
        <v>387969.96866630437</v>
      </c>
      <c r="D41" s="7"/>
      <c r="E41" s="8"/>
      <c r="F41" s="8"/>
      <c r="G41" s="7"/>
      <c r="H41" s="7"/>
      <c r="I41" s="8"/>
      <c r="J41" s="8"/>
    </row>
    <row r="42" spans="1:10" x14ac:dyDescent="0.25">
      <c r="D42" s="7"/>
      <c r="E42" s="8"/>
      <c r="F42" s="8"/>
      <c r="G42" s="7"/>
      <c r="H42" s="7"/>
      <c r="I42" s="8"/>
      <c r="J42" s="8"/>
    </row>
  </sheetData>
  <pageMargins left="0.7" right="0.7" top="0.75" bottom="0.75" header="0.3" footer="0.3"/>
  <pageSetup orientation="portrait" r:id="rId1"/>
  <ignoredErrors>
    <ignoredError sqref="E6:J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topLeftCell="D1" workbookViewId="0">
      <selection activeCell="L20" sqref="L20"/>
    </sheetView>
  </sheetViews>
  <sheetFormatPr defaultColWidth="12.5703125" defaultRowHeight="15.75" x14ac:dyDescent="0.25"/>
  <cols>
    <col min="1" max="7" width="12.5703125" style="12"/>
    <col min="8" max="8" width="26.28515625" style="12" customWidth="1"/>
    <col min="9" max="9" width="23.28515625" style="12" bestFit="1" customWidth="1"/>
    <col min="10" max="10" width="12.5703125" style="12"/>
    <col min="11" max="11" width="18.42578125" style="12" customWidth="1"/>
    <col min="12" max="12" width="34.42578125" style="12" customWidth="1"/>
    <col min="13" max="16384" width="12.5703125" style="12"/>
  </cols>
  <sheetData>
    <row r="1" spans="1:12" x14ac:dyDescent="0.25">
      <c r="A1" s="12" t="s">
        <v>48</v>
      </c>
      <c r="B1" s="12" t="s">
        <v>47</v>
      </c>
      <c r="C1" s="12" t="s">
        <v>46</v>
      </c>
      <c r="D1" s="12" t="s">
        <v>45</v>
      </c>
      <c r="E1" s="12" t="s">
        <v>44</v>
      </c>
      <c r="F1" s="12" t="s">
        <v>43</v>
      </c>
    </row>
    <row r="2" spans="1:12" x14ac:dyDescent="0.25">
      <c r="A2" s="13">
        <v>42443</v>
      </c>
      <c r="B2" s="12">
        <v>3852.1499020000001</v>
      </c>
      <c r="D2" s="12">
        <v>57.623900999999996</v>
      </c>
      <c r="F2" s="12">
        <v>1.871</v>
      </c>
    </row>
    <row r="3" spans="1:12" x14ac:dyDescent="0.25">
      <c r="A3" s="13">
        <v>42450</v>
      </c>
      <c r="B3" s="12">
        <v>3827.139893</v>
      </c>
      <c r="C3" s="12">
        <f t="shared" ref="C3:C34" si="0">(B3-B2)/B2</f>
        <v>-6.4924807279735193E-3</v>
      </c>
      <c r="D3" s="12">
        <v>56.330497999999999</v>
      </c>
      <c r="E3" s="12">
        <f t="shared" ref="E3:E34" si="1">(D3-D2)/D2</f>
        <v>-2.2445599439718564E-2</v>
      </c>
      <c r="F3" s="12">
        <v>1.9</v>
      </c>
    </row>
    <row r="4" spans="1:12" x14ac:dyDescent="0.25">
      <c r="A4" s="13">
        <v>42457</v>
      </c>
      <c r="B4" s="12">
        <v>3897.6599120000001</v>
      </c>
      <c r="C4" s="12">
        <f t="shared" si="0"/>
        <v>1.8426297697919047E-2</v>
      </c>
      <c r="D4" s="12">
        <v>58.897995000000002</v>
      </c>
      <c r="E4" s="12">
        <f t="shared" si="1"/>
        <v>4.5579163883834352E-2</v>
      </c>
      <c r="F4" s="12">
        <v>1.792</v>
      </c>
    </row>
    <row r="5" spans="1:12" ht="16.5" thickBot="1" x14ac:dyDescent="0.3">
      <c r="A5" s="13">
        <v>42464</v>
      </c>
      <c r="B5" s="12">
        <v>3852.719971</v>
      </c>
      <c r="C5" s="12">
        <f t="shared" si="0"/>
        <v>-1.1529980043061307E-2</v>
      </c>
      <c r="D5" s="12">
        <v>58.917301000000002</v>
      </c>
      <c r="E5" s="12">
        <f t="shared" si="1"/>
        <v>3.2778704945729081E-4</v>
      </c>
      <c r="F5" s="12">
        <v>1.72</v>
      </c>
    </row>
    <row r="6" spans="1:12" x14ac:dyDescent="0.25">
      <c r="A6" s="13">
        <v>42471</v>
      </c>
      <c r="B6" s="12">
        <v>3916.169922</v>
      </c>
      <c r="C6" s="12">
        <f t="shared" si="0"/>
        <v>1.6468871726364059E-2</v>
      </c>
      <c r="D6" s="12">
        <v>58.405731000000003</v>
      </c>
      <c r="E6" s="12">
        <f t="shared" si="1"/>
        <v>-8.6828485235601501E-3</v>
      </c>
      <c r="F6" s="12">
        <v>1.752</v>
      </c>
      <c r="H6" s="95" t="s">
        <v>42</v>
      </c>
      <c r="I6" s="96">
        <f>_xlfn.COVARIANCE.S(C3:C105,E3:E105)</f>
        <v>1.5067495699086405E-4</v>
      </c>
      <c r="K6" s="107" t="s">
        <v>41</v>
      </c>
      <c r="L6" s="108">
        <v>1422800000</v>
      </c>
    </row>
    <row r="7" spans="1:12" x14ac:dyDescent="0.25">
      <c r="A7" s="13">
        <v>42478</v>
      </c>
      <c r="B7" s="12">
        <v>3937</v>
      </c>
      <c r="C7" s="12">
        <f t="shared" si="0"/>
        <v>5.3189923866638483E-3</v>
      </c>
      <c r="D7" s="12">
        <v>55.674151999999999</v>
      </c>
      <c r="E7" s="12">
        <f t="shared" si="1"/>
        <v>-4.676902340285756E-2</v>
      </c>
      <c r="F7" s="12">
        <v>1.8879999999999999</v>
      </c>
      <c r="H7" s="97" t="s">
        <v>40</v>
      </c>
      <c r="I7" s="98">
        <f>_xlfn.VAR.S(E3:E105)</f>
        <v>5.6107167703654457E-4</v>
      </c>
      <c r="K7" s="109" t="s">
        <v>39</v>
      </c>
      <c r="L7" s="110">
        <v>59.05</v>
      </c>
    </row>
    <row r="8" spans="1:12" x14ac:dyDescent="0.25">
      <c r="A8" s="13">
        <v>42485</v>
      </c>
      <c r="B8" s="12">
        <v>3888.1298830000001</v>
      </c>
      <c r="C8" s="12">
        <f t="shared" si="0"/>
        <v>-1.2413034544069073E-2</v>
      </c>
      <c r="D8" s="12">
        <v>54.274569999999997</v>
      </c>
      <c r="E8" s="12">
        <f t="shared" si="1"/>
        <v>-2.5138811274575002E-2</v>
      </c>
      <c r="F8" s="12">
        <v>1.819</v>
      </c>
      <c r="H8" s="97" t="s">
        <v>38</v>
      </c>
      <c r="I8" s="98">
        <f>I6/I7</f>
        <v>0.26854849951916226</v>
      </c>
      <c r="K8" s="109" t="s">
        <v>37</v>
      </c>
      <c r="L8" s="111">
        <f>L6*L7</f>
        <v>84016340000</v>
      </c>
    </row>
    <row r="9" spans="1:12" x14ac:dyDescent="0.25">
      <c r="A9" s="13">
        <v>42492</v>
      </c>
      <c r="B9" s="12">
        <v>3875.179932</v>
      </c>
      <c r="C9" s="12">
        <f t="shared" si="0"/>
        <v>-3.3306374503127819E-3</v>
      </c>
      <c r="D9" s="12">
        <v>54.351790999999999</v>
      </c>
      <c r="E9" s="12">
        <f t="shared" si="1"/>
        <v>1.4227841878802824E-3</v>
      </c>
      <c r="F9" s="12">
        <v>1.7789999999999999</v>
      </c>
      <c r="H9" s="99"/>
      <c r="I9" s="100"/>
      <c r="K9" s="99"/>
      <c r="L9" s="112"/>
    </row>
    <row r="10" spans="1:12" ht="16.5" thickBot="1" x14ac:dyDescent="0.3">
      <c r="A10" s="13">
        <v>42499</v>
      </c>
      <c r="B10" s="12">
        <v>3858.169922</v>
      </c>
      <c r="C10" s="12">
        <f t="shared" si="0"/>
        <v>-4.3894761787799134E-3</v>
      </c>
      <c r="D10" s="12">
        <v>54.067348000000003</v>
      </c>
      <c r="E10" s="12">
        <f t="shared" si="1"/>
        <v>-5.2333694026751761E-3</v>
      </c>
      <c r="F10" s="12">
        <v>1.7050000000000001</v>
      </c>
      <c r="H10" s="101" t="s">
        <v>36</v>
      </c>
      <c r="I10" s="102">
        <f>AVERAGE(F2:F106)/100</f>
        <v>2.1707142857142862E-2</v>
      </c>
      <c r="K10" s="113" t="s">
        <v>35</v>
      </c>
      <c r="L10" s="114">
        <v>5450100000</v>
      </c>
    </row>
    <row r="11" spans="1:12" ht="16.5" thickBot="1" x14ac:dyDescent="0.3">
      <c r="A11" s="13">
        <v>42506</v>
      </c>
      <c r="B11" s="12">
        <v>3871.75</v>
      </c>
      <c r="C11" s="12">
        <f t="shared" si="0"/>
        <v>3.5198237181218576E-3</v>
      </c>
      <c r="D11" s="12">
        <v>52.905025000000002</v>
      </c>
      <c r="E11" s="12">
        <f t="shared" si="1"/>
        <v>-2.149768840150992E-2</v>
      </c>
      <c r="F11" s="12">
        <v>1.849</v>
      </c>
      <c r="H11" s="99"/>
      <c r="I11" s="100"/>
    </row>
    <row r="12" spans="1:12" ht="16.5" thickBot="1" x14ac:dyDescent="0.3">
      <c r="A12" s="13">
        <v>42513</v>
      </c>
      <c r="B12" s="12">
        <v>3961.669922</v>
      </c>
      <c r="C12" s="12">
        <f t="shared" si="0"/>
        <v>2.3224619874733659E-2</v>
      </c>
      <c r="D12" s="12">
        <v>53.418385000000001</v>
      </c>
      <c r="E12" s="12">
        <f t="shared" si="1"/>
        <v>9.7034260923229629E-3</v>
      </c>
      <c r="F12" s="12">
        <v>1.851</v>
      </c>
      <c r="H12" s="103" t="s">
        <v>34</v>
      </c>
      <c r="I12" s="104">
        <f>I10+I8*0.045</f>
        <v>3.3791825335505163E-2</v>
      </c>
      <c r="K12" s="116" t="s">
        <v>31</v>
      </c>
      <c r="L12" s="117">
        <f>L10/(H26+L10)*I12+H26/(H26+L10)*(1-0.34)*I26</f>
        <v>2.7310860993327767E-2</v>
      </c>
    </row>
    <row r="13" spans="1:12" ht="16.5" thickBot="1" x14ac:dyDescent="0.3">
      <c r="A13" s="13">
        <v>42520</v>
      </c>
      <c r="B13" s="12">
        <v>3963.2299800000001</v>
      </c>
      <c r="C13" s="12">
        <f t="shared" si="0"/>
        <v>3.9378798100687056E-4</v>
      </c>
      <c r="D13" s="12">
        <v>52.895344000000001</v>
      </c>
      <c r="E13" s="12">
        <f t="shared" si="1"/>
        <v>-9.7914042141109131E-3</v>
      </c>
      <c r="F13" s="12">
        <v>1.704</v>
      </c>
      <c r="H13" s="105" t="s">
        <v>56</v>
      </c>
      <c r="I13" s="106">
        <f>I26</f>
        <v>3.2152844827586201E-2</v>
      </c>
      <c r="L13" s="115"/>
    </row>
    <row r="14" spans="1:12" x14ac:dyDescent="0.25">
      <c r="A14" s="13">
        <v>42527</v>
      </c>
      <c r="B14" s="12">
        <v>3958.679932</v>
      </c>
      <c r="C14" s="12">
        <f t="shared" si="0"/>
        <v>-1.1480655987569162E-3</v>
      </c>
      <c r="D14" s="12">
        <v>53.147179000000001</v>
      </c>
      <c r="E14" s="12">
        <f t="shared" si="1"/>
        <v>4.7610050517867845E-3</v>
      </c>
      <c r="F14" s="12">
        <v>1.639</v>
      </c>
    </row>
    <row r="15" spans="1:12" x14ac:dyDescent="0.25">
      <c r="A15" s="13">
        <v>42534</v>
      </c>
      <c r="B15" s="12">
        <v>3914.1499020000001</v>
      </c>
      <c r="C15" s="12">
        <f t="shared" si="0"/>
        <v>-1.1248706832810927E-2</v>
      </c>
      <c r="D15" s="12">
        <v>53.573368000000002</v>
      </c>
      <c r="E15" s="12">
        <f t="shared" si="1"/>
        <v>8.0190333338294555E-3</v>
      </c>
      <c r="F15" s="12">
        <v>1.6180000000000001</v>
      </c>
      <c r="H15" s="16" t="s">
        <v>33</v>
      </c>
      <c r="I15" s="16" t="s">
        <v>32</v>
      </c>
    </row>
    <row r="16" spans="1:12" x14ac:dyDescent="0.25">
      <c r="A16" s="13">
        <v>42541</v>
      </c>
      <c r="B16" s="12">
        <v>3850.6999510000001</v>
      </c>
      <c r="C16" s="12">
        <f t="shared" si="0"/>
        <v>-1.6210403941754822E-2</v>
      </c>
      <c r="D16" s="12">
        <v>52.963141999999998</v>
      </c>
      <c r="E16" s="12">
        <f t="shared" si="1"/>
        <v>-1.1390472967837384E-2</v>
      </c>
      <c r="F16" s="12">
        <v>1.579</v>
      </c>
      <c r="H16" s="16">
        <v>750000000</v>
      </c>
      <c r="I16" s="16">
        <v>3.1960000000000002E-2</v>
      </c>
      <c r="J16" s="12">
        <f t="shared" ref="J16:J25" si="2">H16/$H$26</f>
        <v>0.12931034482758622</v>
      </c>
    </row>
    <row r="17" spans="1:10" x14ac:dyDescent="0.25">
      <c r="A17" s="13">
        <v>42548</v>
      </c>
      <c r="B17" s="12">
        <v>3976.679932</v>
      </c>
      <c r="C17" s="12">
        <f t="shared" si="0"/>
        <v>3.2716125017033283E-2</v>
      </c>
      <c r="D17" s="12">
        <v>55.200614999999999</v>
      </c>
      <c r="E17" s="12">
        <f t="shared" si="1"/>
        <v>4.2245850897592169E-2</v>
      </c>
      <c r="F17" s="12">
        <v>1.456</v>
      </c>
      <c r="H17" s="16">
        <v>350000000</v>
      </c>
      <c r="I17" s="16">
        <v>2.3550000000000001E-2</v>
      </c>
      <c r="J17" s="12">
        <f t="shared" si="2"/>
        <v>6.0344827586206899E-2</v>
      </c>
    </row>
    <row r="18" spans="1:10" x14ac:dyDescent="0.25">
      <c r="A18" s="13">
        <v>42555</v>
      </c>
      <c r="B18" s="12">
        <v>4029.75</v>
      </c>
      <c r="C18" s="12">
        <f t="shared" si="0"/>
        <v>1.3345320445065175E-2</v>
      </c>
      <c r="D18" s="12">
        <v>54.735683000000002</v>
      </c>
      <c r="E18" s="12">
        <f t="shared" si="1"/>
        <v>-8.4225873208115063E-3</v>
      </c>
      <c r="F18" s="12">
        <v>1.3660000000000001</v>
      </c>
      <c r="H18" s="16">
        <v>500000000</v>
      </c>
      <c r="I18" s="16">
        <v>3.007E-2</v>
      </c>
      <c r="J18" s="12">
        <f t="shared" si="2"/>
        <v>8.6206896551724144E-2</v>
      </c>
    </row>
    <row r="19" spans="1:10" x14ac:dyDescent="0.25">
      <c r="A19" s="13">
        <v>42562</v>
      </c>
      <c r="B19" s="12">
        <v>4090.48999</v>
      </c>
      <c r="C19" s="12">
        <f t="shared" si="0"/>
        <v>1.507289285935853E-2</v>
      </c>
      <c r="D19" s="12">
        <v>55.607425999999997</v>
      </c>
      <c r="E19" s="12">
        <f t="shared" si="1"/>
        <v>1.5926411295534487E-2</v>
      </c>
      <c r="F19" s="12">
        <v>1.5940000000000001</v>
      </c>
      <c r="H19" s="16">
        <v>350000000</v>
      </c>
      <c r="I19" s="16">
        <v>4.0750000000000001E-2</v>
      </c>
      <c r="J19" s="12">
        <f t="shared" si="2"/>
        <v>6.0344827586206899E-2</v>
      </c>
    </row>
    <row r="20" spans="1:10" x14ac:dyDescent="0.25">
      <c r="A20" s="13">
        <v>42569</v>
      </c>
      <c r="B20" s="12">
        <v>4116.5</v>
      </c>
      <c r="C20" s="12">
        <f t="shared" si="0"/>
        <v>6.3586538687508106E-3</v>
      </c>
      <c r="D20" s="12">
        <v>56.082034999999998</v>
      </c>
      <c r="E20" s="12">
        <f t="shared" si="1"/>
        <v>8.5349931500156295E-3</v>
      </c>
      <c r="F20" s="12">
        <v>1.57</v>
      </c>
      <c r="H20" s="16">
        <v>750000000</v>
      </c>
      <c r="I20" s="16">
        <v>2.7949999999999999E-2</v>
      </c>
      <c r="J20" s="12">
        <f t="shared" si="2"/>
        <v>0.12931034482758622</v>
      </c>
    </row>
    <row r="21" spans="1:10" x14ac:dyDescent="0.25">
      <c r="A21" s="13">
        <v>42576</v>
      </c>
      <c r="B21" s="12">
        <v>4114.5097660000001</v>
      </c>
      <c r="C21" s="12">
        <f t="shared" si="0"/>
        <v>-4.8347722579858448E-4</v>
      </c>
      <c r="D21" s="12">
        <v>56.227325</v>
      </c>
      <c r="E21" s="12">
        <f t="shared" si="1"/>
        <v>2.5906691866656195E-3</v>
      </c>
      <c r="F21" s="12">
        <v>1.458</v>
      </c>
      <c r="H21" s="16">
        <v>500000000</v>
      </c>
      <c r="I21" s="16">
        <v>3.4130000000000001E-2</v>
      </c>
      <c r="J21" s="12">
        <f t="shared" si="2"/>
        <v>8.6206896551724144E-2</v>
      </c>
    </row>
    <row r="22" spans="1:10" x14ac:dyDescent="0.25">
      <c r="A22" s="13">
        <v>42583</v>
      </c>
      <c r="B22" s="12">
        <v>4134.5600590000004</v>
      </c>
      <c r="C22" s="12">
        <f t="shared" si="0"/>
        <v>4.8730697313406832E-3</v>
      </c>
      <c r="D22" s="12">
        <v>54.144835999999998</v>
      </c>
      <c r="E22" s="12">
        <f t="shared" si="1"/>
        <v>-3.7036956675424317E-2</v>
      </c>
      <c r="F22" s="12">
        <v>1.5820000000000001</v>
      </c>
      <c r="H22" s="16">
        <v>500000000</v>
      </c>
      <c r="I22" s="16">
        <v>2.6499999999999999E-2</v>
      </c>
      <c r="J22" s="12">
        <f t="shared" si="2"/>
        <v>8.6206896551724144E-2</v>
      </c>
    </row>
    <row r="23" spans="1:10" x14ac:dyDescent="0.25">
      <c r="A23" s="13">
        <v>42590</v>
      </c>
      <c r="B23" s="12">
        <v>4139.6298829999996</v>
      </c>
      <c r="C23" s="12">
        <f t="shared" si="0"/>
        <v>1.2262063986622678E-3</v>
      </c>
      <c r="D23" s="12">
        <v>53.915450999999997</v>
      </c>
      <c r="E23" s="12">
        <f t="shared" si="1"/>
        <v>-4.2365074298128932E-3</v>
      </c>
      <c r="F23" s="12">
        <v>1.5149999999999999</v>
      </c>
      <c r="H23" s="16">
        <v>500000000</v>
      </c>
      <c r="I23" s="16">
        <v>4.0550000000000003E-2</v>
      </c>
      <c r="J23" s="12">
        <f t="shared" si="2"/>
        <v>8.6206896551724144E-2</v>
      </c>
    </row>
    <row r="24" spans="1:10" x14ac:dyDescent="0.25">
      <c r="A24" s="13">
        <v>42597</v>
      </c>
      <c r="B24" s="12">
        <v>4142.2299800000001</v>
      </c>
      <c r="C24" s="12">
        <f t="shared" si="0"/>
        <v>6.2809890581719437E-4</v>
      </c>
      <c r="D24" s="12">
        <v>53.400298999999997</v>
      </c>
      <c r="E24" s="12">
        <f t="shared" si="1"/>
        <v>-9.5548120333816839E-3</v>
      </c>
      <c r="F24" s="12">
        <v>1.5780000000000001</v>
      </c>
      <c r="H24" s="16">
        <v>1000000000</v>
      </c>
      <c r="I24" s="16">
        <v>3.159E-2</v>
      </c>
      <c r="J24" s="12">
        <f t="shared" si="2"/>
        <v>0.17241379310344829</v>
      </c>
    </row>
    <row r="25" spans="1:10" x14ac:dyDescent="0.25">
      <c r="A25" s="13">
        <v>42604</v>
      </c>
      <c r="B25" s="12">
        <v>4114.6801759999998</v>
      </c>
      <c r="C25" s="12">
        <f t="shared" si="0"/>
        <v>-6.6509595394315165E-3</v>
      </c>
      <c r="D25" s="12">
        <v>55.684441</v>
      </c>
      <c r="E25" s="12">
        <f t="shared" si="1"/>
        <v>4.2773955254445356E-2</v>
      </c>
      <c r="F25" s="12">
        <v>1.635</v>
      </c>
      <c r="H25" s="16">
        <v>600000000</v>
      </c>
      <c r="I25" s="16">
        <v>3.6389999999999999E-2</v>
      </c>
      <c r="J25" s="12">
        <f t="shared" si="2"/>
        <v>0.10344827586206896</v>
      </c>
    </row>
    <row r="26" spans="1:10" x14ac:dyDescent="0.25">
      <c r="A26" s="13">
        <v>42611</v>
      </c>
      <c r="B26" s="12">
        <v>4137.7001950000003</v>
      </c>
      <c r="C26" s="12">
        <f t="shared" si="0"/>
        <v>5.5946071177709203E-3</v>
      </c>
      <c r="D26" s="12">
        <v>54.605553</v>
      </c>
      <c r="E26" s="12">
        <f t="shared" si="1"/>
        <v>-1.9375035119774286E-2</v>
      </c>
      <c r="F26" s="12">
        <v>1.5960000000000001</v>
      </c>
      <c r="H26" s="15">
        <f>SUM(H16:H25)</f>
        <v>5800000000</v>
      </c>
      <c r="I26" s="14">
        <f>SUMPRODUCT(I16:I25,J16:J25)</f>
        <v>3.2152844827586201E-2</v>
      </c>
    </row>
    <row r="27" spans="1:10" x14ac:dyDescent="0.25">
      <c r="A27" s="13">
        <v>42618</v>
      </c>
      <c r="B27" s="12">
        <v>4039.9499510000001</v>
      </c>
      <c r="C27" s="12">
        <f t="shared" si="0"/>
        <v>-2.3624293543094727E-2</v>
      </c>
      <c r="D27" s="12">
        <v>52.826836</v>
      </c>
      <c r="E27" s="12">
        <f t="shared" si="1"/>
        <v>-3.2573921557025536E-2</v>
      </c>
      <c r="F27" s="12">
        <v>1.6719999999999999</v>
      </c>
    </row>
    <row r="28" spans="1:10" x14ac:dyDescent="0.25">
      <c r="A28" s="13">
        <v>42625</v>
      </c>
      <c r="B28" s="12">
        <v>4063.969971</v>
      </c>
      <c r="C28" s="12">
        <f t="shared" si="0"/>
        <v>5.9456231615083021E-3</v>
      </c>
      <c r="D28" s="12">
        <v>52.233932000000003</v>
      </c>
      <c r="E28" s="12">
        <f t="shared" si="1"/>
        <v>-1.1223537976039246E-2</v>
      </c>
      <c r="F28" s="12">
        <v>1.7010000000000001</v>
      </c>
    </row>
    <row r="29" spans="1:10" x14ac:dyDescent="0.25">
      <c r="A29" s="13">
        <v>42632</v>
      </c>
      <c r="B29" s="12">
        <v>4112.6899409999996</v>
      </c>
      <c r="C29" s="12">
        <f t="shared" si="0"/>
        <v>1.1988270176123221E-2</v>
      </c>
      <c r="D29" s="12">
        <v>52.904594000000003</v>
      </c>
      <c r="E29" s="12">
        <f t="shared" si="1"/>
        <v>1.2839584812416573E-2</v>
      </c>
      <c r="F29" s="12">
        <v>1.615</v>
      </c>
    </row>
    <row r="30" spans="1:10" x14ac:dyDescent="0.25">
      <c r="A30" s="13">
        <v>42639</v>
      </c>
      <c r="B30" s="12">
        <v>4121.0600590000004</v>
      </c>
      <c r="C30" s="12">
        <f t="shared" si="0"/>
        <v>2.0351930537135356E-3</v>
      </c>
      <c r="D30" s="12">
        <v>52.622718999999996</v>
      </c>
      <c r="E30" s="12">
        <f t="shared" si="1"/>
        <v>-5.3279872065553797E-3</v>
      </c>
      <c r="F30" s="12">
        <v>1.6080000000000001</v>
      </c>
    </row>
    <row r="31" spans="1:10" x14ac:dyDescent="0.25">
      <c r="A31" s="13">
        <v>42646</v>
      </c>
      <c r="B31" s="12">
        <v>4096.25</v>
      </c>
      <c r="C31" s="12">
        <f t="shared" si="0"/>
        <v>-6.0203099796659288E-3</v>
      </c>
      <c r="D31" s="12">
        <v>51.961776999999998</v>
      </c>
      <c r="E31" s="12">
        <f t="shared" si="1"/>
        <v>-1.2560012339917263E-2</v>
      </c>
      <c r="F31" s="12">
        <v>1.736</v>
      </c>
    </row>
    <row r="32" spans="1:10" x14ac:dyDescent="0.25">
      <c r="A32" s="13">
        <v>42653</v>
      </c>
      <c r="B32" s="12">
        <v>4057.280029</v>
      </c>
      <c r="C32" s="12">
        <f t="shared" si="0"/>
        <v>-9.5135724137931001E-3</v>
      </c>
      <c r="D32" s="12">
        <v>51.59243</v>
      </c>
      <c r="E32" s="12">
        <f t="shared" si="1"/>
        <v>-7.1080517511939141E-3</v>
      </c>
      <c r="F32" s="12">
        <v>1.794</v>
      </c>
    </row>
    <row r="33" spans="1:6" x14ac:dyDescent="0.25">
      <c r="A33" s="13">
        <v>42660</v>
      </c>
      <c r="B33" s="12">
        <v>4073.8500979999999</v>
      </c>
      <c r="C33" s="12">
        <f t="shared" si="0"/>
        <v>4.0840338555788343E-3</v>
      </c>
      <c r="D33" s="12">
        <v>52.127014000000003</v>
      </c>
      <c r="E33" s="12">
        <f t="shared" si="1"/>
        <v>1.0361675152730785E-2</v>
      </c>
      <c r="F33" s="12">
        <v>1.74</v>
      </c>
    </row>
    <row r="34" spans="1:6" x14ac:dyDescent="0.25">
      <c r="A34" s="13">
        <v>42667</v>
      </c>
      <c r="B34" s="12">
        <v>4046.360107</v>
      </c>
      <c r="C34" s="12">
        <f t="shared" si="0"/>
        <v>-6.7479142184185296E-3</v>
      </c>
      <c r="D34" s="12">
        <v>52.029812</v>
      </c>
      <c r="E34" s="12">
        <f t="shared" si="1"/>
        <v>-1.8647145221094555E-3</v>
      </c>
      <c r="F34" s="12">
        <v>1.845</v>
      </c>
    </row>
    <row r="35" spans="1:6" x14ac:dyDescent="0.25">
      <c r="A35" s="13">
        <v>42674</v>
      </c>
      <c r="B35" s="12">
        <v>3970.0200199999999</v>
      </c>
      <c r="C35" s="12">
        <f t="shared" ref="C35:C66" si="3">(B35-B34)/B34</f>
        <v>-1.886636013140193E-2</v>
      </c>
      <c r="D35" s="12">
        <v>51.271675000000002</v>
      </c>
      <c r="E35" s="12">
        <f t="shared" ref="E35:E66" si="4">(D35-D34)/D34</f>
        <v>-1.4571203909020426E-2</v>
      </c>
      <c r="F35" s="12">
        <v>1.7829999999999999</v>
      </c>
    </row>
    <row r="36" spans="1:6" x14ac:dyDescent="0.25">
      <c r="A36" s="13">
        <v>42681</v>
      </c>
      <c r="B36" s="12">
        <v>4123.6899409999996</v>
      </c>
      <c r="C36" s="12">
        <f t="shared" si="3"/>
        <v>3.870759346951598E-2</v>
      </c>
      <c r="D36" s="12">
        <v>52.418605999999997</v>
      </c>
      <c r="E36" s="12">
        <f t="shared" si="4"/>
        <v>2.2369680725273653E-2</v>
      </c>
      <c r="F36" s="12">
        <v>2.117</v>
      </c>
    </row>
    <row r="37" spans="1:6" x14ac:dyDescent="0.25">
      <c r="A37" s="13">
        <v>42688</v>
      </c>
      <c r="B37" s="12">
        <v>4160.580078</v>
      </c>
      <c r="C37" s="12">
        <f t="shared" si="3"/>
        <v>8.9459046455501508E-3</v>
      </c>
      <c r="D37" s="12">
        <v>54.207039000000002</v>
      </c>
      <c r="E37" s="12">
        <f t="shared" si="4"/>
        <v>3.4118286167320148E-2</v>
      </c>
      <c r="F37" s="12">
        <v>2.335</v>
      </c>
    </row>
    <row r="38" spans="1:6" x14ac:dyDescent="0.25">
      <c r="A38" s="13">
        <v>42695</v>
      </c>
      <c r="B38" s="12">
        <v>4221.0200199999999</v>
      </c>
      <c r="C38" s="12">
        <f t="shared" si="3"/>
        <v>1.4526806567091382E-2</v>
      </c>
      <c r="D38" s="12">
        <v>56.079090000000001</v>
      </c>
      <c r="E38" s="12">
        <f t="shared" si="4"/>
        <v>3.4535201230969266E-2</v>
      </c>
      <c r="F38" s="12">
        <v>2.3719999999999999</v>
      </c>
    </row>
    <row r="39" spans="1:6" x14ac:dyDescent="0.25">
      <c r="A39" s="13">
        <v>42702</v>
      </c>
      <c r="B39" s="12">
        <v>4182.8100590000004</v>
      </c>
      <c r="C39" s="12">
        <f t="shared" si="3"/>
        <v>-9.0523050871480042E-3</v>
      </c>
      <c r="D39" s="12">
        <v>55.864265000000003</v>
      </c>
      <c r="E39" s="12">
        <f t="shared" si="4"/>
        <v>-3.8307504633188164E-3</v>
      </c>
      <c r="F39" s="12">
        <v>2.39</v>
      </c>
    </row>
    <row r="40" spans="1:6" x14ac:dyDescent="0.25">
      <c r="A40" s="13">
        <v>42709</v>
      </c>
      <c r="B40" s="12">
        <v>4313.6098629999997</v>
      </c>
      <c r="C40" s="12">
        <f t="shared" si="3"/>
        <v>3.1270796941535062E-2</v>
      </c>
      <c r="D40" s="12">
        <v>57.368037999999999</v>
      </c>
      <c r="E40" s="12">
        <f t="shared" si="4"/>
        <v>2.691833500360195E-2</v>
      </c>
      <c r="F40" s="12">
        <v>2.464</v>
      </c>
    </row>
    <row r="41" spans="1:6" x14ac:dyDescent="0.25">
      <c r="A41" s="13">
        <v>42716</v>
      </c>
      <c r="B41" s="12">
        <v>4312.3999020000001</v>
      </c>
      <c r="C41" s="12">
        <f t="shared" si="3"/>
        <v>-2.8049847770842936E-4</v>
      </c>
      <c r="D41" s="12">
        <v>56.30368</v>
      </c>
      <c r="E41" s="12">
        <f t="shared" si="4"/>
        <v>-1.8553153238393801E-2</v>
      </c>
      <c r="F41" s="12">
        <v>2.597</v>
      </c>
    </row>
    <row r="42" spans="1:6" x14ac:dyDescent="0.25">
      <c r="A42" s="13">
        <v>42723</v>
      </c>
      <c r="B42" s="12">
        <v>4325.169922</v>
      </c>
      <c r="C42" s="12">
        <f t="shared" si="3"/>
        <v>2.9612327915315706E-3</v>
      </c>
      <c r="D42" s="12">
        <v>55.668968</v>
      </c>
      <c r="E42" s="12">
        <f t="shared" si="4"/>
        <v>-1.1273010929303384E-2</v>
      </c>
      <c r="F42" s="12">
        <v>2.5430000000000001</v>
      </c>
    </row>
    <row r="43" spans="1:6" x14ac:dyDescent="0.25">
      <c r="A43" s="13">
        <v>42730</v>
      </c>
      <c r="B43" s="12">
        <v>4278.6601559999999</v>
      </c>
      <c r="C43" s="12">
        <f t="shared" si="3"/>
        <v>-1.075328064301658E-2</v>
      </c>
      <c r="D43" s="12">
        <v>54.214011999999997</v>
      </c>
      <c r="E43" s="12">
        <f t="shared" si="4"/>
        <v>-2.6135853641116587E-2</v>
      </c>
      <c r="F43" s="12">
        <v>2.4460000000000002</v>
      </c>
    </row>
    <row r="44" spans="1:6" x14ac:dyDescent="0.25">
      <c r="A44" s="13">
        <v>42737</v>
      </c>
      <c r="B44" s="12">
        <v>4354.0498049999997</v>
      </c>
      <c r="C44" s="12">
        <f t="shared" si="3"/>
        <v>1.7619919846702529E-2</v>
      </c>
      <c r="D44" s="12">
        <v>55.786147999999997</v>
      </c>
      <c r="E44" s="12">
        <f t="shared" si="4"/>
        <v>2.8998702401880912E-2</v>
      </c>
      <c r="F44" s="12">
        <v>2.4180000000000001</v>
      </c>
    </row>
    <row r="45" spans="1:6" x14ac:dyDescent="0.25">
      <c r="A45" s="13">
        <v>42744</v>
      </c>
      <c r="B45" s="12">
        <v>4350.1098629999997</v>
      </c>
      <c r="C45" s="12">
        <f t="shared" si="3"/>
        <v>-9.0489134861882316E-4</v>
      </c>
      <c r="D45" s="12">
        <v>56.489207999999998</v>
      </c>
      <c r="E45" s="12">
        <f t="shared" si="4"/>
        <v>1.2602770135697498E-2</v>
      </c>
      <c r="F45" s="12">
        <v>2.38</v>
      </c>
    </row>
    <row r="46" spans="1:6" x14ac:dyDescent="0.25">
      <c r="A46" s="13">
        <v>42751</v>
      </c>
      <c r="B46" s="12">
        <v>4344.669922</v>
      </c>
      <c r="C46" s="12">
        <f t="shared" si="3"/>
        <v>-1.2505295662229659E-3</v>
      </c>
      <c r="D46" s="12">
        <v>56.30368</v>
      </c>
      <c r="E46" s="12">
        <f t="shared" si="4"/>
        <v>-3.2843087479647072E-3</v>
      </c>
      <c r="F46" s="12">
        <v>2.4670000000000001</v>
      </c>
    </row>
    <row r="47" spans="1:6" x14ac:dyDescent="0.25">
      <c r="A47" s="13">
        <v>42758</v>
      </c>
      <c r="B47" s="12">
        <v>4389.8500979999999</v>
      </c>
      <c r="C47" s="12">
        <f t="shared" si="3"/>
        <v>1.0398989292885538E-2</v>
      </c>
      <c r="D47" s="12">
        <v>54.799903999999998</v>
      </c>
      <c r="E47" s="12">
        <f t="shared" si="4"/>
        <v>-2.6708307520929397E-2</v>
      </c>
      <c r="F47" s="12">
        <v>2.4809999999999999</v>
      </c>
    </row>
    <row r="48" spans="1:6" x14ac:dyDescent="0.25">
      <c r="A48" s="13">
        <v>42765</v>
      </c>
      <c r="B48" s="12">
        <v>4396.9501950000003</v>
      </c>
      <c r="C48" s="12">
        <f t="shared" si="3"/>
        <v>1.6173893963338838E-3</v>
      </c>
      <c r="D48" s="12">
        <v>53.764839000000002</v>
      </c>
      <c r="E48" s="12">
        <f t="shared" si="4"/>
        <v>-1.8888080533863635E-2</v>
      </c>
      <c r="F48" s="12">
        <v>2.4910000000000001</v>
      </c>
    </row>
    <row r="49" spans="1:6" x14ac:dyDescent="0.25">
      <c r="A49" s="13">
        <v>42772</v>
      </c>
      <c r="B49" s="12">
        <v>4435.419922</v>
      </c>
      <c r="C49" s="12">
        <f t="shared" si="3"/>
        <v>8.7491841603631569E-3</v>
      </c>
      <c r="D49" s="12">
        <v>54.897551999999997</v>
      </c>
      <c r="E49" s="12">
        <f t="shared" si="4"/>
        <v>2.1067913920471245E-2</v>
      </c>
      <c r="F49" s="12">
        <v>2.4089999999999998</v>
      </c>
    </row>
    <row r="50" spans="1:6" x14ac:dyDescent="0.25">
      <c r="A50" s="13">
        <v>42779</v>
      </c>
      <c r="B50" s="12">
        <v>4506.2001950000003</v>
      </c>
      <c r="C50" s="12">
        <f t="shared" si="3"/>
        <v>1.5957964351678428E-2</v>
      </c>
      <c r="D50" s="12">
        <v>56.253318999999998</v>
      </c>
      <c r="E50" s="12">
        <f t="shared" si="4"/>
        <v>2.4696310684308841E-2</v>
      </c>
      <c r="F50" s="12">
        <v>2.4249999999999998</v>
      </c>
    </row>
    <row r="51" spans="1:6" x14ac:dyDescent="0.25">
      <c r="A51" s="13">
        <v>42786</v>
      </c>
      <c r="B51" s="12">
        <v>4539.25</v>
      </c>
      <c r="C51" s="12">
        <f t="shared" si="3"/>
        <v>7.3342957635728493E-3</v>
      </c>
      <c r="D51" s="12">
        <v>56.380833000000003</v>
      </c>
      <c r="E51" s="12">
        <f t="shared" si="4"/>
        <v>2.2667818053545429E-3</v>
      </c>
      <c r="F51" s="12">
        <v>2.3170000000000002</v>
      </c>
    </row>
    <row r="52" spans="1:6" x14ac:dyDescent="0.25">
      <c r="A52" s="13">
        <v>42793</v>
      </c>
      <c r="B52" s="12">
        <v>4571.6000979999999</v>
      </c>
      <c r="C52" s="12">
        <f t="shared" si="3"/>
        <v>7.1267495731673486E-3</v>
      </c>
      <c r="D52" s="12">
        <v>56.008094999999997</v>
      </c>
      <c r="E52" s="12">
        <f t="shared" si="4"/>
        <v>-6.6110764982845382E-3</v>
      </c>
      <c r="F52" s="12">
        <v>2.492</v>
      </c>
    </row>
    <row r="53" spans="1:6" x14ac:dyDescent="0.25">
      <c r="A53" s="13">
        <v>42800</v>
      </c>
      <c r="B53" s="12">
        <v>4553.2797849999997</v>
      </c>
      <c r="C53" s="12">
        <f t="shared" si="3"/>
        <v>-4.0074181046620867E-3</v>
      </c>
      <c r="D53" s="12">
        <v>53.487243999999997</v>
      </c>
      <c r="E53" s="12">
        <f t="shared" si="4"/>
        <v>-4.5008690261648797E-2</v>
      </c>
      <c r="F53" s="12">
        <v>2.5819999999999999</v>
      </c>
    </row>
    <row r="54" spans="1:6" x14ac:dyDescent="0.25">
      <c r="A54" s="13">
        <v>42807</v>
      </c>
      <c r="B54" s="12">
        <v>4566.169922</v>
      </c>
      <c r="C54" s="12">
        <f t="shared" si="3"/>
        <v>2.8309564991952987E-3</v>
      </c>
      <c r="D54" s="12">
        <v>54.713337000000003</v>
      </c>
      <c r="E54" s="12">
        <f t="shared" si="4"/>
        <v>2.2923091718840587E-2</v>
      </c>
      <c r="F54" s="12">
        <v>2.5009999999999999</v>
      </c>
    </row>
    <row r="55" spans="1:6" x14ac:dyDescent="0.25">
      <c r="A55" s="13">
        <v>42814</v>
      </c>
      <c r="B55" s="12">
        <v>4501.1098629999997</v>
      </c>
      <c r="C55" s="12">
        <f t="shared" si="3"/>
        <v>-1.4248278121788294E-2</v>
      </c>
      <c r="D55" s="12">
        <v>55.723644</v>
      </c>
      <c r="E55" s="12">
        <f t="shared" si="4"/>
        <v>1.8465461172656995E-2</v>
      </c>
      <c r="F55" s="12">
        <v>2.4</v>
      </c>
    </row>
    <row r="56" spans="1:6" x14ac:dyDescent="0.25">
      <c r="A56" s="13">
        <v>42821</v>
      </c>
      <c r="B56" s="12">
        <v>4538.2099609999996</v>
      </c>
      <c r="C56" s="12">
        <f t="shared" si="3"/>
        <v>8.2424333396014012E-3</v>
      </c>
      <c r="D56" s="12">
        <v>57.273429999999998</v>
      </c>
      <c r="E56" s="12">
        <f t="shared" si="4"/>
        <v>2.7812000234586191E-2</v>
      </c>
      <c r="F56" s="12">
        <v>2.3959999999999999</v>
      </c>
    </row>
    <row r="57" spans="1:6" x14ac:dyDescent="0.25">
      <c r="A57" s="13">
        <v>42828</v>
      </c>
      <c r="B57" s="12">
        <v>4527.2001950000003</v>
      </c>
      <c r="C57" s="12">
        <f t="shared" si="3"/>
        <v>-2.4260151237192216E-3</v>
      </c>
      <c r="D57" s="12">
        <v>56.910502999999999</v>
      </c>
      <c r="E57" s="12">
        <f t="shared" si="4"/>
        <v>-6.336742884091264E-3</v>
      </c>
      <c r="F57" s="12">
        <v>2.3730000000000002</v>
      </c>
    </row>
    <row r="58" spans="1:6" x14ac:dyDescent="0.25">
      <c r="A58" s="13">
        <v>42835</v>
      </c>
      <c r="B58" s="12">
        <v>4477.0698240000002</v>
      </c>
      <c r="C58" s="12">
        <f t="shared" si="3"/>
        <v>-1.1073150919052784E-2</v>
      </c>
      <c r="D58" s="12">
        <v>56.410259000000003</v>
      </c>
      <c r="E58" s="12">
        <f t="shared" si="4"/>
        <v>-8.7900119245123351E-3</v>
      </c>
      <c r="F58" s="12">
        <v>2.2320000000000002</v>
      </c>
    </row>
    <row r="59" spans="1:6" x14ac:dyDescent="0.25">
      <c r="A59" s="13">
        <v>42842</v>
      </c>
      <c r="B59" s="12">
        <v>4515.8999020000001</v>
      </c>
      <c r="C59" s="12">
        <f t="shared" si="3"/>
        <v>8.6731008285476224E-3</v>
      </c>
      <c r="D59" s="12">
        <v>59.450980999999999</v>
      </c>
      <c r="E59" s="12">
        <f t="shared" si="4"/>
        <v>5.3903705707147968E-2</v>
      </c>
      <c r="F59" s="12">
        <v>2.2370000000000001</v>
      </c>
    </row>
    <row r="60" spans="1:6" x14ac:dyDescent="0.25">
      <c r="A60" s="13">
        <v>42849</v>
      </c>
      <c r="B60" s="12">
        <v>4584.8198240000002</v>
      </c>
      <c r="C60" s="12">
        <f t="shared" si="3"/>
        <v>1.5261614184467821E-2</v>
      </c>
      <c r="D60" s="12">
        <v>58.911495000000002</v>
      </c>
      <c r="E60" s="12">
        <f t="shared" si="4"/>
        <v>-9.0744675853203591E-3</v>
      </c>
      <c r="F60" s="12">
        <v>2.282</v>
      </c>
    </row>
    <row r="61" spans="1:6" x14ac:dyDescent="0.25">
      <c r="A61" s="13">
        <v>42856</v>
      </c>
      <c r="B61" s="12">
        <v>4615.0898440000001</v>
      </c>
      <c r="C61" s="12">
        <f t="shared" si="3"/>
        <v>6.6022267312548441E-3</v>
      </c>
      <c r="D61" s="12">
        <v>59.784481</v>
      </c>
      <c r="E61" s="12">
        <f t="shared" si="4"/>
        <v>1.4818602040229964E-2</v>
      </c>
      <c r="F61" s="12">
        <v>2.3519999999999999</v>
      </c>
    </row>
    <row r="62" spans="1:6" x14ac:dyDescent="0.25">
      <c r="A62" s="13">
        <v>42863</v>
      </c>
      <c r="B62" s="12">
        <v>4602.9599609999996</v>
      </c>
      <c r="C62" s="12">
        <f t="shared" si="3"/>
        <v>-2.6283091792395708E-3</v>
      </c>
      <c r="D62" s="12">
        <v>58.783980999999997</v>
      </c>
      <c r="E62" s="12">
        <f t="shared" si="4"/>
        <v>-1.6735112244262895E-2</v>
      </c>
      <c r="F62" s="12">
        <v>2.335</v>
      </c>
    </row>
    <row r="63" spans="1:6" x14ac:dyDescent="0.25">
      <c r="A63" s="13">
        <v>42870</v>
      </c>
      <c r="B63" s="12">
        <v>4588.3500979999999</v>
      </c>
      <c r="C63" s="12">
        <f t="shared" si="3"/>
        <v>-3.1740147913052155E-3</v>
      </c>
      <c r="D63" s="12">
        <v>60.434565999999997</v>
      </c>
      <c r="E63" s="12">
        <f t="shared" si="4"/>
        <v>2.8078823038541735E-2</v>
      </c>
      <c r="F63" s="12">
        <v>2.2450000000000001</v>
      </c>
    </row>
    <row r="64" spans="1:6" x14ac:dyDescent="0.25">
      <c r="A64" s="13">
        <v>42877</v>
      </c>
      <c r="B64" s="12">
        <v>4655.6499020000001</v>
      </c>
      <c r="C64" s="12">
        <f t="shared" si="3"/>
        <v>1.4667538998241504E-2</v>
      </c>
      <c r="D64" s="12">
        <v>62.345306000000001</v>
      </c>
      <c r="E64" s="12">
        <f t="shared" si="4"/>
        <v>3.1616674470699505E-2</v>
      </c>
      <c r="F64" s="12">
        <v>2.25</v>
      </c>
    </row>
    <row r="65" spans="1:6" x14ac:dyDescent="0.25">
      <c r="A65" s="13">
        <v>42884</v>
      </c>
      <c r="B65" s="12">
        <v>4702.5600590000004</v>
      </c>
      <c r="C65" s="12">
        <f t="shared" si="3"/>
        <v>1.0075963181820937E-2</v>
      </c>
      <c r="D65" s="12">
        <v>63.596145999999997</v>
      </c>
      <c r="E65" s="12">
        <f t="shared" si="4"/>
        <v>2.0063098254742652E-2</v>
      </c>
      <c r="F65" s="12">
        <v>2.1589999999999998</v>
      </c>
    </row>
    <row r="66" spans="1:6" x14ac:dyDescent="0.25">
      <c r="A66" s="13">
        <v>42891</v>
      </c>
      <c r="B66" s="12">
        <v>4689.7900390000004</v>
      </c>
      <c r="C66" s="12">
        <f t="shared" si="3"/>
        <v>-2.7155463917063671E-3</v>
      </c>
      <c r="D66" s="12">
        <v>61.252040999999998</v>
      </c>
      <c r="E66" s="12">
        <f t="shared" si="4"/>
        <v>-3.685923043198245E-2</v>
      </c>
      <c r="F66" s="12">
        <v>2.1989999999999998</v>
      </c>
    </row>
    <row r="67" spans="1:6" x14ac:dyDescent="0.25">
      <c r="A67" s="13">
        <v>42898</v>
      </c>
      <c r="B67" s="12">
        <v>4695.2299800000001</v>
      </c>
      <c r="C67" s="12">
        <f t="shared" ref="C67:C98" si="5">(B67-B66)/B66</f>
        <v>1.1599540607919387E-3</v>
      </c>
      <c r="D67" s="12">
        <v>59.232964000000003</v>
      </c>
      <c r="E67" s="12">
        <f t="shared" ref="E67:E98" si="6">(D67-D66)/D66</f>
        <v>-3.2963424026964193E-2</v>
      </c>
      <c r="F67" s="12">
        <v>2.157</v>
      </c>
    </row>
    <row r="68" spans="1:6" x14ac:dyDescent="0.25">
      <c r="A68" s="13">
        <v>42905</v>
      </c>
      <c r="B68" s="12">
        <v>4705.7299800000001</v>
      </c>
      <c r="C68" s="12">
        <f t="shared" si="5"/>
        <v>2.2363121816665519E-3</v>
      </c>
      <c r="D68" s="12">
        <v>58.907940000000004</v>
      </c>
      <c r="E68" s="12">
        <f t="shared" si="6"/>
        <v>-5.4872148555658818E-3</v>
      </c>
      <c r="F68" s="12">
        <v>2.1440000000000001</v>
      </c>
    </row>
    <row r="69" spans="1:6" x14ac:dyDescent="0.25">
      <c r="A69" s="13">
        <v>42912</v>
      </c>
      <c r="B69" s="12">
        <v>4678.3598629999997</v>
      </c>
      <c r="C69" s="12">
        <f t="shared" si="5"/>
        <v>-5.8163381911684594E-3</v>
      </c>
      <c r="D69" s="12">
        <v>57.430565000000001</v>
      </c>
      <c r="E69" s="12">
        <f t="shared" si="6"/>
        <v>-2.5079386581842823E-2</v>
      </c>
      <c r="F69" s="12">
        <v>2.302</v>
      </c>
    </row>
    <row r="70" spans="1:6" x14ac:dyDescent="0.25">
      <c r="A70" s="13">
        <v>42919</v>
      </c>
      <c r="B70" s="12">
        <v>4684.8798829999996</v>
      </c>
      <c r="C70" s="12">
        <f t="shared" si="5"/>
        <v>1.3936550823217277E-3</v>
      </c>
      <c r="D70" s="12">
        <v>57.164634999999997</v>
      </c>
      <c r="E70" s="12">
        <f t="shared" si="6"/>
        <v>-4.6304611490415324E-3</v>
      </c>
      <c r="F70" s="12">
        <v>2.3929999999999998</v>
      </c>
    </row>
    <row r="71" spans="1:6" x14ac:dyDescent="0.25">
      <c r="A71" s="13">
        <v>42926</v>
      </c>
      <c r="B71" s="12">
        <v>4751.4301759999998</v>
      </c>
      <c r="C71" s="12">
        <f t="shared" si="5"/>
        <v>1.4205336030383821E-2</v>
      </c>
      <c r="D71" s="12">
        <v>57.873775000000002</v>
      </c>
      <c r="E71" s="12">
        <f t="shared" si="6"/>
        <v>1.240522221474877E-2</v>
      </c>
      <c r="F71" s="12">
        <v>2.319</v>
      </c>
    </row>
    <row r="72" spans="1:6" x14ac:dyDescent="0.25">
      <c r="A72" s="13">
        <v>42933</v>
      </c>
      <c r="B72" s="12">
        <v>4778.0698240000002</v>
      </c>
      <c r="C72" s="12">
        <f t="shared" si="5"/>
        <v>5.6066588402288054E-3</v>
      </c>
      <c r="D72" s="12">
        <v>57.105541000000002</v>
      </c>
      <c r="E72" s="12">
        <f t="shared" si="6"/>
        <v>-1.3274302566231418E-2</v>
      </c>
      <c r="F72" s="12">
        <v>2.2320000000000002</v>
      </c>
    </row>
    <row r="73" spans="1:6" x14ac:dyDescent="0.25">
      <c r="A73" s="13">
        <v>42940</v>
      </c>
      <c r="B73" s="12">
        <v>4778.0200199999999</v>
      </c>
      <c r="C73" s="12">
        <f t="shared" si="5"/>
        <v>-1.0423455879622994E-5</v>
      </c>
      <c r="D73" s="12">
        <v>53.185569999999998</v>
      </c>
      <c r="E73" s="12">
        <f t="shared" si="6"/>
        <v>-6.8644319471555373E-2</v>
      </c>
      <c r="F73" s="12">
        <v>2.2890000000000001</v>
      </c>
    </row>
    <row r="74" spans="1:6" x14ac:dyDescent="0.25">
      <c r="A74" s="13">
        <v>42947</v>
      </c>
      <c r="B74" s="12">
        <v>4789.1098629999997</v>
      </c>
      <c r="C74" s="12">
        <f t="shared" si="5"/>
        <v>2.3210122505932375E-3</v>
      </c>
      <c r="D74" s="12">
        <v>54.603847999999999</v>
      </c>
      <c r="E74" s="12">
        <f t="shared" si="6"/>
        <v>2.6666593965242843E-2</v>
      </c>
      <c r="F74" s="12">
        <v>2.2669999999999999</v>
      </c>
    </row>
    <row r="75" spans="1:6" x14ac:dyDescent="0.25">
      <c r="A75" s="13">
        <v>42954</v>
      </c>
      <c r="B75" s="12">
        <v>4723.7299800000001</v>
      </c>
      <c r="C75" s="12">
        <f t="shared" si="5"/>
        <v>-1.3651781828000134E-2</v>
      </c>
      <c r="D75" s="12">
        <v>52.377937000000003</v>
      </c>
      <c r="E75" s="12">
        <f t="shared" si="6"/>
        <v>-4.0764727789880238E-2</v>
      </c>
      <c r="F75" s="12">
        <v>2.1890000000000001</v>
      </c>
    </row>
    <row r="76" spans="1:6" x14ac:dyDescent="0.25">
      <c r="A76" s="13">
        <v>42961</v>
      </c>
      <c r="B76" s="12">
        <v>4696.2202150000003</v>
      </c>
      <c r="C76" s="12">
        <f t="shared" si="5"/>
        <v>-5.8237378335498739E-3</v>
      </c>
      <c r="D76" s="12">
        <v>52.139488</v>
      </c>
      <c r="E76" s="12">
        <f t="shared" si="6"/>
        <v>-4.5524702509761464E-3</v>
      </c>
      <c r="F76" s="12">
        <v>2.194</v>
      </c>
    </row>
    <row r="77" spans="1:6" x14ac:dyDescent="0.25">
      <c r="A77" s="13">
        <v>42968</v>
      </c>
      <c r="B77" s="12">
        <v>4731.4599609999996</v>
      </c>
      <c r="C77" s="12">
        <f t="shared" si="5"/>
        <v>7.5038529682746749E-3</v>
      </c>
      <c r="D77" s="12">
        <v>53.781834000000003</v>
      </c>
      <c r="E77" s="12">
        <f t="shared" si="6"/>
        <v>3.1499081847524153E-2</v>
      </c>
      <c r="F77" s="12">
        <v>2.169</v>
      </c>
    </row>
    <row r="78" spans="1:6" x14ac:dyDescent="0.25">
      <c r="A78" s="13">
        <v>42975</v>
      </c>
      <c r="B78" s="12">
        <v>4798.9902339999999</v>
      </c>
      <c r="C78" s="12">
        <f t="shared" si="5"/>
        <v>1.4272607938486646E-2</v>
      </c>
      <c r="D78" s="12">
        <v>54.345768</v>
      </c>
      <c r="E78" s="12">
        <f t="shared" si="6"/>
        <v>1.0485585151298413E-2</v>
      </c>
      <c r="F78" s="12">
        <v>2.157</v>
      </c>
    </row>
    <row r="79" spans="1:6" x14ac:dyDescent="0.25">
      <c r="A79" s="13">
        <v>42982</v>
      </c>
      <c r="B79" s="12">
        <v>4771.0200199999999</v>
      </c>
      <c r="C79" s="12">
        <f t="shared" si="5"/>
        <v>-5.828354015358461E-3</v>
      </c>
      <c r="D79" s="12">
        <v>52.921089000000002</v>
      </c>
      <c r="E79" s="12">
        <f t="shared" si="6"/>
        <v>-2.6215086333861316E-2</v>
      </c>
      <c r="F79" s="12">
        <v>2.0609999999999999</v>
      </c>
    </row>
    <row r="80" spans="1:6" x14ac:dyDescent="0.25">
      <c r="A80" s="13">
        <v>42989</v>
      </c>
      <c r="B80" s="12">
        <v>4848.8398440000001</v>
      </c>
      <c r="C80" s="12">
        <f t="shared" si="5"/>
        <v>1.6310940569056794E-2</v>
      </c>
      <c r="D80" s="12">
        <v>54.088535</v>
      </c>
      <c r="E80" s="12">
        <f t="shared" si="6"/>
        <v>2.2060128052164577E-2</v>
      </c>
      <c r="F80" s="12">
        <v>2.202</v>
      </c>
    </row>
    <row r="81" spans="1:6" x14ac:dyDescent="0.25">
      <c r="A81" s="13">
        <v>42996</v>
      </c>
      <c r="B81" s="12">
        <v>4853.2001950000003</v>
      </c>
      <c r="C81" s="12">
        <f t="shared" si="5"/>
        <v>8.9925655214118973E-4</v>
      </c>
      <c r="D81" s="12">
        <v>54.504066000000002</v>
      </c>
      <c r="E81" s="12">
        <f t="shared" si="6"/>
        <v>7.6824229016371291E-3</v>
      </c>
      <c r="F81" s="12">
        <v>2.262</v>
      </c>
    </row>
    <row r="82" spans="1:6" x14ac:dyDescent="0.25">
      <c r="A82" s="13">
        <v>43003</v>
      </c>
      <c r="B82" s="12">
        <v>4887.9702150000003</v>
      </c>
      <c r="C82" s="12">
        <f t="shared" si="5"/>
        <v>7.1643490074490791E-3</v>
      </c>
      <c r="D82" s="12">
        <v>53.138744000000003</v>
      </c>
      <c r="E82" s="12">
        <f t="shared" si="6"/>
        <v>-2.5049910955267062E-2</v>
      </c>
      <c r="F82" s="12">
        <v>2.3260000000000001</v>
      </c>
    </row>
    <row r="83" spans="1:6" x14ac:dyDescent="0.25">
      <c r="A83" s="13">
        <v>43010</v>
      </c>
      <c r="B83" s="12">
        <v>4949.0898440000001</v>
      </c>
      <c r="C83" s="12">
        <f t="shared" si="5"/>
        <v>1.2504091946476765E-2</v>
      </c>
      <c r="D83" s="12">
        <v>54.583213999999998</v>
      </c>
      <c r="E83" s="12">
        <f t="shared" si="6"/>
        <v>2.7182991001819604E-2</v>
      </c>
      <c r="F83" s="12">
        <v>2.37</v>
      </c>
    </row>
    <row r="84" spans="1:6" x14ac:dyDescent="0.25">
      <c r="A84" s="13">
        <v>43017</v>
      </c>
      <c r="B84" s="12">
        <v>4957.2700199999999</v>
      </c>
      <c r="C84" s="12">
        <f t="shared" si="5"/>
        <v>1.6528647201499149E-3</v>
      </c>
      <c r="D84" s="12">
        <v>55.127369000000002</v>
      </c>
      <c r="E84" s="12">
        <f t="shared" si="6"/>
        <v>9.9692737038167729E-3</v>
      </c>
      <c r="F84" s="12">
        <v>2.2799999999999998</v>
      </c>
    </row>
    <row r="85" spans="1:6" x14ac:dyDescent="0.25">
      <c r="A85" s="13">
        <v>43024</v>
      </c>
      <c r="B85" s="12">
        <v>5001.1098629999997</v>
      </c>
      <c r="C85" s="12">
        <f t="shared" si="5"/>
        <v>8.8435455045072862E-3</v>
      </c>
      <c r="D85" s="12">
        <v>53.989597000000003</v>
      </c>
      <c r="E85" s="12">
        <f t="shared" si="6"/>
        <v>-2.0638967914467281E-2</v>
      </c>
      <c r="F85" s="12">
        <v>2.3809999999999998</v>
      </c>
    </row>
    <row r="86" spans="1:6" x14ac:dyDescent="0.25">
      <c r="A86" s="13">
        <v>43031</v>
      </c>
      <c r="B86" s="12">
        <v>5012.75</v>
      </c>
      <c r="C86" s="12">
        <f t="shared" si="5"/>
        <v>2.3275107563859418E-3</v>
      </c>
      <c r="D86" s="12">
        <v>54.296298999999998</v>
      </c>
      <c r="E86" s="12">
        <f t="shared" si="6"/>
        <v>5.6807610547638327E-3</v>
      </c>
      <c r="F86" s="12">
        <v>2.4279999999999999</v>
      </c>
    </row>
    <row r="87" spans="1:6" x14ac:dyDescent="0.25">
      <c r="A87" s="13">
        <v>43038</v>
      </c>
      <c r="B87" s="12">
        <v>5027.4902339999999</v>
      </c>
      <c r="C87" s="12">
        <f t="shared" si="5"/>
        <v>2.9405484015759559E-3</v>
      </c>
      <c r="D87" s="12">
        <v>55.434071000000003</v>
      </c>
      <c r="E87" s="12">
        <f t="shared" si="6"/>
        <v>2.0954872080692008E-2</v>
      </c>
      <c r="F87" s="12">
        <v>2.343</v>
      </c>
    </row>
    <row r="88" spans="1:6" x14ac:dyDescent="0.25">
      <c r="A88" s="13">
        <v>43045</v>
      </c>
      <c r="B88" s="12">
        <v>5020.3100590000004</v>
      </c>
      <c r="C88" s="12">
        <f t="shared" si="5"/>
        <v>-1.4281827842133423E-3</v>
      </c>
      <c r="D88" s="12">
        <v>56.433331000000003</v>
      </c>
      <c r="E88" s="12">
        <f t="shared" si="6"/>
        <v>1.8026098065213353E-2</v>
      </c>
      <c r="F88" s="12">
        <v>2.4</v>
      </c>
    </row>
    <row r="89" spans="1:6" x14ac:dyDescent="0.25">
      <c r="A89" s="13">
        <v>43052</v>
      </c>
      <c r="B89" s="12">
        <v>5017.4501950000003</v>
      </c>
      <c r="C89" s="12">
        <f t="shared" si="5"/>
        <v>-5.6965883907371146E-4</v>
      </c>
      <c r="D89" s="12">
        <v>56.324500999999998</v>
      </c>
      <c r="E89" s="12">
        <f t="shared" si="6"/>
        <v>-1.928470251029567E-3</v>
      </c>
      <c r="F89" s="12">
        <v>2.3540000000000001</v>
      </c>
    </row>
    <row r="90" spans="1:6" x14ac:dyDescent="0.25">
      <c r="A90" s="13">
        <v>43059</v>
      </c>
      <c r="B90" s="12">
        <v>5064.2299800000001</v>
      </c>
      <c r="C90" s="12">
        <f t="shared" si="5"/>
        <v>9.3234179078881159E-3</v>
      </c>
      <c r="D90" s="12">
        <v>56.493580000000001</v>
      </c>
      <c r="E90" s="12">
        <f t="shared" si="6"/>
        <v>3.0018730214760986E-3</v>
      </c>
      <c r="F90" s="12">
        <v>2.34</v>
      </c>
    </row>
    <row r="91" spans="1:6" x14ac:dyDescent="0.25">
      <c r="A91" s="13">
        <v>43066</v>
      </c>
      <c r="B91" s="12">
        <v>5145.2099609999996</v>
      </c>
      <c r="C91" s="12">
        <f t="shared" si="5"/>
        <v>1.5990581257133093E-2</v>
      </c>
      <c r="D91" s="12">
        <v>57.010776999999997</v>
      </c>
      <c r="E91" s="12">
        <f t="shared" si="6"/>
        <v>9.1549694673270111E-3</v>
      </c>
      <c r="F91" s="12">
        <v>2.3620000000000001</v>
      </c>
    </row>
    <row r="92" spans="1:6" x14ac:dyDescent="0.25">
      <c r="A92" s="13">
        <v>43073</v>
      </c>
      <c r="B92" s="12">
        <v>5165.1899409999996</v>
      </c>
      <c r="C92" s="12">
        <f t="shared" si="5"/>
        <v>3.8832195676066932E-3</v>
      </c>
      <c r="D92" s="12">
        <v>58.293816</v>
      </c>
      <c r="E92" s="12">
        <f t="shared" si="6"/>
        <v>2.2505201078034814E-2</v>
      </c>
      <c r="F92" s="12">
        <v>2.383</v>
      </c>
    </row>
    <row r="93" spans="1:6" x14ac:dyDescent="0.25">
      <c r="A93" s="13">
        <v>43080</v>
      </c>
      <c r="B93" s="12">
        <v>5214.1000979999999</v>
      </c>
      <c r="C93" s="12">
        <f t="shared" si="5"/>
        <v>9.4691884632864178E-3</v>
      </c>
      <c r="D93" s="12">
        <v>57.975543999999999</v>
      </c>
      <c r="E93" s="12">
        <f t="shared" si="6"/>
        <v>-5.4597901087827284E-3</v>
      </c>
      <c r="F93" s="12">
        <v>2.355</v>
      </c>
    </row>
    <row r="94" spans="1:6" x14ac:dyDescent="0.25">
      <c r="A94" s="13">
        <v>43087</v>
      </c>
      <c r="B94" s="12">
        <v>5229.7900390000004</v>
      </c>
      <c r="C94" s="12">
        <f t="shared" si="5"/>
        <v>3.0091368990056056E-3</v>
      </c>
      <c r="D94" s="12">
        <v>56.990882999999997</v>
      </c>
      <c r="E94" s="12">
        <f t="shared" si="6"/>
        <v>-1.6984075216267099E-2</v>
      </c>
      <c r="F94" s="12">
        <v>2.4849999999999999</v>
      </c>
    </row>
    <row r="95" spans="1:6" x14ac:dyDescent="0.25">
      <c r="A95" s="13">
        <v>43094</v>
      </c>
      <c r="B95" s="12">
        <v>5212.7597660000001</v>
      </c>
      <c r="C95" s="12">
        <f t="shared" si="5"/>
        <v>-3.2563970777030856E-3</v>
      </c>
      <c r="D95" s="12">
        <v>57.120182</v>
      </c>
      <c r="E95" s="12">
        <f t="shared" si="6"/>
        <v>2.2687663919859456E-3</v>
      </c>
      <c r="F95" s="12">
        <v>2.4049999999999998</v>
      </c>
    </row>
    <row r="96" spans="1:6" x14ac:dyDescent="0.25">
      <c r="A96" s="13">
        <v>43101</v>
      </c>
      <c r="B96" s="12">
        <v>5349.6899409999996</v>
      </c>
      <c r="C96" s="12">
        <f t="shared" si="5"/>
        <v>2.6268268853117047E-2</v>
      </c>
      <c r="D96" s="12">
        <v>59.288421999999997</v>
      </c>
      <c r="E96" s="12">
        <f t="shared" si="6"/>
        <v>3.7959262804869866E-2</v>
      </c>
      <c r="F96" s="12">
        <v>2.476</v>
      </c>
    </row>
    <row r="97" spans="1:6" x14ac:dyDescent="0.25">
      <c r="A97" s="13">
        <v>43108</v>
      </c>
      <c r="B97" s="12">
        <v>5435.919922</v>
      </c>
      <c r="C97" s="12">
        <f t="shared" si="5"/>
        <v>1.6118687615731563E-2</v>
      </c>
      <c r="D97" s="12">
        <v>60.074162000000001</v>
      </c>
      <c r="E97" s="12">
        <f t="shared" si="6"/>
        <v>1.3252840495569339E-2</v>
      </c>
      <c r="F97" s="12">
        <v>2.552</v>
      </c>
    </row>
    <row r="98" spans="1:6" x14ac:dyDescent="0.25">
      <c r="A98" s="13">
        <v>43115</v>
      </c>
      <c r="B98" s="12">
        <v>5483.5698240000002</v>
      </c>
      <c r="C98" s="12">
        <f t="shared" si="5"/>
        <v>8.7657475981486894E-3</v>
      </c>
      <c r="D98" s="12">
        <v>60.929519999999997</v>
      </c>
      <c r="E98" s="12">
        <f t="shared" si="6"/>
        <v>1.423836756973814E-2</v>
      </c>
      <c r="F98" s="12">
        <v>2.637</v>
      </c>
    </row>
    <row r="99" spans="1:6" x14ac:dyDescent="0.25">
      <c r="A99" s="13">
        <v>43122</v>
      </c>
      <c r="B99" s="12">
        <v>5606.080078</v>
      </c>
      <c r="C99" s="12">
        <f t="shared" ref="C99:C105" si="7">(B99-B98)/B98</f>
        <v>2.2341332003069942E-2</v>
      </c>
      <c r="D99" s="12">
        <v>57.677162000000003</v>
      </c>
      <c r="E99" s="12">
        <f t="shared" ref="E99:E105" si="8">(D99-D98)/D98</f>
        <v>-5.3379018905778251E-2</v>
      </c>
      <c r="F99" s="12">
        <v>2.6619999999999999</v>
      </c>
    </row>
    <row r="100" spans="1:6" x14ac:dyDescent="0.25">
      <c r="A100" s="13">
        <v>43129</v>
      </c>
      <c r="B100" s="12">
        <v>5392.2099609999996</v>
      </c>
      <c r="C100" s="12">
        <f t="shared" si="7"/>
        <v>-3.8149672146013967E-2</v>
      </c>
      <c r="D100" s="12">
        <v>55.469138999999998</v>
      </c>
      <c r="E100" s="12">
        <f t="shared" si="8"/>
        <v>-3.8282448779293342E-2</v>
      </c>
      <c r="F100" s="12">
        <v>2.8540000000000001</v>
      </c>
    </row>
    <row r="101" spans="1:6" x14ac:dyDescent="0.25">
      <c r="A101" s="13">
        <v>43136</v>
      </c>
      <c r="B101" s="12">
        <v>5116.9902339999999</v>
      </c>
      <c r="C101" s="12">
        <f t="shared" si="7"/>
        <v>-5.1040246761637501E-2</v>
      </c>
      <c r="D101" s="12">
        <v>54.285561000000001</v>
      </c>
      <c r="E101" s="12">
        <f t="shared" si="8"/>
        <v>-2.1337594585702821E-2</v>
      </c>
      <c r="F101" s="12">
        <v>2.8290000000000002</v>
      </c>
    </row>
    <row r="102" spans="1:6" x14ac:dyDescent="0.25">
      <c r="A102" s="13">
        <v>43143</v>
      </c>
      <c r="B102" s="12">
        <v>5340.8198240000002</v>
      </c>
      <c r="C102" s="12">
        <f t="shared" si="7"/>
        <v>4.3742430562551719E-2</v>
      </c>
      <c r="D102" s="12">
        <v>56.48</v>
      </c>
      <c r="E102" s="12">
        <f t="shared" si="8"/>
        <v>4.0423990460372983E-2</v>
      </c>
      <c r="F102" s="12">
        <v>2.8769999999999998</v>
      </c>
    </row>
    <row r="103" spans="1:6" x14ac:dyDescent="0.25">
      <c r="A103" s="13">
        <v>43150</v>
      </c>
      <c r="B103" s="12">
        <v>5371.5600590000004</v>
      </c>
      <c r="C103" s="12">
        <f t="shared" si="7"/>
        <v>5.7557146679734555E-3</v>
      </c>
      <c r="D103" s="12">
        <v>56.139999000000003</v>
      </c>
      <c r="E103" s="12">
        <f t="shared" si="8"/>
        <v>-6.0198477337109384E-3</v>
      </c>
      <c r="F103" s="12">
        <v>2.871</v>
      </c>
    </row>
    <row r="104" spans="1:6" x14ac:dyDescent="0.25">
      <c r="A104" s="13">
        <v>43157</v>
      </c>
      <c r="B104" s="12">
        <v>5265.2402339999999</v>
      </c>
      <c r="C104" s="12">
        <f t="shared" si="7"/>
        <v>-1.9793099924827719E-2</v>
      </c>
      <c r="D104" s="12">
        <v>56.93</v>
      </c>
      <c r="E104" s="12">
        <f t="shared" si="8"/>
        <v>1.4071981013038432E-2</v>
      </c>
      <c r="F104" s="12">
        <v>2.8570000000000002</v>
      </c>
    </row>
    <row r="105" spans="1:6" x14ac:dyDescent="0.25">
      <c r="A105" s="13">
        <v>43164</v>
      </c>
      <c r="B105" s="12">
        <v>5454.0297849999997</v>
      </c>
      <c r="C105" s="12">
        <f t="shared" si="7"/>
        <v>3.5855828530083338E-2</v>
      </c>
      <c r="D105" s="12">
        <v>58.459999000000003</v>
      </c>
      <c r="E105" s="12">
        <f t="shared" si="8"/>
        <v>2.687509221851403E-2</v>
      </c>
      <c r="F105" s="12">
        <v>2.8940000000000001</v>
      </c>
    </row>
    <row r="106" spans="1:6" x14ac:dyDescent="0.25">
      <c r="F106" s="12">
        <v>2.87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2"/>
  <sheetViews>
    <sheetView tabSelected="1" workbookViewId="0">
      <selection activeCell="K3" sqref="K3"/>
    </sheetView>
  </sheetViews>
  <sheetFormatPr defaultColWidth="9.140625" defaultRowHeight="15" outlineLevelCol="1" x14ac:dyDescent="0.25"/>
  <cols>
    <col min="1" max="1" width="45.140625" style="2" customWidth="1"/>
    <col min="2" max="2" width="14" style="2" customWidth="1" outlineLevel="1"/>
    <col min="3" max="3" width="14.28515625" style="3" bestFit="1" customWidth="1" outlineLevel="1"/>
    <col min="4" max="4" width="14.28515625" style="1" bestFit="1" customWidth="1"/>
    <col min="5" max="6" width="14.28515625" style="2" bestFit="1" customWidth="1" outlineLevel="1"/>
    <col min="7" max="8" width="14.28515625" style="1" bestFit="1" customWidth="1"/>
    <col min="9" max="10" width="14.28515625" style="2" bestFit="1" customWidth="1" outlineLevel="1"/>
    <col min="11" max="11" width="11.85546875" style="1" customWidth="1"/>
    <col min="12" max="13" width="12.140625" style="2" customWidth="1" outlineLevel="1"/>
    <col min="14" max="14" width="12.140625" style="1" customWidth="1"/>
    <col min="15" max="16" width="12.140625" style="2" customWidth="1" outlineLevel="1"/>
    <col min="17" max="17" width="12.140625" style="1" customWidth="1"/>
    <col min="18" max="18" width="13" style="2" bestFit="1" customWidth="1" outlineLevel="1"/>
    <col min="19" max="19" width="12.28515625" style="2" bestFit="1" customWidth="1" outlineLevel="1"/>
    <col min="20" max="20" width="13" style="2" bestFit="1" customWidth="1"/>
    <col min="21" max="21" width="12.140625" style="2" customWidth="1" outlineLevel="1"/>
    <col min="22" max="22" width="12.140625" style="1" customWidth="1"/>
    <col min="23" max="23" width="15.42578125" style="2" customWidth="1"/>
    <col min="24" max="24" width="10.140625" style="2" bestFit="1" customWidth="1"/>
    <col min="25" max="25" width="12" style="2" bestFit="1" customWidth="1"/>
    <col min="26" max="16384" width="9.140625" style="2"/>
  </cols>
  <sheetData>
    <row r="1" spans="1:25" ht="15.75" thickBot="1" x14ac:dyDescent="0.3">
      <c r="A1" s="23"/>
    </row>
    <row r="2" spans="1:25" ht="15.75" thickBot="1" x14ac:dyDescent="0.3">
      <c r="A2" s="217" t="s">
        <v>64</v>
      </c>
      <c r="B2" s="119">
        <v>2018</v>
      </c>
      <c r="C2" s="155">
        <v>2019</v>
      </c>
      <c r="D2" s="120">
        <v>2020</v>
      </c>
      <c r="E2" s="120">
        <v>2021</v>
      </c>
      <c r="F2" s="120">
        <v>2022</v>
      </c>
      <c r="G2" s="120">
        <v>2023</v>
      </c>
      <c r="H2" s="120">
        <v>2024</v>
      </c>
      <c r="I2" s="120">
        <v>2025</v>
      </c>
      <c r="J2" s="121">
        <v>2026</v>
      </c>
      <c r="K2" s="7"/>
    </row>
    <row r="3" spans="1:25" s="3" customFormat="1" x14ac:dyDescent="0.25">
      <c r="A3" s="209" t="s">
        <v>20</v>
      </c>
      <c r="B3" s="150"/>
      <c r="C3" s="156"/>
      <c r="D3" s="150"/>
      <c r="E3" s="150"/>
      <c r="F3" s="150"/>
      <c r="G3" s="150"/>
      <c r="H3" s="150"/>
      <c r="I3" s="150"/>
      <c r="J3" s="151"/>
      <c r="K3" s="7"/>
      <c r="L3" s="2"/>
      <c r="M3" s="2"/>
      <c r="N3" s="1"/>
      <c r="O3" s="2"/>
      <c r="P3" s="2"/>
      <c r="Q3" s="1"/>
      <c r="R3" s="2"/>
      <c r="S3" s="2"/>
      <c r="T3" s="2"/>
      <c r="U3" s="2"/>
      <c r="V3" s="1"/>
    </row>
    <row r="4" spans="1:25" x14ac:dyDescent="0.25">
      <c r="A4" s="210" t="s">
        <v>0</v>
      </c>
      <c r="B4" s="170"/>
      <c r="C4" s="171"/>
      <c r="D4" s="172"/>
      <c r="E4" s="172"/>
      <c r="F4" s="172"/>
      <c r="G4" s="172"/>
      <c r="H4" s="172"/>
      <c r="I4" s="172"/>
      <c r="J4" s="173"/>
      <c r="K4" s="7"/>
    </row>
    <row r="5" spans="1:25" x14ac:dyDescent="0.25">
      <c r="A5" s="211" t="s">
        <v>1</v>
      </c>
      <c r="B5" s="174">
        <v>0</v>
      </c>
      <c r="C5" s="175">
        <v>1692032.2960000001</v>
      </c>
      <c r="D5" s="174">
        <f t="shared" ref="D5:J5" si="0">C5+C5*D6</f>
        <v>1742708.6632652001</v>
      </c>
      <c r="E5" s="174">
        <f t="shared" si="0"/>
        <v>1768849.2932141782</v>
      </c>
      <c r="F5" s="174">
        <f t="shared" si="0"/>
        <v>1795382.0326123908</v>
      </c>
      <c r="G5" s="174">
        <f t="shared" si="0"/>
        <v>1822312.7631015766</v>
      </c>
      <c r="H5" s="174">
        <f t="shared" si="0"/>
        <v>1849647.4545481002</v>
      </c>
      <c r="I5" s="174">
        <f t="shared" si="0"/>
        <v>1877392.1663663217</v>
      </c>
      <c r="J5" s="176">
        <f t="shared" si="0"/>
        <v>1905553.0488618165</v>
      </c>
      <c r="K5" s="7"/>
    </row>
    <row r="6" spans="1:25" s="4" customFormat="1" x14ac:dyDescent="0.25">
      <c r="A6" s="212" t="s">
        <v>2</v>
      </c>
      <c r="B6" s="127"/>
      <c r="C6" s="157"/>
      <c r="D6" s="128">
        <f>2.995%</f>
        <v>2.9950000000000001E-2</v>
      </c>
      <c r="E6" s="129">
        <f t="shared" ref="E6:J6" si="1">1.5%</f>
        <v>1.4999999999999999E-2</v>
      </c>
      <c r="F6" s="129">
        <f t="shared" si="1"/>
        <v>1.4999999999999999E-2</v>
      </c>
      <c r="G6" s="129">
        <f t="shared" si="1"/>
        <v>1.4999999999999999E-2</v>
      </c>
      <c r="H6" s="129">
        <f t="shared" si="1"/>
        <v>1.4999999999999999E-2</v>
      </c>
      <c r="I6" s="129">
        <f t="shared" si="1"/>
        <v>1.4999999999999999E-2</v>
      </c>
      <c r="J6" s="130">
        <f t="shared" si="1"/>
        <v>1.4999999999999999E-2</v>
      </c>
      <c r="K6" s="7"/>
      <c r="L6" s="2"/>
      <c r="M6" s="2"/>
      <c r="N6" s="1"/>
      <c r="O6" s="2"/>
      <c r="P6" s="2"/>
      <c r="Q6" s="1"/>
      <c r="R6" s="2"/>
      <c r="S6" s="2"/>
      <c r="T6" s="2"/>
      <c r="U6" s="2"/>
      <c r="V6" s="1"/>
    </row>
    <row r="7" spans="1:25" x14ac:dyDescent="0.25">
      <c r="A7" s="211" t="s">
        <v>3</v>
      </c>
      <c r="B7" s="131"/>
      <c r="C7" s="177">
        <v>-717442.20431949198</v>
      </c>
      <c r="D7" s="174">
        <f t="shared" ref="D7:J7" si="2">C7+D8*C7</f>
        <v>-738929.59833886079</v>
      </c>
      <c r="E7" s="174">
        <f t="shared" si="2"/>
        <v>-750013.54231394373</v>
      </c>
      <c r="F7" s="174">
        <f t="shared" si="2"/>
        <v>-761263.74544865289</v>
      </c>
      <c r="G7" s="174">
        <f t="shared" si="2"/>
        <v>-772682.70163038268</v>
      </c>
      <c r="H7" s="174">
        <f t="shared" si="2"/>
        <v>-784272.94215483847</v>
      </c>
      <c r="I7" s="174">
        <f t="shared" si="2"/>
        <v>-796037.03628716106</v>
      </c>
      <c r="J7" s="176">
        <f t="shared" si="2"/>
        <v>-807977.59183146851</v>
      </c>
      <c r="Y7" s="5"/>
    </row>
    <row r="8" spans="1:25" s="4" customFormat="1" ht="15.75" thickBot="1" x14ac:dyDescent="0.3">
      <c r="A8" s="212" t="s">
        <v>4</v>
      </c>
      <c r="B8" s="154"/>
      <c r="C8" s="158"/>
      <c r="D8" s="153">
        <f>D6</f>
        <v>2.9950000000000001E-2</v>
      </c>
      <c r="E8" s="182">
        <f t="shared" ref="E8:J8" si="3">1.5%</f>
        <v>1.4999999999999999E-2</v>
      </c>
      <c r="F8" s="182">
        <f t="shared" si="3"/>
        <v>1.4999999999999999E-2</v>
      </c>
      <c r="G8" s="182">
        <f t="shared" si="3"/>
        <v>1.4999999999999999E-2</v>
      </c>
      <c r="H8" s="182">
        <f t="shared" si="3"/>
        <v>1.4999999999999999E-2</v>
      </c>
      <c r="I8" s="182">
        <f t="shared" si="3"/>
        <v>1.4999999999999999E-2</v>
      </c>
      <c r="J8" s="183">
        <f t="shared" si="3"/>
        <v>1.4999999999999999E-2</v>
      </c>
      <c r="K8" s="1"/>
      <c r="L8" s="2"/>
      <c r="M8" s="2"/>
      <c r="N8" s="1"/>
      <c r="O8" s="2"/>
      <c r="P8" s="2"/>
      <c r="Q8" s="1"/>
      <c r="R8" s="2"/>
      <c r="S8" s="2"/>
      <c r="T8" s="2"/>
      <c r="U8" s="2"/>
      <c r="V8" s="1"/>
    </row>
    <row r="9" spans="1:25" x14ac:dyDescent="0.25">
      <c r="A9" s="213" t="s">
        <v>5</v>
      </c>
      <c r="B9" s="178">
        <f t="shared" ref="B9:J9" si="4">B5+B7</f>
        <v>0</v>
      </c>
      <c r="C9" s="179">
        <f t="shared" si="4"/>
        <v>974590.09168050811</v>
      </c>
      <c r="D9" s="180">
        <f t="shared" si="4"/>
        <v>1003779.0649263393</v>
      </c>
      <c r="E9" s="180">
        <f t="shared" si="4"/>
        <v>1018835.7509002344</v>
      </c>
      <c r="F9" s="180">
        <f t="shared" si="4"/>
        <v>1034118.2871637379</v>
      </c>
      <c r="G9" s="180">
        <f t="shared" si="4"/>
        <v>1049630.061471194</v>
      </c>
      <c r="H9" s="180">
        <f t="shared" si="4"/>
        <v>1065374.5123932618</v>
      </c>
      <c r="I9" s="180">
        <f t="shared" si="4"/>
        <v>1081355.1300791607</v>
      </c>
      <c r="J9" s="181">
        <f t="shared" si="4"/>
        <v>1097575.457030348</v>
      </c>
    </row>
    <row r="10" spans="1:25" s="4" customFormat="1" ht="15.75" thickBot="1" x14ac:dyDescent="0.3">
      <c r="A10" s="212" t="s">
        <v>6</v>
      </c>
      <c r="B10" s="162"/>
      <c r="C10" s="163">
        <f t="shared" ref="C10:J10" si="5">C9/C5</f>
        <v>0.57598787800000006</v>
      </c>
      <c r="D10" s="164">
        <f t="shared" si="5"/>
        <v>0.57598787800000006</v>
      </c>
      <c r="E10" s="164">
        <f t="shared" si="5"/>
        <v>0.57598787800000006</v>
      </c>
      <c r="F10" s="164">
        <f t="shared" si="5"/>
        <v>0.57598787800000006</v>
      </c>
      <c r="G10" s="164">
        <f t="shared" si="5"/>
        <v>0.57598787800000018</v>
      </c>
      <c r="H10" s="164">
        <f t="shared" si="5"/>
        <v>0.57598787800000006</v>
      </c>
      <c r="I10" s="164">
        <f t="shared" si="5"/>
        <v>0.57598787800000006</v>
      </c>
      <c r="J10" s="165">
        <f t="shared" si="5"/>
        <v>0.57598787799999995</v>
      </c>
      <c r="K10" s="1"/>
      <c r="L10" s="2"/>
      <c r="M10" s="2"/>
      <c r="N10" s="1"/>
      <c r="O10" s="2"/>
      <c r="P10" s="2"/>
      <c r="Q10" s="1"/>
      <c r="R10" s="2"/>
      <c r="S10" s="2"/>
      <c r="T10" s="2"/>
      <c r="U10" s="2"/>
      <c r="V10" s="1"/>
    </row>
    <row r="11" spans="1:25" x14ac:dyDescent="0.25">
      <c r="A11" s="211"/>
      <c r="B11" s="184"/>
      <c r="C11" s="177"/>
      <c r="D11" s="184"/>
      <c r="E11" s="184"/>
      <c r="F11" s="184"/>
      <c r="G11" s="184"/>
      <c r="H11" s="184"/>
      <c r="I11" s="184"/>
      <c r="J11" s="185"/>
    </row>
    <row r="12" spans="1:25" x14ac:dyDescent="0.25">
      <c r="A12" s="211" t="s">
        <v>7</v>
      </c>
      <c r="B12" s="174"/>
      <c r="C12" s="175">
        <f t="shared" ref="C12:J12" si="6">-C5*0.210630567</f>
        <v>-356393.72188879183</v>
      </c>
      <c r="D12" s="174">
        <f t="shared" si="6"/>
        <v>-367067.71385936113</v>
      </c>
      <c r="E12" s="174">
        <f t="shared" si="6"/>
        <v>-372573.72956725158</v>
      </c>
      <c r="F12" s="174">
        <f t="shared" si="6"/>
        <v>-378162.33551076037</v>
      </c>
      <c r="G12" s="174">
        <f t="shared" si="6"/>
        <v>-383834.77054342174</v>
      </c>
      <c r="H12" s="174">
        <f t="shared" si="6"/>
        <v>-389592.29210157308</v>
      </c>
      <c r="I12" s="174">
        <f t="shared" si="6"/>
        <v>-395436.17648309667</v>
      </c>
      <c r="J12" s="176">
        <f t="shared" si="6"/>
        <v>-401367.71913034312</v>
      </c>
      <c r="W12" s="6"/>
    </row>
    <row r="13" spans="1:25" x14ac:dyDescent="0.25">
      <c r="A13" s="211" t="s">
        <v>21</v>
      </c>
      <c r="B13" s="174">
        <v>-80000</v>
      </c>
      <c r="C13" s="175">
        <v>0</v>
      </c>
      <c r="D13" s="174">
        <v>0</v>
      </c>
      <c r="E13" s="174">
        <v>0</v>
      </c>
      <c r="F13" s="174">
        <v>0</v>
      </c>
      <c r="G13" s="174">
        <v>0</v>
      </c>
      <c r="H13" s="174">
        <v>0</v>
      </c>
      <c r="I13" s="174">
        <v>0</v>
      </c>
      <c r="J13" s="176">
        <v>0</v>
      </c>
      <c r="W13" s="6"/>
    </row>
    <row r="14" spans="1:25" x14ac:dyDescent="0.25">
      <c r="A14" s="211" t="s">
        <v>22</v>
      </c>
      <c r="B14" s="174"/>
      <c r="C14" s="175">
        <v>-395735.21959423402</v>
      </c>
      <c r="D14" s="174">
        <v>-394501.43870695698</v>
      </c>
      <c r="E14" s="174">
        <v>-393961.659568773</v>
      </c>
      <c r="F14" s="174">
        <v>-394308.66044332</v>
      </c>
      <c r="G14" s="174">
        <v>-394308.66044332</v>
      </c>
      <c r="H14" s="174">
        <v>-394308.66044332</v>
      </c>
      <c r="I14" s="174">
        <v>-394308.66044332</v>
      </c>
      <c r="J14" s="176">
        <v>-394308.66044332</v>
      </c>
      <c r="W14" s="6"/>
    </row>
    <row r="15" spans="1:25" x14ac:dyDescent="0.25">
      <c r="A15" s="211" t="s">
        <v>23</v>
      </c>
      <c r="B15" s="174"/>
      <c r="C15" s="175">
        <v>-42000</v>
      </c>
      <c r="D15" s="174">
        <v>-67200</v>
      </c>
      <c r="E15" s="174">
        <v>-40320</v>
      </c>
      <c r="F15" s="174">
        <v>-24192</v>
      </c>
      <c r="G15" s="174">
        <v>-24192</v>
      </c>
      <c r="H15" s="174">
        <v>-12196</v>
      </c>
      <c r="I15" s="174">
        <v>0</v>
      </c>
      <c r="J15" s="176">
        <v>0</v>
      </c>
      <c r="W15" s="6"/>
    </row>
    <row r="16" spans="1:25" ht="15.75" thickBot="1" x14ac:dyDescent="0.3">
      <c r="A16" s="211" t="s">
        <v>8</v>
      </c>
      <c r="B16" s="174"/>
      <c r="C16" s="175">
        <v>-76443.327109897102</v>
      </c>
      <c r="D16" s="174">
        <v>-77589.977016545497</v>
      </c>
      <c r="E16" s="174">
        <v>-78753.826671793693</v>
      </c>
      <c r="F16" s="174">
        <v>-79935.134071870605</v>
      </c>
      <c r="G16" s="174">
        <v>-81134.161082948602</v>
      </c>
      <c r="H16" s="174">
        <v>-82351.173499192897</v>
      </c>
      <c r="I16" s="174">
        <v>-83586.441101680801</v>
      </c>
      <c r="J16" s="176">
        <v>-84840.237718206001</v>
      </c>
      <c r="W16" s="6"/>
    </row>
    <row r="17" spans="1:24" x14ac:dyDescent="0.25">
      <c r="A17" s="213" t="s">
        <v>9</v>
      </c>
      <c r="B17" s="178">
        <f t="shared" ref="B17:J17" si="7">B9+SUM(B12:B16)</f>
        <v>-80000</v>
      </c>
      <c r="C17" s="179">
        <f t="shared" si="7"/>
        <v>104017.82308758516</v>
      </c>
      <c r="D17" s="180">
        <f t="shared" si="7"/>
        <v>97419.935343475663</v>
      </c>
      <c r="E17" s="180">
        <f t="shared" si="7"/>
        <v>133226.53509241622</v>
      </c>
      <c r="F17" s="180">
        <f t="shared" si="7"/>
        <v>157520.15713778697</v>
      </c>
      <c r="G17" s="180">
        <f t="shared" si="7"/>
        <v>166160.46940150368</v>
      </c>
      <c r="H17" s="180">
        <f t="shared" si="7"/>
        <v>186926.38634917571</v>
      </c>
      <c r="I17" s="180">
        <f t="shared" si="7"/>
        <v>208023.85205106321</v>
      </c>
      <c r="J17" s="181">
        <f t="shared" si="7"/>
        <v>217058.83973847888</v>
      </c>
      <c r="W17" s="6"/>
    </row>
    <row r="18" spans="1:24" s="4" customFormat="1" ht="15.75" thickBot="1" x14ac:dyDescent="0.3">
      <c r="A18" s="212" t="s">
        <v>10</v>
      </c>
      <c r="B18" s="166"/>
      <c r="C18" s="167">
        <f t="shared" ref="C18:J18" si="8">C17/C5</f>
        <v>6.1475081376097536E-2</v>
      </c>
      <c r="D18" s="168">
        <f t="shared" si="8"/>
        <v>5.5901446637067982E-2</v>
      </c>
      <c r="E18" s="168">
        <f t="shared" si="8"/>
        <v>7.5318194491476503E-2</v>
      </c>
      <c r="F18" s="168">
        <f t="shared" si="8"/>
        <v>8.7736289144314028E-2</v>
      </c>
      <c r="G18" s="168">
        <f t="shared" si="8"/>
        <v>9.1181092930885554E-2</v>
      </c>
      <c r="H18" s="168">
        <f t="shared" si="8"/>
        <v>0.10106054853293378</v>
      </c>
      <c r="I18" s="168">
        <f t="shared" si="8"/>
        <v>0.11080468736251936</v>
      </c>
      <c r="J18" s="169">
        <f t="shared" si="8"/>
        <v>0.11390857886015178</v>
      </c>
      <c r="K18" s="1"/>
      <c r="L18" s="2"/>
      <c r="M18" s="2"/>
      <c r="N18" s="1"/>
      <c r="O18" s="2"/>
      <c r="P18" s="2"/>
      <c r="Q18" s="1"/>
      <c r="R18" s="2"/>
      <c r="S18" s="2"/>
      <c r="T18" s="2"/>
      <c r="U18" s="2"/>
      <c r="V18" s="1"/>
      <c r="W18" s="6"/>
    </row>
    <row r="19" spans="1:24" x14ac:dyDescent="0.25">
      <c r="A19" s="211"/>
      <c r="B19" s="186"/>
      <c r="C19" s="177"/>
      <c r="D19" s="184"/>
      <c r="E19" s="184"/>
      <c r="F19" s="184"/>
      <c r="G19" s="184"/>
      <c r="H19" s="184"/>
      <c r="I19" s="184"/>
      <c r="J19" s="185"/>
      <c r="W19" s="6"/>
    </row>
    <row r="20" spans="1:24" ht="15.75" thickBot="1" x14ac:dyDescent="0.3">
      <c r="A20" s="211" t="s">
        <v>11</v>
      </c>
      <c r="B20" s="186">
        <f t="shared" ref="B20:J20" si="9">B15</f>
        <v>0</v>
      </c>
      <c r="C20" s="177">
        <f t="shared" si="9"/>
        <v>-42000</v>
      </c>
      <c r="D20" s="186">
        <f t="shared" si="9"/>
        <v>-67200</v>
      </c>
      <c r="E20" s="186">
        <f t="shared" si="9"/>
        <v>-40320</v>
      </c>
      <c r="F20" s="186">
        <f t="shared" si="9"/>
        <v>-24192</v>
      </c>
      <c r="G20" s="186">
        <f t="shared" si="9"/>
        <v>-24192</v>
      </c>
      <c r="H20" s="186">
        <f t="shared" si="9"/>
        <v>-12196</v>
      </c>
      <c r="I20" s="186">
        <f t="shared" si="9"/>
        <v>0</v>
      </c>
      <c r="J20" s="187">
        <f t="shared" si="9"/>
        <v>0</v>
      </c>
      <c r="W20" s="6"/>
    </row>
    <row r="21" spans="1:24" x14ac:dyDescent="0.25">
      <c r="A21" s="213" t="s">
        <v>12</v>
      </c>
      <c r="B21" s="178">
        <f t="shared" ref="B21:J21" si="10">B17-B20</f>
        <v>-80000</v>
      </c>
      <c r="C21" s="179">
        <f t="shared" si="10"/>
        <v>146017.82308758516</v>
      </c>
      <c r="D21" s="180">
        <f t="shared" si="10"/>
        <v>164619.93534347566</v>
      </c>
      <c r="E21" s="180">
        <f t="shared" si="10"/>
        <v>173546.53509241622</v>
      </c>
      <c r="F21" s="180">
        <f t="shared" si="10"/>
        <v>181712.15713778697</v>
      </c>
      <c r="G21" s="180">
        <f t="shared" si="10"/>
        <v>190352.46940150368</v>
      </c>
      <c r="H21" s="180">
        <f t="shared" si="10"/>
        <v>199122.38634917571</v>
      </c>
      <c r="I21" s="180">
        <f t="shared" si="10"/>
        <v>208023.85205106321</v>
      </c>
      <c r="J21" s="181">
        <f t="shared" si="10"/>
        <v>217058.83973847888</v>
      </c>
      <c r="W21" s="6"/>
    </row>
    <row r="22" spans="1:24" s="4" customFormat="1" ht="15.75" thickBot="1" x14ac:dyDescent="0.3">
      <c r="A22" s="212" t="s">
        <v>13</v>
      </c>
      <c r="B22" s="166"/>
      <c r="C22" s="167">
        <f t="shared" ref="C22:J22" si="11">C21/C5</f>
        <v>8.6297302618144084E-2</v>
      </c>
      <c r="D22" s="168">
        <f t="shared" si="11"/>
        <v>9.4462108792778929E-2</v>
      </c>
      <c r="E22" s="168">
        <f t="shared" si="11"/>
        <v>9.811267458352238E-2</v>
      </c>
      <c r="F22" s="168">
        <f t="shared" si="11"/>
        <v>0.10121085865685346</v>
      </c>
      <c r="G22" s="168">
        <f t="shared" si="11"/>
        <v>0.10445653087427416</v>
      </c>
      <c r="H22" s="168">
        <f t="shared" si="11"/>
        <v>0.10765423749242238</v>
      </c>
      <c r="I22" s="168">
        <f t="shared" si="11"/>
        <v>0.11080468736251936</v>
      </c>
      <c r="J22" s="169">
        <f t="shared" si="11"/>
        <v>0.11390857886015178</v>
      </c>
      <c r="K22" s="1"/>
      <c r="L22" s="2"/>
      <c r="M22" s="2"/>
      <c r="N22" s="1"/>
      <c r="O22" s="2"/>
      <c r="P22" s="2"/>
      <c r="Q22" s="1"/>
      <c r="R22" s="2"/>
      <c r="S22" s="2"/>
      <c r="T22" s="2"/>
      <c r="U22" s="2"/>
      <c r="V22" s="1"/>
      <c r="W22" s="6"/>
    </row>
    <row r="23" spans="1:24" ht="15.75" thickBot="1" x14ac:dyDescent="0.3">
      <c r="A23" s="211"/>
      <c r="B23" s="186"/>
      <c r="C23" s="177"/>
      <c r="D23" s="184"/>
      <c r="E23" s="184"/>
      <c r="F23" s="184"/>
      <c r="G23" s="184"/>
      <c r="H23" s="184"/>
      <c r="I23" s="184"/>
      <c r="J23" s="185"/>
      <c r="W23" s="6"/>
    </row>
    <row r="24" spans="1:24" ht="17.25" x14ac:dyDescent="0.4">
      <c r="A24" s="214" t="s">
        <v>24</v>
      </c>
      <c r="B24" s="201">
        <f t="shared" ref="B24:J24" si="12">B30-B20</f>
        <v>-52800</v>
      </c>
      <c r="C24" s="202">
        <f t="shared" si="12"/>
        <v>110651.76323780621</v>
      </c>
      <c r="D24" s="203">
        <f t="shared" si="12"/>
        <v>131497.15732669394</v>
      </c>
      <c r="E24" s="203">
        <f t="shared" si="12"/>
        <v>128249.5131609947</v>
      </c>
      <c r="F24" s="203">
        <f t="shared" si="12"/>
        <v>128155.30371093939</v>
      </c>
      <c r="G24" s="203">
        <f t="shared" si="12"/>
        <v>133857.90980499244</v>
      </c>
      <c r="H24" s="203">
        <f t="shared" si="12"/>
        <v>135567.41499045596</v>
      </c>
      <c r="I24" s="203">
        <f t="shared" si="12"/>
        <v>137295.74235370173</v>
      </c>
      <c r="J24" s="204">
        <f t="shared" si="12"/>
        <v>143258.83422739606</v>
      </c>
      <c r="W24" s="6"/>
    </row>
    <row r="25" spans="1:24" s="4" customFormat="1" ht="15.75" thickBot="1" x14ac:dyDescent="0.3">
      <c r="A25" s="215" t="s">
        <v>25</v>
      </c>
      <c r="B25" s="197">
        <f t="shared" ref="B25:J25" si="13">B24/B21</f>
        <v>0.66</v>
      </c>
      <c r="C25" s="198">
        <f t="shared" si="13"/>
        <v>0.75779628060496773</v>
      </c>
      <c r="D25" s="199">
        <f t="shared" si="13"/>
        <v>0.79879242481980195</v>
      </c>
      <c r="E25" s="199">
        <f t="shared" si="13"/>
        <v>0.73899206972181752</v>
      </c>
      <c r="F25" s="199">
        <f t="shared" si="13"/>
        <v>0.7052654358935545</v>
      </c>
      <c r="G25" s="199">
        <f t="shared" si="13"/>
        <v>0.70321078694624506</v>
      </c>
      <c r="H25" s="199">
        <f t="shared" si="13"/>
        <v>0.68082457967698595</v>
      </c>
      <c r="I25" s="199">
        <f t="shared" si="13"/>
        <v>0.66</v>
      </c>
      <c r="J25" s="200">
        <f t="shared" si="13"/>
        <v>0.66</v>
      </c>
      <c r="K25" s="1"/>
      <c r="L25" s="2"/>
      <c r="M25" s="2"/>
      <c r="N25" s="1"/>
      <c r="O25" s="2"/>
      <c r="P25" s="2"/>
      <c r="Q25" s="1"/>
      <c r="R25" s="2"/>
      <c r="S25" s="2"/>
      <c r="T25" s="2"/>
      <c r="U25" s="2"/>
      <c r="V25" s="1"/>
      <c r="W25" s="6"/>
    </row>
    <row r="26" spans="1:24" ht="15.75" thickBot="1" x14ac:dyDescent="0.3">
      <c r="A26" s="211"/>
      <c r="B26" s="140"/>
      <c r="C26" s="159"/>
      <c r="D26" s="143"/>
      <c r="E26" s="143"/>
      <c r="F26" s="143"/>
      <c r="G26" s="143"/>
      <c r="H26" s="143"/>
      <c r="I26" s="143"/>
      <c r="J26" s="144"/>
      <c r="W26" s="6"/>
    </row>
    <row r="27" spans="1:24" ht="15.75" thickBot="1" x14ac:dyDescent="0.3">
      <c r="A27" s="213" t="s">
        <v>14</v>
      </c>
      <c r="B27" s="205">
        <f t="shared" ref="B27:J27" si="14">B17</f>
        <v>-80000</v>
      </c>
      <c r="C27" s="206">
        <f t="shared" si="14"/>
        <v>104017.82308758516</v>
      </c>
      <c r="D27" s="207">
        <f t="shared" si="14"/>
        <v>97419.935343475663</v>
      </c>
      <c r="E27" s="207">
        <f t="shared" si="14"/>
        <v>133226.53509241622</v>
      </c>
      <c r="F27" s="207">
        <f t="shared" si="14"/>
        <v>157520.15713778697</v>
      </c>
      <c r="G27" s="207">
        <f t="shared" si="14"/>
        <v>166160.46940150368</v>
      </c>
      <c r="H27" s="207">
        <f t="shared" si="14"/>
        <v>186926.38634917571</v>
      </c>
      <c r="I27" s="207">
        <f t="shared" si="14"/>
        <v>208023.85205106321</v>
      </c>
      <c r="J27" s="208">
        <f t="shared" si="14"/>
        <v>217058.83973847888</v>
      </c>
      <c r="W27" s="6"/>
      <c r="X27" s="5"/>
    </row>
    <row r="28" spans="1:24" x14ac:dyDescent="0.25">
      <c r="A28" s="211" t="s">
        <v>15</v>
      </c>
      <c r="B28" s="174">
        <f t="shared" ref="B28:J28" si="15">-B29*B17</f>
        <v>27200.000000000004</v>
      </c>
      <c r="C28" s="175">
        <f t="shared" si="15"/>
        <v>-35366.059849778954</v>
      </c>
      <c r="D28" s="174">
        <f t="shared" si="15"/>
        <v>-33122.778016781725</v>
      </c>
      <c r="E28" s="174">
        <f t="shared" si="15"/>
        <v>-45297.021931421521</v>
      </c>
      <c r="F28" s="174">
        <f t="shared" si="15"/>
        <v>-53556.853426847571</v>
      </c>
      <c r="G28" s="174">
        <f t="shared" si="15"/>
        <v>-56494.559596511259</v>
      </c>
      <c r="H28" s="174">
        <f t="shared" si="15"/>
        <v>-63554.971358719748</v>
      </c>
      <c r="I28" s="174">
        <f t="shared" si="15"/>
        <v>-70728.109697361491</v>
      </c>
      <c r="J28" s="176">
        <f t="shared" si="15"/>
        <v>-73800.005511082825</v>
      </c>
      <c r="W28" s="6"/>
      <c r="X28" s="5"/>
    </row>
    <row r="29" spans="1:24" s="4" customFormat="1" ht="15.75" thickBot="1" x14ac:dyDescent="0.3">
      <c r="A29" s="212" t="s">
        <v>16</v>
      </c>
      <c r="B29" s="146">
        <f>34%</f>
        <v>0.34</v>
      </c>
      <c r="C29" s="160">
        <f>34%</f>
        <v>0.34</v>
      </c>
      <c r="D29" s="146">
        <f>34%</f>
        <v>0.34</v>
      </c>
      <c r="E29" s="146">
        <f>34%</f>
        <v>0.34</v>
      </c>
      <c r="F29" s="146">
        <f>34%</f>
        <v>0.34</v>
      </c>
      <c r="G29" s="146">
        <f>34%</f>
        <v>0.34</v>
      </c>
      <c r="H29" s="146">
        <f>34%</f>
        <v>0.34</v>
      </c>
      <c r="I29" s="146">
        <f>34%</f>
        <v>0.34</v>
      </c>
      <c r="J29" s="147">
        <f>34%</f>
        <v>0.34</v>
      </c>
      <c r="K29" s="1"/>
      <c r="L29" s="2"/>
      <c r="M29" s="2"/>
      <c r="N29" s="1"/>
      <c r="O29" s="2"/>
      <c r="P29" s="2"/>
      <c r="Q29" s="1"/>
      <c r="R29" s="2"/>
      <c r="S29" s="2"/>
      <c r="T29" s="2"/>
      <c r="U29" s="2"/>
      <c r="V29" s="1"/>
      <c r="W29" s="6"/>
    </row>
    <row r="30" spans="1:24" x14ac:dyDescent="0.25">
      <c r="A30" s="213" t="s">
        <v>17</v>
      </c>
      <c r="B30" s="178">
        <f t="shared" ref="B30:J30" si="16">B27+B28</f>
        <v>-52800</v>
      </c>
      <c r="C30" s="179">
        <f t="shared" si="16"/>
        <v>68651.763237806212</v>
      </c>
      <c r="D30" s="180">
        <f t="shared" si="16"/>
        <v>64297.157326693938</v>
      </c>
      <c r="E30" s="180">
        <f t="shared" si="16"/>
        <v>87929.513160994698</v>
      </c>
      <c r="F30" s="180">
        <f t="shared" si="16"/>
        <v>103963.30371093939</v>
      </c>
      <c r="G30" s="180">
        <f t="shared" si="16"/>
        <v>109665.90980499242</v>
      </c>
      <c r="H30" s="180">
        <f t="shared" si="16"/>
        <v>123371.41499045596</v>
      </c>
      <c r="I30" s="180">
        <f t="shared" si="16"/>
        <v>137295.74235370173</v>
      </c>
      <c r="J30" s="181">
        <f t="shared" si="16"/>
        <v>143258.83422739606</v>
      </c>
      <c r="W30" s="6"/>
    </row>
    <row r="31" spans="1:24" s="4" customFormat="1" ht="15.75" thickBot="1" x14ac:dyDescent="0.3">
      <c r="A31" s="212" t="s">
        <v>18</v>
      </c>
      <c r="B31" s="166"/>
      <c r="C31" s="167">
        <f t="shared" ref="C31:J31" si="17">C30/C5</f>
        <v>4.057355370822438E-2</v>
      </c>
      <c r="D31" s="168">
        <f t="shared" si="17"/>
        <v>3.6894954780464867E-2</v>
      </c>
      <c r="E31" s="168">
        <f t="shared" si="17"/>
        <v>4.9710008364374489E-2</v>
      </c>
      <c r="F31" s="168">
        <f t="shared" si="17"/>
        <v>5.7905950835247258E-2</v>
      </c>
      <c r="G31" s="168">
        <f t="shared" si="17"/>
        <v>6.0179521334384457E-2</v>
      </c>
      <c r="H31" s="168">
        <f t="shared" si="17"/>
        <v>6.6699962031736296E-2</v>
      </c>
      <c r="I31" s="168">
        <f t="shared" si="17"/>
        <v>7.3131093659262777E-2</v>
      </c>
      <c r="J31" s="169">
        <f t="shared" si="17"/>
        <v>7.5179662047700171E-2</v>
      </c>
      <c r="K31" s="1"/>
      <c r="L31" s="2"/>
      <c r="M31" s="2"/>
      <c r="N31" s="1"/>
      <c r="O31" s="2"/>
      <c r="P31" s="2"/>
      <c r="Q31" s="1"/>
      <c r="R31" s="2"/>
      <c r="S31" s="2"/>
      <c r="T31" s="2"/>
      <c r="U31" s="2"/>
      <c r="V31" s="1"/>
      <c r="W31" s="6"/>
    </row>
    <row r="32" spans="1:24" s="4" customFormat="1" x14ac:dyDescent="0.25">
      <c r="A32" s="212"/>
      <c r="B32" s="129"/>
      <c r="C32" s="157"/>
      <c r="D32" s="129"/>
      <c r="E32" s="129"/>
      <c r="F32" s="129"/>
      <c r="G32" s="129"/>
      <c r="H32" s="129"/>
      <c r="I32" s="129"/>
      <c r="J32" s="130"/>
      <c r="K32" s="1"/>
      <c r="L32" s="2"/>
      <c r="M32" s="2"/>
      <c r="N32" s="1"/>
      <c r="O32" s="2"/>
      <c r="P32" s="2"/>
      <c r="Q32" s="1"/>
      <c r="R32" s="2"/>
      <c r="S32" s="2"/>
      <c r="T32" s="2"/>
      <c r="U32" s="2"/>
      <c r="V32" s="1"/>
      <c r="W32" s="9"/>
    </row>
    <row r="33" spans="1:22" s="4" customFormat="1" x14ac:dyDescent="0.25">
      <c r="A33" s="212"/>
      <c r="B33" s="131"/>
      <c r="C33" s="157"/>
      <c r="D33" s="148"/>
      <c r="E33" s="148"/>
      <c r="F33" s="148"/>
      <c r="G33" s="148"/>
      <c r="H33" s="148"/>
      <c r="I33" s="148"/>
      <c r="J33" s="149"/>
      <c r="K33" s="1"/>
      <c r="L33" s="2"/>
      <c r="M33" s="2"/>
      <c r="N33" s="1"/>
      <c r="O33" s="2"/>
      <c r="P33" s="2"/>
      <c r="Q33" s="1"/>
      <c r="R33" s="2"/>
      <c r="S33" s="2"/>
      <c r="T33" s="2"/>
      <c r="U33" s="2"/>
      <c r="V33" s="1"/>
    </row>
    <row r="34" spans="1:22" x14ac:dyDescent="0.25">
      <c r="A34" s="211" t="s">
        <v>26</v>
      </c>
      <c r="B34" s="186"/>
      <c r="C34" s="177">
        <v>-20000</v>
      </c>
      <c r="D34" s="186">
        <f t="shared" ref="D34:J34" si="18">C34+C34*D6</f>
        <v>-20599</v>
      </c>
      <c r="E34" s="186">
        <f t="shared" si="18"/>
        <v>-20907.985000000001</v>
      </c>
      <c r="F34" s="186">
        <f t="shared" si="18"/>
        <v>-21221.604775</v>
      </c>
      <c r="G34" s="186">
        <f t="shared" si="18"/>
        <v>-21539.928846625</v>
      </c>
      <c r="H34" s="186">
        <f t="shared" si="18"/>
        <v>-21863.027779324377</v>
      </c>
      <c r="I34" s="186">
        <f t="shared" si="18"/>
        <v>-22190.973196014242</v>
      </c>
      <c r="J34" s="187">
        <f t="shared" si="18"/>
        <v>-22523.837793954455</v>
      </c>
    </row>
    <row r="35" spans="1:22" x14ac:dyDescent="0.25">
      <c r="A35" s="211" t="s">
        <v>27</v>
      </c>
      <c r="B35" s="186"/>
      <c r="C35" s="177"/>
      <c r="D35" s="186">
        <f t="shared" ref="D35:J35" si="19">D34-C34</f>
        <v>-599</v>
      </c>
      <c r="E35" s="186">
        <f t="shared" si="19"/>
        <v>-308.98500000000058</v>
      </c>
      <c r="F35" s="186">
        <f t="shared" si="19"/>
        <v>-313.61977499999921</v>
      </c>
      <c r="G35" s="186">
        <f t="shared" si="19"/>
        <v>-318.32407162500022</v>
      </c>
      <c r="H35" s="186">
        <f t="shared" si="19"/>
        <v>-323.09893269937675</v>
      </c>
      <c r="I35" s="186">
        <f t="shared" si="19"/>
        <v>-327.94541668986494</v>
      </c>
      <c r="J35" s="187">
        <f t="shared" si="19"/>
        <v>-332.86459794021357</v>
      </c>
    </row>
    <row r="36" spans="1:22" x14ac:dyDescent="0.25">
      <c r="A36" s="211" t="s">
        <v>19</v>
      </c>
      <c r="B36" s="186">
        <v>-210000</v>
      </c>
      <c r="C36" s="177">
        <v>0</v>
      </c>
      <c r="D36" s="186">
        <v>0</v>
      </c>
      <c r="E36" s="186">
        <v>0</v>
      </c>
      <c r="F36" s="186">
        <v>0</v>
      </c>
      <c r="G36" s="186">
        <v>0</v>
      </c>
      <c r="H36" s="186">
        <v>0</v>
      </c>
      <c r="I36" s="186">
        <f>I20</f>
        <v>0</v>
      </c>
      <c r="J36" s="187">
        <f>J20</f>
        <v>0</v>
      </c>
    </row>
    <row r="37" spans="1:22" ht="15" customHeight="1" thickBot="1" x14ac:dyDescent="0.3">
      <c r="A37" s="211" t="s">
        <v>29</v>
      </c>
      <c r="B37" s="186"/>
      <c r="C37" s="177">
        <f t="shared" ref="C37:J37" si="20">-5%*400000</f>
        <v>-20000</v>
      </c>
      <c r="D37" s="186">
        <f t="shared" si="20"/>
        <v>-20000</v>
      </c>
      <c r="E37" s="186">
        <f t="shared" si="20"/>
        <v>-20000</v>
      </c>
      <c r="F37" s="186">
        <f t="shared" si="20"/>
        <v>-20000</v>
      </c>
      <c r="G37" s="186">
        <f t="shared" si="20"/>
        <v>-20000</v>
      </c>
      <c r="H37" s="186">
        <f t="shared" si="20"/>
        <v>-20000</v>
      </c>
      <c r="I37" s="186">
        <f t="shared" si="20"/>
        <v>-20000</v>
      </c>
      <c r="J37" s="187">
        <f t="shared" si="20"/>
        <v>-20000</v>
      </c>
    </row>
    <row r="38" spans="1:22" ht="18" thickBot="1" x14ac:dyDescent="0.45">
      <c r="A38" s="216" t="s">
        <v>28</v>
      </c>
      <c r="B38" s="237">
        <f t="shared" ref="B38:J38" si="21">B24+B35+B36+B37</f>
        <v>-262800</v>
      </c>
      <c r="C38" s="196">
        <f t="shared" si="21"/>
        <v>90651.763237806212</v>
      </c>
      <c r="D38" s="238">
        <f t="shared" si="21"/>
        <v>110898.15732669394</v>
      </c>
      <c r="E38" s="238">
        <f t="shared" si="21"/>
        <v>107940.5281609947</v>
      </c>
      <c r="F38" s="238">
        <f t="shared" si="21"/>
        <v>107841.68393593939</v>
      </c>
      <c r="G38" s="238">
        <f t="shared" si="21"/>
        <v>113539.58573336742</v>
      </c>
      <c r="H38" s="238">
        <f t="shared" si="21"/>
        <v>115244.31605775657</v>
      </c>
      <c r="I38" s="238">
        <f t="shared" si="21"/>
        <v>116967.79693701188</v>
      </c>
      <c r="J38" s="239">
        <f t="shared" si="21"/>
        <v>122925.96962945585</v>
      </c>
    </row>
    <row r="41" spans="1:22" ht="15.75" thickBot="1" x14ac:dyDescent="0.3"/>
    <row r="42" spans="1:22" ht="15.75" thickBot="1" x14ac:dyDescent="0.3">
      <c r="A42" s="218" t="s">
        <v>65</v>
      </c>
      <c r="B42" s="225">
        <v>2018</v>
      </c>
      <c r="C42" s="155">
        <v>2019</v>
      </c>
      <c r="D42" s="155">
        <v>2020</v>
      </c>
      <c r="E42" s="155">
        <v>2021</v>
      </c>
      <c r="F42" s="155">
        <v>2022</v>
      </c>
      <c r="G42" s="155">
        <v>2023</v>
      </c>
      <c r="H42" s="155">
        <v>2024</v>
      </c>
      <c r="I42" s="155">
        <v>2025</v>
      </c>
      <c r="J42" s="226">
        <v>2026</v>
      </c>
    </row>
    <row r="43" spans="1:22" x14ac:dyDescent="0.25">
      <c r="A43" s="219" t="s">
        <v>20</v>
      </c>
      <c r="B43" s="122"/>
      <c r="C43" s="224"/>
      <c r="D43" s="123"/>
      <c r="E43" s="123"/>
      <c r="F43" s="123"/>
      <c r="G43" s="123"/>
      <c r="H43" s="123"/>
      <c r="I43" s="123"/>
      <c r="J43" s="124"/>
    </row>
    <row r="44" spans="1:22" x14ac:dyDescent="0.25">
      <c r="A44" s="220" t="s">
        <v>0</v>
      </c>
      <c r="B44" s="227"/>
      <c r="C44" s="171"/>
      <c r="D44" s="172"/>
      <c r="E44" s="172"/>
      <c r="F44" s="172"/>
      <c r="G44" s="172"/>
      <c r="H44" s="172"/>
      <c r="I44" s="172"/>
      <c r="J44" s="173"/>
    </row>
    <row r="45" spans="1:22" x14ac:dyDescent="0.25">
      <c r="A45" s="221" t="s">
        <v>1</v>
      </c>
      <c r="B45" s="228">
        <v>0</v>
      </c>
      <c r="C45" s="175">
        <f>1692032.296*1.2</f>
        <v>2030438.7552</v>
      </c>
      <c r="D45" s="174">
        <f t="shared" ref="D45:J45" si="22">C45*1.02</f>
        <v>2071047.530304</v>
      </c>
      <c r="E45" s="174">
        <f t="shared" si="22"/>
        <v>2112468.48091008</v>
      </c>
      <c r="F45" s="174">
        <f t="shared" si="22"/>
        <v>2154717.8505282816</v>
      </c>
      <c r="G45" s="174">
        <f t="shared" si="22"/>
        <v>2197812.2075388473</v>
      </c>
      <c r="H45" s="174">
        <f t="shared" si="22"/>
        <v>2241768.4516896242</v>
      </c>
      <c r="I45" s="174">
        <f t="shared" si="22"/>
        <v>2286603.8207234167</v>
      </c>
      <c r="J45" s="176">
        <f t="shared" si="22"/>
        <v>2332335.897137885</v>
      </c>
    </row>
    <row r="46" spans="1:22" x14ac:dyDescent="0.25">
      <c r="A46" s="222" t="s">
        <v>2</v>
      </c>
      <c r="B46" s="126"/>
      <c r="C46" s="157"/>
      <c r="D46" s="128">
        <f>2.995%</f>
        <v>2.9950000000000001E-2</v>
      </c>
      <c r="E46" s="128">
        <f>2%</f>
        <v>0.02</v>
      </c>
      <c r="F46" s="128">
        <f>2%</f>
        <v>0.02</v>
      </c>
      <c r="G46" s="128">
        <f>2%</f>
        <v>0.02</v>
      </c>
      <c r="H46" s="128">
        <f>2%</f>
        <v>0.02</v>
      </c>
      <c r="I46" s="128">
        <f>2%</f>
        <v>0.02</v>
      </c>
      <c r="J46" s="152">
        <f>2%</f>
        <v>0.02</v>
      </c>
    </row>
    <row r="47" spans="1:22" x14ac:dyDescent="0.25">
      <c r="A47" s="221" t="s">
        <v>3</v>
      </c>
      <c r="B47" s="228"/>
      <c r="C47" s="177">
        <v>-717442.20431949198</v>
      </c>
      <c r="D47" s="174">
        <f t="shared" ref="D47:J47" si="23">C47+D48*C47</f>
        <v>-738929.59833886079</v>
      </c>
      <c r="E47" s="174">
        <f t="shared" si="23"/>
        <v>-753708.19030563801</v>
      </c>
      <c r="F47" s="174">
        <f t="shared" si="23"/>
        <v>-768782.35411175073</v>
      </c>
      <c r="G47" s="174">
        <f t="shared" si="23"/>
        <v>-784158.00119398569</v>
      </c>
      <c r="H47" s="174">
        <f t="shared" si="23"/>
        <v>-799841.16121786542</v>
      </c>
      <c r="I47" s="174">
        <f t="shared" si="23"/>
        <v>-815837.98444222275</v>
      </c>
      <c r="J47" s="176">
        <f t="shared" si="23"/>
        <v>-832154.74413106719</v>
      </c>
    </row>
    <row r="48" spans="1:22" ht="15.75" thickBot="1" x14ac:dyDescent="0.3">
      <c r="A48" s="222" t="s">
        <v>4</v>
      </c>
      <c r="B48" s="132"/>
      <c r="C48" s="158"/>
      <c r="D48" s="153">
        <v>2.9950000000000001E-2</v>
      </c>
      <c r="E48" s="133">
        <v>0.02</v>
      </c>
      <c r="F48" s="133">
        <v>0.02</v>
      </c>
      <c r="G48" s="133">
        <v>0.02</v>
      </c>
      <c r="H48" s="133">
        <v>0.02</v>
      </c>
      <c r="I48" s="133">
        <v>0.02</v>
      </c>
      <c r="J48" s="134">
        <v>0.02</v>
      </c>
    </row>
    <row r="49" spans="1:10" x14ac:dyDescent="0.25">
      <c r="A49" s="223" t="s">
        <v>5</v>
      </c>
      <c r="B49" s="178">
        <f t="shared" ref="B49:J49" si="24">B45+B47</f>
        <v>0</v>
      </c>
      <c r="C49" s="179">
        <f t="shared" si="24"/>
        <v>1312996.550880508</v>
      </c>
      <c r="D49" s="180">
        <f t="shared" si="24"/>
        <v>1332117.9319651392</v>
      </c>
      <c r="E49" s="180">
        <f t="shared" si="24"/>
        <v>1358760.2906044419</v>
      </c>
      <c r="F49" s="180">
        <f t="shared" si="24"/>
        <v>1385935.496416531</v>
      </c>
      <c r="G49" s="180">
        <f t="shared" si="24"/>
        <v>1413654.2063448615</v>
      </c>
      <c r="H49" s="180">
        <f t="shared" si="24"/>
        <v>1441927.2904717587</v>
      </c>
      <c r="I49" s="180">
        <f t="shared" si="24"/>
        <v>1470765.8362811939</v>
      </c>
      <c r="J49" s="181">
        <f t="shared" si="24"/>
        <v>1500181.1530068177</v>
      </c>
    </row>
    <row r="50" spans="1:10" ht="15.75" thickBot="1" x14ac:dyDescent="0.3">
      <c r="A50" s="222" t="s">
        <v>6</v>
      </c>
      <c r="B50" s="162"/>
      <c r="C50" s="163">
        <f t="shared" ref="C50:J50" si="25">C49/C45</f>
        <v>0.64665656500000002</v>
      </c>
      <c r="D50" s="164">
        <f t="shared" si="25"/>
        <v>0.64320973443308826</v>
      </c>
      <c r="E50" s="164">
        <f t="shared" si="25"/>
        <v>0.64320973443308826</v>
      </c>
      <c r="F50" s="164">
        <f t="shared" si="25"/>
        <v>0.64320973443308838</v>
      </c>
      <c r="G50" s="164">
        <f t="shared" si="25"/>
        <v>0.64320973443308826</v>
      </c>
      <c r="H50" s="164">
        <f t="shared" si="25"/>
        <v>0.64320973443308826</v>
      </c>
      <c r="I50" s="164">
        <f t="shared" si="25"/>
        <v>0.64320973443308826</v>
      </c>
      <c r="J50" s="165">
        <f t="shared" si="25"/>
        <v>0.64320973443308826</v>
      </c>
    </row>
    <row r="51" spans="1:10" x14ac:dyDescent="0.25">
      <c r="A51" s="221"/>
      <c r="B51" s="135"/>
      <c r="C51" s="159"/>
      <c r="D51" s="136"/>
      <c r="E51" s="136"/>
      <c r="F51" s="136"/>
      <c r="G51" s="136"/>
      <c r="H51" s="136"/>
      <c r="I51" s="136"/>
      <c r="J51" s="137"/>
    </row>
    <row r="52" spans="1:10" x14ac:dyDescent="0.25">
      <c r="A52" s="221" t="s">
        <v>7</v>
      </c>
      <c r="B52" s="228"/>
      <c r="C52" s="175">
        <f t="shared" ref="C52:J52" si="26">-C45*0.210630567</f>
        <v>-427672.46626655018</v>
      </c>
      <c r="D52" s="174">
        <f t="shared" si="26"/>
        <v>-436225.9155918812</v>
      </c>
      <c r="E52" s="174">
        <f t="shared" si="26"/>
        <v>-444950.43390371883</v>
      </c>
      <c r="F52" s="174">
        <f t="shared" si="26"/>
        <v>-453849.44258179318</v>
      </c>
      <c r="G52" s="174">
        <f t="shared" si="26"/>
        <v>-462926.43143342907</v>
      </c>
      <c r="H52" s="174">
        <f t="shared" si="26"/>
        <v>-472184.96006209764</v>
      </c>
      <c r="I52" s="174">
        <f t="shared" si="26"/>
        <v>-481628.65926333959</v>
      </c>
      <c r="J52" s="176">
        <f t="shared" si="26"/>
        <v>-491261.23244860634</v>
      </c>
    </row>
    <row r="53" spans="1:10" x14ac:dyDescent="0.25">
      <c r="A53" s="221" t="s">
        <v>21</v>
      </c>
      <c r="B53" s="228">
        <v>-80000</v>
      </c>
      <c r="C53" s="175">
        <v>0</v>
      </c>
      <c r="D53" s="174">
        <v>0</v>
      </c>
      <c r="E53" s="174">
        <v>0</v>
      </c>
      <c r="F53" s="174">
        <v>0</v>
      </c>
      <c r="G53" s="174">
        <v>0</v>
      </c>
      <c r="H53" s="174">
        <v>0</v>
      </c>
      <c r="I53" s="174">
        <v>0</v>
      </c>
      <c r="J53" s="176">
        <v>0</v>
      </c>
    </row>
    <row r="54" spans="1:10" x14ac:dyDescent="0.25">
      <c r="A54" s="221" t="s">
        <v>22</v>
      </c>
      <c r="B54" s="228"/>
      <c r="C54" s="175">
        <v>-395735.21959423402</v>
      </c>
      <c r="D54" s="174">
        <v>-394501.43870695698</v>
      </c>
      <c r="E54" s="174">
        <v>-393961.659568773</v>
      </c>
      <c r="F54" s="174">
        <v>-394308.66044332</v>
      </c>
      <c r="G54" s="174">
        <v>-394308.66044332</v>
      </c>
      <c r="H54" s="174">
        <v>-394308.66044332</v>
      </c>
      <c r="I54" s="174">
        <v>-394308.66044332</v>
      </c>
      <c r="J54" s="176">
        <v>-394308.66044332</v>
      </c>
    </row>
    <row r="55" spans="1:10" x14ac:dyDescent="0.25">
      <c r="A55" s="221" t="s">
        <v>23</v>
      </c>
      <c r="B55" s="228"/>
      <c r="C55" s="175">
        <v>-42000</v>
      </c>
      <c r="D55" s="174">
        <v>-67200</v>
      </c>
      <c r="E55" s="174">
        <v>-40320</v>
      </c>
      <c r="F55" s="174">
        <v>-24192</v>
      </c>
      <c r="G55" s="174">
        <v>-24192</v>
      </c>
      <c r="H55" s="174">
        <v>-12196</v>
      </c>
      <c r="I55" s="174">
        <v>0</v>
      </c>
      <c r="J55" s="176">
        <v>0</v>
      </c>
    </row>
    <row r="56" spans="1:10" ht="15.75" thickBot="1" x14ac:dyDescent="0.3">
      <c r="A56" s="221" t="s">
        <v>8</v>
      </c>
      <c r="B56" s="228"/>
      <c r="C56" s="175">
        <v>-76443.327109897102</v>
      </c>
      <c r="D56" s="174">
        <v>-77589.977016545497</v>
      </c>
      <c r="E56" s="174">
        <v>-78753.826671793693</v>
      </c>
      <c r="F56" s="174">
        <v>-79935.134071870605</v>
      </c>
      <c r="G56" s="174">
        <v>-81134.161082948602</v>
      </c>
      <c r="H56" s="174">
        <v>-82351.173499192897</v>
      </c>
      <c r="I56" s="174">
        <v>-83586.441101680801</v>
      </c>
      <c r="J56" s="176">
        <v>-84840.237718206001</v>
      </c>
    </row>
    <row r="57" spans="1:10" x14ac:dyDescent="0.25">
      <c r="A57" s="223" t="s">
        <v>9</v>
      </c>
      <c r="B57" s="178">
        <f t="shared" ref="B57:J57" si="27">B49+SUM(B52:B56)</f>
        <v>-80000</v>
      </c>
      <c r="C57" s="179">
        <f t="shared" si="27"/>
        <v>371145.53790982673</v>
      </c>
      <c r="D57" s="180">
        <f t="shared" si="27"/>
        <v>356600.60064975556</v>
      </c>
      <c r="E57" s="180">
        <f t="shared" si="27"/>
        <v>400774.37046015635</v>
      </c>
      <c r="F57" s="180">
        <f t="shared" si="27"/>
        <v>433650.25931954721</v>
      </c>
      <c r="G57" s="180">
        <f t="shared" si="27"/>
        <v>451092.95338516391</v>
      </c>
      <c r="H57" s="180">
        <f t="shared" si="27"/>
        <v>480886.49646714807</v>
      </c>
      <c r="I57" s="180">
        <f t="shared" si="27"/>
        <v>511242.07547285361</v>
      </c>
      <c r="J57" s="181">
        <f t="shared" si="27"/>
        <v>529771.02239668532</v>
      </c>
    </row>
    <row r="58" spans="1:10" ht="15.75" thickBot="1" x14ac:dyDescent="0.3">
      <c r="A58" s="222" t="s">
        <v>10</v>
      </c>
      <c r="B58" s="166"/>
      <c r="C58" s="167">
        <f t="shared" ref="C58:J58" si="28">C57/C45</f>
        <v>0.18279080664674791</v>
      </c>
      <c r="D58" s="168">
        <f t="shared" si="28"/>
        <v>0.17218368744893639</v>
      </c>
      <c r="E58" s="168">
        <f t="shared" si="28"/>
        <v>0.18971850897746759</v>
      </c>
      <c r="F58" s="168">
        <f t="shared" si="28"/>
        <v>0.20125616874303393</v>
      </c>
      <c r="G58" s="168">
        <f t="shared" si="28"/>
        <v>0.20524635901003868</v>
      </c>
      <c r="H58" s="168">
        <f t="shared" si="28"/>
        <v>0.21451211703184742</v>
      </c>
      <c r="I58" s="168">
        <f t="shared" si="28"/>
        <v>0.2235813964970596</v>
      </c>
      <c r="J58" s="169">
        <f t="shared" si="28"/>
        <v>0.22714182080153691</v>
      </c>
    </row>
    <row r="59" spans="1:10" x14ac:dyDescent="0.25">
      <c r="A59" s="221"/>
      <c r="B59" s="139"/>
      <c r="C59" s="159"/>
      <c r="D59" s="141"/>
      <c r="E59" s="141"/>
      <c r="F59" s="141"/>
      <c r="G59" s="141"/>
      <c r="H59" s="141"/>
      <c r="I59" s="141"/>
      <c r="J59" s="142"/>
    </row>
    <row r="60" spans="1:10" ht="15.75" thickBot="1" x14ac:dyDescent="0.3">
      <c r="A60" s="221" t="s">
        <v>11</v>
      </c>
      <c r="B60" s="229">
        <f t="shared" ref="B60:J60" si="29">B55</f>
        <v>0</v>
      </c>
      <c r="C60" s="177">
        <f t="shared" si="29"/>
        <v>-42000</v>
      </c>
      <c r="D60" s="186">
        <f t="shared" si="29"/>
        <v>-67200</v>
      </c>
      <c r="E60" s="186">
        <f t="shared" si="29"/>
        <v>-40320</v>
      </c>
      <c r="F60" s="186">
        <f t="shared" si="29"/>
        <v>-24192</v>
      </c>
      <c r="G60" s="186">
        <f t="shared" si="29"/>
        <v>-24192</v>
      </c>
      <c r="H60" s="186">
        <f t="shared" si="29"/>
        <v>-12196</v>
      </c>
      <c r="I60" s="186">
        <f t="shared" si="29"/>
        <v>0</v>
      </c>
      <c r="J60" s="187">
        <f t="shared" si="29"/>
        <v>0</v>
      </c>
    </row>
    <row r="61" spans="1:10" x14ac:dyDescent="0.25">
      <c r="A61" s="223" t="s">
        <v>12</v>
      </c>
      <c r="B61" s="178">
        <f t="shared" ref="B61:J61" si="30">B57-B60</f>
        <v>-80000</v>
      </c>
      <c r="C61" s="179">
        <f t="shared" si="30"/>
        <v>413145.53790982673</v>
      </c>
      <c r="D61" s="180">
        <f t="shared" si="30"/>
        <v>423800.60064975556</v>
      </c>
      <c r="E61" s="180">
        <f t="shared" si="30"/>
        <v>441094.37046015635</v>
      </c>
      <c r="F61" s="180">
        <f t="shared" si="30"/>
        <v>457842.25931954721</v>
      </c>
      <c r="G61" s="180">
        <f t="shared" si="30"/>
        <v>475284.95338516391</v>
      </c>
      <c r="H61" s="180">
        <f t="shared" si="30"/>
        <v>493082.49646714807</v>
      </c>
      <c r="I61" s="180">
        <f t="shared" si="30"/>
        <v>511242.07547285361</v>
      </c>
      <c r="J61" s="181">
        <f t="shared" si="30"/>
        <v>529771.02239668532</v>
      </c>
    </row>
    <row r="62" spans="1:10" ht="15.75" thickBot="1" x14ac:dyDescent="0.3">
      <c r="A62" s="222" t="s">
        <v>13</v>
      </c>
      <c r="B62" s="166"/>
      <c r="C62" s="167">
        <f t="shared" ref="C62:J62" si="31">C61/C45</f>
        <v>0.20347599101512004</v>
      </c>
      <c r="D62" s="168">
        <f t="shared" si="31"/>
        <v>0.20463103547775541</v>
      </c>
      <c r="E62" s="168">
        <f t="shared" si="31"/>
        <v>0.20880518428853762</v>
      </c>
      <c r="F62" s="168">
        <f t="shared" si="31"/>
        <v>0.21248362480836924</v>
      </c>
      <c r="G62" s="168">
        <f t="shared" si="31"/>
        <v>0.21625366887801448</v>
      </c>
      <c r="H62" s="168">
        <f t="shared" si="31"/>
        <v>0.21995246480318298</v>
      </c>
      <c r="I62" s="168">
        <f t="shared" si="31"/>
        <v>0.2235813964970596</v>
      </c>
      <c r="J62" s="169">
        <f t="shared" si="31"/>
        <v>0.22714182080153691</v>
      </c>
    </row>
    <row r="63" spans="1:10" ht="15.75" thickBot="1" x14ac:dyDescent="0.3">
      <c r="A63" s="221"/>
      <c r="B63" s="139"/>
      <c r="C63" s="159"/>
      <c r="D63" s="141"/>
      <c r="E63" s="141"/>
      <c r="F63" s="141"/>
      <c r="G63" s="141"/>
      <c r="H63" s="141"/>
      <c r="I63" s="141"/>
      <c r="J63" s="142"/>
    </row>
    <row r="64" spans="1:10" x14ac:dyDescent="0.25">
      <c r="A64" s="221" t="s">
        <v>24</v>
      </c>
      <c r="B64" s="195">
        <f t="shared" ref="B64:J64" si="32">B70-B60</f>
        <v>-52800</v>
      </c>
      <c r="C64" s="188">
        <f t="shared" si="32"/>
        <v>286956.05502048566</v>
      </c>
      <c r="D64" s="189">
        <f t="shared" si="32"/>
        <v>302556.39642883866</v>
      </c>
      <c r="E64" s="189">
        <f t="shared" si="32"/>
        <v>304831.08450370317</v>
      </c>
      <c r="F64" s="189">
        <f t="shared" si="32"/>
        <v>310401.17115090112</v>
      </c>
      <c r="G64" s="189">
        <f t="shared" si="32"/>
        <v>321913.34923420817</v>
      </c>
      <c r="H64" s="189">
        <f t="shared" si="32"/>
        <v>329581.08766831772</v>
      </c>
      <c r="I64" s="189">
        <f t="shared" si="32"/>
        <v>337419.76981208334</v>
      </c>
      <c r="J64" s="190">
        <f t="shared" si="32"/>
        <v>349648.87478181231</v>
      </c>
    </row>
    <row r="65" spans="1:10" ht="15.75" thickBot="1" x14ac:dyDescent="0.3">
      <c r="A65" s="222" t="s">
        <v>25</v>
      </c>
      <c r="B65" s="191">
        <f t="shared" ref="B65:J65" si="33">B64/B61</f>
        <v>0.66</v>
      </c>
      <c r="C65" s="192">
        <f t="shared" si="33"/>
        <v>0.69456409107610106</v>
      </c>
      <c r="D65" s="193">
        <f t="shared" si="33"/>
        <v>0.71391214633714595</v>
      </c>
      <c r="E65" s="193">
        <f t="shared" si="33"/>
        <v>0.6910790636155677</v>
      </c>
      <c r="F65" s="193">
        <f t="shared" si="33"/>
        <v>0.6779653141067068</v>
      </c>
      <c r="G65" s="193">
        <f t="shared" si="33"/>
        <v>0.67730599704748984</v>
      </c>
      <c r="H65" s="193">
        <f t="shared" si="33"/>
        <v>0.66840962725245767</v>
      </c>
      <c r="I65" s="193">
        <f t="shared" si="33"/>
        <v>0.65999999999999992</v>
      </c>
      <c r="J65" s="194">
        <f t="shared" si="33"/>
        <v>0.66</v>
      </c>
    </row>
    <row r="66" spans="1:10" ht="15.75" thickBot="1" x14ac:dyDescent="0.3">
      <c r="A66" s="221"/>
      <c r="B66" s="139"/>
      <c r="C66" s="159"/>
      <c r="D66" s="143"/>
      <c r="E66" s="143"/>
      <c r="F66" s="143"/>
      <c r="G66" s="143"/>
      <c r="H66" s="143"/>
      <c r="I66" s="143"/>
      <c r="J66" s="144"/>
    </row>
    <row r="67" spans="1:10" ht="15.75" thickBot="1" x14ac:dyDescent="0.3">
      <c r="A67" s="223" t="s">
        <v>14</v>
      </c>
      <c r="B67" s="205">
        <f t="shared" ref="B67:J67" si="34">B57</f>
        <v>-80000</v>
      </c>
      <c r="C67" s="206">
        <f t="shared" si="34"/>
        <v>371145.53790982673</v>
      </c>
      <c r="D67" s="207">
        <f t="shared" si="34"/>
        <v>356600.60064975556</v>
      </c>
      <c r="E67" s="207">
        <f t="shared" si="34"/>
        <v>400774.37046015635</v>
      </c>
      <c r="F67" s="207">
        <f t="shared" si="34"/>
        <v>433650.25931954721</v>
      </c>
      <c r="G67" s="207">
        <f t="shared" si="34"/>
        <v>451092.95338516391</v>
      </c>
      <c r="H67" s="207">
        <f t="shared" si="34"/>
        <v>480886.49646714807</v>
      </c>
      <c r="I67" s="207">
        <f t="shared" si="34"/>
        <v>511242.07547285361</v>
      </c>
      <c r="J67" s="208">
        <f t="shared" si="34"/>
        <v>529771.02239668532</v>
      </c>
    </row>
    <row r="68" spans="1:10" x14ac:dyDescent="0.25">
      <c r="A68" s="221" t="s">
        <v>15</v>
      </c>
      <c r="B68" s="228">
        <f t="shared" ref="B68:J68" si="35">-B69*B57</f>
        <v>27200.000000000004</v>
      </c>
      <c r="C68" s="175">
        <f t="shared" si="35"/>
        <v>-126189.4828893411</v>
      </c>
      <c r="D68" s="174">
        <f t="shared" si="35"/>
        <v>-121244.2042209169</v>
      </c>
      <c r="E68" s="174">
        <f t="shared" si="35"/>
        <v>-136263.28595645318</v>
      </c>
      <c r="F68" s="174">
        <f t="shared" si="35"/>
        <v>-147441.08816864606</v>
      </c>
      <c r="G68" s="174">
        <f t="shared" si="35"/>
        <v>-153371.60415095574</v>
      </c>
      <c r="H68" s="174">
        <f t="shared" si="35"/>
        <v>-163501.40879883035</v>
      </c>
      <c r="I68" s="174">
        <f t="shared" si="35"/>
        <v>-173822.30566077025</v>
      </c>
      <c r="J68" s="176">
        <f t="shared" si="35"/>
        <v>-180122.14761487301</v>
      </c>
    </row>
    <row r="69" spans="1:10" ht="15.75" thickBot="1" x14ac:dyDescent="0.3">
      <c r="A69" s="222" t="s">
        <v>16</v>
      </c>
      <c r="B69" s="145">
        <f>34%</f>
        <v>0.34</v>
      </c>
      <c r="C69" s="160">
        <f>34%</f>
        <v>0.34</v>
      </c>
      <c r="D69" s="146">
        <f>34%</f>
        <v>0.34</v>
      </c>
      <c r="E69" s="146">
        <f>34%</f>
        <v>0.34</v>
      </c>
      <c r="F69" s="146">
        <f>34%</f>
        <v>0.34</v>
      </c>
      <c r="G69" s="146">
        <f>34%</f>
        <v>0.34</v>
      </c>
      <c r="H69" s="146">
        <f>34%</f>
        <v>0.34</v>
      </c>
      <c r="I69" s="146">
        <f>34%</f>
        <v>0.34</v>
      </c>
      <c r="J69" s="147">
        <f>34%</f>
        <v>0.34</v>
      </c>
    </row>
    <row r="70" spans="1:10" x14ac:dyDescent="0.25">
      <c r="A70" s="223" t="s">
        <v>17</v>
      </c>
      <c r="B70" s="178">
        <f t="shared" ref="B70:J70" si="36">B67+B68</f>
        <v>-52800</v>
      </c>
      <c r="C70" s="179">
        <f t="shared" si="36"/>
        <v>244956.05502048563</v>
      </c>
      <c r="D70" s="180">
        <f t="shared" si="36"/>
        <v>235356.39642883866</v>
      </c>
      <c r="E70" s="180">
        <f t="shared" si="36"/>
        <v>264511.08450370317</v>
      </c>
      <c r="F70" s="180">
        <f t="shared" si="36"/>
        <v>286209.17115090112</v>
      </c>
      <c r="G70" s="180">
        <f t="shared" si="36"/>
        <v>297721.34923420817</v>
      </c>
      <c r="H70" s="180">
        <f t="shared" si="36"/>
        <v>317385.08766831772</v>
      </c>
      <c r="I70" s="180">
        <f t="shared" si="36"/>
        <v>337419.76981208334</v>
      </c>
      <c r="J70" s="181">
        <f t="shared" si="36"/>
        <v>349648.87478181231</v>
      </c>
    </row>
    <row r="71" spans="1:10" ht="15.75" thickBot="1" x14ac:dyDescent="0.3">
      <c r="A71" s="222" t="s">
        <v>18</v>
      </c>
      <c r="B71" s="166"/>
      <c r="C71" s="167">
        <f t="shared" ref="C71:J71" si="37">C70/C45</f>
        <v>0.12064193238685361</v>
      </c>
      <c r="D71" s="168">
        <f t="shared" si="37"/>
        <v>0.11364123371629802</v>
      </c>
      <c r="E71" s="168">
        <f t="shared" si="37"/>
        <v>0.1252142159251286</v>
      </c>
      <c r="F71" s="168">
        <f t="shared" si="37"/>
        <v>0.13282907137040237</v>
      </c>
      <c r="G71" s="168">
        <f t="shared" si="37"/>
        <v>0.13546259694662552</v>
      </c>
      <c r="H71" s="168">
        <f t="shared" si="37"/>
        <v>0.1415779972410193</v>
      </c>
      <c r="I71" s="168">
        <f t="shared" si="37"/>
        <v>0.14756372168805931</v>
      </c>
      <c r="J71" s="169">
        <f t="shared" si="37"/>
        <v>0.14991360172901436</v>
      </c>
    </row>
    <row r="72" spans="1:10" x14ac:dyDescent="0.25">
      <c r="A72" s="222"/>
      <c r="B72" s="138"/>
      <c r="C72" s="157"/>
      <c r="D72" s="129"/>
      <c r="E72" s="129"/>
      <c r="F72" s="129"/>
      <c r="G72" s="129"/>
      <c r="H72" s="129"/>
      <c r="I72" s="129"/>
      <c r="J72" s="130"/>
    </row>
    <row r="73" spans="1:10" x14ac:dyDescent="0.25">
      <c r="A73" s="222"/>
      <c r="B73" s="125"/>
      <c r="C73" s="157"/>
      <c r="D73" s="148"/>
      <c r="E73" s="148"/>
      <c r="F73" s="148"/>
      <c r="G73" s="148"/>
      <c r="H73" s="148"/>
      <c r="I73" s="148"/>
      <c r="J73" s="149"/>
    </row>
    <row r="74" spans="1:10" x14ac:dyDescent="0.25">
      <c r="A74" s="221" t="s">
        <v>26</v>
      </c>
      <c r="B74" s="229"/>
      <c r="C74" s="177">
        <v>-20000</v>
      </c>
      <c r="D74" s="186">
        <f t="shared" ref="D74:J74" si="38">C74+C74*D46</f>
        <v>-20599</v>
      </c>
      <c r="E74" s="186">
        <f t="shared" si="38"/>
        <v>-21010.98</v>
      </c>
      <c r="F74" s="186">
        <f t="shared" si="38"/>
        <v>-21431.1996</v>
      </c>
      <c r="G74" s="186">
        <f t="shared" si="38"/>
        <v>-21859.823592000001</v>
      </c>
      <c r="H74" s="186">
        <f t="shared" si="38"/>
        <v>-22297.020063840002</v>
      </c>
      <c r="I74" s="186">
        <f t="shared" si="38"/>
        <v>-22742.960465116801</v>
      </c>
      <c r="J74" s="187">
        <f t="shared" si="38"/>
        <v>-23197.819674419137</v>
      </c>
    </row>
    <row r="75" spans="1:10" x14ac:dyDescent="0.25">
      <c r="A75" s="221" t="s">
        <v>27</v>
      </c>
      <c r="B75" s="229"/>
      <c r="C75" s="177"/>
      <c r="D75" s="186">
        <f t="shared" ref="D75:J75" si="39">D74-C74</f>
        <v>-599</v>
      </c>
      <c r="E75" s="186">
        <f t="shared" si="39"/>
        <v>-411.97999999999956</v>
      </c>
      <c r="F75" s="186">
        <f t="shared" si="39"/>
        <v>-420.21960000000036</v>
      </c>
      <c r="G75" s="186">
        <f t="shared" si="39"/>
        <v>-428.62399200000073</v>
      </c>
      <c r="H75" s="186">
        <f t="shared" si="39"/>
        <v>-437.19647184000132</v>
      </c>
      <c r="I75" s="186">
        <f t="shared" si="39"/>
        <v>-445.94040127679909</v>
      </c>
      <c r="J75" s="187">
        <f t="shared" si="39"/>
        <v>-454.85920930233624</v>
      </c>
    </row>
    <row r="76" spans="1:10" x14ac:dyDescent="0.25">
      <c r="A76" s="221" t="s">
        <v>19</v>
      </c>
      <c r="B76" s="229">
        <v>-210000</v>
      </c>
      <c r="C76" s="177">
        <v>0</v>
      </c>
      <c r="D76" s="186">
        <v>0</v>
      </c>
      <c r="E76" s="186">
        <v>0</v>
      </c>
      <c r="F76" s="186">
        <v>0</v>
      </c>
      <c r="G76" s="186">
        <v>0</v>
      </c>
      <c r="H76" s="186">
        <v>0</v>
      </c>
      <c r="I76" s="186">
        <f>I60</f>
        <v>0</v>
      </c>
      <c r="J76" s="187">
        <f>30000*(1-0.34)</f>
        <v>19799.999999999996</v>
      </c>
    </row>
    <row r="77" spans="1:10" ht="15.75" thickBot="1" x14ac:dyDescent="0.3">
      <c r="A77" s="221" t="s">
        <v>29</v>
      </c>
      <c r="B77" s="229"/>
      <c r="C77" s="177">
        <f t="shared" ref="C77:J77" si="40">-5%*400000*2</f>
        <v>-40000</v>
      </c>
      <c r="D77" s="186">
        <f t="shared" si="40"/>
        <v>-40000</v>
      </c>
      <c r="E77" s="186">
        <f t="shared" si="40"/>
        <v>-40000</v>
      </c>
      <c r="F77" s="186">
        <f t="shared" si="40"/>
        <v>-40000</v>
      </c>
      <c r="G77" s="186">
        <f t="shared" si="40"/>
        <v>-40000</v>
      </c>
      <c r="H77" s="186">
        <f t="shared" si="40"/>
        <v>-40000</v>
      </c>
      <c r="I77" s="186">
        <f t="shared" si="40"/>
        <v>-40000</v>
      </c>
      <c r="J77" s="187">
        <f t="shared" si="40"/>
        <v>-40000</v>
      </c>
    </row>
    <row r="78" spans="1:10" ht="18" thickBot="1" x14ac:dyDescent="0.45">
      <c r="A78" s="236" t="s">
        <v>28</v>
      </c>
      <c r="B78" s="237">
        <f t="shared" ref="B78:J78" si="41">B64+B75+B76+B77</f>
        <v>-262800</v>
      </c>
      <c r="C78" s="196">
        <f t="shared" si="41"/>
        <v>246956.05502048566</v>
      </c>
      <c r="D78" s="238">
        <f t="shared" si="41"/>
        <v>261957.39642883866</v>
      </c>
      <c r="E78" s="238">
        <f t="shared" si="41"/>
        <v>264419.10450370319</v>
      </c>
      <c r="F78" s="238">
        <f t="shared" si="41"/>
        <v>269980.95155090111</v>
      </c>
      <c r="G78" s="238">
        <f t="shared" si="41"/>
        <v>281484.72524220817</v>
      </c>
      <c r="H78" s="238">
        <f t="shared" si="41"/>
        <v>289143.89119647769</v>
      </c>
      <c r="I78" s="238">
        <f t="shared" si="41"/>
        <v>296973.82941080653</v>
      </c>
      <c r="J78" s="239">
        <f t="shared" si="41"/>
        <v>328994.01557250996</v>
      </c>
    </row>
    <row r="79" spans="1:10" x14ac:dyDescent="0.25">
      <c r="B79" s="11"/>
      <c r="C79" s="161"/>
      <c r="D79" s="11"/>
      <c r="E79" s="11"/>
      <c r="F79" s="11"/>
      <c r="G79" s="11"/>
      <c r="H79" s="11"/>
      <c r="I79" s="11"/>
      <c r="J79" s="11"/>
    </row>
    <row r="80" spans="1:10" x14ac:dyDescent="0.25">
      <c r="A80" s="18">
        <f>NPV('COST OF CAPITAL'!L12,'SCENARIO ANALYSIS'!C78:J78)+B78</f>
        <v>1715200.9088064206</v>
      </c>
      <c r="B80" s="11"/>
      <c r="C80" s="161"/>
      <c r="D80" s="11"/>
      <c r="E80" s="11"/>
      <c r="F80" s="11"/>
      <c r="G80" s="11"/>
      <c r="H80" s="11"/>
      <c r="I80" s="11"/>
      <c r="J80" s="11"/>
    </row>
    <row r="83" spans="1:10" ht="15.75" thickBot="1" x14ac:dyDescent="0.3"/>
    <row r="84" spans="1:10" ht="15.75" thickBot="1" x14ac:dyDescent="0.3">
      <c r="A84" s="243" t="s">
        <v>66</v>
      </c>
      <c r="B84" s="244">
        <v>2018</v>
      </c>
      <c r="C84" s="240">
        <v>2019</v>
      </c>
      <c r="D84" s="241">
        <v>2020</v>
      </c>
      <c r="E84" s="241">
        <v>2021</v>
      </c>
      <c r="F84" s="241">
        <v>2022</v>
      </c>
      <c r="G84" s="241">
        <v>2023</v>
      </c>
      <c r="H84" s="241">
        <v>2024</v>
      </c>
      <c r="I84" s="241">
        <v>2025</v>
      </c>
      <c r="J84" s="242">
        <v>2026</v>
      </c>
    </row>
    <row r="85" spans="1:10" x14ac:dyDescent="0.25">
      <c r="A85" s="245" t="s">
        <v>20</v>
      </c>
      <c r="B85" s="122"/>
      <c r="C85" s="224"/>
      <c r="D85" s="123"/>
      <c r="E85" s="123"/>
      <c r="F85" s="123"/>
      <c r="G85" s="123"/>
      <c r="H85" s="123"/>
      <c r="I85" s="123"/>
      <c r="J85" s="124"/>
    </row>
    <row r="86" spans="1:10" x14ac:dyDescent="0.25">
      <c r="A86" s="246" t="s">
        <v>0</v>
      </c>
      <c r="B86" s="250"/>
      <c r="C86" s="156"/>
      <c r="D86" s="251"/>
      <c r="E86" s="251"/>
      <c r="F86" s="251"/>
      <c r="G86" s="251"/>
      <c r="H86" s="251"/>
      <c r="I86" s="251"/>
      <c r="J86" s="252"/>
    </row>
    <row r="87" spans="1:10" x14ac:dyDescent="0.25">
      <c r="A87" s="247" t="s">
        <v>1</v>
      </c>
      <c r="B87" s="228">
        <v>0</v>
      </c>
      <c r="C87" s="175">
        <f>1692032.296*0.8</f>
        <v>1353625.8368000002</v>
      </c>
      <c r="D87" s="174">
        <f t="shared" ref="D87:J87" si="42">C87*1.01</f>
        <v>1367162.0951680001</v>
      </c>
      <c r="E87" s="174">
        <f t="shared" si="42"/>
        <v>1380833.7161196801</v>
      </c>
      <c r="F87" s="174">
        <f t="shared" si="42"/>
        <v>1394642.0532808769</v>
      </c>
      <c r="G87" s="174">
        <f t="shared" si="42"/>
        <v>1408588.4738136858</v>
      </c>
      <c r="H87" s="174">
        <f t="shared" si="42"/>
        <v>1422674.3585518226</v>
      </c>
      <c r="I87" s="174">
        <f t="shared" si="42"/>
        <v>1436901.1021373409</v>
      </c>
      <c r="J87" s="176">
        <f t="shared" si="42"/>
        <v>1451270.1131587143</v>
      </c>
    </row>
    <row r="88" spans="1:10" x14ac:dyDescent="0.25">
      <c r="A88" s="248" t="s">
        <v>2</v>
      </c>
      <c r="B88" s="126"/>
      <c r="C88" s="157"/>
      <c r="D88" s="128">
        <f>2.995%</f>
        <v>2.9950000000000001E-2</v>
      </c>
      <c r="E88" s="128">
        <f>1%</f>
        <v>0.01</v>
      </c>
      <c r="F88" s="128">
        <f>1%</f>
        <v>0.01</v>
      </c>
      <c r="G88" s="128">
        <f>1%</f>
        <v>0.01</v>
      </c>
      <c r="H88" s="128">
        <f>1%</f>
        <v>0.01</v>
      </c>
      <c r="I88" s="128">
        <f>1%</f>
        <v>0.01</v>
      </c>
      <c r="J88" s="152">
        <f>1%</f>
        <v>0.01</v>
      </c>
    </row>
    <row r="89" spans="1:10" x14ac:dyDescent="0.25">
      <c r="A89" s="247" t="s">
        <v>3</v>
      </c>
      <c r="B89" s="228"/>
      <c r="C89" s="177">
        <v>-717442.20431949198</v>
      </c>
      <c r="D89" s="174">
        <f t="shared" ref="D89:J89" si="43">C89+D90*C89</f>
        <v>-738929.59833886079</v>
      </c>
      <c r="E89" s="174">
        <f t="shared" si="43"/>
        <v>-746318.89432224934</v>
      </c>
      <c r="F89" s="174">
        <f t="shared" si="43"/>
        <v>-753782.08326547185</v>
      </c>
      <c r="G89" s="174">
        <f t="shared" si="43"/>
        <v>-761319.90409812657</v>
      </c>
      <c r="H89" s="174">
        <f t="shared" si="43"/>
        <v>-768933.10313910781</v>
      </c>
      <c r="I89" s="174">
        <f t="shared" si="43"/>
        <v>-776622.43417049886</v>
      </c>
      <c r="J89" s="176">
        <f t="shared" si="43"/>
        <v>-784388.65851220384</v>
      </c>
    </row>
    <row r="90" spans="1:10" ht="15.75" thickBot="1" x14ac:dyDescent="0.3">
      <c r="A90" s="248" t="s">
        <v>4</v>
      </c>
      <c r="B90" s="132"/>
      <c r="C90" s="158"/>
      <c r="D90" s="153">
        <f t="shared" ref="D90:J90" si="44">D88</f>
        <v>2.9950000000000001E-2</v>
      </c>
      <c r="E90" s="133">
        <f t="shared" si="44"/>
        <v>0.01</v>
      </c>
      <c r="F90" s="133">
        <f t="shared" si="44"/>
        <v>0.01</v>
      </c>
      <c r="G90" s="133">
        <f t="shared" si="44"/>
        <v>0.01</v>
      </c>
      <c r="H90" s="133">
        <f t="shared" si="44"/>
        <v>0.01</v>
      </c>
      <c r="I90" s="133">
        <f t="shared" si="44"/>
        <v>0.01</v>
      </c>
      <c r="J90" s="134">
        <f t="shared" si="44"/>
        <v>0.01</v>
      </c>
    </row>
    <row r="91" spans="1:10" x14ac:dyDescent="0.25">
      <c r="A91" s="249" t="s">
        <v>5</v>
      </c>
      <c r="B91" s="178">
        <f t="shared" ref="B91:J91" si="45">B87+B89</f>
        <v>0</v>
      </c>
      <c r="C91" s="179">
        <f t="shared" si="45"/>
        <v>636183.63248050818</v>
      </c>
      <c r="D91" s="180">
        <f t="shared" si="45"/>
        <v>628232.4968291393</v>
      </c>
      <c r="E91" s="180">
        <f t="shared" si="45"/>
        <v>634514.82179743075</v>
      </c>
      <c r="F91" s="180">
        <f t="shared" si="45"/>
        <v>640859.9700154051</v>
      </c>
      <c r="G91" s="180">
        <f t="shared" si="45"/>
        <v>647268.56971555925</v>
      </c>
      <c r="H91" s="180">
        <f t="shared" si="45"/>
        <v>653741.25541271479</v>
      </c>
      <c r="I91" s="180">
        <f t="shared" si="45"/>
        <v>660278.66796684207</v>
      </c>
      <c r="J91" s="181">
        <f t="shared" si="45"/>
        <v>666881.45464651042</v>
      </c>
    </row>
    <row r="92" spans="1:10" ht="15.75" thickBot="1" x14ac:dyDescent="0.3">
      <c r="A92" s="248" t="s">
        <v>6</v>
      </c>
      <c r="B92" s="162"/>
      <c r="C92" s="163">
        <f t="shared" ref="C92:J92" si="46">C91/C87</f>
        <v>0.46998484750000014</v>
      </c>
      <c r="D92" s="164">
        <f t="shared" si="46"/>
        <v>0.45951573631943082</v>
      </c>
      <c r="E92" s="164">
        <f t="shared" si="46"/>
        <v>0.45951573631943082</v>
      </c>
      <c r="F92" s="164">
        <f t="shared" si="46"/>
        <v>0.45951573631943088</v>
      </c>
      <c r="G92" s="164">
        <f t="shared" si="46"/>
        <v>0.45951573631943088</v>
      </c>
      <c r="H92" s="164">
        <f t="shared" si="46"/>
        <v>0.45951573631943088</v>
      </c>
      <c r="I92" s="164">
        <f t="shared" si="46"/>
        <v>0.45951573631943093</v>
      </c>
      <c r="J92" s="165">
        <f t="shared" si="46"/>
        <v>0.45951573631943093</v>
      </c>
    </row>
    <row r="93" spans="1:10" x14ac:dyDescent="0.25">
      <c r="A93" s="247"/>
      <c r="B93" s="135"/>
      <c r="C93" s="159"/>
      <c r="D93" s="136"/>
      <c r="E93" s="136"/>
      <c r="F93" s="136"/>
      <c r="G93" s="136"/>
      <c r="H93" s="136"/>
      <c r="I93" s="136"/>
      <c r="J93" s="137"/>
    </row>
    <row r="94" spans="1:10" x14ac:dyDescent="0.25">
      <c r="A94" s="247" t="s">
        <v>7</v>
      </c>
      <c r="B94" s="228"/>
      <c r="C94" s="175">
        <f t="shared" ref="C94:J94" si="47">-C87*0.210630567</f>
        <v>-285114.97751103347</v>
      </c>
      <c r="D94" s="174">
        <f t="shared" si="47"/>
        <v>-287966.12728614383</v>
      </c>
      <c r="E94" s="174">
        <f t="shared" si="47"/>
        <v>-290845.78855900525</v>
      </c>
      <c r="F94" s="174">
        <f t="shared" si="47"/>
        <v>-293754.24644459534</v>
      </c>
      <c r="G94" s="174">
        <f t="shared" si="47"/>
        <v>-296691.78890904126</v>
      </c>
      <c r="H94" s="174">
        <f t="shared" si="47"/>
        <v>-299658.70679813169</v>
      </c>
      <c r="I94" s="174">
        <f t="shared" si="47"/>
        <v>-302655.293866113</v>
      </c>
      <c r="J94" s="176">
        <f t="shared" si="47"/>
        <v>-305681.84680477413</v>
      </c>
    </row>
    <row r="95" spans="1:10" x14ac:dyDescent="0.25">
      <c r="A95" s="247" t="s">
        <v>21</v>
      </c>
      <c r="B95" s="228">
        <v>-80000</v>
      </c>
      <c r="C95" s="175">
        <v>0</v>
      </c>
      <c r="D95" s="174">
        <v>0</v>
      </c>
      <c r="E95" s="174">
        <v>0</v>
      </c>
      <c r="F95" s="174">
        <v>0</v>
      </c>
      <c r="G95" s="174">
        <v>0</v>
      </c>
      <c r="H95" s="174">
        <v>0</v>
      </c>
      <c r="I95" s="174">
        <v>0</v>
      </c>
      <c r="J95" s="176">
        <v>0</v>
      </c>
    </row>
    <row r="96" spans="1:10" x14ac:dyDescent="0.25">
      <c r="A96" s="247" t="s">
        <v>22</v>
      </c>
      <c r="B96" s="228"/>
      <c r="C96" s="175">
        <v>-395735.21959423402</v>
      </c>
      <c r="D96" s="174">
        <v>-394501.43870695698</v>
      </c>
      <c r="E96" s="174">
        <v>-393961.659568773</v>
      </c>
      <c r="F96" s="174">
        <v>-394308.66044332</v>
      </c>
      <c r="G96" s="174">
        <v>-394308.66044332</v>
      </c>
      <c r="H96" s="174">
        <v>-394308.66044332</v>
      </c>
      <c r="I96" s="174">
        <v>-394308.66044332</v>
      </c>
      <c r="J96" s="176">
        <v>-394308.66044332</v>
      </c>
    </row>
    <row r="97" spans="1:10" x14ac:dyDescent="0.25">
      <c r="A97" s="247" t="s">
        <v>23</v>
      </c>
      <c r="B97" s="228"/>
      <c r="C97" s="175">
        <v>-42000</v>
      </c>
      <c r="D97" s="174">
        <v>-67200</v>
      </c>
      <c r="E97" s="174">
        <v>-40320</v>
      </c>
      <c r="F97" s="174">
        <v>-24192</v>
      </c>
      <c r="G97" s="174">
        <v>-24192</v>
      </c>
      <c r="H97" s="174">
        <v>-12196</v>
      </c>
      <c r="I97" s="174">
        <v>0</v>
      </c>
      <c r="J97" s="176">
        <v>0</v>
      </c>
    </row>
    <row r="98" spans="1:10" ht="15.75" thickBot="1" x14ac:dyDescent="0.3">
      <c r="A98" s="247" t="s">
        <v>8</v>
      </c>
      <c r="B98" s="228"/>
      <c r="C98" s="175">
        <v>-76443.327109897102</v>
      </c>
      <c r="D98" s="174">
        <v>-77589.977016545497</v>
      </c>
      <c r="E98" s="174">
        <v>-78753.826671793693</v>
      </c>
      <c r="F98" s="174">
        <v>-79935.134071870605</v>
      </c>
      <c r="G98" s="174">
        <v>-81134.161082948602</v>
      </c>
      <c r="H98" s="174">
        <v>-82351.173499192897</v>
      </c>
      <c r="I98" s="174">
        <v>-83586.441101680801</v>
      </c>
      <c r="J98" s="176">
        <v>-84840.237718206001</v>
      </c>
    </row>
    <row r="99" spans="1:10" x14ac:dyDescent="0.25">
      <c r="A99" s="249" t="s">
        <v>9</v>
      </c>
      <c r="B99" s="178">
        <f t="shared" ref="B99:J99" si="48">B91+SUM(B94:B98)</f>
        <v>-80000</v>
      </c>
      <c r="C99" s="179">
        <f t="shared" si="48"/>
        <v>-163109.89173465641</v>
      </c>
      <c r="D99" s="180">
        <f t="shared" si="48"/>
        <v>-199025.04618050705</v>
      </c>
      <c r="E99" s="180">
        <f t="shared" si="48"/>
        <v>-169366.45300214121</v>
      </c>
      <c r="F99" s="180">
        <f t="shared" si="48"/>
        <v>-151330.07094438083</v>
      </c>
      <c r="G99" s="180">
        <f t="shared" si="48"/>
        <v>-149058.04071975057</v>
      </c>
      <c r="H99" s="180">
        <f t="shared" si="48"/>
        <v>-134773.28532792989</v>
      </c>
      <c r="I99" s="180">
        <f t="shared" si="48"/>
        <v>-120271.72744427167</v>
      </c>
      <c r="J99" s="181">
        <f t="shared" si="48"/>
        <v>-117949.29031978967</v>
      </c>
    </row>
    <row r="100" spans="1:10" ht="15.75" thickBot="1" x14ac:dyDescent="0.3">
      <c r="A100" s="248" t="s">
        <v>10</v>
      </c>
      <c r="B100" s="166"/>
      <c r="C100" s="167">
        <f t="shared" ref="C100:J100" si="49">C99/C87</f>
        <v>-0.12049850652987802</v>
      </c>
      <c r="D100" s="168">
        <f t="shared" si="49"/>
        <v>-0.14557531026052209</v>
      </c>
      <c r="E100" s="168">
        <f t="shared" si="49"/>
        <v>-0.12265521259003051</v>
      </c>
      <c r="F100" s="168">
        <f t="shared" si="49"/>
        <v>-0.1085081799938406</v>
      </c>
      <c r="G100" s="168">
        <f t="shared" si="49"/>
        <v>-0.10582085789484211</v>
      </c>
      <c r="H100" s="168">
        <f t="shared" si="49"/>
        <v>-9.4732350040468247E-2</v>
      </c>
      <c r="I100" s="168">
        <f t="shared" si="49"/>
        <v>-8.3702161036254774E-2</v>
      </c>
      <c r="J100" s="169">
        <f t="shared" si="49"/>
        <v>-8.1273147741650259E-2</v>
      </c>
    </row>
    <row r="101" spans="1:10" x14ac:dyDescent="0.25">
      <c r="A101" s="247"/>
      <c r="B101" s="139"/>
      <c r="C101" s="159"/>
      <c r="D101" s="141"/>
      <c r="E101" s="141"/>
      <c r="F101" s="141"/>
      <c r="G101" s="141"/>
      <c r="H101" s="141"/>
      <c r="I101" s="141"/>
      <c r="J101" s="142"/>
    </row>
    <row r="102" spans="1:10" ht="15.75" thickBot="1" x14ac:dyDescent="0.3">
      <c r="A102" s="247" t="s">
        <v>11</v>
      </c>
      <c r="B102" s="229">
        <f t="shared" ref="B102:J102" si="50">B97</f>
        <v>0</v>
      </c>
      <c r="C102" s="177">
        <f t="shared" si="50"/>
        <v>-42000</v>
      </c>
      <c r="D102" s="186">
        <f t="shared" si="50"/>
        <v>-67200</v>
      </c>
      <c r="E102" s="186">
        <f t="shared" si="50"/>
        <v>-40320</v>
      </c>
      <c r="F102" s="186">
        <f t="shared" si="50"/>
        <v>-24192</v>
      </c>
      <c r="G102" s="186">
        <f t="shared" si="50"/>
        <v>-24192</v>
      </c>
      <c r="H102" s="186">
        <f t="shared" si="50"/>
        <v>-12196</v>
      </c>
      <c r="I102" s="186">
        <f t="shared" si="50"/>
        <v>0</v>
      </c>
      <c r="J102" s="187">
        <f t="shared" si="50"/>
        <v>0</v>
      </c>
    </row>
    <row r="103" spans="1:10" x14ac:dyDescent="0.25">
      <c r="A103" s="249" t="s">
        <v>12</v>
      </c>
      <c r="B103" s="178">
        <f t="shared" ref="B103:J103" si="51">B99-B102</f>
        <v>-80000</v>
      </c>
      <c r="C103" s="179">
        <f t="shared" si="51"/>
        <v>-121109.89173465641</v>
      </c>
      <c r="D103" s="180">
        <f t="shared" si="51"/>
        <v>-131825.04618050705</v>
      </c>
      <c r="E103" s="180">
        <f t="shared" si="51"/>
        <v>-129046.45300214121</v>
      </c>
      <c r="F103" s="180">
        <f t="shared" si="51"/>
        <v>-127138.07094438083</v>
      </c>
      <c r="G103" s="180">
        <f t="shared" si="51"/>
        <v>-124866.04071975057</v>
      </c>
      <c r="H103" s="180">
        <f t="shared" si="51"/>
        <v>-122577.28532792989</v>
      </c>
      <c r="I103" s="180">
        <f t="shared" si="51"/>
        <v>-120271.72744427167</v>
      </c>
      <c r="J103" s="181">
        <f t="shared" si="51"/>
        <v>-117949.29031978967</v>
      </c>
    </row>
    <row r="104" spans="1:10" ht="15.75" thickBot="1" x14ac:dyDescent="0.3">
      <c r="A104" s="248" t="s">
        <v>13</v>
      </c>
      <c r="B104" s="166"/>
      <c r="C104" s="167">
        <f t="shared" ref="C104:J104" si="52">C103/C87</f>
        <v>-8.9470729977319835E-2</v>
      </c>
      <c r="D104" s="168">
        <f t="shared" si="52"/>
        <v>-9.6422396909934871E-2</v>
      </c>
      <c r="E104" s="168">
        <f t="shared" si="52"/>
        <v>-9.345546208473117E-2</v>
      </c>
      <c r="F104" s="168">
        <f t="shared" si="52"/>
        <v>-9.1161793555048914E-2</v>
      </c>
      <c r="G104" s="168">
        <f t="shared" si="52"/>
        <v>-8.8646217856434492E-2</v>
      </c>
      <c r="H104" s="168">
        <f t="shared" si="52"/>
        <v>-8.6159762837579021E-2</v>
      </c>
      <c r="I104" s="168">
        <f t="shared" si="52"/>
        <v>-8.3702161036254774E-2</v>
      </c>
      <c r="J104" s="169">
        <f t="shared" si="52"/>
        <v>-8.1273147741650259E-2</v>
      </c>
    </row>
    <row r="105" spans="1:10" x14ac:dyDescent="0.25">
      <c r="A105" s="247"/>
      <c r="B105" s="139"/>
      <c r="C105" s="159"/>
      <c r="D105" s="141"/>
      <c r="E105" s="141"/>
      <c r="F105" s="141"/>
      <c r="G105" s="141"/>
      <c r="H105" s="141"/>
      <c r="I105" s="141"/>
      <c r="J105" s="142"/>
    </row>
    <row r="106" spans="1:10" x14ac:dyDescent="0.25">
      <c r="A106" s="247" t="s">
        <v>24</v>
      </c>
      <c r="B106" s="258">
        <f t="shared" ref="B106:J106" si="53">B112-B102</f>
        <v>-52800</v>
      </c>
      <c r="C106" s="177">
        <f t="shared" si="53"/>
        <v>-65652.528544873232</v>
      </c>
      <c r="D106" s="184">
        <f t="shared" si="53"/>
        <v>-64156.530479134643</v>
      </c>
      <c r="E106" s="184">
        <f t="shared" si="53"/>
        <v>-71461.858981413185</v>
      </c>
      <c r="F106" s="184">
        <f t="shared" si="53"/>
        <v>-75685.846823291344</v>
      </c>
      <c r="G106" s="184">
        <f t="shared" si="53"/>
        <v>-74186.30687503537</v>
      </c>
      <c r="H106" s="184">
        <f t="shared" si="53"/>
        <v>-76754.368316433713</v>
      </c>
      <c r="I106" s="184">
        <f t="shared" si="53"/>
        <v>-79379.34011321931</v>
      </c>
      <c r="J106" s="185">
        <f t="shared" si="53"/>
        <v>-77846.531611061175</v>
      </c>
    </row>
    <row r="107" spans="1:10" x14ac:dyDescent="0.25">
      <c r="A107" s="248" t="s">
        <v>25</v>
      </c>
      <c r="B107" s="253">
        <f t="shared" ref="B107:J107" si="54">B106/B103</f>
        <v>0.66</v>
      </c>
      <c r="C107" s="254">
        <f t="shared" si="54"/>
        <v>0.54209055597798306</v>
      </c>
      <c r="D107" s="255">
        <f t="shared" si="54"/>
        <v>0.48667937040799958</v>
      </c>
      <c r="E107" s="255">
        <f t="shared" si="54"/>
        <v>0.55376848661022438</v>
      </c>
      <c r="F107" s="255">
        <f t="shared" si="54"/>
        <v>0.59530435109717594</v>
      </c>
      <c r="G107" s="255">
        <f t="shared" si="54"/>
        <v>0.59412716578031943</v>
      </c>
      <c r="H107" s="255">
        <f t="shared" si="54"/>
        <v>0.62617122014974846</v>
      </c>
      <c r="I107" s="255">
        <f t="shared" si="54"/>
        <v>0.66</v>
      </c>
      <c r="J107" s="256">
        <f t="shared" si="54"/>
        <v>0.65999999999999992</v>
      </c>
    </row>
    <row r="108" spans="1:10" ht="15.75" thickBot="1" x14ac:dyDescent="0.3">
      <c r="A108" s="247"/>
      <c r="B108" s="139"/>
      <c r="C108" s="159"/>
      <c r="D108" s="143"/>
      <c r="E108" s="143"/>
      <c r="F108" s="143"/>
      <c r="G108" s="143"/>
      <c r="H108" s="143"/>
      <c r="I108" s="143"/>
      <c r="J108" s="144"/>
    </row>
    <row r="109" spans="1:10" ht="15.75" thickBot="1" x14ac:dyDescent="0.3">
      <c r="A109" s="249" t="s">
        <v>14</v>
      </c>
      <c r="B109" s="205">
        <f t="shared" ref="B109:J109" si="55">B99</f>
        <v>-80000</v>
      </c>
      <c r="C109" s="206">
        <f t="shared" si="55"/>
        <v>-163109.89173465641</v>
      </c>
      <c r="D109" s="207">
        <f t="shared" si="55"/>
        <v>-199025.04618050705</v>
      </c>
      <c r="E109" s="207">
        <f t="shared" si="55"/>
        <v>-169366.45300214121</v>
      </c>
      <c r="F109" s="207">
        <f t="shared" si="55"/>
        <v>-151330.07094438083</v>
      </c>
      <c r="G109" s="207">
        <f t="shared" si="55"/>
        <v>-149058.04071975057</v>
      </c>
      <c r="H109" s="207">
        <f t="shared" si="55"/>
        <v>-134773.28532792989</v>
      </c>
      <c r="I109" s="207">
        <f t="shared" si="55"/>
        <v>-120271.72744427167</v>
      </c>
      <c r="J109" s="208">
        <f t="shared" si="55"/>
        <v>-117949.29031978967</v>
      </c>
    </row>
    <row r="110" spans="1:10" x14ac:dyDescent="0.25">
      <c r="A110" s="247" t="s">
        <v>15</v>
      </c>
      <c r="B110" s="228">
        <f t="shared" ref="B110:J110" si="56">-B111*B99</f>
        <v>27200.000000000004</v>
      </c>
      <c r="C110" s="175">
        <f t="shared" si="56"/>
        <v>55457.363189783187</v>
      </c>
      <c r="D110" s="174">
        <f t="shared" si="56"/>
        <v>67668.515701372409</v>
      </c>
      <c r="E110" s="174">
        <f t="shared" si="56"/>
        <v>57584.594020728015</v>
      </c>
      <c r="F110" s="174">
        <f t="shared" si="56"/>
        <v>51452.224121089486</v>
      </c>
      <c r="G110" s="174">
        <f t="shared" si="56"/>
        <v>50679.7338447152</v>
      </c>
      <c r="H110" s="174">
        <f t="shared" si="56"/>
        <v>45822.917011496167</v>
      </c>
      <c r="I110" s="174">
        <f t="shared" si="56"/>
        <v>40892.38733105237</v>
      </c>
      <c r="J110" s="176">
        <f t="shared" si="56"/>
        <v>40102.758708728492</v>
      </c>
    </row>
    <row r="111" spans="1:10" ht="15.75" thickBot="1" x14ac:dyDescent="0.3">
      <c r="A111" s="248" t="s">
        <v>16</v>
      </c>
      <c r="B111" s="145">
        <f>34%</f>
        <v>0.34</v>
      </c>
      <c r="C111" s="160">
        <f>34%</f>
        <v>0.34</v>
      </c>
      <c r="D111" s="146">
        <f>34%</f>
        <v>0.34</v>
      </c>
      <c r="E111" s="146">
        <f>34%</f>
        <v>0.34</v>
      </c>
      <c r="F111" s="146">
        <f>34%</f>
        <v>0.34</v>
      </c>
      <c r="G111" s="146">
        <f>34%</f>
        <v>0.34</v>
      </c>
      <c r="H111" s="146">
        <f>34%</f>
        <v>0.34</v>
      </c>
      <c r="I111" s="146">
        <f>34%</f>
        <v>0.34</v>
      </c>
      <c r="J111" s="147">
        <f>34%</f>
        <v>0.34</v>
      </c>
    </row>
    <row r="112" spans="1:10" x14ac:dyDescent="0.25">
      <c r="A112" s="249" t="s">
        <v>17</v>
      </c>
      <c r="B112" s="178">
        <f t="shared" ref="B112:J112" si="57">B109+B110</f>
        <v>-52800</v>
      </c>
      <c r="C112" s="179">
        <f t="shared" si="57"/>
        <v>-107652.52854487323</v>
      </c>
      <c r="D112" s="180">
        <f t="shared" si="57"/>
        <v>-131356.53047913464</v>
      </c>
      <c r="E112" s="180">
        <f t="shared" si="57"/>
        <v>-111781.85898141318</v>
      </c>
      <c r="F112" s="180">
        <f t="shared" si="57"/>
        <v>-99877.846823291344</v>
      </c>
      <c r="G112" s="180">
        <f t="shared" si="57"/>
        <v>-98378.30687503537</v>
      </c>
      <c r="H112" s="180">
        <f t="shared" si="57"/>
        <v>-88950.368316433713</v>
      </c>
      <c r="I112" s="180">
        <f t="shared" si="57"/>
        <v>-79379.34011321931</v>
      </c>
      <c r="J112" s="181">
        <f t="shared" si="57"/>
        <v>-77846.531611061175</v>
      </c>
    </row>
    <row r="113" spans="1:10" ht="15.75" thickBot="1" x14ac:dyDescent="0.3">
      <c r="A113" s="248" t="s">
        <v>18</v>
      </c>
      <c r="B113" s="166"/>
      <c r="C113" s="167">
        <f t="shared" ref="C113:J113" si="58">C112/C87</f>
        <v>-7.9529014309719495E-2</v>
      </c>
      <c r="D113" s="168">
        <f t="shared" si="58"/>
        <v>-9.607970477194458E-2</v>
      </c>
      <c r="E113" s="168">
        <f t="shared" si="58"/>
        <v>-8.0952440309420129E-2</v>
      </c>
      <c r="F113" s="168">
        <f t="shared" si="58"/>
        <v>-7.1615398795934787E-2</v>
      </c>
      <c r="G113" s="168">
        <f t="shared" si="58"/>
        <v>-6.984176621059579E-2</v>
      </c>
      <c r="H113" s="168">
        <f t="shared" si="58"/>
        <v>-6.2523351026709029E-2</v>
      </c>
      <c r="I113" s="168">
        <f t="shared" si="58"/>
        <v>-5.524342628392815E-2</v>
      </c>
      <c r="J113" s="169">
        <f t="shared" si="58"/>
        <v>-5.3640277509489166E-2</v>
      </c>
    </row>
    <row r="114" spans="1:10" x14ac:dyDescent="0.25">
      <c r="A114" s="248"/>
      <c r="B114" s="138"/>
      <c r="C114" s="157"/>
      <c r="D114" s="129"/>
      <c r="E114" s="129"/>
      <c r="F114" s="129"/>
      <c r="G114" s="129"/>
      <c r="H114" s="129"/>
      <c r="I114" s="129"/>
      <c r="J114" s="130"/>
    </row>
    <row r="115" spans="1:10" x14ac:dyDescent="0.25">
      <c r="A115" s="248"/>
      <c r="B115" s="125"/>
      <c r="C115" s="157"/>
      <c r="D115" s="148"/>
      <c r="E115" s="148"/>
      <c r="F115" s="148"/>
      <c r="G115" s="148"/>
      <c r="H115" s="148"/>
      <c r="I115" s="148"/>
      <c r="J115" s="149"/>
    </row>
    <row r="116" spans="1:10" x14ac:dyDescent="0.25">
      <c r="A116" s="247" t="s">
        <v>26</v>
      </c>
      <c r="B116" s="229"/>
      <c r="C116" s="177">
        <v>-20000</v>
      </c>
      <c r="D116" s="186">
        <f t="shared" ref="D116:J116" si="59">C116+C116*D88</f>
        <v>-20599</v>
      </c>
      <c r="E116" s="186">
        <f t="shared" si="59"/>
        <v>-20804.990000000002</v>
      </c>
      <c r="F116" s="186">
        <f t="shared" si="59"/>
        <v>-21013.039900000003</v>
      </c>
      <c r="G116" s="186">
        <f t="shared" si="59"/>
        <v>-21223.170299000005</v>
      </c>
      <c r="H116" s="186">
        <f t="shared" si="59"/>
        <v>-21435.402001990005</v>
      </c>
      <c r="I116" s="186">
        <f t="shared" si="59"/>
        <v>-21649.756022009904</v>
      </c>
      <c r="J116" s="187">
        <f t="shared" si="59"/>
        <v>-21866.253582230001</v>
      </c>
    </row>
    <row r="117" spans="1:10" x14ac:dyDescent="0.25">
      <c r="A117" s="247" t="s">
        <v>27</v>
      </c>
      <c r="B117" s="229"/>
      <c r="C117" s="177"/>
      <c r="D117" s="186">
        <f t="shared" ref="D117:J117" si="60">D116-C116</f>
        <v>-599</v>
      </c>
      <c r="E117" s="186">
        <f t="shared" si="60"/>
        <v>-205.9900000000016</v>
      </c>
      <c r="F117" s="186">
        <f t="shared" si="60"/>
        <v>-208.0499000000018</v>
      </c>
      <c r="G117" s="186">
        <f t="shared" si="60"/>
        <v>-210.13039900000149</v>
      </c>
      <c r="H117" s="186">
        <f t="shared" si="60"/>
        <v>-212.23170299000049</v>
      </c>
      <c r="I117" s="186">
        <f t="shared" si="60"/>
        <v>-214.3540200198986</v>
      </c>
      <c r="J117" s="187">
        <f t="shared" si="60"/>
        <v>-216.49756022009751</v>
      </c>
    </row>
    <row r="118" spans="1:10" x14ac:dyDescent="0.25">
      <c r="A118" s="247" t="s">
        <v>19</v>
      </c>
      <c r="B118" s="229">
        <v>-210000</v>
      </c>
      <c r="C118" s="177">
        <v>0</v>
      </c>
      <c r="D118" s="186">
        <v>0</v>
      </c>
      <c r="E118" s="186">
        <v>0</v>
      </c>
      <c r="F118" s="186">
        <v>0</v>
      </c>
      <c r="G118" s="186">
        <v>0</v>
      </c>
      <c r="H118" s="186">
        <v>0</v>
      </c>
      <c r="I118" s="186">
        <f>I102</f>
        <v>0</v>
      </c>
      <c r="J118" s="187">
        <f>30000*(1-0.34)</f>
        <v>19799.999999999996</v>
      </c>
    </row>
    <row r="119" spans="1:10" ht="15.75" thickBot="1" x14ac:dyDescent="0.3">
      <c r="A119" s="247" t="s">
        <v>29</v>
      </c>
      <c r="B119" s="229"/>
      <c r="C119" s="177">
        <f t="shared" ref="C119:J119" si="61">-5%*400000*2</f>
        <v>-40000</v>
      </c>
      <c r="D119" s="186">
        <f t="shared" si="61"/>
        <v>-40000</v>
      </c>
      <c r="E119" s="186">
        <f t="shared" si="61"/>
        <v>-40000</v>
      </c>
      <c r="F119" s="186">
        <f t="shared" si="61"/>
        <v>-40000</v>
      </c>
      <c r="G119" s="186">
        <f t="shared" si="61"/>
        <v>-40000</v>
      </c>
      <c r="H119" s="186">
        <f t="shared" si="61"/>
        <v>-40000</v>
      </c>
      <c r="I119" s="186">
        <f t="shared" si="61"/>
        <v>-40000</v>
      </c>
      <c r="J119" s="187">
        <f t="shared" si="61"/>
        <v>-40000</v>
      </c>
    </row>
    <row r="120" spans="1:10" ht="18" thickBot="1" x14ac:dyDescent="0.45">
      <c r="A120" s="257" t="s">
        <v>28</v>
      </c>
      <c r="B120" s="237">
        <f t="shared" ref="B120:J120" si="62">B106+B117+B118+B119</f>
        <v>-262800</v>
      </c>
      <c r="C120" s="196">
        <f t="shared" si="62"/>
        <v>-105652.52854487323</v>
      </c>
      <c r="D120" s="238">
        <f t="shared" si="62"/>
        <v>-104755.53047913464</v>
      </c>
      <c r="E120" s="238">
        <f t="shared" si="62"/>
        <v>-111667.84898141319</v>
      </c>
      <c r="F120" s="238">
        <f t="shared" si="62"/>
        <v>-115893.89672329134</v>
      </c>
      <c r="G120" s="238">
        <f t="shared" si="62"/>
        <v>-114396.43727403537</v>
      </c>
      <c r="H120" s="238">
        <f t="shared" si="62"/>
        <v>-116966.60001942371</v>
      </c>
      <c r="I120" s="238">
        <f t="shared" si="62"/>
        <v>-119593.69413323922</v>
      </c>
      <c r="J120" s="239">
        <f t="shared" si="62"/>
        <v>-98263.029171281276</v>
      </c>
    </row>
    <row r="122" spans="1:10" x14ac:dyDescent="0.25">
      <c r="A122" s="18">
        <f>NPV('COST OF CAPITAL'!L12,'SCENARIO ANALYSIS'!C120:J120)+B120</f>
        <v>-1049682.2316171227</v>
      </c>
    </row>
  </sheetData>
  <pageMargins left="0.7" right="0.7" top="0.75" bottom="0.75" header="0.3" footer="0.3"/>
  <pageSetup orientation="portrait" r:id="rId1"/>
  <ignoredErrors>
    <ignoredError sqref="E7:J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9" sqref="C9"/>
    </sheetView>
  </sheetViews>
  <sheetFormatPr defaultColWidth="8.85546875" defaultRowHeight="15" x14ac:dyDescent="0.25"/>
  <cols>
    <col min="1" max="1" width="20.28515625" bestFit="1" customWidth="1"/>
    <col min="2" max="2" width="14.28515625" bestFit="1" customWidth="1"/>
    <col min="3" max="3" width="12.28515625" bestFit="1" customWidth="1"/>
  </cols>
  <sheetData>
    <row r="1" spans="1:3" x14ac:dyDescent="0.25">
      <c r="A1" t="s">
        <v>49</v>
      </c>
      <c r="C1" t="s">
        <v>53</v>
      </c>
    </row>
    <row r="2" spans="1:3" x14ac:dyDescent="0.25">
      <c r="A2" t="s">
        <v>50</v>
      </c>
      <c r="B2" s="19">
        <f>'PROFORMA INCOME STATEMENT'!A41</f>
        <v>387969.96866630437</v>
      </c>
      <c r="C2">
        <v>0.57120000000000004</v>
      </c>
    </row>
    <row r="3" spans="1:3" x14ac:dyDescent="0.25">
      <c r="A3" t="s">
        <v>51</v>
      </c>
      <c r="B3" s="19">
        <f>'SCENARIO ANALYSIS'!A80</f>
        <v>1715200.9088064206</v>
      </c>
      <c r="C3">
        <v>0.28560000000000002</v>
      </c>
    </row>
    <row r="4" spans="1:3" x14ac:dyDescent="0.25">
      <c r="A4" t="s">
        <v>30</v>
      </c>
      <c r="B4" s="19">
        <f>'SCENARIO ANALYSIS'!A122</f>
        <v>-1049682.2316171227</v>
      </c>
      <c r="C4">
        <v>0.14280000000000001</v>
      </c>
    </row>
    <row r="5" spans="1:3" x14ac:dyDescent="0.25">
      <c r="A5" t="s">
        <v>52</v>
      </c>
      <c r="B5" s="20">
        <f>_xlfn.STDEV.S(B2:B4)</f>
        <v>1382809.0129420953</v>
      </c>
      <c r="C5" s="20">
        <f>(B2*C2)+(B3*C3)+(B4*C4)</f>
        <v>561575.20298238168</v>
      </c>
    </row>
    <row r="6" spans="1:3" x14ac:dyDescent="0.25">
      <c r="A6" t="s">
        <v>54</v>
      </c>
      <c r="C6" s="19">
        <f>C5</f>
        <v>561575.20298238168</v>
      </c>
    </row>
    <row r="7" spans="1:3" x14ac:dyDescent="0.25">
      <c r="C7" s="19"/>
    </row>
    <row r="8" spans="1:3" x14ac:dyDescent="0.25">
      <c r="A8" t="s">
        <v>55</v>
      </c>
      <c r="C8">
        <f>('COST OF CAPITAL'!L8+CONCLUSION!C5)/'COST OF CAPITAL'!L6</f>
        <v>59.050394697218856</v>
      </c>
    </row>
    <row r="9" spans="1:3" x14ac:dyDescent="0.25">
      <c r="A9" t="s">
        <v>57</v>
      </c>
      <c r="C9" s="21">
        <f>(C8-'COST OF CAPITAL'!L7)/'COST OF CAPITAL'!L7</f>
        <v>6.6841188629746462E-6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PROFORMA INCOME STATEMENT</vt:lpstr>
      <vt:lpstr>COST OF CAPITAL</vt:lpstr>
      <vt:lpstr>SCENARIO ANALYSIS</vt:lpstr>
      <vt:lpstr>CONCLUSION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mihailova</dc:creator>
  <cp:lastModifiedBy>ARUSHI KAPOOR</cp:lastModifiedBy>
  <dcterms:created xsi:type="dcterms:W3CDTF">2015-10-20T15:04:20Z</dcterms:created>
  <dcterms:modified xsi:type="dcterms:W3CDTF">2018-03-21T01:00:39Z</dcterms:modified>
</cp:coreProperties>
</file>