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ICT50220ICTICT517\Assmt-4\"/>
    </mc:Choice>
  </mc:AlternateContent>
  <xr:revisionPtr revIDLastSave="0" documentId="13_ncr:1_{B2790683-8BFF-454F-8E17-DC5E5EA386B4}" xr6:coauthVersionLast="47" xr6:coauthVersionMax="47" xr10:uidLastSave="{00000000-0000-0000-0000-000000000000}"/>
  <workbookProtection workbookAlgorithmName="SHA-512" workbookHashValue="sLgadb34lRl4CPVZsieYu/zM+FrdUbzeeLxA3UmcuBIudS6mX7UW0IcAsYkE9K/TX3ypcZULAw1XKQ+56sIiGw==" workbookSaltValue="kDhi2PStfbs/DwPrgnS0eA==" workbookSpinCount="100000" lockStructure="1"/>
  <bookViews>
    <workbookView xWindow="-108" yWindow="-108" windowWidth="23256" windowHeight="12456" xr2:uid="{53AA9C88-E0F5-474E-92EE-AD6BAFF6DB4D}"/>
  </bookViews>
  <sheets>
    <sheet name="Master" sheetId="1" r:id="rId1"/>
  </sheets>
  <definedNames>
    <definedName name="Show_Aggregates">Master!$M$2</definedName>
    <definedName name="Show_Values">Master!$M$1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G19" i="1"/>
  <c r="H19" i="1"/>
  <c r="I19" i="1"/>
  <c r="F17" i="1"/>
  <c r="G17" i="1"/>
  <c r="H17" i="1"/>
  <c r="I17" i="1"/>
  <c r="E16" i="1"/>
  <c r="O11" i="1"/>
  <c r="N11" i="1" s="1"/>
  <c r="B21" i="1"/>
  <c r="B20" i="1"/>
  <c r="B19" i="1"/>
  <c r="B16" i="1"/>
  <c r="B15" i="1"/>
  <c r="B14" i="1"/>
  <c r="M11" i="1" l="1"/>
  <c r="C21" i="1"/>
  <c r="M21" i="1"/>
  <c r="M28" i="1" l="1"/>
  <c r="M27" i="1"/>
  <c r="M26" i="1"/>
  <c r="M25" i="1"/>
  <c r="M20" i="1"/>
  <c r="M19" i="1"/>
  <c r="M18" i="1"/>
  <c r="M17" i="1"/>
  <c r="M15" i="1"/>
  <c r="M14" i="1"/>
  <c r="M16" i="1"/>
  <c r="C20" i="1"/>
  <c r="C19" i="1"/>
  <c r="C18" i="1"/>
  <c r="C17" i="1"/>
  <c r="C16" i="1"/>
  <c r="C15" i="1"/>
  <c r="C14" i="1"/>
  <c r="F13" i="1" l="1"/>
  <c r="E24" i="1"/>
  <c r="F15" i="1" l="1"/>
  <c r="G13" i="1"/>
  <c r="F24" i="1"/>
  <c r="G15" i="1" l="1"/>
  <c r="G24" i="1"/>
  <c r="H13" i="1"/>
  <c r="H15" i="1" l="1"/>
  <c r="H24" i="1"/>
  <c r="I13" i="1"/>
  <c r="I15" i="1" l="1"/>
  <c r="I24" i="1"/>
  <c r="D14" i="1" l="1"/>
  <c r="F14" i="1" l="1"/>
  <c r="E14" i="1"/>
  <c r="I14" i="1"/>
  <c r="H14" i="1"/>
  <c r="G14" i="1"/>
  <c r="D21" i="1"/>
  <c r="D18" i="1"/>
  <c r="D15" i="1"/>
  <c r="E15" i="1" s="1"/>
  <c r="D20" i="1"/>
  <c r="H20" i="1" s="1"/>
  <c r="D17" i="1"/>
  <c r="E17" i="1" s="1"/>
  <c r="D16" i="1"/>
  <c r="D19" i="1"/>
  <c r="E19" i="1" s="1"/>
  <c r="I18" i="1" l="1"/>
  <c r="G18" i="1"/>
  <c r="E18" i="1"/>
  <c r="F18" i="1"/>
  <c r="H18" i="1"/>
  <c r="H16" i="1"/>
  <c r="G16" i="1"/>
  <c r="F16" i="1"/>
  <c r="I16" i="1"/>
  <c r="H21" i="1"/>
  <c r="I21" i="1"/>
  <c r="E21" i="1"/>
  <c r="G21" i="1"/>
  <c r="F21" i="1"/>
  <c r="G25" i="1"/>
  <c r="H25" i="1"/>
  <c r="I25" i="1"/>
  <c r="E25" i="1"/>
  <c r="F25" i="1"/>
  <c r="I20" i="1"/>
  <c r="G20" i="1"/>
  <c r="G26" i="1" s="1"/>
  <c r="E20" i="1"/>
  <c r="F20" i="1"/>
  <c r="H26" i="1"/>
  <c r="H28" i="1" l="1"/>
  <c r="H27" i="1"/>
  <c r="G28" i="1"/>
  <c r="G27" i="1"/>
  <c r="E26" i="1"/>
  <c r="E27" i="1" s="1"/>
  <c r="I26" i="1"/>
  <c r="I27" i="1" s="1"/>
  <c r="F26" i="1"/>
  <c r="F28" i="1" s="1"/>
  <c r="I28" i="1" l="1"/>
  <c r="F27" i="1"/>
  <c r="E28" i="1"/>
</calcChain>
</file>

<file path=xl/sharedStrings.xml><?xml version="1.0" encoding="utf-8"?>
<sst xmlns="http://schemas.openxmlformats.org/spreadsheetml/2006/main" count="51" uniqueCount="48">
  <si>
    <t>Applies to option</t>
  </si>
  <si>
    <t>Annual change</t>
  </si>
  <si>
    <t>Ongoing cloud server costs (server instance, network, storage, traffic and backups)</t>
  </si>
  <si>
    <t>Cloud server</t>
  </si>
  <si>
    <t>Cloud training for two staff members (1st year only)</t>
  </si>
  <si>
    <t>One off labour costs for software deployment and configuration (OS and LMS)</t>
  </si>
  <si>
    <t>Both</t>
  </si>
  <si>
    <t>Ongoing labour costs for software support (OS and LMS)</t>
  </si>
  <si>
    <t>Inhouse server</t>
  </si>
  <si>
    <t>Server purchase with OS license and 5 year vendor support</t>
  </si>
  <si>
    <t>Ongoing hardware, facilities and hardware related labour costs for inhouse sever</t>
  </si>
  <si>
    <t>Ongoing Windows licensing costs (Software Assurance, CAL increase)</t>
  </si>
  <si>
    <t>Intangible benefits resulting from running a cloud server (apply from 2nd year onwards)</t>
  </si>
  <si>
    <t>Cost Item</t>
  </si>
  <si>
    <t>Costing option</t>
  </si>
  <si>
    <t>Resulting cash flow</t>
  </si>
  <si>
    <t>Benefit-cost ratio</t>
  </si>
  <si>
    <t xml:space="preserve">Resulting cash flow = </t>
  </si>
  <si>
    <t>Benefits [ In-house Server ] - Costs [ Cloud Server ]</t>
  </si>
  <si>
    <t xml:space="preserve">Benefit-cost ratio = </t>
  </si>
  <si>
    <t>Benefits [ In-house Server ] / Costs [ Cloud Server ]</t>
  </si>
  <si>
    <t>Aggregate costs</t>
  </si>
  <si>
    <t>Base Cost</t>
  </si>
  <si>
    <t>Base Growth</t>
  </si>
  <si>
    <t>Student offset:</t>
  </si>
  <si>
    <t>Full name of student:</t>
  </si>
  <si>
    <t>Student Number:</t>
  </si>
  <si>
    <t>Show line</t>
  </si>
  <si>
    <t>Show costs</t>
  </si>
  <si>
    <t>Hide line</t>
  </si>
  <si>
    <t>Instructions</t>
  </si>
  <si>
    <t>3. Present the spreadsheet and chart to your superior when asked to do so</t>
  </si>
  <si>
    <t xml:space="preserve">2. In each cell with purple background make the necessary cost calculations </t>
  </si>
  <si>
    <t>Show all (override)</t>
  </si>
  <si>
    <t>Teacher instructions</t>
  </si>
  <si>
    <t>1. Modify only cells with brown font and blue background</t>
  </si>
  <si>
    <t>2. Hide and lock all cells not to be modified by a student</t>
  </si>
  <si>
    <t>3. Distribute ONLY LOCKED spreadsheet to students</t>
  </si>
  <si>
    <t xml:space="preserve">    Leave only Year calculations and sums unlocked</t>
  </si>
  <si>
    <t xml:space="preserve">Show as example row </t>
  </si>
  <si>
    <t>Show aggregates</t>
  </si>
  <si>
    <t>Note: The chart below will be automatically updated</t>
  </si>
  <si>
    <t>P/W:</t>
  </si>
  <si>
    <t>ictict517##</t>
  </si>
  <si>
    <t>Cost (annual or one off)</t>
  </si>
  <si>
    <r>
      <t xml:space="preserve">1. You must fill in your name </t>
    </r>
    <r>
      <rPr>
        <b/>
        <u/>
        <sz val="11"/>
        <color theme="1"/>
        <rFont val="Arial"/>
        <family val="2"/>
      </rPr>
      <t>and</t>
    </r>
    <r>
      <rPr>
        <b/>
        <sz val="11"/>
        <color theme="1"/>
        <rFont val="Arial"/>
        <family val="2"/>
      </rPr>
      <t xml:space="preserve"> student number before commencing with the cost calculations</t>
    </r>
  </si>
  <si>
    <t>WangYiZhuo</t>
    <phoneticPr fontId="16" type="noConversion"/>
  </si>
  <si>
    <t>S1554654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</si>
</sst>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$&quot;#,##0;[Red]\-&quot;$&quot;#,##0"/>
    <numFmt numFmtId="177" formatCode="&quot;Exp&quot;\ 0"/>
    <numFmt numFmtId="178" formatCode="&quot;Year&quot;\ 0"/>
    <numFmt numFmtId="179" formatCode="&quot;$&quot;#,##0"/>
    <numFmt numFmtId="180" formatCode="0.0%"/>
  </numFmts>
  <fonts count="17" x14ac:knownFonts="1">
    <font>
      <sz val="9"/>
      <color theme="1"/>
      <name val="Arial"/>
      <family val="2"/>
    </font>
    <font>
      <i/>
      <sz val="9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9"/>
      <color rgb="FF006600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9"/>
      <color theme="5" tint="-0.249977111117893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9"/>
      <color theme="5" tint="-0.249977111117893"/>
      <name val="Arial"/>
      <family val="2"/>
    </font>
    <font>
      <b/>
      <i/>
      <sz val="12"/>
      <color theme="5" tint="-0.249977111117893"/>
      <name val="Arial"/>
      <family val="2"/>
    </font>
    <font>
      <b/>
      <sz val="9"/>
      <color theme="5" tint="-0.249977111117893"/>
      <name val="Arial"/>
      <family val="2"/>
    </font>
    <font>
      <b/>
      <sz val="9"/>
      <color theme="1"/>
      <name val="Arial"/>
      <family val="2"/>
    </font>
    <font>
      <b/>
      <u/>
      <sz val="11"/>
      <color theme="1"/>
      <name val="Arial"/>
      <family val="2"/>
    </font>
    <font>
      <sz val="9"/>
      <name val="MingLiU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179" fontId="0" fillId="0" borderId="1" xfId="0" applyNumberFormat="1" applyBorder="1" applyAlignment="1" applyProtection="1">
      <alignment vertical="center"/>
      <protection locked="0"/>
    </xf>
    <xf numFmtId="179" fontId="0" fillId="0" borderId="1" xfId="0" applyNumberFormat="1" applyBorder="1" applyAlignment="1" applyProtection="1">
      <alignment horizontal="right" vertical="center" indent="1"/>
      <protection locked="0"/>
    </xf>
    <xf numFmtId="176" fontId="0" fillId="0" borderId="1" xfId="0" applyNumberFormat="1" applyBorder="1" applyAlignment="1" applyProtection="1">
      <alignment horizontal="right" vertical="center" indent="1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/>
    </xf>
    <xf numFmtId="0" fontId="1" fillId="2" borderId="0" xfId="0" applyFont="1" applyFill="1" applyAlignment="1">
      <alignment horizontal="left" indent="1"/>
    </xf>
    <xf numFmtId="0" fontId="11" fillId="2" borderId="0" xfId="0" applyFont="1" applyFill="1"/>
    <xf numFmtId="0" fontId="12" fillId="7" borderId="0" xfId="0" applyFont="1" applyFill="1"/>
    <xf numFmtId="0" fontId="0" fillId="7" borderId="0" xfId="0" applyFill="1"/>
    <xf numFmtId="0" fontId="11" fillId="7" borderId="0" xfId="0" applyFont="1" applyFill="1"/>
    <xf numFmtId="0" fontId="1" fillId="7" borderId="0" xfId="0" applyFont="1" applyFill="1"/>
    <xf numFmtId="0" fontId="7" fillId="7" borderId="0" xfId="0" applyFont="1" applyFill="1"/>
    <xf numFmtId="0" fontId="13" fillId="7" borderId="0" xfId="0" applyFont="1" applyFill="1"/>
    <xf numFmtId="0" fontId="7" fillId="7" borderId="0" xfId="0" applyFont="1" applyFill="1" applyAlignment="1">
      <alignment vertical="top"/>
    </xf>
    <xf numFmtId="0" fontId="14" fillId="7" borderId="0" xfId="0" applyFont="1" applyFill="1" applyAlignment="1">
      <alignment vertical="top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8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 shrinkToFit="1"/>
    </xf>
    <xf numFmtId="0" fontId="2" fillId="3" borderId="2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right" vertical="center" wrapText="1" indent="1" shrinkToFit="1"/>
    </xf>
    <xf numFmtId="178" fontId="3" fillId="4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wrapText="1" shrinkToFit="1"/>
    </xf>
    <xf numFmtId="0" fontId="7" fillId="2" borderId="0" xfId="0" applyFont="1" applyFill="1" applyAlignment="1">
      <alignment horizontal="center" vertical="center" wrapText="1" shrinkToFit="1"/>
    </xf>
    <xf numFmtId="0" fontId="2" fillId="0" borderId="1" xfId="0" applyFont="1" applyBorder="1" applyAlignment="1">
      <alignment horizontal="left" vertical="center" wrapText="1" shrinkToFit="1"/>
    </xf>
    <xf numFmtId="0" fontId="4" fillId="0" borderId="1" xfId="0" applyFont="1" applyBorder="1" applyAlignment="1">
      <alignment horizontal="center" vertical="center" wrapText="1" shrinkToFit="1"/>
    </xf>
    <xf numFmtId="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right" vertical="center" wrapText="1" indent="1" shrinkToFit="1"/>
    </xf>
    <xf numFmtId="179" fontId="0" fillId="0" borderId="1" xfId="0" applyNumberFormat="1" applyBorder="1" applyAlignment="1">
      <alignment vertical="center"/>
    </xf>
    <xf numFmtId="180" fontId="1" fillId="7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 wrapText="1" shrinkToFit="1"/>
    </xf>
    <xf numFmtId="179" fontId="0" fillId="0" borderId="1" xfId="0" applyNumberFormat="1" applyBorder="1" applyAlignment="1">
      <alignment horizontal="right" vertical="center" indent="1"/>
    </xf>
    <xf numFmtId="0" fontId="1" fillId="2" borderId="0" xfId="0" applyFont="1" applyFill="1"/>
    <xf numFmtId="0" fontId="0" fillId="0" borderId="0" xfId="0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6" fillId="0" borderId="2" xfId="0" applyFont="1" applyBorder="1" applyAlignment="1" applyProtection="1">
      <alignment horizontal="left" vertical="center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0" fontId="6" fillId="0" borderId="3" xfId="0" applyFont="1" applyBorder="1" applyAlignment="1" applyProtection="1">
      <alignment horizontal="left" vertical="center" indent="1"/>
      <protection locked="0"/>
    </xf>
    <xf numFmtId="1" fontId="6" fillId="0" borderId="2" xfId="0" applyNumberFormat="1" applyFont="1" applyBorder="1" applyAlignment="1" applyProtection="1">
      <alignment horizontal="left" vertical="center" indent="1"/>
      <protection locked="0"/>
    </xf>
    <xf numFmtId="1" fontId="6" fillId="0" borderId="4" xfId="0" applyNumberFormat="1" applyFont="1" applyBorder="1" applyAlignment="1" applyProtection="1">
      <alignment horizontal="left" vertical="center" indent="1"/>
      <protection locked="0"/>
    </xf>
    <xf numFmtId="1" fontId="6" fillId="0" borderId="3" xfId="0" applyNumberFormat="1" applyFont="1" applyBorder="1" applyAlignment="1" applyProtection="1">
      <alignment horizontal="left" vertical="center" indent="1"/>
      <protection locked="0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right" vertical="center" indent="1"/>
    </xf>
    <xf numFmtId="0" fontId="5" fillId="5" borderId="4" xfId="0" applyFont="1" applyFill="1" applyBorder="1" applyAlignment="1">
      <alignment horizontal="right" vertical="center" indent="1"/>
    </xf>
    <xf numFmtId="0" fontId="5" fillId="5" borderId="3" xfId="0" applyFont="1" applyFill="1" applyBorder="1" applyAlignment="1">
      <alignment horizontal="right" vertical="center" indent="1"/>
    </xf>
    <xf numFmtId="0" fontId="9" fillId="6" borderId="0" xfId="0" applyFont="1" applyFill="1" applyAlignment="1">
      <alignment horizontal="left" vertical="center" indent="2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/>
    </xf>
    <xf numFmtId="0" fontId="10" fillId="6" borderId="0" xfId="0" applyFont="1" applyFill="1" applyAlignment="1">
      <alignment horizontal="left" vertical="center" indent="2"/>
    </xf>
    <xf numFmtId="179" fontId="0" fillId="0" borderId="1" xfId="0" applyNumberFormat="1" applyBorder="1" applyAlignment="1" applyProtection="1">
      <alignment vertical="center" wrapText="1"/>
      <protection locked="0"/>
    </xf>
  </cellXfs>
  <cellStyles count="1">
    <cellStyle name="常规" xfId="0" builtinId="0"/>
  </cellStyles>
  <dxfs count="6">
    <dxf>
      <font>
        <color rgb="FFFF0000"/>
      </font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66FFFF"/>
      <color rgb="FFCCECFF"/>
      <color rgb="FFFFFFCC"/>
      <color rgb="FFCC00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LMS Server - Cost Benefit Analysis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Master!$C$25</c:f>
              <c:strCache>
                <c:ptCount val="1"/>
                <c:pt idx="0">
                  <c:v>Cloud server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Master!$D$24:$I$24</c:f>
              <c:numCache>
                <c:formatCode>"Year"\ 0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Master!$D$25:$I$25</c:f>
              <c:numCache>
                <c:formatCode>"$"#,##0</c:formatCode>
                <c:ptCount val="6"/>
                <c:pt idx="1">
                  <c:v>48176</c:v>
                </c:pt>
                <c:pt idx="2">
                  <c:v>30993.32</c:v>
                </c:pt>
                <c:pt idx="3">
                  <c:v>31076.434799999995</c:v>
                </c:pt>
                <c:pt idx="4">
                  <c:v>31181.651588000001</c:v>
                </c:pt>
                <c:pt idx="5">
                  <c:v>31309.294749719993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752-A49B-5296BBC17702}"/>
            </c:ext>
          </c:extLst>
        </c:ser>
        <c:ser>
          <c:idx val="1"/>
          <c:order val="1"/>
          <c:tx>
            <c:strRef>
              <c:f>Master!$C$26</c:f>
              <c:strCache>
                <c:ptCount val="1"/>
                <c:pt idx="0">
                  <c:v>Inhouse 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Master!$D$24:$I$24</c:f>
              <c:numCache>
                <c:formatCode>"Year"\ 0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Master!$D$26:$I$26</c:f>
              <c:numCache>
                <c:formatCode>"$"#,##0</c:formatCode>
                <c:ptCount val="6"/>
                <c:pt idx="1">
                  <c:v>46920</c:v>
                </c:pt>
                <c:pt idx="2">
                  <c:v>32143.52</c:v>
                </c:pt>
                <c:pt idx="3">
                  <c:v>33081.876799999998</c:v>
                </c:pt>
                <c:pt idx="4">
                  <c:v>34047.865328</c:v>
                </c:pt>
                <c:pt idx="5">
                  <c:v>35042.304156319995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8-4752-A49B-5296BBC17702}"/>
            </c:ext>
          </c:extLst>
        </c:ser>
        <c:ser>
          <c:idx val="2"/>
          <c:order val="2"/>
          <c:tx>
            <c:strRef>
              <c:f>Master!$C$27</c:f>
              <c:strCache>
                <c:ptCount val="1"/>
                <c:pt idx="0">
                  <c:v>Resulting cash 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Master!$D$24:$I$24</c:f>
              <c:numCache>
                <c:formatCode>"Year"\ 0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Master!$D$27:$I$27</c:f>
              <c:numCache>
                <c:formatCode>"$"#,##0;[Red]\-"$"#,##0</c:formatCode>
                <c:ptCount val="6"/>
                <c:pt idx="1">
                  <c:v>-1256</c:v>
                </c:pt>
                <c:pt idx="2">
                  <c:v>1150</c:v>
                </c:pt>
                <c:pt idx="3">
                  <c:v>2005</c:v>
                </c:pt>
                <c:pt idx="4">
                  <c:v>2866</c:v>
                </c:pt>
                <c:pt idx="5">
                  <c:v>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8-4752-A49B-5296BBC1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45128"/>
        <c:axId val="619245456"/>
      </c:lineChart>
      <c:catAx>
        <c:axId val="61924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245456"/>
        <c:crosses val="autoZero"/>
        <c:auto val="1"/>
        <c:lblAlgn val="ctr"/>
        <c:lblOffset val="100"/>
        <c:noMultiLvlLbl val="0"/>
      </c:catAx>
      <c:valAx>
        <c:axId val="6192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24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328612</xdr:colOff>
      <xdr:row>30</xdr:row>
      <xdr:rowOff>52387</xdr:rowOff>
    </xdr:from>
    <xdr:to>
      <xdr:col>8</xdr:col>
      <xdr:colOff>604837</xdr:colOff>
      <xdr:row>48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EF7F1-65C6-4D88-BC12-22207864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F249C-FF1E-48B2-9EA1-CAAB3B69CB44}">
  <dimension ref="A1:O30"/>
  <sheetViews>
    <sheetView tabSelected="1" topLeftCell="A20" workbookViewId="0">
      <selection activeCell="H18" sqref="H18"/>
    </sheetView>
  </sheetViews>
  <sheetFormatPr defaultColWidth="9.125" defaultRowHeight="11.4" x14ac:dyDescent="0.2"/>
  <cols>
    <col min="1" max="1" width="39.625" customWidth="1"/>
    <col min="2" max="2" width="8" customWidth="1"/>
    <col min="3" max="3" width="7.75" customWidth="1"/>
    <col min="4" max="4" width="12.125" customWidth="1"/>
    <col min="5" max="5" width="9.5" bestFit="1" customWidth="1"/>
    <col min="10" max="10" width="2" customWidth="1"/>
    <col min="11" max="11" width="9.375" hidden="1" customWidth="1"/>
    <col min="12" max="14" width="9.125" hidden="1" customWidth="1"/>
    <col min="15" max="15" width="19.75" hidden="1" customWidth="1"/>
  </cols>
  <sheetData>
    <row r="1" spans="1:15" hidden="1" x14ac:dyDescent="0.2">
      <c r="B1" s="5"/>
      <c r="C1" s="6"/>
      <c r="E1" s="7"/>
      <c r="F1" s="7"/>
      <c r="G1" s="7"/>
      <c r="H1" s="7"/>
      <c r="I1" s="7"/>
      <c r="K1" s="59" t="s">
        <v>28</v>
      </c>
      <c r="L1" s="59"/>
      <c r="M1" s="8">
        <v>0</v>
      </c>
      <c r="N1" s="9" t="s">
        <v>42</v>
      </c>
      <c r="O1" s="10" t="s">
        <v>43</v>
      </c>
    </row>
    <row r="2" spans="1:15" hidden="1" x14ac:dyDescent="0.2">
      <c r="K2" s="59" t="s">
        <v>40</v>
      </c>
      <c r="L2" s="59"/>
      <c r="M2" s="8">
        <v>0</v>
      </c>
      <c r="N2" s="11"/>
      <c r="O2" s="11"/>
    </row>
    <row r="3" spans="1:15" hidden="1" x14ac:dyDescent="0.2">
      <c r="K3" s="59" t="s">
        <v>33</v>
      </c>
      <c r="L3" s="59"/>
      <c r="M3" s="8">
        <v>1</v>
      </c>
      <c r="N3" s="11"/>
      <c r="O3" s="11"/>
    </row>
    <row r="4" spans="1:15" ht="23.25" customHeight="1" x14ac:dyDescent="0.3">
      <c r="A4" s="61" t="s">
        <v>30</v>
      </c>
      <c r="B4" s="61"/>
      <c r="C4" s="61"/>
      <c r="D4" s="61"/>
      <c r="E4" s="61"/>
      <c r="F4" s="61"/>
      <c r="G4" s="61"/>
      <c r="H4" s="61"/>
      <c r="I4" s="61"/>
      <c r="K4" s="12" t="s">
        <v>34</v>
      </c>
      <c r="L4" s="13"/>
      <c r="M4" s="13"/>
      <c r="N4" s="13"/>
      <c r="O4" s="14"/>
    </row>
    <row r="5" spans="1:15" ht="16.05" customHeight="1" x14ac:dyDescent="0.2">
      <c r="A5" s="58" t="s">
        <v>45</v>
      </c>
      <c r="B5" s="58"/>
      <c r="C5" s="58"/>
      <c r="D5" s="58"/>
      <c r="E5" s="58"/>
      <c r="F5" s="58"/>
      <c r="G5" s="58"/>
      <c r="H5" s="58"/>
      <c r="I5" s="58"/>
      <c r="K5" s="15" t="s">
        <v>35</v>
      </c>
      <c r="L5" s="15"/>
      <c r="M5" s="15"/>
      <c r="N5" s="15"/>
      <c r="O5" s="14"/>
    </row>
    <row r="6" spans="1:15" ht="16.05" customHeight="1" x14ac:dyDescent="0.2">
      <c r="A6" s="58" t="s">
        <v>32</v>
      </c>
      <c r="B6" s="58"/>
      <c r="C6" s="58"/>
      <c r="D6" s="58"/>
      <c r="E6" s="58"/>
      <c r="F6" s="58"/>
      <c r="G6" s="58"/>
      <c r="H6" s="58"/>
      <c r="I6" s="58"/>
      <c r="K6" s="15" t="s">
        <v>36</v>
      </c>
      <c r="L6" s="15"/>
      <c r="M6" s="15"/>
      <c r="N6" s="15"/>
      <c r="O6" s="14"/>
    </row>
    <row r="7" spans="1:15" ht="16.05" customHeight="1" x14ac:dyDescent="0.25">
      <c r="A7" s="58" t="s">
        <v>31</v>
      </c>
      <c r="B7" s="58"/>
      <c r="C7" s="58"/>
      <c r="D7" s="58"/>
      <c r="E7" s="58"/>
      <c r="F7" s="58"/>
      <c r="G7" s="58"/>
      <c r="H7" s="58"/>
      <c r="I7" s="58"/>
      <c r="K7" s="16" t="s">
        <v>37</v>
      </c>
      <c r="L7" s="16"/>
      <c r="M7" s="16"/>
      <c r="N7" s="16"/>
      <c r="O7" s="17"/>
    </row>
    <row r="8" spans="1:15" ht="16.05" customHeight="1" x14ac:dyDescent="0.2">
      <c r="A8" s="58" t="s">
        <v>41</v>
      </c>
      <c r="B8" s="58"/>
      <c r="C8" s="58"/>
      <c r="D8" s="58"/>
      <c r="E8" s="58"/>
      <c r="F8" s="58"/>
      <c r="G8" s="58"/>
      <c r="H8" s="58"/>
      <c r="I8" s="58"/>
      <c r="K8" s="18" t="s">
        <v>38</v>
      </c>
      <c r="L8" s="19"/>
      <c r="M8" s="19"/>
      <c r="N8" s="19"/>
      <c r="O8" s="19"/>
    </row>
    <row r="9" spans="1:15" ht="6" customHeight="1" x14ac:dyDescent="0.2"/>
    <row r="10" spans="1:15" ht="18" customHeight="1" x14ac:dyDescent="0.2">
      <c r="A10" s="55" t="s">
        <v>25</v>
      </c>
      <c r="B10" s="56"/>
      <c r="C10" s="56"/>
      <c r="D10" s="57"/>
      <c r="E10" s="46" t="s">
        <v>46</v>
      </c>
      <c r="F10" s="47"/>
      <c r="G10" s="47"/>
      <c r="H10" s="47"/>
      <c r="I10" s="48"/>
    </row>
    <row r="11" spans="1:15" ht="18" customHeight="1" x14ac:dyDescent="0.2">
      <c r="A11" s="55" t="s">
        <v>26</v>
      </c>
      <c r="B11" s="56"/>
      <c r="C11" s="56"/>
      <c r="D11" s="57"/>
      <c r="E11" s="49" t="s">
        <v>47</v>
      </c>
      <c r="F11" s="50"/>
      <c r="G11" s="50"/>
      <c r="H11" s="50"/>
      <c r="I11" s="51"/>
      <c r="K11" s="60" t="s">
        <v>24</v>
      </c>
      <c r="L11" s="60"/>
      <c r="M11" s="20">
        <f>IF($E10="",0,IF($N$11=-1,0,MOD($N$11,1000)-INT(MOD($N$11,100)/5)))</f>
        <v>644</v>
      </c>
      <c r="N11" s="21">
        <f>IF(LEN($O$11)&lt;&gt;7,-1,IFERROR(VALUE($O$11),-1))</f>
        <v>1554654</v>
      </c>
      <c r="O11" s="21" t="str">
        <f>IF(UPPER(LEFT($E$11,1))="S", RIGHT($E$11,LEN($E$11)-1),$E$11)</f>
        <v>1554654</v>
      </c>
    </row>
    <row r="12" spans="1:15" ht="6" customHeight="1" x14ac:dyDescent="0.2">
      <c r="K12" s="22"/>
      <c r="L12" s="22"/>
      <c r="M12" s="11"/>
      <c r="N12" s="11"/>
      <c r="O12" s="22"/>
    </row>
    <row r="13" spans="1:15" ht="24" customHeight="1" x14ac:dyDescent="0.2">
      <c r="A13" s="23" t="s">
        <v>13</v>
      </c>
      <c r="B13" s="24" t="s">
        <v>0</v>
      </c>
      <c r="C13" s="25" t="s">
        <v>1</v>
      </c>
      <c r="D13" s="26" t="s">
        <v>44</v>
      </c>
      <c r="E13" s="27">
        <v>1</v>
      </c>
      <c r="F13" s="27">
        <f>E13+1</f>
        <v>2</v>
      </c>
      <c r="G13" s="27">
        <f t="shared" ref="G13:I13" si="0">F13+1</f>
        <v>3</v>
      </c>
      <c r="H13" s="27">
        <f t="shared" si="0"/>
        <v>4</v>
      </c>
      <c r="I13" s="27">
        <f t="shared" si="0"/>
        <v>5</v>
      </c>
      <c r="K13" s="28" t="s">
        <v>23</v>
      </c>
      <c r="L13" s="28" t="s">
        <v>22</v>
      </c>
      <c r="M13" s="29" t="s">
        <v>27</v>
      </c>
      <c r="N13" s="29" t="s">
        <v>29</v>
      </c>
      <c r="O13" s="22"/>
    </row>
    <row r="14" spans="1:15" ht="24" customHeight="1" x14ac:dyDescent="0.2">
      <c r="A14" s="30" t="s">
        <v>2</v>
      </c>
      <c r="B14" s="31" t="str">
        <f>$C$25</f>
        <v>Cloud server</v>
      </c>
      <c r="C14" s="32">
        <f>$K14</f>
        <v>-0.02</v>
      </c>
      <c r="D14" s="33">
        <f t="shared" ref="D14:D21" si="1">$L14+$M$11</f>
        <v>18644</v>
      </c>
      <c r="E14" s="1">
        <f>$D14*(1+$C14)^(E$13-1)</f>
        <v>18644</v>
      </c>
      <c r="F14" s="1">
        <f>$D14*(1+$C14)^(F$13-1)</f>
        <v>18271.12</v>
      </c>
      <c r="G14" s="1">
        <f>$D14*(1+$C14)^(G$13-1)</f>
        <v>17905.6976</v>
      </c>
      <c r="H14" s="1">
        <f>$D14*(1+$C14)^(H$13-1)</f>
        <v>17547.583648</v>
      </c>
      <c r="I14" s="1">
        <f>$D14*(1+$C14)^(I$13-1)</f>
        <v>17196.631975039996</v>
      </c>
      <c r="K14" s="35">
        <v>-0.02</v>
      </c>
      <c r="L14" s="36">
        <v>18000</v>
      </c>
      <c r="M14" s="8">
        <f t="shared" ref="M14:M15" si="2">IF($M$3=1,1,IF($M$1=1,IF($N14=1,0,1),0))</f>
        <v>1</v>
      </c>
      <c r="N14" s="37">
        <v>0</v>
      </c>
      <c r="O14" s="38"/>
    </row>
    <row r="15" spans="1:15" ht="24" customHeight="1" x14ac:dyDescent="0.2">
      <c r="A15" s="30" t="s">
        <v>4</v>
      </c>
      <c r="B15" s="31" t="str">
        <f t="shared" ref="B15:B16" si="3">$C$25</f>
        <v>Cloud server</v>
      </c>
      <c r="C15" s="32">
        <f t="shared" ref="C15:C21" si="4">$K15</f>
        <v>0.03</v>
      </c>
      <c r="D15" s="33">
        <f t="shared" si="1"/>
        <v>6644</v>
      </c>
      <c r="E15" s="34">
        <f>IF($M15=1,IF(E$13&lt;=1,$D15*(1+$C15)^(E$13-1),0),"")</f>
        <v>6644</v>
      </c>
      <c r="F15" s="34">
        <f>IF($M15=1,IF(F$13&lt;=1,$D15*(1+$C15)^(F$13-1),0),"")</f>
        <v>0</v>
      </c>
      <c r="G15" s="34">
        <f t="shared" ref="G15:I15" si="5">IF($M15=1,IF(G$13&lt;=1,$D15*(1+$C15)^(G$13-1),0),"")</f>
        <v>0</v>
      </c>
      <c r="H15" s="34">
        <f t="shared" si="5"/>
        <v>0</v>
      </c>
      <c r="I15" s="34">
        <f t="shared" si="5"/>
        <v>0</v>
      </c>
      <c r="K15" s="35">
        <v>0.03</v>
      </c>
      <c r="L15" s="36">
        <v>6000</v>
      </c>
      <c r="M15" s="8">
        <f t="shared" si="2"/>
        <v>1</v>
      </c>
      <c r="N15" s="37">
        <v>1</v>
      </c>
      <c r="O15" s="38" t="s">
        <v>39</v>
      </c>
    </row>
    <row r="16" spans="1:15" ht="24" customHeight="1" x14ac:dyDescent="0.2">
      <c r="A16" s="30" t="s">
        <v>12</v>
      </c>
      <c r="B16" s="39" t="str">
        <f t="shared" si="3"/>
        <v>Cloud server</v>
      </c>
      <c r="C16" s="32">
        <f t="shared" si="4"/>
        <v>0.02</v>
      </c>
      <c r="D16" s="33">
        <f t="shared" si="1"/>
        <v>-6556</v>
      </c>
      <c r="E16" s="1">
        <f>IF(E$13&gt;1,$D16*(1+$C16)^(E$13-1),0)</f>
        <v>0</v>
      </c>
      <c r="F16" s="62">
        <f t="shared" ref="F16:I16" si="6">IF(F$13&gt;1,$D16*(1+$C16)^(F$13-1),0)</f>
        <v>-6687.12</v>
      </c>
      <c r="G16" s="1">
        <f t="shared" si="6"/>
        <v>-6820.8624</v>
      </c>
      <c r="H16" s="1">
        <f t="shared" si="6"/>
        <v>-6957.2796479999997</v>
      </c>
      <c r="I16" s="1">
        <f t="shared" si="6"/>
        <v>-7096.4252409599994</v>
      </c>
      <c r="K16" s="35">
        <v>0.02</v>
      </c>
      <c r="L16" s="36">
        <v>-7200</v>
      </c>
      <c r="M16" s="8">
        <f>IF($M$3=1,1,IF($M$1=1,IF($N16=1,0,1),0))</f>
        <v>1</v>
      </c>
      <c r="N16" s="37">
        <v>0</v>
      </c>
      <c r="O16" s="38"/>
    </row>
    <row r="17" spans="1:15" ht="24" customHeight="1" x14ac:dyDescent="0.2">
      <c r="A17" s="30" t="s">
        <v>5</v>
      </c>
      <c r="B17" s="31" t="s">
        <v>6</v>
      </c>
      <c r="C17" s="32">
        <f t="shared" si="4"/>
        <v>0.03</v>
      </c>
      <c r="D17" s="33">
        <f t="shared" si="1"/>
        <v>4044</v>
      </c>
      <c r="E17" s="62">
        <f>IF(E$13&lt;=1,$D17*(1+$C17)^(E$13-1),0)</f>
        <v>4044</v>
      </c>
      <c r="F17" s="1">
        <f t="shared" ref="F17:I17" si="7">IF(F$13&lt;=1,$D17*(1+$C17)^(F$13-1),0)</f>
        <v>0</v>
      </c>
      <c r="G17" s="1">
        <f t="shared" si="7"/>
        <v>0</v>
      </c>
      <c r="H17" s="1">
        <f t="shared" si="7"/>
        <v>0</v>
      </c>
      <c r="I17" s="1">
        <f t="shared" si="7"/>
        <v>0</v>
      </c>
      <c r="K17" s="35">
        <v>0.03</v>
      </c>
      <c r="L17" s="36">
        <v>3400</v>
      </c>
      <c r="M17" s="8">
        <f t="shared" ref="M17:M21" si="8">IF($M$3=1,1,IF($M$1=1,IF($N17=1,0,1),0))</f>
        <v>1</v>
      </c>
      <c r="N17" s="37">
        <v>0</v>
      </c>
      <c r="O17" s="38"/>
    </row>
    <row r="18" spans="1:15" ht="24" customHeight="1" x14ac:dyDescent="0.2">
      <c r="A18" s="30" t="s">
        <v>7</v>
      </c>
      <c r="B18" s="31" t="s">
        <v>6</v>
      </c>
      <c r="C18" s="32">
        <f t="shared" si="4"/>
        <v>0.03</v>
      </c>
      <c r="D18" s="33">
        <f t="shared" si="1"/>
        <v>18844</v>
      </c>
      <c r="E18" s="1">
        <f>$D18*(1+$C18)^(E$13-1)</f>
        <v>18844</v>
      </c>
      <c r="F18" s="1">
        <f t="shared" ref="F18:I18" si="9">$D18*(1+$C18)^(F$13-1)</f>
        <v>19409.32</v>
      </c>
      <c r="G18" s="1">
        <f t="shared" si="9"/>
        <v>19991.599599999998</v>
      </c>
      <c r="H18" s="1">
        <f t="shared" si="9"/>
        <v>20591.347588000001</v>
      </c>
      <c r="I18" s="1">
        <f t="shared" si="9"/>
        <v>21209.088015639998</v>
      </c>
      <c r="K18" s="35">
        <v>0.03</v>
      </c>
      <c r="L18" s="36">
        <v>18200</v>
      </c>
      <c r="M18" s="8">
        <f t="shared" si="8"/>
        <v>1</v>
      </c>
      <c r="N18" s="37">
        <v>0</v>
      </c>
      <c r="O18" s="38"/>
    </row>
    <row r="19" spans="1:15" ht="24" customHeight="1" x14ac:dyDescent="0.2">
      <c r="A19" s="30" t="s">
        <v>9</v>
      </c>
      <c r="B19" s="31" t="str">
        <f>$C$26</f>
        <v>Inhouse server</v>
      </c>
      <c r="C19" s="32">
        <f t="shared" si="4"/>
        <v>0</v>
      </c>
      <c r="D19" s="33">
        <f t="shared" si="1"/>
        <v>11644</v>
      </c>
      <c r="E19" s="1">
        <f>IF(E$13&lt;=1,$D19*(1+$C19)^(E$13-1),0)</f>
        <v>11644</v>
      </c>
      <c r="F19" s="1">
        <f t="shared" ref="F19:I19" si="10">IF(F$13&lt;=1,$D19*(1+$C19)^(F$13-1),0)</f>
        <v>0</v>
      </c>
      <c r="G19" s="1">
        <f t="shared" si="10"/>
        <v>0</v>
      </c>
      <c r="H19" s="1">
        <f t="shared" si="10"/>
        <v>0</v>
      </c>
      <c r="I19" s="1">
        <f t="shared" si="10"/>
        <v>0</v>
      </c>
      <c r="K19" s="35">
        <v>0</v>
      </c>
      <c r="L19" s="36">
        <v>11000</v>
      </c>
      <c r="M19" s="8">
        <f t="shared" si="8"/>
        <v>1</v>
      </c>
      <c r="N19" s="37">
        <v>0</v>
      </c>
      <c r="O19" s="38"/>
    </row>
    <row r="20" spans="1:15" ht="24" customHeight="1" x14ac:dyDescent="0.2">
      <c r="A20" s="30" t="s">
        <v>10</v>
      </c>
      <c r="B20" s="31" t="str">
        <f t="shared" ref="B20:B21" si="11">$C$26</f>
        <v>Inhouse server</v>
      </c>
      <c r="C20" s="32">
        <f t="shared" si="4"/>
        <v>0.03</v>
      </c>
      <c r="D20" s="33">
        <f t="shared" si="1"/>
        <v>9844</v>
      </c>
      <c r="E20" s="34">
        <f t="shared" ref="E20:I20" si="12">IF($M20=1,$D20*(1+$C20)^(E$13-1),"")</f>
        <v>9844</v>
      </c>
      <c r="F20" s="34">
        <f t="shared" si="12"/>
        <v>10139.32</v>
      </c>
      <c r="G20" s="34">
        <f t="shared" si="12"/>
        <v>10443.499599999999</v>
      </c>
      <c r="H20" s="34">
        <f t="shared" si="12"/>
        <v>10756.804588000001</v>
      </c>
      <c r="I20" s="34">
        <f t="shared" si="12"/>
        <v>11079.508725639998</v>
      </c>
      <c r="K20" s="35">
        <v>0.03</v>
      </c>
      <c r="L20" s="36">
        <v>9200</v>
      </c>
      <c r="M20" s="8">
        <f t="shared" si="8"/>
        <v>1</v>
      </c>
      <c r="N20" s="37">
        <v>1</v>
      </c>
      <c r="O20" s="38" t="s">
        <v>39</v>
      </c>
    </row>
    <row r="21" spans="1:15" ht="24" customHeight="1" x14ac:dyDescent="0.2">
      <c r="A21" s="30" t="s">
        <v>11</v>
      </c>
      <c r="B21" s="31" t="str">
        <f t="shared" si="11"/>
        <v>Inhouse server</v>
      </c>
      <c r="C21" s="32">
        <f t="shared" si="4"/>
        <v>0.02</v>
      </c>
      <c r="D21" s="33">
        <f t="shared" si="1"/>
        <v>2544</v>
      </c>
      <c r="E21" s="1">
        <f>$D21*(1+$C21)^(E$13-1)</f>
        <v>2544</v>
      </c>
      <c r="F21" s="1">
        <f t="shared" ref="F21:I21" si="13">$D21*(1+$C21)^(F$13-1)</f>
        <v>2594.88</v>
      </c>
      <c r="G21" s="1">
        <f t="shared" si="13"/>
        <v>2646.7775999999999</v>
      </c>
      <c r="H21" s="1">
        <f t="shared" si="13"/>
        <v>2699.7131519999998</v>
      </c>
      <c r="I21" s="1">
        <f t="shared" si="13"/>
        <v>2753.7074150399999</v>
      </c>
      <c r="K21" s="35">
        <v>0.02</v>
      </c>
      <c r="L21" s="36">
        <v>1900</v>
      </c>
      <c r="M21" s="8">
        <f t="shared" si="8"/>
        <v>1</v>
      </c>
      <c r="N21" s="37">
        <v>0</v>
      </c>
      <c r="O21" s="38"/>
    </row>
    <row r="22" spans="1:15" ht="6" customHeight="1" x14ac:dyDescent="0.2">
      <c r="B22" s="5"/>
      <c r="C22" s="6"/>
    </row>
    <row r="23" spans="1:15" ht="18.75" customHeight="1" x14ac:dyDescent="0.3">
      <c r="B23" s="5"/>
      <c r="C23" s="52" t="s">
        <v>14</v>
      </c>
      <c r="D23" s="53"/>
      <c r="E23" s="54" t="s">
        <v>21</v>
      </c>
      <c r="F23" s="54"/>
      <c r="G23" s="54"/>
      <c r="H23" s="54"/>
      <c r="I23" s="54"/>
    </row>
    <row r="24" spans="1:15" ht="14.1" customHeight="1" x14ac:dyDescent="0.2">
      <c r="B24" s="5"/>
      <c r="C24" s="44"/>
      <c r="D24" s="45"/>
      <c r="E24" s="27">
        <f>E13</f>
        <v>1</v>
      </c>
      <c r="F24" s="27">
        <f>F13</f>
        <v>2</v>
      </c>
      <c r="G24" s="27">
        <f>G13</f>
        <v>3</v>
      </c>
      <c r="H24" s="27">
        <f>H13</f>
        <v>4</v>
      </c>
      <c r="I24" s="27">
        <f>I13</f>
        <v>5</v>
      </c>
    </row>
    <row r="25" spans="1:15" ht="16.05" customHeight="1" x14ac:dyDescent="0.2">
      <c r="B25" s="5"/>
      <c r="C25" s="43" t="s">
        <v>3</v>
      </c>
      <c r="D25" s="43"/>
      <c r="E25" s="2">
        <f>SUMIFS(E$14:E$21,$B$14:$B$21,$C25)+SUMIFS(E$14:E$21,$B$14:$B$21,"Both")</f>
        <v>48176</v>
      </c>
      <c r="F25" s="2">
        <f t="shared" ref="F25:I25" si="14">SUMIFS(F$14:F$21,$B$14:$B$21,$C25)+SUMIFS(F$14:F$21,$B$14:$B$21,"Both")</f>
        <v>30993.32</v>
      </c>
      <c r="G25" s="2">
        <f t="shared" si="14"/>
        <v>31076.434799999995</v>
      </c>
      <c r="H25" s="2">
        <f t="shared" si="14"/>
        <v>31181.651588000001</v>
      </c>
      <c r="I25" s="2">
        <f t="shared" si="14"/>
        <v>31309.294749719993</v>
      </c>
      <c r="M25" s="8">
        <f>IF($M$3=1,1,IF($M$2=1,IF($N25=1,0,1),0))</f>
        <v>1</v>
      </c>
      <c r="N25" s="37">
        <v>0</v>
      </c>
      <c r="O25" s="41"/>
    </row>
    <row r="26" spans="1:15" ht="16.05" customHeight="1" x14ac:dyDescent="0.2">
      <c r="B26" s="5"/>
      <c r="C26" s="43" t="s">
        <v>8</v>
      </c>
      <c r="D26" s="43"/>
      <c r="E26" s="40">
        <f t="shared" ref="E26:I26" si="15">IF($M26=1,SUMIFS(E$14:E$21,$B$14:$B$21,$C26)+SUMIFS(E$14:E$21,$B$14:$B$21,"Both"),"")</f>
        <v>46920</v>
      </c>
      <c r="F26" s="40">
        <f t="shared" si="15"/>
        <v>32143.52</v>
      </c>
      <c r="G26" s="40">
        <f t="shared" si="15"/>
        <v>33081.876799999998</v>
      </c>
      <c r="H26" s="40">
        <f t="shared" si="15"/>
        <v>34047.865328</v>
      </c>
      <c r="I26" s="40">
        <f t="shared" si="15"/>
        <v>35042.304156319995</v>
      </c>
      <c r="M26" s="8">
        <f t="shared" ref="M26:M28" si="16">IF($M$3=1,1,IF($M$2=1,IF($N26=1,0,1),0))</f>
        <v>1</v>
      </c>
      <c r="N26" s="37">
        <v>1</v>
      </c>
      <c r="O26" s="38" t="s">
        <v>39</v>
      </c>
    </row>
    <row r="27" spans="1:15" ht="16.05" customHeight="1" x14ac:dyDescent="0.2">
      <c r="C27" s="43" t="s">
        <v>15</v>
      </c>
      <c r="D27" s="43"/>
      <c r="E27" s="3">
        <f>IF(OR(E$25="", E$26=""), "", ROUND(E$26 - E$25, 0))</f>
        <v>-1256</v>
      </c>
      <c r="F27" s="3">
        <f t="shared" ref="F27:I27" si="17">IF(OR(F$25="", F$26=""), "", ROUND(F$26 - F$25, 0))</f>
        <v>1150</v>
      </c>
      <c r="G27" s="3">
        <f t="shared" si="17"/>
        <v>2005</v>
      </c>
      <c r="H27" s="3">
        <f t="shared" si="17"/>
        <v>2866</v>
      </c>
      <c r="I27" s="3">
        <f t="shared" si="17"/>
        <v>3733</v>
      </c>
      <c r="M27" s="8">
        <f t="shared" si="16"/>
        <v>1</v>
      </c>
      <c r="N27" s="37">
        <v>0</v>
      </c>
      <c r="O27" s="41"/>
    </row>
    <row r="28" spans="1:15" ht="16.05" customHeight="1" x14ac:dyDescent="0.2">
      <c r="C28" s="43" t="s">
        <v>16</v>
      </c>
      <c r="D28" s="43"/>
      <c r="E28" s="4">
        <f>IF(OR(E$25="", E$26=""), "", IF(E$25=0, 0, E$26/E$25))</f>
        <v>0.97392892726668878</v>
      </c>
      <c r="F28" s="4">
        <f t="shared" ref="F28:I28" si="18">IF(OR(F$25="", F$26=""), "", IF(F$25=0, 0, F$26/F$25))</f>
        <v>1.0371112226763703</v>
      </c>
      <c r="G28" s="4">
        <f t="shared" si="18"/>
        <v>1.0645325634329199</v>
      </c>
      <c r="H28" s="4">
        <f t="shared" si="18"/>
        <v>1.0919198821752931</v>
      </c>
      <c r="I28" s="4">
        <f t="shared" si="18"/>
        <v>1.1192300700619706</v>
      </c>
      <c r="M28" s="8">
        <f t="shared" si="16"/>
        <v>1</v>
      </c>
      <c r="N28" s="37">
        <v>0</v>
      </c>
      <c r="O28" s="41"/>
    </row>
    <row r="29" spans="1:15" x14ac:dyDescent="0.2">
      <c r="D29" s="42" t="s">
        <v>17</v>
      </c>
      <c r="E29" t="s">
        <v>18</v>
      </c>
    </row>
    <row r="30" spans="1:15" x14ac:dyDescent="0.2">
      <c r="D30" s="42" t="s">
        <v>19</v>
      </c>
      <c r="E30" t="s">
        <v>20</v>
      </c>
    </row>
  </sheetData>
  <sheetProtection algorithmName="SHA-512" hashValue="Krj1+R+iuvVuUlIa2qbDWk+X/dxujLmiHLEuSoYevt68CbKzUarQrj9a3LhjXz9sZVbIatk/UZQ+VWDh/WjsqA==" saltValue="KujIdpdO7JcCc22Y21prLw==" spinCount="100000" sheet="1" selectLockedCells="1"/>
  <mergeCells count="20">
    <mergeCell ref="A5:I5"/>
    <mergeCell ref="K1:L1"/>
    <mergeCell ref="K11:L11"/>
    <mergeCell ref="K2:L2"/>
    <mergeCell ref="A6:I6"/>
    <mergeCell ref="A7:I7"/>
    <mergeCell ref="A4:I4"/>
    <mergeCell ref="A8:I8"/>
    <mergeCell ref="K3:L3"/>
    <mergeCell ref="C27:D27"/>
    <mergeCell ref="C28:D28"/>
    <mergeCell ref="C24:D24"/>
    <mergeCell ref="E10:I10"/>
    <mergeCell ref="E11:I11"/>
    <mergeCell ref="C23:D23"/>
    <mergeCell ref="E23:I23"/>
    <mergeCell ref="C25:D25"/>
    <mergeCell ref="C26:D26"/>
    <mergeCell ref="A10:D10"/>
    <mergeCell ref="A11:D11"/>
  </mergeCells>
  <phoneticPr fontId="16" type="noConversion"/>
  <conditionalFormatting sqref="E10:I11">
    <cfRule type="cellIs" dxfId="5" priority="1" stopIfTrue="1" operator="equal">
      <formula>""</formula>
    </cfRule>
  </conditionalFormatting>
  <conditionalFormatting sqref="E11:I11">
    <cfRule type="expression" dxfId="4" priority="7" stopIfTrue="1">
      <formula>IF($N$11=-1,1,0)</formula>
    </cfRule>
    <cfRule type="expression" dxfId="3" priority="8" stopIfTrue="1">
      <formula>IF($E$10="",1,0)</formula>
    </cfRule>
  </conditionalFormatting>
  <conditionalFormatting sqref="E14:I21">
    <cfRule type="cellIs" dxfId="2" priority="6" stopIfTrue="1" operator="equal">
      <formula>""</formula>
    </cfRule>
  </conditionalFormatting>
  <conditionalFormatting sqref="E25:I28">
    <cfRule type="cellIs" dxfId="1" priority="4" stopIfTrue="1" operator="equal">
      <formula>""</formula>
    </cfRule>
  </conditionalFormatting>
  <conditionalFormatting sqref="E28:I28">
    <cfRule type="cellIs" dxfId="0" priority="5" stopIfTrue="1" operator="less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Master</vt:lpstr>
      <vt:lpstr>Show_Aggregates</vt:lpstr>
      <vt:lpstr>Show_Values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richardn</dc:creator>
  <cp:lastModifiedBy>冕 小</cp:lastModifiedBy>
  <dcterms:created xsi:type="dcterms:W3CDTF">2020-01-27T06:29:38Z</dcterms:created>
  <dcterms:modified xsi:type="dcterms:W3CDTF">2024-04-28T08:36:37Z</dcterms:modified>
</cp:coreProperties>
</file>