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90" windowHeight="7140" tabRatio="527" firstSheet="15" activeTab="15"/>
  </bookViews>
  <sheets>
    <sheet name="0000000" sheetId="4" state="veryHidden" r:id="rId1"/>
    <sheet name="1000000" sheetId="5" state="veryHidden" r:id="rId2"/>
    <sheet name="000000000" sheetId="6" state="veryHidden" r:id="rId3"/>
    <sheet name="100000000" sheetId="7" state="veryHidden" r:id="rId4"/>
    <sheet name="200000000" sheetId="8" state="veryHidden" r:id="rId5"/>
    <sheet name="300000000" sheetId="9" state="veryHidden" r:id="rId6"/>
    <sheet name="400000000" sheetId="10" state="veryHidden" r:id="rId7"/>
    <sheet name="500000000" sheetId="11" state="veryHidden" r:id="rId8"/>
    <sheet name="600000000" sheetId="12" state="veryHidden" r:id="rId9"/>
    <sheet name="700000000" sheetId="13" state="veryHidden" r:id="rId10"/>
    <sheet name="0000000000" sheetId="14" state="veryHidden" r:id="rId11"/>
    <sheet name="1000000000" sheetId="15" state="veryHidden" r:id="rId12"/>
    <sheet name="2000000000" sheetId="16" state="veryHidden" r:id="rId13"/>
    <sheet name="3000000000" sheetId="17" state="veryHidden" r:id="rId14"/>
    <sheet name="4000000000" sheetId="18" state="veryHidden" r:id="rId15"/>
    <sheet name="Renewal Tool" sheetId="20" r:id="rId16"/>
    <sheet name="1" sheetId="31" r:id="rId17"/>
    <sheet name="2" sheetId="32" r:id="rId18"/>
    <sheet name="3" sheetId="33" r:id="rId19"/>
    <sheet name="4" sheetId="34" r:id="rId20"/>
    <sheet name="5" sheetId="35" r:id="rId21"/>
    <sheet name="6" sheetId="36" r:id="rId22"/>
    <sheet name="Trend" sheetId="2" state="hidden" r:id="rId23"/>
    <sheet name="Overview Rent Structures" sheetId="23" state="hidden" r:id="rId24"/>
    <sheet name="Rent Structure Comparison" sheetId="30" state="hidden" r:id="rId25"/>
    <sheet name="Data" sheetId="29" state="hidden" r:id="rId26"/>
    <sheet name="PMT" sheetId="37" state="hidden" r:id="rId27"/>
  </sheets>
  <definedNames>
    <definedName name="_xlnm.Print_Area" localSheetId="18">'3'!$A$1:$G$28</definedName>
    <definedName name="_xlnm.Print_Area" localSheetId="19">'4'!$A$1:$H$28</definedName>
    <definedName name="_xlnm.Print_Area" localSheetId="20">'5'!$A$1:$F$35</definedName>
    <definedName name="_xlnm.Print_Area" localSheetId="21">'6'!$A$1:$E$28</definedName>
    <definedName name="_xlnm.Print_Area" localSheetId="23">'Overview Rent Structures'!$A$1:$R$52</definedName>
    <definedName name="_xlnm.Print_Area" localSheetId="15">'Renewal Tool'!$A$1:$L$70</definedName>
    <definedName name="_xlnm.Print_Area" localSheetId="24">'Rent Structure Comparison'!$A$1:$H$29</definedName>
    <definedName name="_xlnm.Print_Area" localSheetId="22">Trend!$A$1:$X$49</definedName>
  </definedNames>
  <calcPr calcId="152511"/>
</workbook>
</file>

<file path=xl/calcChain.xml><?xml version="1.0" encoding="utf-8"?>
<calcChain xmlns="http://schemas.openxmlformats.org/spreadsheetml/2006/main">
  <c r="D10" i="2" l="1"/>
  <c r="D20" i="31" l="1"/>
  <c r="D16" i="31" l="1"/>
  <c r="D26" i="36"/>
  <c r="D27" i="36" s="1"/>
  <c r="C33" i="35"/>
  <c r="C34" i="35" s="1"/>
  <c r="A54" i="20" l="1"/>
  <c r="J1" i="20" l="1"/>
  <c r="C15" i="20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I26" i="30"/>
  <c r="K52" i="23"/>
  <c r="J52" i="23"/>
  <c r="J47" i="23"/>
  <c r="I47" i="23"/>
  <c r="K42" i="23"/>
  <c r="J42" i="23"/>
  <c r="I42" i="23"/>
  <c r="J40" i="23"/>
  <c r="I40" i="23"/>
  <c r="A38" i="23"/>
  <c r="K37" i="23"/>
  <c r="J37" i="23"/>
  <c r="I37" i="23"/>
  <c r="A35" i="23"/>
  <c r="J34" i="23"/>
  <c r="I34" i="23"/>
  <c r="A32" i="23"/>
  <c r="J31" i="23"/>
  <c r="I31" i="23"/>
  <c r="A29" i="23"/>
  <c r="J27" i="23"/>
  <c r="I27" i="23"/>
  <c r="A25" i="23"/>
  <c r="J24" i="23"/>
  <c r="I24" i="23"/>
  <c r="A22" i="23"/>
  <c r="K3" i="23" s="1"/>
  <c r="J21" i="23"/>
  <c r="I21" i="23"/>
  <c r="A19" i="23"/>
  <c r="K18" i="23"/>
  <c r="J18" i="23"/>
  <c r="I18" i="23"/>
  <c r="A16" i="23"/>
  <c r="J14" i="23"/>
  <c r="I14" i="23"/>
  <c r="A13" i="23"/>
  <c r="K12" i="23"/>
  <c r="J12" i="23"/>
  <c r="I12" i="23"/>
  <c r="A11" i="23"/>
  <c r="Y9" i="23"/>
  <c r="A9" i="23"/>
  <c r="Y8" i="23"/>
  <c r="A8" i="23"/>
  <c r="Y7" i="23"/>
  <c r="Y6" i="23"/>
  <c r="Y4" i="23"/>
  <c r="Y3" i="23"/>
  <c r="K2" i="23"/>
  <c r="C80" i="2"/>
  <c r="D69" i="2"/>
  <c r="B8" i="2"/>
  <c r="F6" i="2"/>
  <c r="E6" i="2"/>
  <c r="C26" i="36"/>
  <c r="C28" i="36" s="1"/>
  <c r="N32" i="35"/>
  <c r="M32" i="35"/>
  <c r="L32" i="35"/>
  <c r="K32" i="35"/>
  <c r="J32" i="35"/>
  <c r="E31" i="35"/>
  <c r="F24" i="29" s="1"/>
  <c r="E30" i="35"/>
  <c r="F23" i="29" s="1"/>
  <c r="E29" i="35"/>
  <c r="F22" i="29" s="1"/>
  <c r="E28" i="35"/>
  <c r="F21" i="29" s="1"/>
  <c r="E27" i="35"/>
  <c r="F20" i="29" s="1"/>
  <c r="E26" i="35"/>
  <c r="F19" i="29" s="1"/>
  <c r="E25" i="35"/>
  <c r="F18" i="29" s="1"/>
  <c r="E24" i="35"/>
  <c r="F17" i="29" s="1"/>
  <c r="E23" i="35"/>
  <c r="F16" i="29" s="1"/>
  <c r="E22" i="35"/>
  <c r="F15" i="29" s="1"/>
  <c r="E21" i="35"/>
  <c r="F14" i="29" s="1"/>
  <c r="E20" i="35"/>
  <c r="F13" i="29" s="1"/>
  <c r="E19" i="35"/>
  <c r="F12" i="29" s="1"/>
  <c r="E18" i="35"/>
  <c r="F11" i="29" s="1"/>
  <c r="E17" i="35"/>
  <c r="F10" i="29" s="1"/>
  <c r="E16" i="35"/>
  <c r="F9" i="29" s="1"/>
  <c r="E15" i="35"/>
  <c r="F8" i="29" s="1"/>
  <c r="E14" i="35"/>
  <c r="F7" i="29" s="1"/>
  <c r="E13" i="35"/>
  <c r="F6" i="29" s="1"/>
  <c r="E12" i="35"/>
  <c r="E9" i="35"/>
  <c r="E8" i="35"/>
  <c r="E7" i="35"/>
  <c r="E6" i="35"/>
  <c r="E5" i="35"/>
  <c r="C26" i="34"/>
  <c r="C27" i="34" s="1"/>
  <c r="C26" i="33"/>
  <c r="C27" i="33" s="1"/>
  <c r="C26" i="31"/>
  <c r="C27" i="31" s="1"/>
  <c r="E5" i="31" s="1"/>
  <c r="D26" i="30" s="1"/>
  <c r="E24" i="31"/>
  <c r="F24" i="31" s="1"/>
  <c r="D24" i="31"/>
  <c r="E23" i="31"/>
  <c r="B23" i="29" s="1"/>
  <c r="D23" i="31"/>
  <c r="E22" i="31"/>
  <c r="B22" i="29" s="1"/>
  <c r="D22" i="31"/>
  <c r="E21" i="31"/>
  <c r="F21" i="31" s="1"/>
  <c r="D21" i="31"/>
  <c r="E20" i="31"/>
  <c r="F20" i="31" s="1"/>
  <c r="E19" i="31"/>
  <c r="B19" i="29" s="1"/>
  <c r="D19" i="31"/>
  <c r="E18" i="31"/>
  <c r="B18" i="29" s="1"/>
  <c r="D18" i="31"/>
  <c r="E17" i="31"/>
  <c r="B17" i="29" s="1"/>
  <c r="D17" i="31"/>
  <c r="E16" i="31"/>
  <c r="F16" i="31" s="1"/>
  <c r="E15" i="31"/>
  <c r="B15" i="29" s="1"/>
  <c r="D15" i="31"/>
  <c r="E14" i="31"/>
  <c r="B14" i="29" s="1"/>
  <c r="D14" i="31"/>
  <c r="E13" i="31"/>
  <c r="F13" i="31" s="1"/>
  <c r="D13" i="31"/>
  <c r="E12" i="31"/>
  <c r="F12" i="31" s="1"/>
  <c r="D12" i="31"/>
  <c r="E11" i="31"/>
  <c r="B11" i="29" s="1"/>
  <c r="D11" i="31"/>
  <c r="E10" i="31"/>
  <c r="B10" i="29" s="1"/>
  <c r="D10" i="31"/>
  <c r="E9" i="31"/>
  <c r="B9" i="29" s="1"/>
  <c r="D9" i="31"/>
  <c r="E8" i="31"/>
  <c r="F8" i="31" s="1"/>
  <c r="D8" i="31"/>
  <c r="D7" i="31"/>
  <c r="D6" i="31"/>
  <c r="D5" i="31"/>
  <c r="C50" i="20"/>
  <c r="C48" i="20"/>
  <c r="C43" i="2" s="1"/>
  <c r="C47" i="20"/>
  <c r="C42" i="2" s="1"/>
  <c r="C46" i="20"/>
  <c r="C41" i="20"/>
  <c r="C39" i="20"/>
  <c r="C36" i="2" s="1"/>
  <c r="F56" i="2" s="1"/>
  <c r="B39" i="20"/>
  <c r="C38" i="20"/>
  <c r="B38" i="20"/>
  <c r="C37" i="20"/>
  <c r="C34" i="2" s="1"/>
  <c r="B37" i="20"/>
  <c r="F30" i="20"/>
  <c r="F29" i="20"/>
  <c r="F28" i="20"/>
  <c r="B28" i="20"/>
  <c r="F27" i="20"/>
  <c r="B27" i="20"/>
  <c r="B20" i="2" s="1"/>
  <c r="F26" i="20"/>
  <c r="C21" i="30" s="1"/>
  <c r="B26" i="20"/>
  <c r="B18" i="2" s="1"/>
  <c r="F25" i="20"/>
  <c r="B25" i="20"/>
  <c r="F24" i="20"/>
  <c r="B24" i="20"/>
  <c r="F23" i="20"/>
  <c r="B23" i="20"/>
  <c r="F22" i="20"/>
  <c r="B22" i="20"/>
  <c r="F21" i="20"/>
  <c r="B21" i="20"/>
  <c r="F20" i="20"/>
  <c r="B20" i="20"/>
  <c r="B14" i="2" s="1"/>
  <c r="F19" i="20"/>
  <c r="B19" i="20"/>
  <c r="F18" i="20"/>
  <c r="C12" i="30" s="1"/>
  <c r="B18" i="20"/>
  <c r="F17" i="20"/>
  <c r="B17" i="20"/>
  <c r="F16" i="20"/>
  <c r="B16" i="20"/>
  <c r="F15" i="20"/>
  <c r="F14" i="20"/>
  <c r="B14" i="20"/>
  <c r="B7" i="2" s="1"/>
  <c r="F13" i="20"/>
  <c r="F12" i="20"/>
  <c r="F11" i="20"/>
  <c r="B10" i="20"/>
  <c r="C3" i="31" s="1"/>
  <c r="B9" i="20"/>
  <c r="B8" i="20"/>
  <c r="B7" i="20"/>
  <c r="G6" i="20"/>
  <c r="G2" i="2" s="1"/>
  <c r="B6" i="20"/>
  <c r="B3" i="2" s="1"/>
  <c r="G5" i="20"/>
  <c r="B5" i="20"/>
  <c r="B2" i="2" s="1"/>
  <c r="H5" i="20" l="1"/>
  <c r="D3" i="35"/>
  <c r="D3" i="36"/>
  <c r="D3" i="33"/>
  <c r="D3" i="34"/>
  <c r="D3" i="32"/>
  <c r="D3" i="31"/>
  <c r="C3" i="33"/>
  <c r="C27" i="20"/>
  <c r="C22" i="20"/>
  <c r="C24" i="20"/>
  <c r="F2" i="31"/>
  <c r="B16" i="2"/>
  <c r="C19" i="20"/>
  <c r="C28" i="20"/>
  <c r="C23" i="20"/>
  <c r="C3" i="35"/>
  <c r="C16" i="20"/>
  <c r="B10" i="2" s="1"/>
  <c r="C18" i="20"/>
  <c r="B40" i="20"/>
  <c r="C49" i="20"/>
  <c r="B4" i="2"/>
  <c r="C3" i="36"/>
  <c r="C25" i="20"/>
  <c r="C27" i="36"/>
  <c r="E7" i="31"/>
  <c r="B7" i="29" s="1"/>
  <c r="E6" i="31"/>
  <c r="B6" i="29" s="1"/>
  <c r="F47" i="20"/>
  <c r="B8" i="29"/>
  <c r="B24" i="29"/>
  <c r="B16" i="29"/>
  <c r="C10" i="30"/>
  <c r="C13" i="30"/>
  <c r="C18" i="30"/>
  <c r="C22" i="30"/>
  <c r="C23" i="30"/>
  <c r="C35" i="2"/>
  <c r="C37" i="2" s="1"/>
  <c r="C40" i="20"/>
  <c r="H12" i="29"/>
  <c r="D12" i="30"/>
  <c r="H20" i="29"/>
  <c r="D20" i="30"/>
  <c r="C14" i="30"/>
  <c r="C5" i="30"/>
  <c r="B12" i="35"/>
  <c r="B13" i="35" s="1"/>
  <c r="C9" i="30"/>
  <c r="C17" i="30"/>
  <c r="B5" i="31"/>
  <c r="B5" i="34"/>
  <c r="B6" i="34" s="1"/>
  <c r="B7" i="34" s="1"/>
  <c r="H36" i="20"/>
  <c r="E2" i="37" s="1"/>
  <c r="B12" i="2"/>
  <c r="C17" i="20"/>
  <c r="H37" i="20" s="1"/>
  <c r="E3" i="37" s="1"/>
  <c r="B29" i="20"/>
  <c r="G10" i="20"/>
  <c r="H10" i="20" s="1"/>
  <c r="H38" i="20"/>
  <c r="E4" i="37" s="1"/>
  <c r="C26" i="20"/>
  <c r="E56" i="2"/>
  <c r="D56" i="2"/>
  <c r="D36" i="2" s="1"/>
  <c r="C49" i="2"/>
  <c r="H8" i="29"/>
  <c r="D8" i="30"/>
  <c r="H16" i="29"/>
  <c r="D16" i="30"/>
  <c r="H24" i="29"/>
  <c r="D24" i="30"/>
  <c r="B17" i="2"/>
  <c r="C6" i="30"/>
  <c r="K47" i="20"/>
  <c r="I29" i="30"/>
  <c r="K50" i="20" s="1"/>
  <c r="D26" i="31"/>
  <c r="D54" i="2"/>
  <c r="D34" i="2" s="1"/>
  <c r="E54" i="2"/>
  <c r="C8" i="30"/>
  <c r="B15" i="2"/>
  <c r="C21" i="20"/>
  <c r="H13" i="29"/>
  <c r="D13" i="30"/>
  <c r="H21" i="29"/>
  <c r="D21" i="30"/>
  <c r="E33" i="35"/>
  <c r="G6" i="2"/>
  <c r="C41" i="2"/>
  <c r="C47" i="2" s="1"/>
  <c r="F54" i="2"/>
  <c r="K47" i="23"/>
  <c r="K40" i="23"/>
  <c r="K27" i="23"/>
  <c r="K14" i="23"/>
  <c r="K34" i="23"/>
  <c r="K21" i="23"/>
  <c r="C7" i="30"/>
  <c r="C16" i="30"/>
  <c r="C20" i="30"/>
  <c r="B21" i="2"/>
  <c r="L52" i="23"/>
  <c r="B5" i="29"/>
  <c r="B12" i="29"/>
  <c r="B13" i="29"/>
  <c r="B20" i="29"/>
  <c r="B21" i="29"/>
  <c r="B5" i="30"/>
  <c r="B5" i="36"/>
  <c r="B5" i="32"/>
  <c r="C11" i="30"/>
  <c r="C20" i="20"/>
  <c r="C15" i="30"/>
  <c r="C19" i="30"/>
  <c r="C24" i="30"/>
  <c r="F5" i="31"/>
  <c r="F9" i="31"/>
  <c r="F10" i="31"/>
  <c r="F11" i="31"/>
  <c r="F14" i="31"/>
  <c r="F15" i="31"/>
  <c r="F17" i="31"/>
  <c r="F18" i="31"/>
  <c r="F19" i="31"/>
  <c r="F22" i="31"/>
  <c r="F23" i="31"/>
  <c r="C3" i="32"/>
  <c r="B5" i="33"/>
  <c r="B6" i="33" s="1"/>
  <c r="C3" i="34"/>
  <c r="H26" i="30"/>
  <c r="F5" i="29"/>
  <c r="K24" i="23"/>
  <c r="K31" i="23"/>
  <c r="D61" i="2" l="1"/>
  <c r="D43" i="2" s="1"/>
  <c r="F7" i="31"/>
  <c r="D7" i="30" s="1"/>
  <c r="X6" i="2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F8" i="2"/>
  <c r="E8" i="2"/>
  <c r="E18" i="2"/>
  <c r="D8" i="2"/>
  <c r="D20" i="2" s="1"/>
  <c r="F18" i="2"/>
  <c r="D18" i="2"/>
  <c r="F15" i="2"/>
  <c r="B23" i="2"/>
  <c r="B24" i="2" s="1"/>
  <c r="H39" i="20" s="1"/>
  <c r="E5" i="37" s="1"/>
  <c r="E26" i="31"/>
  <c r="F6" i="31"/>
  <c r="D6" i="30" s="1"/>
  <c r="E36" i="2"/>
  <c r="H19" i="29"/>
  <c r="D19" i="30"/>
  <c r="H14" i="29"/>
  <c r="D14" i="30"/>
  <c r="L31" i="23"/>
  <c r="L18" i="23"/>
  <c r="M52" i="23"/>
  <c r="L47" i="23"/>
  <c r="L27" i="23"/>
  <c r="L37" i="23"/>
  <c r="L34" i="23"/>
  <c r="L12" i="23"/>
  <c r="L42" i="23"/>
  <c r="L40" i="23"/>
  <c r="L14" i="23"/>
  <c r="L24" i="23"/>
  <c r="L21" i="23"/>
  <c r="G7" i="34"/>
  <c r="E7" i="29" s="1"/>
  <c r="F7" i="34"/>
  <c r="B8" i="34"/>
  <c r="H7" i="34"/>
  <c r="N13" i="35"/>
  <c r="J13" i="35"/>
  <c r="F13" i="35"/>
  <c r="M13" i="35"/>
  <c r="L13" i="35"/>
  <c r="K13" i="35"/>
  <c r="H29" i="30"/>
  <c r="J50" i="20" s="1"/>
  <c r="H28" i="30"/>
  <c r="J49" i="20" s="1"/>
  <c r="J47" i="20"/>
  <c r="H18" i="29"/>
  <c r="D18" i="30"/>
  <c r="H11" i="29"/>
  <c r="D11" i="30"/>
  <c r="D5" i="32"/>
  <c r="E5" i="32"/>
  <c r="H6" i="2"/>
  <c r="G15" i="2"/>
  <c r="G8" i="2"/>
  <c r="G18" i="2"/>
  <c r="E15" i="2"/>
  <c r="D15" i="2"/>
  <c r="D59" i="2"/>
  <c r="D41" i="2" s="1"/>
  <c r="D47" i="2" s="1"/>
  <c r="F6" i="33"/>
  <c r="D6" i="29" s="1"/>
  <c r="E6" i="33"/>
  <c r="B7" i="33"/>
  <c r="G6" i="33"/>
  <c r="H23" i="29"/>
  <c r="D23" i="30"/>
  <c r="H17" i="29"/>
  <c r="D17" i="30"/>
  <c r="H10" i="29"/>
  <c r="D10" i="30"/>
  <c r="H5" i="29"/>
  <c r="D5" i="30"/>
  <c r="E5" i="36"/>
  <c r="C44" i="2"/>
  <c r="E34" i="35"/>
  <c r="F34" i="35" s="1"/>
  <c r="F33" i="35"/>
  <c r="G6" i="34"/>
  <c r="E6" i="29" s="1"/>
  <c r="H6" i="34"/>
  <c r="F6" i="34"/>
  <c r="C29" i="20"/>
  <c r="I10" i="20" s="1"/>
  <c r="B30" i="20"/>
  <c r="B32" i="20"/>
  <c r="C32" i="20" s="1"/>
  <c r="B28" i="2" s="1"/>
  <c r="B6" i="3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K12" i="35"/>
  <c r="M12" i="35"/>
  <c r="L12" i="35"/>
  <c r="N12" i="35"/>
  <c r="J12" i="35"/>
  <c r="F12" i="35"/>
  <c r="B14" i="35"/>
  <c r="F5" i="33"/>
  <c r="G5" i="33"/>
  <c r="E5" i="33"/>
  <c r="H22" i="29"/>
  <c r="D22" i="30"/>
  <c r="H15" i="29"/>
  <c r="D15" i="30"/>
  <c r="H9" i="29"/>
  <c r="D9" i="30"/>
  <c r="E34" i="2"/>
  <c r="D27" i="31"/>
  <c r="D28" i="31"/>
  <c r="D29" i="30" s="1"/>
  <c r="F50" i="20" s="1"/>
  <c r="B6" i="36"/>
  <c r="B6" i="32"/>
  <c r="G5" i="34"/>
  <c r="H5" i="34"/>
  <c r="F5" i="34"/>
  <c r="D55" i="2"/>
  <c r="D35" i="2" s="1"/>
  <c r="F55" i="2"/>
  <c r="E55" i="2"/>
  <c r="C48" i="2"/>
  <c r="H7" i="29" l="1"/>
  <c r="E61" i="2"/>
  <c r="E43" i="2" s="1"/>
  <c r="E49" i="2" s="1"/>
  <c r="D49" i="2"/>
  <c r="D66" i="2" s="1"/>
  <c r="E27" i="31"/>
  <c r="F27" i="31" s="1"/>
  <c r="F26" i="31"/>
  <c r="D28" i="30" s="1"/>
  <c r="F49" i="20" s="1"/>
  <c r="H6" i="29"/>
  <c r="D13" i="35"/>
  <c r="E20" i="2"/>
  <c r="F20" i="2" s="1"/>
  <c r="G20" i="2" s="1"/>
  <c r="D7" i="2"/>
  <c r="D72" i="2" s="1"/>
  <c r="D12" i="35"/>
  <c r="E35" i="2"/>
  <c r="E37" i="2" s="1"/>
  <c r="D37" i="2"/>
  <c r="D60" i="2"/>
  <c r="D16" i="2" s="1"/>
  <c r="E5" i="29"/>
  <c r="G26" i="30"/>
  <c r="E6" i="36"/>
  <c r="B7" i="36"/>
  <c r="F5" i="30"/>
  <c r="J5" i="29"/>
  <c r="L5" i="29"/>
  <c r="H5" i="30"/>
  <c r="C50" i="2"/>
  <c r="K7" i="29"/>
  <c r="G7" i="30"/>
  <c r="F36" i="2"/>
  <c r="B26" i="31"/>
  <c r="B27" i="31" s="1"/>
  <c r="F6" i="30"/>
  <c r="J6" i="29"/>
  <c r="H18" i="2"/>
  <c r="H8" i="2"/>
  <c r="H15" i="2"/>
  <c r="I6" i="2"/>
  <c r="L6" i="29"/>
  <c r="H6" i="30"/>
  <c r="G8" i="34"/>
  <c r="E8" i="29" s="1"/>
  <c r="H8" i="34"/>
  <c r="F8" i="34"/>
  <c r="B9" i="34"/>
  <c r="F34" i="2"/>
  <c r="D5" i="29"/>
  <c r="F26" i="30"/>
  <c r="K6" i="29"/>
  <c r="G6" i="30"/>
  <c r="E59" i="2"/>
  <c r="E41" i="2" s="1"/>
  <c r="E64" i="2" s="1"/>
  <c r="F7" i="33"/>
  <c r="D7" i="29" s="1"/>
  <c r="G7" i="33"/>
  <c r="E7" i="33"/>
  <c r="B8" i="33"/>
  <c r="C5" i="29"/>
  <c r="E26" i="30"/>
  <c r="F5" i="32"/>
  <c r="N52" i="23"/>
  <c r="M42" i="23"/>
  <c r="M34" i="23"/>
  <c r="M21" i="23"/>
  <c r="M31" i="23"/>
  <c r="M18" i="23"/>
  <c r="M37" i="23"/>
  <c r="M12" i="23"/>
  <c r="M40" i="23"/>
  <c r="M14" i="23"/>
  <c r="M24" i="23"/>
  <c r="M47" i="23"/>
  <c r="M27" i="23"/>
  <c r="G5" i="30"/>
  <c r="K5" i="29"/>
  <c r="D6" i="32"/>
  <c r="E6" i="32"/>
  <c r="B7" i="32"/>
  <c r="M14" i="35"/>
  <c r="F14" i="35"/>
  <c r="K14" i="35"/>
  <c r="J14" i="35"/>
  <c r="N14" i="35"/>
  <c r="L14" i="35"/>
  <c r="B15" i="35"/>
  <c r="B26" i="2"/>
  <c r="B30" i="2" s="1"/>
  <c r="H40" i="20" s="1"/>
  <c r="E6" i="37" s="1"/>
  <c r="B31" i="20"/>
  <c r="C31" i="20" s="1"/>
  <c r="J10" i="20"/>
  <c r="C30" i="20"/>
  <c r="M5" i="29"/>
  <c r="I5" i="30"/>
  <c r="D64" i="2"/>
  <c r="F61" i="2" l="1"/>
  <c r="E66" i="2"/>
  <c r="G11" i="20"/>
  <c r="D12" i="2" s="1"/>
  <c r="D70" i="2" s="1"/>
  <c r="H20" i="2"/>
  <c r="D14" i="2"/>
  <c r="D71" i="2" s="1"/>
  <c r="D75" i="2"/>
  <c r="D76" i="2"/>
  <c r="E7" i="2"/>
  <c r="E10" i="2" s="1"/>
  <c r="D21" i="2"/>
  <c r="D77" i="2" s="1"/>
  <c r="D14" i="35"/>
  <c r="L15" i="35"/>
  <c r="K15" i="35"/>
  <c r="J15" i="35"/>
  <c r="N15" i="35"/>
  <c r="M15" i="35"/>
  <c r="F15" i="35"/>
  <c r="B16" i="35"/>
  <c r="F28" i="30"/>
  <c r="H49" i="20" s="1"/>
  <c r="F29" i="30"/>
  <c r="H50" i="20" s="1"/>
  <c r="H47" i="20"/>
  <c r="K8" i="29"/>
  <c r="G8" i="30"/>
  <c r="M6" i="29"/>
  <c r="I6" i="30"/>
  <c r="E7" i="32"/>
  <c r="D7" i="32"/>
  <c r="B8" i="32"/>
  <c r="I5" i="29"/>
  <c r="H11" i="20" s="1"/>
  <c r="E5" i="30"/>
  <c r="D73" i="2"/>
  <c r="F7" i="30"/>
  <c r="J7" i="29"/>
  <c r="F43" i="2"/>
  <c r="F49" i="2" s="1"/>
  <c r="L7" i="29"/>
  <c r="H7" i="30"/>
  <c r="C6" i="29"/>
  <c r="G12" i="20" s="1"/>
  <c r="E12" i="2" s="1"/>
  <c r="F6" i="32"/>
  <c r="G47" i="20"/>
  <c r="F59" i="2"/>
  <c r="G9" i="34"/>
  <c r="E9" i="29" s="1"/>
  <c r="H9" i="34"/>
  <c r="F9" i="34"/>
  <c r="B10" i="34"/>
  <c r="G28" i="30"/>
  <c r="I49" i="20" s="1"/>
  <c r="G29" i="30"/>
  <c r="I50" i="20" s="1"/>
  <c r="I47" i="20"/>
  <c r="O52" i="23"/>
  <c r="N37" i="23"/>
  <c r="N24" i="23"/>
  <c r="N12" i="23"/>
  <c r="N47" i="23"/>
  <c r="N42" i="23"/>
  <c r="N40" i="23"/>
  <c r="N27" i="23"/>
  <c r="N14" i="23"/>
  <c r="N34" i="23"/>
  <c r="N18" i="23"/>
  <c r="N21" i="23"/>
  <c r="N31" i="23"/>
  <c r="F8" i="33"/>
  <c r="D8" i="29" s="1"/>
  <c r="G8" i="33"/>
  <c r="E8" i="33"/>
  <c r="B9" i="33"/>
  <c r="E47" i="2"/>
  <c r="I8" i="2"/>
  <c r="J6" i="2"/>
  <c r="I18" i="2"/>
  <c r="I15" i="2"/>
  <c r="E7" i="36"/>
  <c r="B8" i="36"/>
  <c r="D42" i="2"/>
  <c r="F35" i="2"/>
  <c r="F37" i="2" s="1"/>
  <c r="I36" i="20" l="1"/>
  <c r="E7" i="37" s="1"/>
  <c r="I20" i="2"/>
  <c r="D15" i="35"/>
  <c r="D78" i="2"/>
  <c r="F66" i="2"/>
  <c r="G61" i="2"/>
  <c r="G43" i="2" s="1"/>
  <c r="G66" i="2"/>
  <c r="E14" i="2"/>
  <c r="F7" i="2"/>
  <c r="F10" i="2" s="1"/>
  <c r="E21" i="2"/>
  <c r="E8" i="36"/>
  <c r="B9" i="36"/>
  <c r="G10" i="34"/>
  <c r="B11" i="34"/>
  <c r="H10" i="34"/>
  <c r="F10" i="34"/>
  <c r="F7" i="32"/>
  <c r="C7" i="29"/>
  <c r="G13" i="20" s="1"/>
  <c r="F12" i="2" s="1"/>
  <c r="K16" i="35"/>
  <c r="M16" i="35"/>
  <c r="L16" i="35"/>
  <c r="N16" i="35"/>
  <c r="J16" i="35"/>
  <c r="F16" i="35"/>
  <c r="B17" i="35"/>
  <c r="L8" i="29"/>
  <c r="H8" i="30"/>
  <c r="I7" i="30"/>
  <c r="M7" i="29"/>
  <c r="J15" i="2"/>
  <c r="J18" i="2"/>
  <c r="J8" i="2"/>
  <c r="K6" i="2"/>
  <c r="J8" i="29"/>
  <c r="F8" i="30"/>
  <c r="E6" i="30"/>
  <c r="I6" i="29"/>
  <c r="H12" i="20" s="1"/>
  <c r="D44" i="2"/>
  <c r="D48" i="2"/>
  <c r="E60" i="2"/>
  <c r="E42" i="2" s="1"/>
  <c r="E65" i="2" s="1"/>
  <c r="E17" i="2" s="1"/>
  <c r="K9" i="29"/>
  <c r="G9" i="30"/>
  <c r="F41" i="2"/>
  <c r="E8" i="32"/>
  <c r="D8" i="32"/>
  <c r="B9" i="32"/>
  <c r="F9" i="33"/>
  <c r="D9" i="29" s="1"/>
  <c r="E9" i="33"/>
  <c r="G9" i="33"/>
  <c r="B10" i="33"/>
  <c r="O47" i="23"/>
  <c r="O40" i="23"/>
  <c r="O27" i="23"/>
  <c r="O14" i="23"/>
  <c r="P52" i="23"/>
  <c r="O37" i="23"/>
  <c r="O24" i="23"/>
  <c r="O12" i="23"/>
  <c r="O18" i="23"/>
  <c r="O42" i="23"/>
  <c r="O21" i="23"/>
  <c r="O31" i="23"/>
  <c r="O34" i="23"/>
  <c r="I37" i="20" l="1"/>
  <c r="E8" i="37" s="1"/>
  <c r="J20" i="2"/>
  <c r="G59" i="2"/>
  <c r="G7" i="2"/>
  <c r="G10" i="2" s="1"/>
  <c r="F21" i="2"/>
  <c r="F14" i="2"/>
  <c r="G49" i="2"/>
  <c r="H61" i="2"/>
  <c r="H43" i="2" s="1"/>
  <c r="H66" i="2" s="1"/>
  <c r="D16" i="35"/>
  <c r="C8" i="29"/>
  <c r="G14" i="20" s="1"/>
  <c r="G12" i="2" s="1"/>
  <c r="F8" i="32"/>
  <c r="G11" i="34"/>
  <c r="E11" i="29" s="1"/>
  <c r="F11" i="34"/>
  <c r="B12" i="34"/>
  <c r="H11" i="34"/>
  <c r="E10" i="29"/>
  <c r="E9" i="32"/>
  <c r="D9" i="32"/>
  <c r="B10" i="32"/>
  <c r="E16" i="2"/>
  <c r="L6" i="2"/>
  <c r="K18" i="2"/>
  <c r="K15" i="2"/>
  <c r="K8" i="2"/>
  <c r="L9" i="29"/>
  <c r="H9" i="30"/>
  <c r="I8" i="30"/>
  <c r="M8" i="29"/>
  <c r="F10" i="33"/>
  <c r="D10" i="29" s="1"/>
  <c r="E10" i="33"/>
  <c r="B11" i="33"/>
  <c r="G10" i="33"/>
  <c r="F9" i="30"/>
  <c r="J9" i="29"/>
  <c r="F60" i="2"/>
  <c r="F16" i="2" s="1"/>
  <c r="E48" i="2"/>
  <c r="E50" i="2" s="1"/>
  <c r="E44" i="2"/>
  <c r="N17" i="35"/>
  <c r="J17" i="35"/>
  <c r="F17" i="35"/>
  <c r="M17" i="35"/>
  <c r="L17" i="35"/>
  <c r="K17" i="35"/>
  <c r="B18" i="35"/>
  <c r="E9" i="36"/>
  <c r="B10" i="36"/>
  <c r="P31" i="23"/>
  <c r="P18" i="23"/>
  <c r="P34" i="23"/>
  <c r="P21" i="23"/>
  <c r="P42" i="23"/>
  <c r="P40" i="23"/>
  <c r="P14" i="23"/>
  <c r="P24" i="23"/>
  <c r="P47" i="23"/>
  <c r="P27" i="23"/>
  <c r="Q52" i="23"/>
  <c r="P12" i="23"/>
  <c r="P37" i="23"/>
  <c r="F47" i="2"/>
  <c r="F64" i="2"/>
  <c r="D65" i="2"/>
  <c r="D50" i="2"/>
  <c r="I7" i="29"/>
  <c r="H13" i="20" s="1"/>
  <c r="E7" i="30"/>
  <c r="K10" i="29"/>
  <c r="G10" i="30"/>
  <c r="K20" i="2" l="1"/>
  <c r="D17" i="35"/>
  <c r="G41" i="2"/>
  <c r="F42" i="2"/>
  <c r="F44" i="2" s="1"/>
  <c r="H49" i="2"/>
  <c r="I61" i="2"/>
  <c r="I43" i="2" s="1"/>
  <c r="I66" i="2" s="1"/>
  <c r="G21" i="2"/>
  <c r="G14" i="2"/>
  <c r="H7" i="2"/>
  <c r="D10" i="32"/>
  <c r="E10" i="32"/>
  <c r="B11" i="32"/>
  <c r="F10" i="30"/>
  <c r="J10" i="29"/>
  <c r="E23" i="2"/>
  <c r="Q42" i="23"/>
  <c r="Q34" i="23"/>
  <c r="Q21" i="23"/>
  <c r="Q24" i="23"/>
  <c r="Q47" i="23"/>
  <c r="Q31" i="23"/>
  <c r="Q27" i="23"/>
  <c r="R52" i="23"/>
  <c r="Q37" i="23"/>
  <c r="Q12" i="23"/>
  <c r="Q14" i="23"/>
  <c r="Q40" i="23"/>
  <c r="Q18" i="23"/>
  <c r="M9" i="29"/>
  <c r="I9" i="30"/>
  <c r="F11" i="33"/>
  <c r="G11" i="33"/>
  <c r="E11" i="33"/>
  <c r="B12" i="33"/>
  <c r="C9" i="29"/>
  <c r="G15" i="20" s="1"/>
  <c r="H12" i="2" s="1"/>
  <c r="F9" i="32"/>
  <c r="D17" i="2"/>
  <c r="I38" i="20"/>
  <c r="E9" i="37" s="1"/>
  <c r="M18" i="35"/>
  <c r="F18" i="35"/>
  <c r="K18" i="35"/>
  <c r="J18" i="35"/>
  <c r="N18" i="35"/>
  <c r="L18" i="35"/>
  <c r="B19" i="35"/>
  <c r="L18" i="2"/>
  <c r="L8" i="2"/>
  <c r="L15" i="2"/>
  <c r="M6" i="2"/>
  <c r="G12" i="34"/>
  <c r="H12" i="34"/>
  <c r="F12" i="34"/>
  <c r="B13" i="34"/>
  <c r="E10" i="36"/>
  <c r="B11" i="36"/>
  <c r="L10" i="29"/>
  <c r="H10" i="30"/>
  <c r="K11" i="29"/>
  <c r="G11" i="30"/>
  <c r="E8" i="30"/>
  <c r="I8" i="29"/>
  <c r="H14" i="20" s="1"/>
  <c r="L20" i="2" l="1"/>
  <c r="G47" i="2"/>
  <c r="G64" i="2"/>
  <c r="H59" i="2"/>
  <c r="F65" i="2"/>
  <c r="F17" i="2" s="1"/>
  <c r="F23" i="2" s="1"/>
  <c r="F24" i="2" s="1"/>
  <c r="I13" i="20" s="1"/>
  <c r="F48" i="2"/>
  <c r="F50" i="2" s="1"/>
  <c r="G60" i="2"/>
  <c r="D18" i="35"/>
  <c r="I49" i="2"/>
  <c r="J61" i="2"/>
  <c r="J43" i="2" s="1"/>
  <c r="J66" i="2" s="1"/>
  <c r="H14" i="2"/>
  <c r="H21" i="2"/>
  <c r="I7" i="2"/>
  <c r="H10" i="2"/>
  <c r="G13" i="34"/>
  <c r="E13" i="29" s="1"/>
  <c r="H13" i="34"/>
  <c r="F13" i="34"/>
  <c r="B14" i="34"/>
  <c r="D74" i="2"/>
  <c r="D80" i="2" s="1"/>
  <c r="G42" i="20" s="1"/>
  <c r="D23" i="2"/>
  <c r="E28" i="2"/>
  <c r="E26" i="2"/>
  <c r="E30" i="2" s="1"/>
  <c r="J12" i="20" s="1"/>
  <c r="E24" i="2"/>
  <c r="I12" i="20" s="1"/>
  <c r="C10" i="29"/>
  <c r="G16" i="20" s="1"/>
  <c r="I12" i="2" s="1"/>
  <c r="F10" i="32"/>
  <c r="M10" i="29"/>
  <c r="I10" i="30"/>
  <c r="M15" i="2"/>
  <c r="M8" i="2"/>
  <c r="N6" i="2"/>
  <c r="M18" i="2"/>
  <c r="L11" i="29"/>
  <c r="H11" i="30"/>
  <c r="D11" i="29"/>
  <c r="R37" i="23"/>
  <c r="R24" i="23"/>
  <c r="R12" i="23"/>
  <c r="R31" i="23"/>
  <c r="R18" i="23"/>
  <c r="R47" i="23"/>
  <c r="R27" i="23"/>
  <c r="R21" i="23"/>
  <c r="R40" i="23"/>
  <c r="R34" i="23"/>
  <c r="R14" i="23"/>
  <c r="R42" i="23"/>
  <c r="K12" i="29"/>
  <c r="G12" i="30"/>
  <c r="F12" i="33"/>
  <c r="D12" i="29" s="1"/>
  <c r="G12" i="33"/>
  <c r="E12" i="33"/>
  <c r="B13" i="33"/>
  <c r="E11" i="36"/>
  <c r="B12" i="36"/>
  <c r="F11" i="30"/>
  <c r="J11" i="29"/>
  <c r="E12" i="29"/>
  <c r="L19" i="35"/>
  <c r="K19" i="35"/>
  <c r="J19" i="35"/>
  <c r="N19" i="35"/>
  <c r="M19" i="35"/>
  <c r="F19" i="35"/>
  <c r="B20" i="35"/>
  <c r="I9" i="29"/>
  <c r="H15" i="20" s="1"/>
  <c r="E9" i="30"/>
  <c r="E11" i="32"/>
  <c r="D11" i="32"/>
  <c r="B12" i="32"/>
  <c r="M20" i="2" l="1"/>
  <c r="F28" i="2"/>
  <c r="F26" i="2"/>
  <c r="F30" i="2" s="1"/>
  <c r="J13" i="20" s="1"/>
  <c r="G42" i="2"/>
  <c r="G48" i="2" s="1"/>
  <c r="G50" i="2" s="1"/>
  <c r="G16" i="2"/>
  <c r="H41" i="2"/>
  <c r="H64" i="2" s="1"/>
  <c r="D19" i="35"/>
  <c r="J49" i="2"/>
  <c r="K61" i="2"/>
  <c r="K43" i="2" s="1"/>
  <c r="K66" i="2" s="1"/>
  <c r="I21" i="2"/>
  <c r="I14" i="2"/>
  <c r="J7" i="2"/>
  <c r="I10" i="2"/>
  <c r="M11" i="29"/>
  <c r="I11" i="30"/>
  <c r="K13" i="29"/>
  <c r="G13" i="30"/>
  <c r="K20" i="35"/>
  <c r="M20" i="35"/>
  <c r="L20" i="35"/>
  <c r="N20" i="35"/>
  <c r="J20" i="35"/>
  <c r="F20" i="35"/>
  <c r="B21" i="35"/>
  <c r="F13" i="33"/>
  <c r="D13" i="29" s="1"/>
  <c r="G13" i="33"/>
  <c r="E13" i="33"/>
  <c r="B14" i="33"/>
  <c r="J12" i="29"/>
  <c r="F12" i="30"/>
  <c r="D26" i="2"/>
  <c r="D28" i="2"/>
  <c r="D24" i="2"/>
  <c r="E12" i="32"/>
  <c r="D12" i="32"/>
  <c r="B13" i="32"/>
  <c r="C11" i="29"/>
  <c r="G17" i="20" s="1"/>
  <c r="J12" i="2" s="1"/>
  <c r="F11" i="32"/>
  <c r="L12" i="29"/>
  <c r="H12" i="30"/>
  <c r="E12" i="36"/>
  <c r="B13" i="36"/>
  <c r="N15" i="2"/>
  <c r="N8" i="2"/>
  <c r="O6" i="2"/>
  <c r="N18" i="2"/>
  <c r="E10" i="30"/>
  <c r="I10" i="29"/>
  <c r="H16" i="20" s="1"/>
  <c r="G14" i="34"/>
  <c r="B15" i="34"/>
  <c r="H14" i="34"/>
  <c r="F14" i="34"/>
  <c r="H47" i="2" l="1"/>
  <c r="I59" i="2"/>
  <c r="I41" i="2" s="1"/>
  <c r="N20" i="2"/>
  <c r="H60" i="2"/>
  <c r="G44" i="2"/>
  <c r="G65" i="2"/>
  <c r="G17" i="2" s="1"/>
  <c r="G23" i="2" s="1"/>
  <c r="K49" i="2"/>
  <c r="L61" i="2"/>
  <c r="L43" i="2" s="1"/>
  <c r="L66" i="2" s="1"/>
  <c r="J14" i="2"/>
  <c r="J21" i="2"/>
  <c r="K7" i="2"/>
  <c r="J10" i="2"/>
  <c r="D20" i="35"/>
  <c r="I11" i="20"/>
  <c r="I39" i="20" s="1"/>
  <c r="E10" i="37" s="1"/>
  <c r="D27" i="30"/>
  <c r="F48" i="20" s="1"/>
  <c r="M12" i="29"/>
  <c r="I12" i="30"/>
  <c r="C12" i="29"/>
  <c r="G18" i="20" s="1"/>
  <c r="K12" i="2" s="1"/>
  <c r="F12" i="32"/>
  <c r="L13" i="29"/>
  <c r="H13" i="30"/>
  <c r="P6" i="2"/>
  <c r="O18" i="2"/>
  <c r="O15" i="2"/>
  <c r="O8" i="2"/>
  <c r="F13" i="30"/>
  <c r="J13" i="29"/>
  <c r="K14" i="29"/>
  <c r="G14" i="30"/>
  <c r="D13" i="32"/>
  <c r="E13" i="32"/>
  <c r="B14" i="32"/>
  <c r="E14" i="29"/>
  <c r="G15" i="34"/>
  <c r="E15" i="29" s="1"/>
  <c r="F15" i="34"/>
  <c r="B16" i="34"/>
  <c r="H15" i="34"/>
  <c r="E13" i="36"/>
  <c r="B14" i="36"/>
  <c r="I11" i="29"/>
  <c r="H17" i="20" s="1"/>
  <c r="E11" i="30"/>
  <c r="D30" i="2"/>
  <c r="F14" i="33"/>
  <c r="D14" i="29" s="1"/>
  <c r="E14" i="33"/>
  <c r="G14" i="33"/>
  <c r="B15" i="33"/>
  <c r="N21" i="35"/>
  <c r="J21" i="35"/>
  <c r="F21" i="35"/>
  <c r="M21" i="35"/>
  <c r="L21" i="35"/>
  <c r="K21" i="35"/>
  <c r="B22" i="35"/>
  <c r="I64" i="2" l="1"/>
  <c r="I47" i="2"/>
  <c r="J59" i="2"/>
  <c r="O20" i="2"/>
  <c r="H42" i="2"/>
  <c r="H16" i="2"/>
  <c r="G26" i="2"/>
  <c r="G30" i="2" s="1"/>
  <c r="J14" i="20" s="1"/>
  <c r="G24" i="2"/>
  <c r="I14" i="20" s="1"/>
  <c r="G28" i="2"/>
  <c r="K10" i="2"/>
  <c r="D21" i="35"/>
  <c r="J41" i="2"/>
  <c r="J64" i="2" s="1"/>
  <c r="L49" i="2"/>
  <c r="M61" i="2"/>
  <c r="M43" i="2" s="1"/>
  <c r="M66" i="2" s="1"/>
  <c r="K14" i="2"/>
  <c r="K21" i="2"/>
  <c r="L7" i="2"/>
  <c r="L14" i="29"/>
  <c r="H14" i="30"/>
  <c r="F15" i="33"/>
  <c r="D15" i="29" s="1"/>
  <c r="G15" i="33"/>
  <c r="E15" i="33"/>
  <c r="B16" i="33"/>
  <c r="E14" i="36"/>
  <c r="B15" i="36"/>
  <c r="F14" i="30"/>
  <c r="J14" i="29"/>
  <c r="M13" i="29"/>
  <c r="I13" i="30"/>
  <c r="D14" i="32"/>
  <c r="E14" i="32"/>
  <c r="B15" i="32"/>
  <c r="P18" i="2"/>
  <c r="P8" i="2"/>
  <c r="Q6" i="2"/>
  <c r="P15" i="2"/>
  <c r="C13" i="29"/>
  <c r="G19" i="20" s="1"/>
  <c r="L12" i="2" s="1"/>
  <c r="F13" i="32"/>
  <c r="E12" i="30"/>
  <c r="I12" i="29"/>
  <c r="H18" i="20" s="1"/>
  <c r="I40" i="20"/>
  <c r="E11" i="37" s="1"/>
  <c r="J11" i="20"/>
  <c r="G16" i="34"/>
  <c r="E16" i="29" s="1"/>
  <c r="H16" i="34"/>
  <c r="F16" i="34"/>
  <c r="B17" i="34"/>
  <c r="M22" i="35"/>
  <c r="F22" i="35"/>
  <c r="K22" i="35"/>
  <c r="J22" i="35"/>
  <c r="N22" i="35"/>
  <c r="L22" i="35"/>
  <c r="B23" i="35"/>
  <c r="K15" i="29"/>
  <c r="G15" i="30"/>
  <c r="P20" i="2" l="1"/>
  <c r="H65" i="2"/>
  <c r="H17" i="2" s="1"/>
  <c r="H23" i="2" s="1"/>
  <c r="H48" i="2"/>
  <c r="H50" i="2" s="1"/>
  <c r="H44" i="2"/>
  <c r="I60" i="2"/>
  <c r="I16" i="2" s="1"/>
  <c r="L14" i="2"/>
  <c r="L21" i="2"/>
  <c r="M7" i="2"/>
  <c r="L10" i="2"/>
  <c r="J47" i="2"/>
  <c r="K59" i="2"/>
  <c r="M49" i="2"/>
  <c r="N61" i="2"/>
  <c r="N43" i="2" s="1"/>
  <c r="N66" i="2"/>
  <c r="D22" i="35"/>
  <c r="E15" i="32"/>
  <c r="D15" i="32"/>
  <c r="B16" i="32"/>
  <c r="M14" i="29"/>
  <c r="I14" i="30"/>
  <c r="L23" i="35"/>
  <c r="K23" i="35"/>
  <c r="J23" i="35"/>
  <c r="N23" i="35"/>
  <c r="M23" i="35"/>
  <c r="F23" i="35"/>
  <c r="B24" i="35"/>
  <c r="G17" i="34"/>
  <c r="E17" i="29" s="1"/>
  <c r="H17" i="34"/>
  <c r="F17" i="34"/>
  <c r="B18" i="34"/>
  <c r="I13" i="29"/>
  <c r="H19" i="20" s="1"/>
  <c r="E13" i="30"/>
  <c r="C14" i="29"/>
  <c r="G20" i="20" s="1"/>
  <c r="M12" i="2" s="1"/>
  <c r="F14" i="32"/>
  <c r="F16" i="33"/>
  <c r="D16" i="29" s="1"/>
  <c r="G16" i="33"/>
  <c r="E16" i="33"/>
  <c r="B17" i="33"/>
  <c r="Q18" i="2"/>
  <c r="Q15" i="2"/>
  <c r="R6" i="2"/>
  <c r="Q8" i="2"/>
  <c r="L15" i="29"/>
  <c r="H15" i="30"/>
  <c r="K16" i="29"/>
  <c r="G16" i="30"/>
  <c r="E15" i="36"/>
  <c r="B16" i="36"/>
  <c r="F15" i="30"/>
  <c r="J15" i="29"/>
  <c r="Q20" i="2" l="1"/>
  <c r="H26" i="2"/>
  <c r="H30" i="2" s="1"/>
  <c r="J15" i="20" s="1"/>
  <c r="H28" i="2"/>
  <c r="H24" i="2"/>
  <c r="I15" i="20" s="1"/>
  <c r="I42" i="2"/>
  <c r="M10" i="2"/>
  <c r="K41" i="2"/>
  <c r="N49" i="2"/>
  <c r="O61" i="2"/>
  <c r="O43" i="2" s="1"/>
  <c r="O66" i="2"/>
  <c r="K47" i="2"/>
  <c r="M21" i="2"/>
  <c r="M14" i="2"/>
  <c r="N7" i="2"/>
  <c r="D23" i="35"/>
  <c r="R15" i="2"/>
  <c r="R8" i="2"/>
  <c r="R20" i="2" s="1"/>
  <c r="S6" i="2"/>
  <c r="R18" i="2"/>
  <c r="F17" i="33"/>
  <c r="D17" i="29" s="1"/>
  <c r="G17" i="33"/>
  <c r="E17" i="33"/>
  <c r="B18" i="33"/>
  <c r="E14" i="30"/>
  <c r="I14" i="29"/>
  <c r="H20" i="20" s="1"/>
  <c r="G18" i="34"/>
  <c r="E18" i="29" s="1"/>
  <c r="B19" i="34"/>
  <c r="H18" i="34"/>
  <c r="F18" i="34"/>
  <c r="K24" i="35"/>
  <c r="M24" i="35"/>
  <c r="L24" i="35"/>
  <c r="N24" i="35"/>
  <c r="J24" i="35"/>
  <c r="F24" i="35"/>
  <c r="B25" i="35"/>
  <c r="F15" i="32"/>
  <c r="C15" i="29"/>
  <c r="G21" i="20" s="1"/>
  <c r="N12" i="2" s="1"/>
  <c r="E16" i="36"/>
  <c r="B17" i="36"/>
  <c r="L16" i="29"/>
  <c r="H16" i="30"/>
  <c r="I15" i="30"/>
  <c r="M15" i="29"/>
  <c r="J16" i="29"/>
  <c r="F16" i="30"/>
  <c r="K17" i="29"/>
  <c r="G17" i="30"/>
  <c r="E16" i="32"/>
  <c r="D16" i="32"/>
  <c r="B17" i="32"/>
  <c r="I48" i="2" l="1"/>
  <c r="I50" i="2" s="1"/>
  <c r="J60" i="2"/>
  <c r="I44" i="2"/>
  <c r="I65" i="2"/>
  <c r="I17" i="2" s="1"/>
  <c r="I23" i="2" s="1"/>
  <c r="K64" i="2"/>
  <c r="L59" i="2"/>
  <c r="L41" i="2"/>
  <c r="O49" i="2"/>
  <c r="P61" i="2"/>
  <c r="P43" i="2" s="1"/>
  <c r="P66" i="2"/>
  <c r="N21" i="2"/>
  <c r="N14" i="2"/>
  <c r="O7" i="2"/>
  <c r="N10" i="2"/>
  <c r="D24" i="35"/>
  <c r="E17" i="32"/>
  <c r="D17" i="32"/>
  <c r="B18" i="32"/>
  <c r="L17" i="29"/>
  <c r="H17" i="30"/>
  <c r="G18" i="30"/>
  <c r="K18" i="29"/>
  <c r="G19" i="34"/>
  <c r="E19" i="29" s="1"/>
  <c r="F19" i="34"/>
  <c r="B20" i="34"/>
  <c r="H19" i="34"/>
  <c r="F18" i="33"/>
  <c r="D18" i="29" s="1"/>
  <c r="E18" i="33"/>
  <c r="B19" i="33"/>
  <c r="G18" i="33"/>
  <c r="C16" i="29"/>
  <c r="G22" i="20" s="1"/>
  <c r="O12" i="2" s="1"/>
  <c r="F16" i="32"/>
  <c r="I15" i="29"/>
  <c r="H21" i="20" s="1"/>
  <c r="E15" i="30"/>
  <c r="T6" i="2"/>
  <c r="S15" i="2"/>
  <c r="S8" i="2"/>
  <c r="S20" i="2" s="1"/>
  <c r="S18" i="2"/>
  <c r="I16" i="30"/>
  <c r="M16" i="29"/>
  <c r="E17" i="36"/>
  <c r="B18" i="36"/>
  <c r="N25" i="35"/>
  <c r="J25" i="35"/>
  <c r="F25" i="35"/>
  <c r="M25" i="35"/>
  <c r="L25" i="35"/>
  <c r="K25" i="35"/>
  <c r="B26" i="35"/>
  <c r="F17" i="30"/>
  <c r="J17" i="29"/>
  <c r="J42" i="2" l="1"/>
  <c r="J16" i="2"/>
  <c r="L64" i="2"/>
  <c r="I24" i="2"/>
  <c r="I16" i="20" s="1"/>
  <c r="I26" i="2"/>
  <c r="I30" i="2" s="1"/>
  <c r="J16" i="20" s="1"/>
  <c r="I28" i="2"/>
  <c r="O10" i="2"/>
  <c r="M59" i="2"/>
  <c r="L47" i="2"/>
  <c r="O14" i="2"/>
  <c r="O21" i="2"/>
  <c r="P7" i="2"/>
  <c r="P49" i="2"/>
  <c r="Q61" i="2"/>
  <c r="Q43" i="2" s="1"/>
  <c r="Q66" i="2"/>
  <c r="N23" i="2"/>
  <c r="D25" i="35"/>
  <c r="M26" i="35"/>
  <c r="F26" i="35"/>
  <c r="K26" i="35"/>
  <c r="J26" i="35"/>
  <c r="N26" i="35"/>
  <c r="L26" i="35"/>
  <c r="B27" i="35"/>
  <c r="E18" i="36"/>
  <c r="B19" i="36"/>
  <c r="T18" i="2"/>
  <c r="T8" i="2"/>
  <c r="T20" i="2" s="1"/>
  <c r="U6" i="2"/>
  <c r="T15" i="2"/>
  <c r="F18" i="30"/>
  <c r="J18" i="29"/>
  <c r="K19" i="29"/>
  <c r="G19" i="30"/>
  <c r="D18" i="32"/>
  <c r="E18" i="32"/>
  <c r="B19" i="32"/>
  <c r="L18" i="29"/>
  <c r="H18" i="30"/>
  <c r="M17" i="29"/>
  <c r="I17" i="30"/>
  <c r="E16" i="30"/>
  <c r="I16" i="29"/>
  <c r="H22" i="20" s="1"/>
  <c r="F19" i="33"/>
  <c r="D19" i="29" s="1"/>
  <c r="G19" i="33"/>
  <c r="E19" i="33"/>
  <c r="B20" i="33"/>
  <c r="G20" i="34"/>
  <c r="E20" i="29" s="1"/>
  <c r="H20" i="34"/>
  <c r="F20" i="34"/>
  <c r="B21" i="34"/>
  <c r="C17" i="29"/>
  <c r="G23" i="20" s="1"/>
  <c r="P12" i="2" s="1"/>
  <c r="F17" i="32"/>
  <c r="J48" i="2" l="1"/>
  <c r="J50" i="2" s="1"/>
  <c r="K60" i="2"/>
  <c r="J44" i="2"/>
  <c r="J65" i="2"/>
  <c r="J17" i="2" s="1"/>
  <c r="J23" i="2" s="1"/>
  <c r="M41" i="2"/>
  <c r="O23" i="2"/>
  <c r="O24" i="2" s="1"/>
  <c r="I22" i="20" s="1"/>
  <c r="Q49" i="2"/>
  <c r="R61" i="2"/>
  <c r="R43" i="2" s="1"/>
  <c r="R66" i="2"/>
  <c r="O26" i="2"/>
  <c r="O30" i="2" s="1"/>
  <c r="J22" i="20" s="1"/>
  <c r="P21" i="2"/>
  <c r="P14" i="2"/>
  <c r="Q7" i="2"/>
  <c r="N59" i="2"/>
  <c r="N16" i="2" s="1"/>
  <c r="N41" i="2"/>
  <c r="N26" i="2"/>
  <c r="N30" i="2" s="1"/>
  <c r="J21" i="20" s="1"/>
  <c r="N28" i="2"/>
  <c r="N24" i="2"/>
  <c r="I21" i="20" s="1"/>
  <c r="P10" i="2"/>
  <c r="D26" i="35"/>
  <c r="C18" i="29"/>
  <c r="G24" i="20" s="1"/>
  <c r="Q12" i="2" s="1"/>
  <c r="F18" i="32"/>
  <c r="L27" i="35"/>
  <c r="K27" i="35"/>
  <c r="J27" i="35"/>
  <c r="N27" i="35"/>
  <c r="M27" i="35"/>
  <c r="F27" i="35"/>
  <c r="B28" i="35"/>
  <c r="G21" i="34"/>
  <c r="E21" i="29" s="1"/>
  <c r="H21" i="34"/>
  <c r="F21" i="34"/>
  <c r="B22" i="34"/>
  <c r="F20" i="33"/>
  <c r="D20" i="29" s="1"/>
  <c r="G20" i="33"/>
  <c r="E20" i="33"/>
  <c r="B21" i="33"/>
  <c r="U18" i="2"/>
  <c r="U15" i="2"/>
  <c r="U8" i="2"/>
  <c r="U20" i="2" s="1"/>
  <c r="V6" i="2"/>
  <c r="E19" i="36"/>
  <c r="B20" i="36"/>
  <c r="L19" i="29"/>
  <c r="H19" i="30"/>
  <c r="I17" i="29"/>
  <c r="H23" i="20" s="1"/>
  <c r="E17" i="30"/>
  <c r="K20" i="29"/>
  <c r="G20" i="30"/>
  <c r="F19" i="30"/>
  <c r="J19" i="29"/>
  <c r="E19" i="32"/>
  <c r="D19" i="32"/>
  <c r="B20" i="32"/>
  <c r="M18" i="29"/>
  <c r="I18" i="30"/>
  <c r="J26" i="2" l="1"/>
  <c r="J30" i="2" s="1"/>
  <c r="J17" i="20" s="1"/>
  <c r="J24" i="2"/>
  <c r="I17" i="20" s="1"/>
  <c r="J28" i="2"/>
  <c r="M47" i="2"/>
  <c r="M64" i="2"/>
  <c r="K42" i="2"/>
  <c r="K16" i="2"/>
  <c r="N64" i="2"/>
  <c r="N17" i="2" s="1"/>
  <c r="O28" i="2"/>
  <c r="Q10" i="2"/>
  <c r="R49" i="2"/>
  <c r="S61" i="2"/>
  <c r="S43" i="2" s="1"/>
  <c r="S66" i="2"/>
  <c r="N47" i="2"/>
  <c r="N44" i="2"/>
  <c r="O59" i="2"/>
  <c r="O16" i="2" s="1"/>
  <c r="O64" i="2"/>
  <c r="O17" i="2" s="1"/>
  <c r="Q14" i="2"/>
  <c r="Q21" i="2"/>
  <c r="R7" i="2"/>
  <c r="P23" i="2"/>
  <c r="D27" i="35"/>
  <c r="E20" i="36"/>
  <c r="B21" i="36"/>
  <c r="J20" i="29"/>
  <c r="F20" i="30"/>
  <c r="G21" i="30"/>
  <c r="K21" i="29"/>
  <c r="E20" i="32"/>
  <c r="D20" i="32"/>
  <c r="B21" i="32"/>
  <c r="M19" i="29"/>
  <c r="I19" i="30"/>
  <c r="F21" i="33"/>
  <c r="D21" i="29" s="1"/>
  <c r="G21" i="33"/>
  <c r="E21" i="33"/>
  <c r="B22" i="33"/>
  <c r="G22" i="34"/>
  <c r="E22" i="29" s="1"/>
  <c r="B23" i="34"/>
  <c r="H22" i="34"/>
  <c r="F22" i="34"/>
  <c r="K28" i="35"/>
  <c r="M28" i="35"/>
  <c r="L28" i="35"/>
  <c r="N28" i="35"/>
  <c r="J28" i="35"/>
  <c r="F28" i="35"/>
  <c r="B29" i="35"/>
  <c r="F29" i="35" s="1"/>
  <c r="E18" i="30"/>
  <c r="I18" i="29"/>
  <c r="H24" i="20" s="1"/>
  <c r="C19" i="29"/>
  <c r="G25" i="20" s="1"/>
  <c r="R12" i="2" s="1"/>
  <c r="F19" i="32"/>
  <c r="V15" i="2"/>
  <c r="V18" i="2"/>
  <c r="V8" i="2"/>
  <c r="V20" i="2" s="1"/>
  <c r="W6" i="2"/>
  <c r="L20" i="29"/>
  <c r="H20" i="30"/>
  <c r="L60" i="2" l="1"/>
  <c r="K48" i="2"/>
  <c r="K50" i="2" s="1"/>
  <c r="K44" i="2"/>
  <c r="K65" i="2"/>
  <c r="K17" i="2" s="1"/>
  <c r="K23" i="2" s="1"/>
  <c r="R10" i="2"/>
  <c r="Q23" i="2"/>
  <c r="Q26" i="2" s="1"/>
  <c r="Q30" i="2" s="1"/>
  <c r="J24" i="20" s="1"/>
  <c r="S49" i="2"/>
  <c r="T61" i="2"/>
  <c r="T43" i="2" s="1"/>
  <c r="T66" i="2"/>
  <c r="P26" i="2"/>
  <c r="P30" i="2" s="1"/>
  <c r="J23" i="20" s="1"/>
  <c r="P28" i="2"/>
  <c r="P24" i="2"/>
  <c r="I23" i="20" s="1"/>
  <c r="R14" i="2"/>
  <c r="R21" i="2"/>
  <c r="S7" i="2"/>
  <c r="O41" i="2"/>
  <c r="D28" i="35"/>
  <c r="I19" i="29"/>
  <c r="H25" i="20" s="1"/>
  <c r="E19" i="30"/>
  <c r="N29" i="35"/>
  <c r="J29" i="35"/>
  <c r="M29" i="35"/>
  <c r="L29" i="35"/>
  <c r="K29" i="35"/>
  <c r="B30" i="35"/>
  <c r="F22" i="33"/>
  <c r="D22" i="29" s="1"/>
  <c r="E22" i="33"/>
  <c r="B23" i="33"/>
  <c r="G22" i="33"/>
  <c r="L21" i="29"/>
  <c r="H21" i="30"/>
  <c r="G22" i="30"/>
  <c r="K22" i="29"/>
  <c r="C20" i="29"/>
  <c r="G26" i="20" s="1"/>
  <c r="S12" i="2" s="1"/>
  <c r="F20" i="32"/>
  <c r="W15" i="2"/>
  <c r="X15" i="2" s="1"/>
  <c r="W8" i="2"/>
  <c r="W20" i="2" s="1"/>
  <c r="X20" i="2" s="1"/>
  <c r="W18" i="2"/>
  <c r="X18" i="2" s="1"/>
  <c r="G23" i="34"/>
  <c r="E23" i="29" s="1"/>
  <c r="F23" i="34"/>
  <c r="B24" i="34"/>
  <c r="H23" i="34"/>
  <c r="F21" i="30"/>
  <c r="J21" i="29"/>
  <c r="E21" i="36"/>
  <c r="B22" i="36"/>
  <c r="D21" i="32"/>
  <c r="E21" i="32"/>
  <c r="B22" i="32"/>
  <c r="E22" i="32" s="1"/>
  <c r="I20" i="30"/>
  <c r="M20" i="29"/>
  <c r="K26" i="2" l="1"/>
  <c r="K30" i="2" s="1"/>
  <c r="J18" i="20" s="1"/>
  <c r="K28" i="2"/>
  <c r="K24" i="2"/>
  <c r="I18" i="20" s="1"/>
  <c r="L42" i="2"/>
  <c r="L16" i="2"/>
  <c r="S10" i="2"/>
  <c r="R23" i="2"/>
  <c r="R28" i="2" s="1"/>
  <c r="Q28" i="2"/>
  <c r="Q24" i="2"/>
  <c r="I24" i="20" s="1"/>
  <c r="O47" i="2"/>
  <c r="O44" i="2"/>
  <c r="P64" i="2"/>
  <c r="P17" i="2" s="1"/>
  <c r="P59" i="2"/>
  <c r="P16" i="2" s="1"/>
  <c r="S21" i="2"/>
  <c r="S14" i="2"/>
  <c r="T7" i="2"/>
  <c r="T49" i="2"/>
  <c r="U61" i="2"/>
  <c r="U43" i="2" s="1"/>
  <c r="U66" i="2"/>
  <c r="D29" i="35"/>
  <c r="E22" i="36"/>
  <c r="B23" i="36"/>
  <c r="E23" i="36" s="1"/>
  <c r="K23" i="29"/>
  <c r="G23" i="30"/>
  <c r="D22" i="32"/>
  <c r="B23" i="32"/>
  <c r="M21" i="29"/>
  <c r="I21" i="30"/>
  <c r="G24" i="34"/>
  <c r="H24" i="34"/>
  <c r="F24" i="34"/>
  <c r="F26" i="34" s="1"/>
  <c r="B26" i="34"/>
  <c r="B27" i="34" s="1"/>
  <c r="J22" i="29"/>
  <c r="F22" i="30"/>
  <c r="M30" i="35"/>
  <c r="F30" i="35"/>
  <c r="K30" i="35"/>
  <c r="J30" i="35"/>
  <c r="N30" i="35"/>
  <c r="L30" i="35"/>
  <c r="B31" i="35"/>
  <c r="C21" i="29"/>
  <c r="G27" i="20" s="1"/>
  <c r="T12" i="2" s="1"/>
  <c r="F21" i="32"/>
  <c r="I20" i="29"/>
  <c r="H26" i="20" s="1"/>
  <c r="E20" i="30"/>
  <c r="F23" i="33"/>
  <c r="D23" i="29" s="1"/>
  <c r="G23" i="33"/>
  <c r="E23" i="33"/>
  <c r="B24" i="33"/>
  <c r="L22" i="29"/>
  <c r="H22" i="30"/>
  <c r="T10" i="2" l="1"/>
  <c r="L48" i="2"/>
  <c r="L50" i="2" s="1"/>
  <c r="M60" i="2"/>
  <c r="L44" i="2"/>
  <c r="L65" i="2"/>
  <c r="L17" i="2" s="1"/>
  <c r="L23" i="2" s="1"/>
  <c r="S23" i="2"/>
  <c r="S28" i="2" s="1"/>
  <c r="R24" i="2"/>
  <c r="I25" i="20" s="1"/>
  <c r="R26" i="2"/>
  <c r="R30" i="2" s="1"/>
  <c r="J25" i="20" s="1"/>
  <c r="P41" i="2"/>
  <c r="P47" i="2" s="1"/>
  <c r="U49" i="2"/>
  <c r="V66" i="2"/>
  <c r="V61" i="2"/>
  <c r="V43" i="2" s="1"/>
  <c r="P44" i="2"/>
  <c r="Q59" i="2"/>
  <c r="Q16" i="2" s="1"/>
  <c r="T14" i="2"/>
  <c r="T21" i="2"/>
  <c r="U7" i="2"/>
  <c r="D30" i="35"/>
  <c r="L31" i="35"/>
  <c r="K31" i="35"/>
  <c r="J31" i="35"/>
  <c r="N31" i="35"/>
  <c r="M31" i="35"/>
  <c r="F31" i="35"/>
  <c r="B33" i="35"/>
  <c r="B34" i="35" s="1"/>
  <c r="G27" i="30"/>
  <c r="I48" i="20" s="1"/>
  <c r="F28" i="34"/>
  <c r="F27" i="34"/>
  <c r="K24" i="29"/>
  <c r="G24" i="30"/>
  <c r="E23" i="32"/>
  <c r="D23" i="32"/>
  <c r="B24" i="32"/>
  <c r="F24" i="33"/>
  <c r="G24" i="33"/>
  <c r="E24" i="33"/>
  <c r="E26" i="33" s="1"/>
  <c r="B26" i="33"/>
  <c r="B27" i="33" s="1"/>
  <c r="I21" i="29"/>
  <c r="H27" i="20" s="1"/>
  <c r="E21" i="30"/>
  <c r="L23" i="29"/>
  <c r="H23" i="30"/>
  <c r="E24" i="29"/>
  <c r="G26" i="34"/>
  <c r="C22" i="29"/>
  <c r="G28" i="20" s="1"/>
  <c r="U12" i="2" s="1"/>
  <c r="F22" i="32"/>
  <c r="B24" i="36"/>
  <c r="F23" i="30"/>
  <c r="J23" i="29"/>
  <c r="M22" i="29"/>
  <c r="I22" i="30"/>
  <c r="Q64" i="2" l="1"/>
  <c r="Q17" i="2" s="1"/>
  <c r="S24" i="2"/>
  <c r="I26" i="20" s="1"/>
  <c r="S26" i="2"/>
  <c r="S30" i="2" s="1"/>
  <c r="J26" i="20" s="1"/>
  <c r="L26" i="2"/>
  <c r="L30" i="2" s="1"/>
  <c r="J19" i="20" s="1"/>
  <c r="L24" i="2"/>
  <c r="I19" i="20" s="1"/>
  <c r="L28" i="2"/>
  <c r="M42" i="2"/>
  <c r="M16" i="2"/>
  <c r="T23" i="2"/>
  <c r="T26" i="2" s="1"/>
  <c r="T30" i="2" s="1"/>
  <c r="J27" i="20" s="1"/>
  <c r="D31" i="35"/>
  <c r="D33" i="35" s="1"/>
  <c r="D34" i="35" s="1"/>
  <c r="V49" i="2"/>
  <c r="W61" i="2"/>
  <c r="X61" i="2" s="1"/>
  <c r="W66" i="2"/>
  <c r="X66" i="2" s="1"/>
  <c r="U14" i="2"/>
  <c r="U21" i="2"/>
  <c r="V7" i="2"/>
  <c r="Q41" i="2"/>
  <c r="U10" i="2"/>
  <c r="I23" i="30"/>
  <c r="M23" i="29"/>
  <c r="E22" i="30"/>
  <c r="I22" i="29"/>
  <c r="H28" i="20" s="1"/>
  <c r="E24" i="32"/>
  <c r="D24" i="32"/>
  <c r="D26" i="32" s="1"/>
  <c r="B26" i="32"/>
  <c r="B27" i="32" s="1"/>
  <c r="E28" i="33"/>
  <c r="F27" i="30"/>
  <c r="H48" i="20" s="1"/>
  <c r="E27" i="33"/>
  <c r="L24" i="29"/>
  <c r="H24" i="30"/>
  <c r="E24" i="36"/>
  <c r="B26" i="36"/>
  <c r="H26" i="34"/>
  <c r="G27" i="34"/>
  <c r="H27" i="34" s="1"/>
  <c r="J24" i="29"/>
  <c r="F24" i="30"/>
  <c r="F23" i="32"/>
  <c r="C23" i="29"/>
  <c r="G29" i="20" s="1"/>
  <c r="V12" i="2" s="1"/>
  <c r="D24" i="29"/>
  <c r="F26" i="33"/>
  <c r="T24" i="2" l="1"/>
  <c r="I27" i="20" s="1"/>
  <c r="W43" i="2"/>
  <c r="W49" i="2" s="1"/>
  <c r="N65" i="2"/>
  <c r="N60" i="2"/>
  <c r="N42" i="2" s="1"/>
  <c r="M48" i="2"/>
  <c r="M50" i="2" s="1"/>
  <c r="M44" i="2"/>
  <c r="M65" i="2"/>
  <c r="M17" i="2" s="1"/>
  <c r="M23" i="2"/>
  <c r="T28" i="2"/>
  <c r="H27" i="30"/>
  <c r="J48" i="20" s="1"/>
  <c r="D35" i="35"/>
  <c r="V10" i="2"/>
  <c r="Q47" i="2"/>
  <c r="Q44" i="2"/>
  <c r="R59" i="2"/>
  <c r="R16" i="2" s="1"/>
  <c r="R64" i="2"/>
  <c r="R17" i="2" s="1"/>
  <c r="V14" i="2"/>
  <c r="V21" i="2"/>
  <c r="W7" i="2"/>
  <c r="U23" i="2"/>
  <c r="G26" i="33"/>
  <c r="F27" i="33"/>
  <c r="G27" i="33" s="1"/>
  <c r="B27" i="36"/>
  <c r="E27" i="36" s="1"/>
  <c r="E26" i="36"/>
  <c r="E27" i="30"/>
  <c r="G48" i="20" s="1"/>
  <c r="D28" i="32"/>
  <c r="E29" i="30" s="1"/>
  <c r="G50" i="20" s="1"/>
  <c r="D27" i="32"/>
  <c r="I24" i="30"/>
  <c r="M24" i="29"/>
  <c r="C24" i="29"/>
  <c r="G30" i="20" s="1"/>
  <c r="W12" i="2" s="1"/>
  <c r="X12" i="2" s="1"/>
  <c r="J36" i="20" s="1"/>
  <c r="E12" i="37" s="1"/>
  <c r="F24" i="32"/>
  <c r="E26" i="32"/>
  <c r="I23" i="29"/>
  <c r="H29" i="20" s="1"/>
  <c r="E23" i="30"/>
  <c r="N48" i="2" l="1"/>
  <c r="N50" i="2" s="1"/>
  <c r="O65" i="2"/>
  <c r="O60" i="2"/>
  <c r="O42" i="2" s="1"/>
  <c r="R41" i="2"/>
  <c r="R44" i="2" s="1"/>
  <c r="M26" i="2"/>
  <c r="M30" i="2" s="1"/>
  <c r="J20" i="20" s="1"/>
  <c r="M28" i="2"/>
  <c r="M24" i="2"/>
  <c r="I20" i="20" s="1"/>
  <c r="V23" i="2"/>
  <c r="V26" i="2" s="1"/>
  <c r="V30" i="2" s="1"/>
  <c r="J29" i="20" s="1"/>
  <c r="X7" i="2"/>
  <c r="W21" i="2"/>
  <c r="X21" i="2" s="1"/>
  <c r="W14" i="2"/>
  <c r="X14" i="2" s="1"/>
  <c r="R47" i="2"/>
  <c r="W10" i="2"/>
  <c r="U26" i="2"/>
  <c r="U30" i="2" s="1"/>
  <c r="J28" i="20" s="1"/>
  <c r="U28" i="2"/>
  <c r="U24" i="2"/>
  <c r="I28" i="20" s="1"/>
  <c r="F26" i="32"/>
  <c r="E28" i="30" s="1"/>
  <c r="G49" i="20" s="1"/>
  <c r="E27" i="32"/>
  <c r="F27" i="32" s="1"/>
  <c r="I27" i="30"/>
  <c r="K48" i="20" s="1"/>
  <c r="I28" i="30"/>
  <c r="K49" i="20" s="1"/>
  <c r="I24" i="29"/>
  <c r="H30" i="20" s="1"/>
  <c r="E24" i="30"/>
  <c r="S64" i="2" l="1"/>
  <c r="S17" i="2" s="1"/>
  <c r="S59" i="2"/>
  <c r="S16" i="2" s="1"/>
  <c r="P60" i="2"/>
  <c r="P42" i="2" s="1"/>
  <c r="P65" i="2"/>
  <c r="O48" i="2"/>
  <c r="O50" i="2" s="1"/>
  <c r="V24" i="2"/>
  <c r="I29" i="20" s="1"/>
  <c r="V28" i="2"/>
  <c r="W23" i="2"/>
  <c r="J37" i="20"/>
  <c r="E13" i="37" s="1"/>
  <c r="X10" i="2"/>
  <c r="S41" i="2" l="1"/>
  <c r="S47" i="2" s="1"/>
  <c r="Q60" i="2"/>
  <c r="Q42" i="2" s="1"/>
  <c r="P48" i="2"/>
  <c r="P50" i="2" s="1"/>
  <c r="Q65" i="2"/>
  <c r="T59" i="2"/>
  <c r="T16" i="2" s="1"/>
  <c r="T64" i="2"/>
  <c r="T17" i="2" s="1"/>
  <c r="X23" i="2"/>
  <c r="W28" i="2"/>
  <c r="W24" i="2"/>
  <c r="I30" i="20" s="1"/>
  <c r="W26" i="2"/>
  <c r="S44" i="2" l="1"/>
  <c r="T41" i="2"/>
  <c r="T47" i="2" s="1"/>
  <c r="R65" i="2"/>
  <c r="R60" i="2"/>
  <c r="R42" i="2" s="1"/>
  <c r="Q48" i="2"/>
  <c r="Q50" i="2" s="1"/>
  <c r="X26" i="2"/>
  <c r="X30" i="2" s="1"/>
  <c r="J40" i="20" s="1"/>
  <c r="E16" i="37" s="1"/>
  <c r="W30" i="2"/>
  <c r="J30" i="20" s="1"/>
  <c r="X24" i="2"/>
  <c r="J39" i="20" s="1"/>
  <c r="E15" i="37" s="1"/>
  <c r="U59" i="2"/>
  <c r="U16" i="2" s="1"/>
  <c r="T44" i="2" l="1"/>
  <c r="U64" i="2"/>
  <c r="U17" i="2" s="1"/>
  <c r="S65" i="2"/>
  <c r="S60" i="2"/>
  <c r="S42" i="2" s="1"/>
  <c r="R48" i="2"/>
  <c r="R50" i="2" s="1"/>
  <c r="U41" i="2"/>
  <c r="T65" i="2" l="1"/>
  <c r="T60" i="2"/>
  <c r="T42" i="2" s="1"/>
  <c r="S48" i="2"/>
  <c r="S50" i="2" s="1"/>
  <c r="U47" i="2"/>
  <c r="U44" i="2"/>
  <c r="V59" i="2"/>
  <c r="V16" i="2" s="1"/>
  <c r="V64" i="2"/>
  <c r="V17" i="2" s="1"/>
  <c r="T48" i="2" l="1"/>
  <c r="T50" i="2" s="1"/>
  <c r="U65" i="2"/>
  <c r="U60" i="2"/>
  <c r="U42" i="2" s="1"/>
  <c r="V41" i="2"/>
  <c r="V47" i="2" s="1"/>
  <c r="V60" i="2" l="1"/>
  <c r="V42" i="2" s="1"/>
  <c r="V65" i="2"/>
  <c r="U48" i="2"/>
  <c r="U50" i="2" s="1"/>
  <c r="W59" i="2"/>
  <c r="X59" i="2" s="1"/>
  <c r="W64" i="2"/>
  <c r="W17" i="2" s="1"/>
  <c r="X17" i="2" s="1"/>
  <c r="X28" i="2" s="1"/>
  <c r="V44" i="2"/>
  <c r="W41" i="2"/>
  <c r="W16" i="2" l="1"/>
  <c r="X16" i="2" s="1"/>
  <c r="X64" i="2"/>
  <c r="V48" i="2"/>
  <c r="V50" i="2" s="1"/>
  <c r="W65" i="2"/>
  <c r="X65" i="2" s="1"/>
  <c r="W60" i="2"/>
  <c r="X60" i="2" s="1"/>
  <c r="W47" i="2"/>
  <c r="W44" i="2"/>
  <c r="J38" i="20" l="1"/>
  <c r="E14" i="37" s="1"/>
  <c r="W42" i="2"/>
  <c r="W48" i="2" s="1"/>
  <c r="W50" i="2" s="1"/>
</calcChain>
</file>

<file path=xl/sharedStrings.xml><?xml version="1.0" encoding="utf-8"?>
<sst xmlns="http://schemas.openxmlformats.org/spreadsheetml/2006/main" count="441" uniqueCount="245">
  <si>
    <t>RENEWAL TOOL</t>
  </si>
  <si>
    <t>TTM DATA</t>
  </si>
  <si>
    <t>Input in RMB</t>
  </si>
  <si>
    <t>STORE INFORMATION</t>
  </si>
  <si>
    <t>SALES COMP &amp; RENEWAL RENT INFORMATION</t>
  </si>
  <si>
    <t>Market</t>
  </si>
  <si>
    <t>Rental Structure (1-5)</t>
  </si>
  <si>
    <t>U.S. Siteno</t>
  </si>
  <si>
    <t>Contribution Margin%</t>
  </si>
  <si>
    <t>Please ask Finance</t>
  </si>
  <si>
    <t>Store Name</t>
  </si>
  <si>
    <t>From Rental Worksheet</t>
  </si>
  <si>
    <t>Open Date</t>
  </si>
  <si>
    <t>Straight-line</t>
  </si>
  <si>
    <t>Rent as % of</t>
  </si>
  <si>
    <t>Lease Exp. Date</t>
  </si>
  <si>
    <t>Year</t>
  </si>
  <si>
    <t>Sales Comp%</t>
  </si>
  <si>
    <t>Rent Expense</t>
  </si>
  <si>
    <t>Total Sales</t>
  </si>
  <si>
    <t>SOI%</t>
  </si>
  <si>
    <t>Cash ROI%</t>
  </si>
  <si>
    <t>Renewal Years</t>
  </si>
  <si>
    <t>TTM</t>
  </si>
  <si>
    <t>TTM FINANCIAL DATA (RMB)</t>
  </si>
  <si>
    <t xml:space="preserve">PRODUCT SALES </t>
  </si>
  <si>
    <t>COMP%</t>
  </si>
  <si>
    <t xml:space="preserve">RENT </t>
  </si>
  <si>
    <t xml:space="preserve">DEPRECIATION LHI </t>
  </si>
  <si>
    <t xml:space="preserve">INTEREST LHI </t>
  </si>
  <si>
    <t xml:space="preserve">SERVICE FEE </t>
  </si>
  <si>
    <t xml:space="preserve">ACCOUNTING </t>
  </si>
  <si>
    <t xml:space="preserve">INSURANCE </t>
  </si>
  <si>
    <t xml:space="preserve">TAXES &amp; LICENSES </t>
  </si>
  <si>
    <t xml:space="preserve">DEPRECIATION ESSD </t>
  </si>
  <si>
    <t xml:space="preserve">INTEREST ESSD </t>
  </si>
  <si>
    <t xml:space="preserve">OTHER (INC)/EXP </t>
  </si>
  <si>
    <t xml:space="preserve">NON-PRODUCT SALES </t>
  </si>
  <si>
    <t xml:space="preserve">NON-PRODUCT COSTS </t>
  </si>
  <si>
    <t>SOI</t>
  </si>
  <si>
    <t>RESTAURANT CASHFLOW/ ROI%</t>
  </si>
  <si>
    <t>SYSTEM CASHFLOW/ ROI%</t>
  </si>
  <si>
    <t>MCOPCO MARGIN</t>
  </si>
  <si>
    <t>*System Cashflow = Restaurant CF + Service Fee + Accounting Fee</t>
  </si>
  <si>
    <t>FINANCIAL MEASURES</t>
  </si>
  <si>
    <t>Last Year</t>
  </si>
  <si>
    <t>Yr1</t>
  </si>
  <si>
    <t>Avg Renewal</t>
  </si>
  <si>
    <t>INITIAL INVESTMENT DATA (RMB)</t>
  </si>
  <si>
    <t>NBV</t>
  </si>
  <si>
    <t>Initial term</t>
  </si>
  <si>
    <t>New Term</t>
  </si>
  <si>
    <t>Period</t>
  </si>
  <si>
    <t>Cost</t>
  </si>
  <si>
    <t>Lease end</t>
  </si>
  <si>
    <t>Annual Rent Expense</t>
  </si>
  <si>
    <t>RE</t>
  </si>
  <si>
    <t>Rent as % Prod Sales</t>
  </si>
  <si>
    <t>LHI</t>
  </si>
  <si>
    <t>Occupancy as % of Prod Sales</t>
  </si>
  <si>
    <t>ESSD</t>
  </si>
  <si>
    <t>SOI as % of Prod Sales</t>
  </si>
  <si>
    <t>Total</t>
  </si>
  <si>
    <r>
      <t xml:space="preserve">Write-off risk </t>
    </r>
    <r>
      <rPr>
        <i/>
        <sz val="11"/>
        <rFont val="Calibri"/>
        <family val="2"/>
      </rPr>
      <t>(enter positive amount)</t>
    </r>
  </si>
  <si>
    <t>Yr1 SOI Break-even Rent</t>
  </si>
  <si>
    <t>REINVESTMENT ESTIMATE (RMB)</t>
  </si>
  <si>
    <t>RENT STRUCTURE COMPARISON</t>
  </si>
  <si>
    <t>Fixed</t>
  </si>
  <si>
    <t>%</t>
  </si>
  <si>
    <t>Higher of</t>
  </si>
  <si>
    <t>Fixed plus</t>
  </si>
  <si>
    <t>% with sales</t>
  </si>
  <si>
    <t>Rent</t>
  </si>
  <si>
    <t>Base vs %</t>
  </si>
  <si>
    <t>% Rent</t>
  </si>
  <si>
    <t>hurdles</t>
  </si>
  <si>
    <t>Other</t>
  </si>
  <si>
    <t>Yr1 Rent Exp.</t>
  </si>
  <si>
    <t>Yr1 SOI%</t>
  </si>
  <si>
    <t xml:space="preserve">Avg Rent% </t>
  </si>
  <si>
    <t>NPV Tot. Rent</t>
  </si>
  <si>
    <t>COMMENTS/ CONCLUSION</t>
  </si>
  <si>
    <t>FIXED RENT</t>
  </si>
  <si>
    <r>
      <rPr>
        <b/>
        <sz val="11"/>
        <color indexed="10"/>
        <rFont val="Calibri"/>
        <family val="2"/>
      </rPr>
      <t>Product Sales</t>
    </r>
    <r>
      <rPr>
        <b/>
        <sz val="11"/>
        <color indexed="8"/>
        <rFont val="Calibri"/>
        <family val="2"/>
      </rPr>
      <t xml:space="preserve"> Projection</t>
    </r>
  </si>
  <si>
    <t>Fixed Rent</t>
  </si>
  <si>
    <r>
      <t xml:space="preserve">Annual
</t>
    </r>
    <r>
      <rPr>
        <b/>
        <sz val="11"/>
        <color indexed="10"/>
        <rFont val="Calibri"/>
        <family val="2"/>
      </rPr>
      <t>Rent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10"/>
        <rFont val="Calibri"/>
        <family val="2"/>
      </rPr>
      <t>Payment</t>
    </r>
  </si>
  <si>
    <r>
      <t xml:space="preserve">Annual
</t>
    </r>
    <r>
      <rPr>
        <b/>
        <sz val="11"/>
        <color indexed="10"/>
        <rFont val="Calibri"/>
        <family val="2"/>
      </rPr>
      <t>Rent Expense</t>
    </r>
    <r>
      <rPr>
        <b/>
        <sz val="11"/>
        <color indexed="8"/>
        <rFont val="Calibri"/>
        <family val="2"/>
      </rPr>
      <t xml:space="preserve"> (Straight-line)</t>
    </r>
  </si>
  <si>
    <r>
      <t xml:space="preserve">Rent as % of </t>
    </r>
    <r>
      <rPr>
        <b/>
        <sz val="11"/>
        <color indexed="10"/>
        <rFont val="Calibri"/>
        <family val="2"/>
      </rPr>
      <t>Product Sales</t>
    </r>
  </si>
  <si>
    <t>Average</t>
  </si>
  <si>
    <t>NPV</t>
  </si>
  <si>
    <t>% RENT</t>
  </si>
  <si>
    <t>Rent %</t>
  </si>
  <si>
    <t>THE HIGHER OF BASE RENT OR % RENT</t>
  </si>
  <si>
    <t>Base Rent</t>
  </si>
  <si>
    <t>FIXED RENT + % RENT</t>
  </si>
  <si>
    <t>Threshold</t>
  </si>
  <si>
    <t>% RENT WITH SALES HURDLES</t>
  </si>
  <si>
    <t>Hurdle</t>
  </si>
  <si>
    <t>Sales from</t>
  </si>
  <si>
    <t>Sales to</t>
  </si>
  <si>
    <t>Max</t>
  </si>
  <si>
    <r>
      <t>OTHER</t>
    </r>
    <r>
      <rPr>
        <b/>
        <i/>
        <sz val="12"/>
        <color indexed="8"/>
        <rFont val="Calibri"/>
        <family val="2"/>
      </rPr>
      <t xml:space="preserve"> (PLEASE ASK FOR FINANCE SUPPORT)</t>
    </r>
  </si>
  <si>
    <t>Profitability Study for Store Renewal</t>
  </si>
  <si>
    <t>Market:</t>
  </si>
  <si>
    <t>Flow-thru assumption (to PAC)</t>
  </si>
  <si>
    <t>U.S Site:</t>
  </si>
  <si>
    <t>Renewal Years:</t>
  </si>
  <si>
    <t>TTM Data</t>
  </si>
  <si>
    <t>PRODUCT SALES</t>
  </si>
  <si>
    <t>PAC</t>
  </si>
  <si>
    <t>RENT</t>
  </si>
  <si>
    <t xml:space="preserve">  SERVICE FEES</t>
  </si>
  <si>
    <t xml:space="preserve">  ACCOUNTING, INSURANCE, TAX</t>
  </si>
  <si>
    <t xml:space="preserve">  DEPRECIATION</t>
  </si>
  <si>
    <t xml:space="preserve">  INTEREST</t>
  </si>
  <si>
    <t xml:space="preserve">  OTHER (INC)/EXP</t>
  </si>
  <si>
    <t>NON-PRODUCT SALES</t>
  </si>
  <si>
    <t>NON-PRODUCT COSTS</t>
  </si>
  <si>
    <t>Cash Flow</t>
  </si>
  <si>
    <t>McOpCo Margin</t>
  </si>
  <si>
    <t>Cash ROI %</t>
  </si>
  <si>
    <t>INITIAL INVESTMENT</t>
  </si>
  <si>
    <t>REAL ESTATE</t>
  </si>
  <si>
    <t>TOTAL</t>
  </si>
  <si>
    <t>* assumption: write-off remaining NBV in 3 years</t>
  </si>
  <si>
    <t>REMODEL</t>
  </si>
  <si>
    <t>DEPRECIATION</t>
  </si>
  <si>
    <t>INTEREST</t>
  </si>
  <si>
    <t>SERVICE FEES</t>
  </si>
  <si>
    <t>ACCOUNTING</t>
  </si>
  <si>
    <t>OTHER (INC)/EXP</t>
  </si>
  <si>
    <t>Break-even</t>
  </si>
  <si>
    <t>Rent Type:</t>
  </si>
  <si>
    <t>Increase?:</t>
  </si>
  <si>
    <t xml:space="preserve">The higher of Base Rent or % Rent </t>
  </si>
  <si>
    <t>RENT STRUCTURES:</t>
  </si>
  <si>
    <t>EXAMPLE Annual Rent '000 (also details below):</t>
  </si>
  <si>
    <t>Fixed Rent + % Rent</t>
  </si>
  <si>
    <t>Click cell to go to worksheet</t>
  </si>
  <si>
    <t>% Rent with Sales hurdles</t>
  </si>
  <si>
    <t>Yr2</t>
  </si>
  <si>
    <t>Yr3</t>
  </si>
  <si>
    <t>Yr4</t>
  </si>
  <si>
    <t>Yr5</t>
  </si>
  <si>
    <t>Yr6</t>
  </si>
  <si>
    <t>Yr7</t>
  </si>
  <si>
    <t>Yr8</t>
  </si>
  <si>
    <t>Yr9</t>
  </si>
  <si>
    <t>Yr10</t>
  </si>
  <si>
    <t>Contact MCCL Development (Rolf Geling)</t>
  </si>
  <si>
    <t>1A</t>
  </si>
  <si>
    <t>without increase</t>
  </si>
  <si>
    <t>1B</t>
  </si>
  <si>
    <t>with increase</t>
  </si>
  <si>
    <t>2A</t>
  </si>
  <si>
    <t>2B</t>
  </si>
  <si>
    <t>3A</t>
  </si>
  <si>
    <t>3B</t>
  </si>
  <si>
    <t>with increase in Base</t>
  </si>
  <si>
    <t>3C</t>
  </si>
  <si>
    <t>with increase in %</t>
  </si>
  <si>
    <t>3D</t>
  </si>
  <si>
    <t>with increase in Base and %</t>
  </si>
  <si>
    <t>4A</t>
  </si>
  <si>
    <t>4B</t>
  </si>
  <si>
    <t>with increase in Fixed</t>
  </si>
  <si>
    <t>4C</t>
  </si>
  <si>
    <t>4D</t>
  </si>
  <si>
    <t>with increase in Fixed and %</t>
  </si>
  <si>
    <t>5A</t>
  </si>
  <si>
    <t>without Base</t>
  </si>
  <si>
    <t>Hurdles</t>
  </si>
  <si>
    <t>Sales</t>
  </si>
  <si>
    <t>&lt;8M</t>
  </si>
  <si>
    <t>5B</t>
  </si>
  <si>
    <t>with Base</t>
  </si>
  <si>
    <t>8-9M</t>
  </si>
  <si>
    <t>9-10M</t>
  </si>
  <si>
    <t>&gt;10M</t>
  </si>
  <si>
    <t>Example Restaurant X</t>
  </si>
  <si>
    <t>Sales'000</t>
  </si>
  <si>
    <t>Input in RMB'000</t>
  </si>
  <si>
    <t>Product Sales/Comp Projection</t>
  </si>
  <si>
    <t>Product Sales ('000)</t>
  </si>
  <si>
    <t>Comp%</t>
  </si>
  <si>
    <t>Rent as % of Product Sales</t>
  </si>
  <si>
    <t>Yr1 Rent Expense</t>
  </si>
  <si>
    <t>Avg Rent as % of Product Sales</t>
  </si>
  <si>
    <t>NPV Rent Payments</t>
  </si>
  <si>
    <t>Structure</t>
  </si>
  <si>
    <t>Fields</t>
  </si>
  <si>
    <t>Inputs</t>
  </si>
  <si>
    <t>Output</t>
  </si>
  <si>
    <t>Annual Rent Expense_Last Year</t>
  </si>
  <si>
    <t>USCode</t>
  </si>
  <si>
    <t>Rent as % Prod Sales_Last Year</t>
  </si>
  <si>
    <t>Occupancy as % of Prod Sales_Last Year</t>
  </si>
  <si>
    <t>SOI as % of Prod Sales_Last Year</t>
  </si>
  <si>
    <t>Lease Expirary Date</t>
  </si>
  <si>
    <t>Cash ROI%_Last Year</t>
  </si>
  <si>
    <t>Annual Rent Expense_New Term</t>
  </si>
  <si>
    <t>Rent as % Prod Sales_New Term</t>
  </si>
  <si>
    <t>Occupancy as % of Prod Sales_New Term</t>
  </si>
  <si>
    <t>SOI as % of Prod Sales_New Term</t>
  </si>
  <si>
    <t>Cash ROI%_New Term</t>
  </si>
  <si>
    <t>Annual Rent Expense_Renewal Period</t>
  </si>
  <si>
    <t>Rent as % Prod Sales_Renewal Period</t>
  </si>
  <si>
    <t>Occupancy as % of Prod Sales_Renewal Period</t>
  </si>
  <si>
    <t>SOI as % of Prod Sales_Renewal Period</t>
  </si>
  <si>
    <t>Cash ROI%_Renewal Period</t>
  </si>
  <si>
    <t>RE_Initial Investment</t>
  </si>
  <si>
    <t>LHI_Initial Investment</t>
  </si>
  <si>
    <t>ESSD_Initial Investment</t>
  </si>
  <si>
    <t>RE_NBV</t>
  </si>
  <si>
    <t>LHI_NBV</t>
  </si>
  <si>
    <t>ESSD_NBV</t>
  </si>
  <si>
    <t>RE_Reinvestment</t>
  </si>
  <si>
    <t>LHI_Reinvestment</t>
  </si>
  <si>
    <t>ESSD_Reinvestment</t>
  </si>
  <si>
    <t>Total Write off (Write off risk)</t>
  </si>
  <si>
    <t>Rental Structure</t>
  </si>
  <si>
    <t>Sales Comp% 1</t>
  </si>
  <si>
    <t>Sales Comp% 2</t>
  </si>
  <si>
    <t>Sales Comp% 3</t>
  </si>
  <si>
    <t>Sales Comp% 4</t>
  </si>
  <si>
    <t>Sales Comp% 5</t>
  </si>
  <si>
    <t>Sales Comp% 6</t>
  </si>
  <si>
    <t>Sales Comp% 7</t>
  </si>
  <si>
    <t>Sales Comp% 8</t>
  </si>
  <si>
    <t>Sales Comp% 9</t>
  </si>
  <si>
    <t>Sales Comp% 10</t>
  </si>
  <si>
    <t>Sales Comp% 11</t>
  </si>
  <si>
    <t>Sales Comp% 12</t>
  </si>
  <si>
    <t>Sales Comp% 13</t>
  </si>
  <si>
    <t>Sales Comp% 14</t>
  </si>
  <si>
    <t>Sales Comp% 15</t>
  </si>
  <si>
    <t>Sales Comp% 16</t>
  </si>
  <si>
    <t>Sales Comp% 17</t>
  </si>
  <si>
    <t>Sales Comp% 18</t>
  </si>
  <si>
    <t>Sales Comp% 19</t>
  </si>
  <si>
    <t>Sales Comp% 20</t>
  </si>
  <si>
    <t>Comp%</t>
    <phoneticPr fontId="13" type="noConversion"/>
  </si>
  <si>
    <t>TTM Data</t>
    <phoneticPr fontId="13" type="noConversion"/>
  </si>
  <si>
    <t>PAC</t>
    <phoneticPr fontId="2" type="noConversion"/>
  </si>
  <si>
    <t>PAC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</si>
</sst>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_(* #,##0_);_(* \(#,##0\);_(* &quot;-&quot;_);_(@_)"/>
    <numFmt numFmtId="177" formatCode="_(* #,##0.00_);_(* \(#,##0.00\);_(* &quot;-&quot;??_);_(@_)"/>
    <numFmt numFmtId="178" formatCode="0.0%"/>
    <numFmt numFmtId="179" formatCode="_(* #,##0_);_(* \(#,##0\);_(* &quot;-&quot;??_);_(@_)"/>
    <numFmt numFmtId="180" formatCode="General_)"/>
    <numFmt numFmtId="181" formatCode="yyyymmdd"/>
    <numFmt numFmtId="182" formatCode="0.0000_ "/>
    <numFmt numFmtId="183" formatCode="[$-409]mmm\-yy;@"/>
    <numFmt numFmtId="184" formatCode="yyyy\-mm\-dd;@"/>
    <numFmt numFmtId="185" formatCode="0_);[Red]\(0\)"/>
    <numFmt numFmtId="186" formatCode="0_ "/>
  </numFmts>
  <fonts count="28" x14ac:knownFonts="1">
    <font>
      <sz val="12"/>
      <name val="宋体"/>
    </font>
    <font>
      <sz val="12"/>
      <name val="宋体"/>
      <family val="3"/>
    </font>
    <font>
      <sz val="10"/>
      <name val="Arial"/>
      <family val="2"/>
    </font>
    <font>
      <sz val="12"/>
      <name val="Helv"/>
      <family val="2"/>
    </font>
    <font>
      <b/>
      <sz val="11"/>
      <color indexed="10"/>
      <name val="Calibri"/>
      <family val="2"/>
    </font>
    <font>
      <i/>
      <sz val="11"/>
      <name val="Calibri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name val="Calibri"/>
      <family val="2"/>
    </font>
    <font>
      <b/>
      <i/>
      <u/>
      <sz val="12"/>
      <color rgb="FFFF0000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indexed="12"/>
      <name val="Calibri"/>
      <family val="2"/>
    </font>
    <font>
      <u/>
      <sz val="11"/>
      <name val="Calibri"/>
      <family val="2"/>
    </font>
    <font>
      <b/>
      <sz val="14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sz val="10"/>
      <name val="Calibri"/>
      <family val="2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/>
      </left>
      <right style="thin">
        <color theme="3" tint="-0.24994659260841701"/>
      </right>
      <top/>
      <bottom/>
      <diagonal/>
    </border>
  </borders>
  <cellStyleXfs count="13">
    <xf numFmtId="0" fontId="0" fillId="0" borderId="0"/>
    <xf numFmtId="177" fontId="6" fillId="0" borderId="0"/>
    <xf numFmtId="177" fontId="6" fillId="0" borderId="0"/>
    <xf numFmtId="0" fontId="7" fillId="0" borderId="0"/>
    <xf numFmtId="0" fontId="6" fillId="0" borderId="0"/>
    <xf numFmtId="0" fontId="6" fillId="0" borderId="0"/>
    <xf numFmtId="9" fontId="1" fillId="0" borderId="0"/>
    <xf numFmtId="9" fontId="6" fillId="0" borderId="0"/>
    <xf numFmtId="9" fontId="6" fillId="0" borderId="0"/>
    <xf numFmtId="9" fontId="2" fillId="0" borderId="0"/>
    <xf numFmtId="0" fontId="2" fillId="0" borderId="0"/>
    <xf numFmtId="180" fontId="3" fillId="0" borderId="0"/>
    <xf numFmtId="182" fontId="2" fillId="0" borderId="0"/>
  </cellStyleXfs>
  <cellXfs count="352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3" fontId="8" fillId="0" borderId="0" xfId="0" applyNumberFormat="1" applyFont="1"/>
    <xf numFmtId="178" fontId="8" fillId="0" borderId="0" xfId="6" applyNumberFormat="1" applyFont="1" applyAlignment="1">
      <alignment horizontal="center"/>
    </xf>
    <xf numFmtId="0" fontId="9" fillId="3" borderId="0" xfId="5" applyFont="1" applyFill="1"/>
    <xf numFmtId="0" fontId="10" fillId="3" borderId="0" xfId="5" applyFont="1" applyFill="1"/>
    <xf numFmtId="0" fontId="11" fillId="7" borderId="37" xfId="5" applyFont="1" applyFill="1" applyBorder="1" applyAlignment="1">
      <alignment horizontal="centerContinuous" wrapText="1"/>
    </xf>
    <xf numFmtId="0" fontId="11" fillId="7" borderId="42" xfId="5" applyFont="1" applyFill="1" applyBorder="1" applyAlignment="1">
      <alignment horizontal="centerContinuous" wrapText="1"/>
    </xf>
    <xf numFmtId="0" fontId="12" fillId="7" borderId="0" xfId="5" applyFont="1" applyFill="1" applyAlignment="1">
      <alignment horizontal="center"/>
    </xf>
    <xf numFmtId="0" fontId="12" fillId="7" borderId="0" xfId="5" applyFont="1" applyFill="1" applyAlignment="1">
      <alignment horizontal="centerContinuous" wrapText="1"/>
    </xf>
    <xf numFmtId="0" fontId="12" fillId="7" borderId="38" xfId="5" applyFont="1" applyFill="1" applyBorder="1" applyAlignment="1">
      <alignment horizontal="centerContinuous" wrapText="1"/>
    </xf>
    <xf numFmtId="0" fontId="12" fillId="7" borderId="37" xfId="5" applyFont="1" applyFill="1" applyBorder="1" applyAlignment="1">
      <alignment horizontal="centerContinuous" wrapText="1"/>
    </xf>
    <xf numFmtId="0" fontId="12" fillId="7" borderId="42" xfId="5" applyFont="1" applyFill="1" applyBorder="1" applyAlignment="1">
      <alignment horizontal="centerContinuous" wrapText="1"/>
    </xf>
    <xf numFmtId="0" fontId="10" fillId="3" borderId="0" xfId="5" applyFont="1" applyFill="1" applyAlignment="1">
      <alignment horizontal="center" wrapText="1"/>
    </xf>
    <xf numFmtId="0" fontId="10" fillId="3" borderId="0" xfId="5" applyFont="1" applyFill="1" applyAlignment="1">
      <alignment horizontal="center"/>
    </xf>
    <xf numFmtId="0" fontId="10" fillId="3" borderId="39" xfId="5" applyFont="1" applyFill="1" applyBorder="1" applyAlignment="1">
      <alignment horizontal="center" wrapText="1"/>
    </xf>
    <xf numFmtId="0" fontId="13" fillId="3" borderId="0" xfId="5" applyFont="1" applyFill="1" applyAlignment="1">
      <alignment horizontal="center"/>
    </xf>
    <xf numFmtId="37" fontId="13" fillId="3" borderId="40" xfId="5" applyNumberFormat="1" applyFont="1" applyFill="1" applyBorder="1" applyAlignment="1">
      <alignment horizontal="center"/>
    </xf>
    <xf numFmtId="9" fontId="8" fillId="3" borderId="9" xfId="8" applyFont="1" applyFill="1" applyBorder="1" applyAlignment="1">
      <alignment horizontal="center"/>
    </xf>
    <xf numFmtId="178" fontId="8" fillId="3" borderId="39" xfId="8" applyNumberFormat="1" applyFont="1" applyFill="1" applyBorder="1" applyAlignment="1">
      <alignment horizontal="center"/>
    </xf>
    <xf numFmtId="178" fontId="8" fillId="3" borderId="41" xfId="8" applyNumberFormat="1" applyFont="1" applyFill="1" applyBorder="1" applyAlignment="1">
      <alignment horizontal="center"/>
    </xf>
    <xf numFmtId="0" fontId="13" fillId="3" borderId="0" xfId="5" applyFont="1" applyFill="1"/>
    <xf numFmtId="0" fontId="14" fillId="3" borderId="0" xfId="5" applyFont="1" applyFill="1"/>
    <xf numFmtId="0" fontId="13" fillId="3" borderId="39" xfId="5" applyFont="1" applyFill="1" applyBorder="1"/>
    <xf numFmtId="0" fontId="13" fillId="3" borderId="41" xfId="5" applyFont="1" applyFill="1" applyBorder="1"/>
    <xf numFmtId="3" fontId="10" fillId="3" borderId="39" xfId="5" applyNumberFormat="1" applyFont="1" applyFill="1" applyBorder="1" applyAlignment="1">
      <alignment horizontal="center"/>
    </xf>
    <xf numFmtId="3" fontId="10" fillId="3" borderId="41" xfId="5" applyNumberFormat="1" applyFont="1" applyFill="1" applyBorder="1" applyAlignment="1">
      <alignment horizontal="center"/>
    </xf>
    <xf numFmtId="178" fontId="10" fillId="3" borderId="39" xfId="6" applyNumberFormat="1" applyFont="1" applyFill="1" applyBorder="1" applyAlignment="1">
      <alignment horizontal="center"/>
    </xf>
    <xf numFmtId="178" fontId="10" fillId="3" borderId="39" xfId="8" applyNumberFormat="1" applyFont="1" applyFill="1" applyBorder="1" applyAlignment="1">
      <alignment horizontal="center"/>
    </xf>
    <xf numFmtId="178" fontId="10" fillId="3" borderId="41" xfId="8" applyNumberFormat="1" applyFont="1" applyFill="1" applyBorder="1" applyAlignment="1">
      <alignment horizontal="center"/>
    </xf>
    <xf numFmtId="0" fontId="13" fillId="3" borderId="0" xfId="4" applyFont="1" applyFill="1"/>
    <xf numFmtId="0" fontId="13" fillId="3" borderId="0" xfId="4" applyFont="1" applyFill="1" applyAlignment="1">
      <alignment horizontal="center"/>
    </xf>
    <xf numFmtId="0" fontId="10" fillId="3" borderId="0" xfId="4" applyFont="1" applyFill="1" applyAlignment="1">
      <alignment horizontal="right" vertical="center"/>
    </xf>
    <xf numFmtId="0" fontId="16" fillId="3" borderId="0" xfId="4" applyFont="1" applyFill="1"/>
    <xf numFmtId="0" fontId="13" fillId="6" borderId="0" xfId="4" applyFont="1" applyFill="1"/>
    <xf numFmtId="0" fontId="10" fillId="3" borderId="0" xfId="4" applyFont="1" applyFill="1"/>
    <xf numFmtId="0" fontId="10" fillId="0" borderId="0" xfId="4" applyFont="1"/>
    <xf numFmtId="0" fontId="17" fillId="3" borderId="0" xfId="4" applyFont="1" applyFill="1"/>
    <xf numFmtId="0" fontId="10" fillId="3" borderId="0" xfId="4" applyFont="1" applyFill="1" applyAlignment="1">
      <alignment horizontal="center"/>
    </xf>
    <xf numFmtId="0" fontId="18" fillId="3" borderId="12" xfId="3" applyFont="1" applyFill="1" applyBorder="1" applyAlignment="1">
      <alignment horizontal="center"/>
    </xf>
    <xf numFmtId="0" fontId="18" fillId="3" borderId="13" xfId="3" applyFont="1" applyFill="1" applyBorder="1" applyAlignment="1">
      <alignment horizontal="left"/>
    </xf>
    <xf numFmtId="0" fontId="18" fillId="3" borderId="14" xfId="3" applyFont="1" applyFill="1" applyBorder="1" applyAlignment="1">
      <alignment horizontal="left"/>
    </xf>
    <xf numFmtId="0" fontId="10" fillId="3" borderId="15" xfId="4" applyFont="1" applyFill="1" applyBorder="1" applyAlignment="1">
      <alignment horizontal="center"/>
    </xf>
    <xf numFmtId="0" fontId="10" fillId="3" borderId="16" xfId="4" applyFont="1" applyFill="1" applyBorder="1" applyAlignment="1">
      <alignment horizontal="left"/>
    </xf>
    <xf numFmtId="0" fontId="10" fillId="3" borderId="17" xfId="4" applyFont="1" applyFill="1" applyBorder="1"/>
    <xf numFmtId="3" fontId="13" fillId="3" borderId="17" xfId="4" applyNumberFormat="1" applyFont="1" applyFill="1" applyBorder="1" applyAlignment="1">
      <alignment horizontal="center"/>
    </xf>
    <xf numFmtId="3" fontId="13" fillId="3" borderId="16" xfId="4" applyNumberFormat="1" applyFont="1" applyFill="1" applyBorder="1" applyAlignment="1">
      <alignment horizontal="center"/>
    </xf>
    <xf numFmtId="0" fontId="18" fillId="3" borderId="18" xfId="3" applyFont="1" applyFill="1" applyBorder="1" applyAlignment="1">
      <alignment horizontal="center"/>
    </xf>
    <xf numFmtId="0" fontId="18" fillId="3" borderId="19" xfId="3" applyFont="1" applyFill="1" applyBorder="1" applyAlignment="1">
      <alignment horizontal="left"/>
    </xf>
    <xf numFmtId="0" fontId="18" fillId="3" borderId="20" xfId="3" applyFont="1" applyFill="1" applyBorder="1" applyAlignment="1">
      <alignment horizontal="left"/>
    </xf>
    <xf numFmtId="0" fontId="10" fillId="3" borderId="18" xfId="4" applyFont="1" applyFill="1" applyBorder="1" applyAlignment="1">
      <alignment horizontal="center"/>
    </xf>
    <xf numFmtId="0" fontId="10" fillId="3" borderId="20" xfId="4" applyFont="1" applyFill="1" applyBorder="1" applyAlignment="1">
      <alignment horizontal="left"/>
    </xf>
    <xf numFmtId="3" fontId="14" fillId="3" borderId="17" xfId="4" applyNumberFormat="1" applyFont="1" applyFill="1" applyBorder="1" applyAlignment="1">
      <alignment horizontal="center"/>
    </xf>
    <xf numFmtId="3" fontId="14" fillId="3" borderId="16" xfId="4" applyNumberFormat="1" applyFont="1" applyFill="1" applyBorder="1" applyAlignment="1">
      <alignment horizontal="center"/>
    </xf>
    <xf numFmtId="0" fontId="13" fillId="3" borderId="0" xfId="4" applyFont="1" applyFill="1" applyAlignment="1">
      <alignment horizontal="left"/>
    </xf>
    <xf numFmtId="0" fontId="17" fillId="3" borderId="0" xfId="4" applyFont="1" applyFill="1" applyAlignment="1">
      <alignment horizontal="center"/>
    </xf>
    <xf numFmtId="0" fontId="10" fillId="3" borderId="12" xfId="4" applyFont="1" applyFill="1" applyBorder="1" applyAlignment="1">
      <alignment horizontal="center"/>
    </xf>
    <xf numFmtId="0" fontId="10" fillId="3" borderId="14" xfId="4" applyFont="1" applyFill="1" applyBorder="1" applyAlignment="1">
      <alignment horizontal="left"/>
    </xf>
    <xf numFmtId="0" fontId="13" fillId="3" borderId="13" xfId="4" applyFont="1" applyFill="1" applyBorder="1"/>
    <xf numFmtId="178" fontId="8" fillId="3" borderId="13" xfId="7" applyNumberFormat="1" applyFont="1" applyFill="1" applyBorder="1" applyAlignment="1">
      <alignment horizontal="center"/>
    </xf>
    <xf numFmtId="178" fontId="8" fillId="3" borderId="14" xfId="7" applyNumberFormat="1" applyFont="1" applyFill="1" applyBorder="1" applyAlignment="1">
      <alignment horizontal="center"/>
    </xf>
    <xf numFmtId="0" fontId="18" fillId="3" borderId="21" xfId="3" applyFont="1" applyFill="1" applyBorder="1" applyAlignment="1">
      <alignment horizontal="center"/>
    </xf>
    <xf numFmtId="0" fontId="18" fillId="3" borderId="0" xfId="3" applyFont="1" applyFill="1" applyAlignment="1">
      <alignment horizontal="left"/>
    </xf>
    <xf numFmtId="0" fontId="18" fillId="3" borderId="22" xfId="3" applyFont="1" applyFill="1" applyBorder="1" applyAlignment="1">
      <alignment horizontal="left"/>
    </xf>
    <xf numFmtId="0" fontId="10" fillId="3" borderId="19" xfId="4" applyFont="1" applyFill="1" applyBorder="1"/>
    <xf numFmtId="3" fontId="19" fillId="3" borderId="19" xfId="4" applyNumberFormat="1" applyFont="1" applyFill="1" applyBorder="1" applyAlignment="1">
      <alignment horizontal="center"/>
    </xf>
    <xf numFmtId="3" fontId="19" fillId="3" borderId="20" xfId="4" applyNumberFormat="1" applyFont="1" applyFill="1" applyBorder="1" applyAlignment="1">
      <alignment horizontal="center"/>
    </xf>
    <xf numFmtId="178" fontId="14" fillId="3" borderId="13" xfId="7" applyNumberFormat="1" applyFont="1" applyFill="1" applyBorder="1" applyAlignment="1">
      <alignment horizontal="center"/>
    </xf>
    <xf numFmtId="178" fontId="14" fillId="3" borderId="14" xfId="7" applyNumberFormat="1" applyFont="1" applyFill="1" applyBorder="1" applyAlignment="1">
      <alignment horizontal="center"/>
    </xf>
    <xf numFmtId="0" fontId="10" fillId="0" borderId="0" xfId="4" applyFont="1" applyAlignment="1">
      <alignment horizontal="center"/>
    </xf>
    <xf numFmtId="3" fontId="13" fillId="3" borderId="13" xfId="4" applyNumberFormat="1" applyFont="1" applyFill="1" applyBorder="1" applyAlignment="1">
      <alignment horizontal="center"/>
    </xf>
    <xf numFmtId="3" fontId="13" fillId="3" borderId="14" xfId="4" applyNumberFormat="1" applyFont="1" applyFill="1" applyBorder="1" applyAlignment="1">
      <alignment horizontal="center"/>
    </xf>
    <xf numFmtId="0" fontId="10" fillId="3" borderId="21" xfId="4" applyFont="1" applyFill="1" applyBorder="1" applyAlignment="1">
      <alignment horizontal="center"/>
    </xf>
    <xf numFmtId="0" fontId="13" fillId="3" borderId="0" xfId="4" applyFont="1" applyFill="1"/>
    <xf numFmtId="178" fontId="8" fillId="3" borderId="0" xfId="7" applyNumberFormat="1" applyFont="1" applyFill="1" applyAlignment="1">
      <alignment horizontal="center"/>
    </xf>
    <xf numFmtId="178" fontId="8" fillId="3" borderId="22" xfId="7" applyNumberFormat="1" applyFont="1" applyFill="1" applyBorder="1" applyAlignment="1">
      <alignment horizontal="center"/>
    </xf>
    <xf numFmtId="3" fontId="10" fillId="3" borderId="19" xfId="4" applyNumberFormat="1" applyFont="1" applyFill="1" applyBorder="1" applyAlignment="1">
      <alignment horizontal="center"/>
    </xf>
    <xf numFmtId="3" fontId="10" fillId="3" borderId="20" xfId="4" applyNumberFormat="1" applyFont="1" applyFill="1" applyBorder="1" applyAlignment="1">
      <alignment horizontal="center"/>
    </xf>
    <xf numFmtId="0" fontId="18" fillId="3" borderId="0" xfId="3" applyFont="1" applyFill="1" applyAlignment="1">
      <alignment horizontal="center"/>
    </xf>
    <xf numFmtId="0" fontId="18" fillId="3" borderId="22" xfId="3" applyFont="1" applyFill="1" applyBorder="1" applyAlignment="1">
      <alignment horizontal="center"/>
    </xf>
    <xf numFmtId="3" fontId="14" fillId="3" borderId="13" xfId="4" applyNumberFormat="1" applyFont="1" applyFill="1" applyBorder="1" applyAlignment="1">
      <alignment horizontal="center"/>
    </xf>
    <xf numFmtId="3" fontId="14" fillId="3" borderId="14" xfId="4" applyNumberFormat="1" applyFont="1" applyFill="1" applyBorder="1" applyAlignment="1">
      <alignment horizontal="center"/>
    </xf>
    <xf numFmtId="178" fontId="14" fillId="3" borderId="0" xfId="7" applyNumberFormat="1" applyFont="1" applyFill="1" applyAlignment="1">
      <alignment horizontal="center"/>
    </xf>
    <xf numFmtId="178" fontId="14" fillId="3" borderId="22" xfId="7" applyNumberFormat="1" applyFont="1" applyFill="1" applyBorder="1" applyAlignment="1">
      <alignment horizontal="center"/>
    </xf>
    <xf numFmtId="0" fontId="18" fillId="3" borderId="19" xfId="3" applyFont="1" applyFill="1" applyBorder="1" applyAlignment="1">
      <alignment horizontal="center"/>
    </xf>
    <xf numFmtId="0" fontId="18" fillId="3" borderId="20" xfId="3" applyFont="1" applyFill="1" applyBorder="1" applyAlignment="1">
      <alignment horizontal="center"/>
    </xf>
    <xf numFmtId="0" fontId="10" fillId="3" borderId="14" xfId="4" applyFont="1" applyFill="1" applyBorder="1"/>
    <xf numFmtId="0" fontId="10" fillId="3" borderId="13" xfId="4" applyFont="1" applyFill="1" applyBorder="1"/>
    <xf numFmtId="3" fontId="19" fillId="3" borderId="13" xfId="4" applyNumberFormat="1" applyFont="1" applyFill="1" applyBorder="1" applyAlignment="1">
      <alignment horizontal="center"/>
    </xf>
    <xf numFmtId="3" fontId="19" fillId="3" borderId="14" xfId="4" applyNumberFormat="1" applyFont="1" applyFill="1" applyBorder="1" applyAlignment="1">
      <alignment horizontal="center"/>
    </xf>
    <xf numFmtId="0" fontId="13" fillId="3" borderId="21" xfId="4" applyFont="1" applyFill="1" applyBorder="1" applyAlignment="1">
      <alignment horizontal="center"/>
    </xf>
    <xf numFmtId="0" fontId="13" fillId="3" borderId="22" xfId="4" applyFont="1" applyFill="1" applyBorder="1"/>
    <xf numFmtId="0" fontId="10" fillId="3" borderId="0" xfId="4" applyFont="1" applyFill="1" applyAlignment="1">
      <alignment horizontal="center"/>
    </xf>
    <xf numFmtId="0" fontId="10" fillId="3" borderId="22" xfId="4" applyFont="1" applyFill="1" applyBorder="1" applyAlignment="1">
      <alignment horizontal="center"/>
    </xf>
    <xf numFmtId="0" fontId="13" fillId="3" borderId="18" xfId="4" applyFont="1" applyFill="1" applyBorder="1" applyAlignment="1">
      <alignment horizontal="center"/>
    </xf>
    <xf numFmtId="0" fontId="13" fillId="3" borderId="20" xfId="4" applyFont="1" applyFill="1" applyBorder="1"/>
    <xf numFmtId="0" fontId="13" fillId="3" borderId="19" xfId="4" applyFont="1" applyFill="1" applyBorder="1"/>
    <xf numFmtId="178" fontId="10" fillId="3" borderId="22" xfId="7" applyNumberFormat="1" applyFont="1" applyFill="1" applyBorder="1" applyAlignment="1">
      <alignment horizontal="center"/>
    </xf>
    <xf numFmtId="0" fontId="13" fillId="3" borderId="13" xfId="4" applyFont="1" applyFill="1" applyBorder="1" applyAlignment="1">
      <alignment horizontal="center"/>
    </xf>
    <xf numFmtId="0" fontId="13" fillId="3" borderId="14" xfId="4" applyFont="1" applyFill="1" applyBorder="1" applyAlignment="1">
      <alignment horizontal="center"/>
    </xf>
    <xf numFmtId="0" fontId="10" fillId="3" borderId="0" xfId="4" applyFont="1" applyFill="1"/>
    <xf numFmtId="3" fontId="19" fillId="3" borderId="0" xfId="4" applyNumberFormat="1" applyFont="1" applyFill="1" applyAlignment="1">
      <alignment horizontal="center"/>
    </xf>
    <xf numFmtId="3" fontId="19" fillId="3" borderId="22" xfId="4" applyNumberFormat="1" applyFont="1" applyFill="1" applyBorder="1" applyAlignment="1">
      <alignment horizontal="center"/>
    </xf>
    <xf numFmtId="0" fontId="10" fillId="3" borderId="19" xfId="4" applyFont="1" applyFill="1" applyBorder="1" applyAlignment="1">
      <alignment horizontal="center"/>
    </xf>
    <xf numFmtId="178" fontId="10" fillId="3" borderId="20" xfId="7" applyNumberFormat="1" applyFont="1" applyFill="1" applyBorder="1" applyAlignment="1">
      <alignment horizontal="center"/>
    </xf>
    <xf numFmtId="0" fontId="13" fillId="2" borderId="0" xfId="4" applyFont="1" applyFill="1" applyAlignment="1">
      <alignment horizontal="left"/>
    </xf>
    <xf numFmtId="0" fontId="13" fillId="2" borderId="0" xfId="4" applyFont="1" applyFill="1" applyAlignment="1">
      <alignment horizontal="center"/>
    </xf>
    <xf numFmtId="0" fontId="13" fillId="2" borderId="0" xfId="4" applyFont="1" applyFill="1"/>
    <xf numFmtId="3" fontId="13" fillId="2" borderId="0" xfId="4" applyNumberFormat="1" applyFont="1" applyFill="1" applyAlignment="1">
      <alignment horizontal="center"/>
    </xf>
    <xf numFmtId="0" fontId="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178" fontId="8" fillId="0" borderId="0" xfId="6" applyNumberFormat="1" applyFont="1"/>
    <xf numFmtId="0" fontId="8" fillId="0" borderId="0" xfId="0" applyFont="1" applyAlignment="1">
      <alignment horizontal="center"/>
    </xf>
    <xf numFmtId="181" fontId="8" fillId="0" borderId="0" xfId="0" applyNumberFormat="1" applyFont="1"/>
    <xf numFmtId="176" fontId="8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wrapText="1"/>
    </xf>
    <xf numFmtId="0" fontId="19" fillId="2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37" fontId="19" fillId="2" borderId="0" xfId="0" applyNumberFormat="1" applyFont="1" applyFill="1" applyAlignment="1">
      <alignment horizontal="center"/>
    </xf>
    <xf numFmtId="37" fontId="8" fillId="0" borderId="0" xfId="0" applyNumberFormat="1" applyFont="1" applyAlignment="1">
      <alignment horizontal="center"/>
    </xf>
    <xf numFmtId="37" fontId="19" fillId="3" borderId="0" xfId="0" applyNumberFormat="1" applyFont="1" applyFill="1" applyAlignment="1">
      <alignment horizontal="center"/>
    </xf>
    <xf numFmtId="176" fontId="19" fillId="0" borderId="0" xfId="0" applyNumberFormat="1" applyFont="1"/>
    <xf numFmtId="177" fontId="8" fillId="0" borderId="0" xfId="0" applyNumberFormat="1" applyFont="1"/>
    <xf numFmtId="10" fontId="19" fillId="2" borderId="0" xfId="0" applyNumberFormat="1" applyFont="1" applyFill="1" applyAlignment="1">
      <alignment horizontal="center"/>
    </xf>
    <xf numFmtId="9" fontId="8" fillId="0" borderId="0" xfId="0" applyNumberFormat="1" applyFont="1" applyAlignment="1">
      <alignment horizontal="center"/>
    </xf>
    <xf numFmtId="0" fontId="19" fillId="3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8" fillId="3" borderId="0" xfId="0" applyNumberFormat="1" applyFont="1" applyFill="1" applyAlignment="1">
      <alignment horizontal="center"/>
    </xf>
    <xf numFmtId="178" fontId="19" fillId="3" borderId="0" xfId="0" applyNumberFormat="1" applyFont="1" applyFill="1" applyAlignment="1">
      <alignment horizontal="center"/>
    </xf>
    <xf numFmtId="178" fontId="19" fillId="0" borderId="0" xfId="0" applyNumberFormat="1" applyFont="1"/>
    <xf numFmtId="37" fontId="8" fillId="3" borderId="0" xfId="0" applyNumberFormat="1" applyFont="1" applyFill="1" applyAlignment="1">
      <alignment horizontal="center"/>
    </xf>
    <xf numFmtId="176" fontId="19" fillId="2" borderId="0" xfId="0" applyNumberFormat="1" applyFont="1" applyFill="1" applyAlignment="1">
      <alignment horizontal="center"/>
    </xf>
    <xf numFmtId="176" fontId="8" fillId="3" borderId="0" xfId="0" applyNumberFormat="1" applyFont="1" applyFill="1" applyAlignment="1">
      <alignment horizontal="center"/>
    </xf>
    <xf numFmtId="176" fontId="8" fillId="0" borderId="0" xfId="0" applyNumberFormat="1" applyFont="1" applyAlignment="1">
      <alignment horizontal="center"/>
    </xf>
    <xf numFmtId="176" fontId="19" fillId="3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8" fillId="0" borderId="0" xfId="0" applyNumberFormat="1" applyFont="1" applyAlignment="1">
      <alignment horizontal="center"/>
    </xf>
    <xf numFmtId="3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center"/>
    </xf>
    <xf numFmtId="178" fontId="19" fillId="2" borderId="0" xfId="6" applyNumberFormat="1" applyFont="1" applyFill="1" applyAlignment="1">
      <alignment horizontal="center"/>
    </xf>
    <xf numFmtId="178" fontId="19" fillId="0" borderId="0" xfId="6" applyNumberFormat="1" applyFont="1" applyAlignment="1">
      <alignment horizontal="center"/>
    </xf>
    <xf numFmtId="178" fontId="8" fillId="2" borderId="0" xfId="0" applyNumberFormat="1" applyFont="1" applyFill="1" applyAlignment="1">
      <alignment horizontal="center"/>
    </xf>
    <xf numFmtId="178" fontId="8" fillId="0" borderId="0" xfId="0" applyNumberFormat="1" applyFont="1"/>
    <xf numFmtId="0" fontId="19" fillId="0" borderId="0" xfId="0" applyFont="1"/>
    <xf numFmtId="0" fontId="21" fillId="0" borderId="0" xfId="0" applyFont="1"/>
    <xf numFmtId="37" fontId="8" fillId="0" borderId="0" xfId="0" applyNumberFormat="1" applyFont="1" applyAlignment="1">
      <alignment horizontal="center"/>
    </xf>
    <xf numFmtId="0" fontId="5" fillId="0" borderId="0" xfId="0" applyFont="1"/>
    <xf numFmtId="3" fontId="13" fillId="4" borderId="23" xfId="4" applyNumberFormat="1" applyFont="1" applyFill="1" applyBorder="1" applyAlignment="1" applyProtection="1">
      <alignment horizontal="center"/>
      <protection locked="0"/>
    </xf>
    <xf numFmtId="1" fontId="13" fillId="4" borderId="23" xfId="6" applyNumberFormat="1" applyFont="1" applyFill="1" applyBorder="1" applyAlignment="1" applyProtection="1">
      <alignment horizontal="center"/>
      <protection locked="0"/>
    </xf>
    <xf numFmtId="3" fontId="13" fillId="4" borderId="35" xfId="5" applyNumberFormat="1" applyFont="1" applyFill="1" applyBorder="1" applyAlignment="1" applyProtection="1">
      <alignment horizontal="center"/>
      <protection locked="0"/>
    </xf>
    <xf numFmtId="178" fontId="8" fillId="4" borderId="23" xfId="8" applyNumberFormat="1" applyFont="1" applyFill="1" applyBorder="1" applyAlignment="1" applyProtection="1">
      <alignment horizontal="center"/>
      <protection locked="0"/>
    </xf>
    <xf numFmtId="178" fontId="13" fillId="4" borderId="23" xfId="6" applyNumberFormat="1" applyFont="1" applyFill="1" applyBorder="1" applyAlignment="1" applyProtection="1">
      <alignment horizontal="center"/>
      <protection locked="0"/>
    </xf>
    <xf numFmtId="0" fontId="26" fillId="0" borderId="0" xfId="0" applyFont="1"/>
    <xf numFmtId="0" fontId="26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0" fontId="26" fillId="0" borderId="27" xfId="0" applyFont="1" applyBorder="1" applyAlignment="1">
      <alignment horizontal="left"/>
    </xf>
    <xf numFmtId="0" fontId="26" fillId="0" borderId="27" xfId="0" applyFont="1" applyFill="1" applyBorder="1"/>
    <xf numFmtId="0" fontId="27" fillId="0" borderId="0" xfId="0" applyFont="1"/>
    <xf numFmtId="0" fontId="26" fillId="0" borderId="2" xfId="0" applyFont="1" applyFill="1" applyBorder="1"/>
    <xf numFmtId="0" fontId="26" fillId="0" borderId="0" xfId="0" applyFont="1" applyFill="1"/>
    <xf numFmtId="0" fontId="26" fillId="10" borderId="0" xfId="0" applyFont="1" applyFill="1"/>
    <xf numFmtId="0" fontId="22" fillId="3" borderId="0" xfId="0" applyFont="1" applyFill="1" applyAlignment="1" applyProtection="1">
      <alignment vertical="center"/>
    </xf>
    <xf numFmtId="0" fontId="8" fillId="0" borderId="0" xfId="0" applyFont="1" applyProtection="1"/>
    <xf numFmtId="0" fontId="19" fillId="0" borderId="0" xfId="0" applyFont="1" applyAlignment="1" applyProtection="1">
      <alignment horizontal="right"/>
    </xf>
    <xf numFmtId="183" fontId="19" fillId="9" borderId="0" xfId="0" applyNumberFormat="1" applyFont="1" applyFill="1" applyAlignment="1" applyProtection="1">
      <alignment horizontal="centerContinuous"/>
    </xf>
    <xf numFmtId="0" fontId="9" fillId="3" borderId="0" xfId="0" applyFont="1" applyFill="1" applyAlignment="1" applyProtection="1">
      <alignment vertical="center"/>
    </xf>
    <xf numFmtId="0" fontId="19" fillId="5" borderId="24" xfId="0" applyFont="1" applyFill="1" applyBorder="1" applyAlignment="1" applyProtection="1">
      <alignment horizontal="left"/>
    </xf>
    <xf numFmtId="0" fontId="8" fillId="5" borderId="25" xfId="0" applyFont="1" applyFill="1" applyBorder="1" applyProtection="1"/>
    <xf numFmtId="0" fontId="19" fillId="5" borderId="26" xfId="0" applyFont="1" applyFill="1" applyBorder="1" applyAlignment="1" applyProtection="1">
      <alignment horizontal="left"/>
    </xf>
    <xf numFmtId="0" fontId="19" fillId="0" borderId="0" xfId="0" applyFont="1" applyAlignment="1" applyProtection="1">
      <alignment horizontal="left"/>
    </xf>
    <xf numFmtId="0" fontId="8" fillId="5" borderId="25" xfId="0" applyFont="1" applyFill="1" applyBorder="1" applyAlignment="1" applyProtection="1">
      <alignment horizontal="left"/>
    </xf>
    <xf numFmtId="0" fontId="8" fillId="5" borderId="26" xfId="0" applyFont="1" applyFill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8" fillId="5" borderId="27" xfId="0" applyFont="1" applyFill="1" applyBorder="1" applyProtection="1"/>
    <xf numFmtId="0" fontId="8" fillId="9" borderId="9" xfId="0" applyFont="1" applyFill="1" applyBorder="1" applyAlignment="1" applyProtection="1">
      <alignment horizontal="center"/>
    </xf>
    <xf numFmtId="0" fontId="8" fillId="5" borderId="28" xfId="0" applyFont="1" applyFill="1" applyBorder="1" applyProtection="1"/>
    <xf numFmtId="0" fontId="8" fillId="5" borderId="27" xfId="0" applyFont="1" applyFill="1" applyBorder="1" applyAlignment="1" applyProtection="1">
      <alignment vertical="center"/>
    </xf>
    <xf numFmtId="0" fontId="8" fillId="5" borderId="0" xfId="0" applyFont="1" applyFill="1" applyProtection="1"/>
    <xf numFmtId="0" fontId="8" fillId="5" borderId="0" xfId="0" applyFont="1" applyFill="1" applyAlignment="1" applyProtection="1">
      <alignment horizontal="left"/>
    </xf>
    <xf numFmtId="0" fontId="8" fillId="5" borderId="28" xfId="0" applyFont="1" applyFill="1" applyBorder="1" applyAlignment="1" applyProtection="1">
      <alignment horizontal="left"/>
    </xf>
    <xf numFmtId="0" fontId="8" fillId="5" borderId="29" xfId="0" applyFont="1" applyFill="1" applyBorder="1" applyProtection="1"/>
    <xf numFmtId="178" fontId="8" fillId="9" borderId="11" xfId="6" applyNumberFormat="1" applyFont="1" applyFill="1" applyBorder="1" applyAlignment="1" applyProtection="1">
      <alignment horizontal="center"/>
    </xf>
    <xf numFmtId="0" fontId="5" fillId="5" borderId="0" xfId="0" applyFont="1" applyFill="1" applyAlignment="1" applyProtection="1">
      <alignment horizontal="left"/>
    </xf>
    <xf numFmtId="0" fontId="8" fillId="9" borderId="10" xfId="0" applyFont="1" applyFill="1" applyBorder="1" applyAlignment="1" applyProtection="1">
      <alignment horizontal="center"/>
    </xf>
    <xf numFmtId="0" fontId="8" fillId="9" borderId="33" xfId="0" applyFont="1" applyFill="1" applyBorder="1" applyProtection="1"/>
    <xf numFmtId="0" fontId="17" fillId="5" borderId="0" xfId="0" applyFont="1" applyFill="1" applyAlignment="1" applyProtection="1">
      <alignment horizontal="centerContinuous"/>
    </xf>
    <xf numFmtId="0" fontId="8" fillId="5" borderId="0" xfId="0" applyFont="1" applyFill="1" applyAlignment="1" applyProtection="1">
      <alignment horizontal="centerContinuous"/>
    </xf>
    <xf numFmtId="0" fontId="8" fillId="5" borderId="27" xfId="0" applyFont="1" applyFill="1" applyBorder="1" applyAlignment="1" applyProtection="1">
      <alignment horizontal="left"/>
    </xf>
    <xf numFmtId="184" fontId="8" fillId="9" borderId="9" xfId="0" applyNumberFormat="1" applyFont="1" applyFill="1" applyBorder="1" applyAlignment="1" applyProtection="1">
      <alignment horizontal="center"/>
    </xf>
    <xf numFmtId="0" fontId="19" fillId="5" borderId="27" xfId="0" applyFont="1" applyFill="1" applyBorder="1" applyProtection="1"/>
    <xf numFmtId="0" fontId="19" fillId="5" borderId="0" xfId="0" applyFont="1" applyFill="1" applyProtection="1"/>
    <xf numFmtId="37" fontId="19" fillId="5" borderId="0" xfId="11" applyNumberFormat="1" applyFont="1" applyFill="1" applyAlignment="1" applyProtection="1">
      <alignment horizontal="center"/>
    </xf>
    <xf numFmtId="0" fontId="19" fillId="5" borderId="0" xfId="0" applyFont="1" applyFill="1" applyAlignment="1" applyProtection="1">
      <alignment horizontal="center"/>
    </xf>
    <xf numFmtId="0" fontId="19" fillId="5" borderId="0" xfId="0" applyFont="1" applyFill="1" applyAlignment="1" applyProtection="1">
      <alignment horizontal="left"/>
    </xf>
    <xf numFmtId="0" fontId="19" fillId="5" borderId="28" xfId="0" applyFont="1" applyFill="1" applyBorder="1" applyAlignment="1" applyProtection="1">
      <alignment horizontal="left"/>
    </xf>
    <xf numFmtId="0" fontId="19" fillId="5" borderId="27" xfId="0" applyFont="1" applyFill="1" applyBorder="1" applyAlignment="1" applyProtection="1">
      <alignment horizontal="center"/>
    </xf>
    <xf numFmtId="0" fontId="19" fillId="5" borderId="28" xfId="0" applyFont="1" applyFill="1" applyBorder="1" applyAlignment="1" applyProtection="1">
      <alignment horizontal="center"/>
    </xf>
    <xf numFmtId="0" fontId="8" fillId="5" borderId="27" xfId="0" applyFont="1" applyFill="1" applyBorder="1" applyAlignment="1" applyProtection="1">
      <alignment horizontal="center"/>
    </xf>
    <xf numFmtId="37" fontId="8" fillId="5" borderId="0" xfId="0" applyNumberFormat="1" applyFont="1" applyFill="1" applyAlignment="1" applyProtection="1">
      <alignment horizontal="center"/>
    </xf>
    <xf numFmtId="178" fontId="8" fillId="5" borderId="0" xfId="6" applyNumberFormat="1" applyFont="1" applyFill="1" applyAlignment="1" applyProtection="1">
      <alignment horizontal="center"/>
    </xf>
    <xf numFmtId="178" fontId="8" fillId="5" borderId="28" xfId="6" applyNumberFormat="1" applyFont="1" applyFill="1" applyBorder="1" applyAlignment="1" applyProtection="1">
      <alignment horizontal="center"/>
    </xf>
    <xf numFmtId="0" fontId="8" fillId="5" borderId="30" xfId="0" applyFont="1" applyFill="1" applyBorder="1" applyProtection="1"/>
    <xf numFmtId="0" fontId="8" fillId="5" borderId="31" xfId="0" applyFont="1" applyFill="1" applyBorder="1" applyProtection="1"/>
    <xf numFmtId="0" fontId="8" fillId="5" borderId="32" xfId="0" applyFont="1" applyFill="1" applyBorder="1" applyProtection="1"/>
    <xf numFmtId="178" fontId="19" fillId="9" borderId="9" xfId="0" applyNumberFormat="1" applyFont="1" applyFill="1" applyBorder="1" applyAlignment="1" applyProtection="1">
      <alignment horizontal="center"/>
    </xf>
    <xf numFmtId="37" fontId="19" fillId="5" borderId="0" xfId="0" applyNumberFormat="1" applyFont="1" applyFill="1" applyAlignment="1" applyProtection="1">
      <alignment horizontal="center"/>
    </xf>
    <xf numFmtId="178" fontId="19" fillId="5" borderId="0" xfId="6" applyNumberFormat="1" applyFont="1" applyFill="1" applyAlignment="1" applyProtection="1">
      <alignment horizontal="center"/>
    </xf>
    <xf numFmtId="37" fontId="8" fillId="9" borderId="9" xfId="0" applyNumberFormat="1" applyFont="1" applyFill="1" applyBorder="1" applyAlignment="1" applyProtection="1">
      <alignment horizontal="center"/>
    </xf>
    <xf numFmtId="178" fontId="8" fillId="9" borderId="34" xfId="6" applyNumberFormat="1" applyFont="1" applyFill="1" applyBorder="1" applyAlignment="1" applyProtection="1">
      <alignment horizontal="center"/>
    </xf>
    <xf numFmtId="176" fontId="8" fillId="0" borderId="0" xfId="0" applyNumberFormat="1" applyFont="1" applyProtection="1"/>
    <xf numFmtId="37" fontId="8" fillId="5" borderId="11" xfId="0" applyNumberFormat="1" applyFont="1" applyFill="1" applyBorder="1" applyAlignment="1" applyProtection="1">
      <alignment horizontal="center"/>
    </xf>
    <xf numFmtId="0" fontId="5" fillId="5" borderId="3" xfId="0" applyFont="1" applyFill="1" applyBorder="1" applyProtection="1"/>
    <xf numFmtId="0" fontId="19" fillId="5" borderId="1" xfId="0" applyFont="1" applyFill="1" applyBorder="1" applyProtection="1"/>
    <xf numFmtId="0" fontId="8" fillId="5" borderId="6" xfId="0" applyFont="1" applyFill="1" applyBorder="1" applyProtection="1"/>
    <xf numFmtId="0" fontId="8" fillId="5" borderId="7" xfId="0" applyFont="1" applyFill="1" applyBorder="1" applyProtection="1"/>
    <xf numFmtId="0" fontId="8" fillId="5" borderId="2" xfId="0" applyFont="1" applyFill="1" applyBorder="1" applyProtection="1"/>
    <xf numFmtId="0" fontId="19" fillId="5" borderId="0" xfId="0" applyFont="1" applyFill="1" applyAlignment="1" applyProtection="1">
      <alignment horizontal="center" wrapText="1"/>
    </xf>
    <xf numFmtId="0" fontId="19" fillId="5" borderId="8" xfId="0" applyFont="1" applyFill="1" applyBorder="1" applyProtection="1"/>
    <xf numFmtId="0" fontId="19" fillId="5" borderId="1" xfId="0" applyFont="1" applyFill="1" applyBorder="1" applyAlignment="1" applyProtection="1">
      <alignment horizontal="left"/>
    </xf>
    <xf numFmtId="176" fontId="8" fillId="5" borderId="6" xfId="0" applyNumberFormat="1" applyFont="1" applyFill="1" applyBorder="1" applyAlignment="1" applyProtection="1">
      <alignment horizontal="center"/>
    </xf>
    <xf numFmtId="176" fontId="8" fillId="5" borderId="7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 applyProtection="1">
      <alignment wrapText="1"/>
    </xf>
    <xf numFmtId="0" fontId="8" fillId="5" borderId="0" xfId="0" applyFont="1" applyFill="1" applyAlignment="1" applyProtection="1">
      <alignment wrapText="1"/>
    </xf>
    <xf numFmtId="0" fontId="19" fillId="5" borderId="8" xfId="0" applyFont="1" applyFill="1" applyBorder="1" applyAlignment="1" applyProtection="1">
      <alignment horizontal="center" wrapText="1"/>
    </xf>
    <xf numFmtId="176" fontId="8" fillId="5" borderId="0" xfId="0" applyNumberFormat="1" applyFont="1" applyFill="1" applyAlignment="1" applyProtection="1">
      <alignment horizontal="center"/>
    </xf>
    <xf numFmtId="176" fontId="8" fillId="5" borderId="8" xfId="0" applyNumberFormat="1" applyFont="1" applyFill="1" applyBorder="1" applyAlignment="1" applyProtection="1">
      <alignment horizontal="center"/>
    </xf>
    <xf numFmtId="37" fontId="8" fillId="5" borderId="0" xfId="0" applyNumberFormat="1" applyFont="1" applyFill="1" applyAlignment="1" applyProtection="1">
      <alignment horizontal="center" wrapText="1"/>
    </xf>
    <xf numFmtId="37" fontId="8" fillId="5" borderId="8" xfId="0" applyNumberFormat="1" applyFont="1" applyFill="1" applyBorder="1" applyAlignment="1" applyProtection="1">
      <alignment horizontal="center" wrapText="1"/>
    </xf>
    <xf numFmtId="37" fontId="8" fillId="9" borderId="35" xfId="0" applyNumberFormat="1" applyFont="1" applyFill="1" applyBorder="1" applyAlignment="1" applyProtection="1">
      <alignment horizontal="center"/>
    </xf>
    <xf numFmtId="37" fontId="8" fillId="9" borderId="36" xfId="0" applyNumberFormat="1" applyFont="1" applyFill="1" applyBorder="1" applyAlignment="1" applyProtection="1">
      <alignment horizontal="center"/>
    </xf>
    <xf numFmtId="178" fontId="8" fillId="5" borderId="8" xfId="6" applyNumberFormat="1" applyFont="1" applyFill="1" applyBorder="1" applyAlignment="1" applyProtection="1">
      <alignment horizontal="center"/>
    </xf>
    <xf numFmtId="0" fontId="8" fillId="0" borderId="0" xfId="0" applyFont="1" applyAlignment="1" applyProtection="1">
      <alignment wrapText="1"/>
    </xf>
    <xf numFmtId="0" fontId="19" fillId="5" borderId="2" xfId="0" applyFont="1" applyFill="1" applyBorder="1" applyProtection="1"/>
    <xf numFmtId="178" fontId="19" fillId="5" borderId="8" xfId="6" applyNumberFormat="1" applyFont="1" applyFill="1" applyBorder="1" applyAlignment="1" applyProtection="1">
      <alignment horizontal="center"/>
    </xf>
    <xf numFmtId="37" fontId="8" fillId="5" borderId="8" xfId="0" applyNumberFormat="1" applyFont="1" applyFill="1" applyBorder="1" applyAlignment="1" applyProtection="1">
      <alignment horizontal="center"/>
    </xf>
    <xf numFmtId="178" fontId="8" fillId="0" borderId="0" xfId="6" applyNumberFormat="1" applyFont="1" applyProtection="1"/>
    <xf numFmtId="37" fontId="19" fillId="9" borderId="8" xfId="0" applyNumberFormat="1" applyFont="1" applyFill="1" applyBorder="1" applyAlignment="1" applyProtection="1">
      <alignment horizontal="center"/>
    </xf>
    <xf numFmtId="0" fontId="8" fillId="5" borderId="3" xfId="0" applyFont="1" applyFill="1" applyBorder="1" applyProtection="1"/>
    <xf numFmtId="0" fontId="8" fillId="5" borderId="4" xfId="0" applyFont="1" applyFill="1" applyBorder="1" applyProtection="1"/>
    <xf numFmtId="0" fontId="8" fillId="5" borderId="5" xfId="0" applyFont="1" applyFill="1" applyBorder="1" applyProtection="1"/>
    <xf numFmtId="0" fontId="23" fillId="5" borderId="3" xfId="0" applyFont="1" applyFill="1" applyBorder="1" applyProtection="1"/>
    <xf numFmtId="178" fontId="19" fillId="5" borderId="4" xfId="6" applyNumberFormat="1" applyFont="1" applyFill="1" applyBorder="1" applyAlignment="1" applyProtection="1">
      <alignment horizontal="right"/>
    </xf>
    <xf numFmtId="37" fontId="19" fillId="5" borderId="4" xfId="0" applyNumberFormat="1" applyFont="1" applyFill="1" applyBorder="1" applyAlignment="1" applyProtection="1">
      <alignment horizontal="center" wrapText="1"/>
    </xf>
    <xf numFmtId="178" fontId="23" fillId="5" borderId="4" xfId="6" applyNumberFormat="1" applyFont="1" applyFill="1" applyBorder="1" applyAlignment="1" applyProtection="1">
      <alignment horizontal="center"/>
    </xf>
    <xf numFmtId="178" fontId="8" fillId="5" borderId="4" xfId="6" applyNumberFormat="1" applyFont="1" applyFill="1" applyBorder="1" applyAlignment="1" applyProtection="1">
      <alignment horizontal="center"/>
    </xf>
    <xf numFmtId="0" fontId="8" fillId="5" borderId="4" xfId="0" applyFont="1" applyFill="1" applyBorder="1" applyAlignment="1" applyProtection="1">
      <alignment wrapText="1"/>
    </xf>
    <xf numFmtId="0" fontId="8" fillId="5" borderId="5" xfId="0" applyFont="1" applyFill="1" applyBorder="1" applyAlignment="1" applyProtection="1">
      <alignment wrapText="1"/>
    </xf>
    <xf numFmtId="0" fontId="8" fillId="5" borderId="6" xfId="0" applyFont="1" applyFill="1" applyBorder="1" applyAlignment="1" applyProtection="1">
      <alignment horizontal="center"/>
    </xf>
    <xf numFmtId="0" fontId="8" fillId="5" borderId="6" xfId="0" applyFont="1" applyFill="1" applyBorder="1" applyAlignment="1" applyProtection="1">
      <alignment wrapText="1"/>
    </xf>
    <xf numFmtId="0" fontId="8" fillId="5" borderId="7" xfId="0" applyFont="1" applyFill="1" applyBorder="1" applyAlignment="1" applyProtection="1">
      <alignment wrapText="1"/>
    </xf>
    <xf numFmtId="0" fontId="8" fillId="5" borderId="8" xfId="0" applyFont="1" applyFill="1" applyBorder="1" applyAlignment="1" applyProtection="1">
      <alignment horizontal="center" wrapText="1"/>
    </xf>
    <xf numFmtId="3" fontId="8" fillId="5" borderId="0" xfId="0" applyNumberFormat="1" applyFont="1" applyFill="1" applyAlignment="1" applyProtection="1">
      <alignment horizontal="center" wrapText="1"/>
    </xf>
    <xf numFmtId="3" fontId="8" fillId="5" borderId="8" xfId="0" applyNumberFormat="1" applyFont="1" applyFill="1" applyBorder="1" applyAlignment="1" applyProtection="1">
      <alignment horizontal="center" wrapText="1"/>
    </xf>
    <xf numFmtId="178" fontId="8" fillId="5" borderId="0" xfId="6" applyNumberFormat="1" applyFont="1" applyFill="1" applyAlignment="1" applyProtection="1">
      <alignment horizontal="center" wrapText="1"/>
    </xf>
    <xf numFmtId="178" fontId="8" fillId="5" borderId="8" xfId="6" applyNumberFormat="1" applyFont="1" applyFill="1" applyBorder="1" applyAlignment="1" applyProtection="1">
      <alignment horizontal="center" wrapText="1"/>
    </xf>
    <xf numFmtId="178" fontId="8" fillId="5" borderId="3" xfId="6" applyNumberFormat="1" applyFont="1" applyFill="1" applyBorder="1" applyProtection="1"/>
    <xf numFmtId="178" fontId="8" fillId="5" borderId="4" xfId="6" applyNumberFormat="1" applyFont="1" applyFill="1" applyBorder="1" applyProtection="1"/>
    <xf numFmtId="178" fontId="8" fillId="5" borderId="5" xfId="6" applyNumberFormat="1" applyFont="1" applyFill="1" applyBorder="1" applyProtection="1"/>
    <xf numFmtId="0" fontId="8" fillId="3" borderId="0" xfId="10" applyFont="1" applyFill="1" applyProtection="1"/>
    <xf numFmtId="9" fontId="8" fillId="3" borderId="0" xfId="6" applyFont="1" applyFill="1" applyProtection="1"/>
    <xf numFmtId="1" fontId="8" fillId="3" borderId="0" xfId="10" applyNumberFormat="1" applyFont="1" applyFill="1" applyProtection="1"/>
    <xf numFmtId="0" fontId="13" fillId="3" borderId="0" xfId="5" applyFont="1" applyFill="1" applyProtection="1"/>
    <xf numFmtId="0" fontId="22" fillId="3" borderId="0" xfId="5" applyFont="1" applyFill="1" applyProtection="1"/>
    <xf numFmtId="0" fontId="9" fillId="3" borderId="0" xfId="5" applyFont="1" applyFill="1" applyProtection="1"/>
    <xf numFmtId="0" fontId="16" fillId="3" borderId="0" xfId="5" applyFont="1" applyFill="1" applyAlignment="1" applyProtection="1">
      <alignment horizontal="center"/>
    </xf>
    <xf numFmtId="0" fontId="10" fillId="3" borderId="0" xfId="5" applyFont="1" applyFill="1" applyAlignment="1" applyProtection="1">
      <alignment horizontal="center"/>
    </xf>
    <xf numFmtId="0" fontId="10" fillId="3" borderId="0" xfId="5" applyFont="1" applyFill="1" applyAlignment="1" applyProtection="1">
      <alignment horizontal="center" wrapText="1"/>
    </xf>
    <xf numFmtId="0" fontId="13" fillId="3" borderId="0" xfId="5" applyFont="1" applyFill="1" applyAlignment="1" applyProtection="1">
      <alignment horizontal="center"/>
    </xf>
    <xf numFmtId="3" fontId="13" fillId="3" borderId="35" xfId="5" applyNumberFormat="1" applyFont="1" applyFill="1" applyBorder="1" applyAlignment="1" applyProtection="1">
      <alignment horizontal="center"/>
    </xf>
    <xf numFmtId="178" fontId="8" fillId="3" borderId="0" xfId="8" applyNumberFormat="1" applyFont="1" applyFill="1" applyAlignment="1" applyProtection="1">
      <alignment horizontal="center"/>
    </xf>
    <xf numFmtId="0" fontId="14" fillId="3" borderId="0" xfId="5" applyFont="1" applyFill="1" applyProtection="1"/>
    <xf numFmtId="0" fontId="10" fillId="8" borderId="9" xfId="0" applyFont="1" applyFill="1" applyBorder="1" applyAlignment="1" applyProtection="1">
      <alignment horizontal="right"/>
    </xf>
    <xf numFmtId="3" fontId="10" fillId="8" borderId="9" xfId="0" applyNumberFormat="1" applyFont="1" applyFill="1" applyBorder="1" applyAlignment="1" applyProtection="1">
      <alignment horizontal="center"/>
    </xf>
    <xf numFmtId="178" fontId="10" fillId="8" borderId="9" xfId="7" applyNumberFormat="1" applyFont="1" applyFill="1" applyBorder="1" applyAlignment="1" applyProtection="1">
      <alignment horizontal="center"/>
    </xf>
    <xf numFmtId="3" fontId="13" fillId="3" borderId="0" xfId="5" applyNumberFormat="1" applyFont="1" applyFill="1" applyProtection="1"/>
    <xf numFmtId="0" fontId="10" fillId="8" borderId="10" xfId="0" applyFont="1" applyFill="1" applyBorder="1" applyAlignment="1" applyProtection="1">
      <alignment horizontal="right"/>
    </xf>
    <xf numFmtId="3" fontId="10" fillId="8" borderId="10" xfId="0" applyNumberFormat="1" applyFont="1" applyFill="1" applyBorder="1" applyAlignment="1" applyProtection="1">
      <alignment horizontal="center"/>
    </xf>
    <xf numFmtId="0" fontId="10" fillId="8" borderId="11" xfId="0" applyFont="1" applyFill="1" applyBorder="1" applyAlignment="1" applyProtection="1">
      <alignment horizontal="right"/>
    </xf>
    <xf numFmtId="3" fontId="10" fillId="8" borderId="11" xfId="0" applyNumberFormat="1" applyFont="1" applyFill="1" applyBorder="1" applyAlignment="1" applyProtection="1">
      <alignment horizontal="center"/>
    </xf>
    <xf numFmtId="179" fontId="15" fillId="3" borderId="0" xfId="2" applyNumberFormat="1" applyFont="1" applyFill="1" applyProtection="1"/>
    <xf numFmtId="179" fontId="14" fillId="3" borderId="0" xfId="2" applyNumberFormat="1" applyFont="1" applyFill="1" applyProtection="1"/>
    <xf numFmtId="3" fontId="16" fillId="3" borderId="0" xfId="5" applyNumberFormat="1" applyFont="1" applyFill="1" applyAlignment="1" applyProtection="1">
      <alignment horizontal="center"/>
    </xf>
    <xf numFmtId="179" fontId="15" fillId="3" borderId="0" xfId="2" applyNumberFormat="1" applyFont="1" applyFill="1" applyAlignment="1" applyProtection="1">
      <alignment horizontal="right"/>
    </xf>
    <xf numFmtId="3" fontId="8" fillId="3" borderId="0" xfId="5" applyNumberFormat="1" applyFont="1" applyFill="1" applyAlignment="1" applyProtection="1">
      <alignment horizontal="center"/>
    </xf>
    <xf numFmtId="179" fontId="10" fillId="3" borderId="0" xfId="2" applyNumberFormat="1" applyFont="1" applyFill="1" applyProtection="1"/>
    <xf numFmtId="179" fontId="19" fillId="3" borderId="0" xfId="2" applyNumberFormat="1" applyFont="1" applyFill="1" applyProtection="1"/>
    <xf numFmtId="0" fontId="8" fillId="3" borderId="0" xfId="5" applyFont="1" applyFill="1" applyProtection="1"/>
    <xf numFmtId="0" fontId="12" fillId="3" borderId="0" xfId="5" applyFont="1" applyFill="1" applyAlignment="1" applyProtection="1">
      <alignment horizontal="center"/>
    </xf>
    <xf numFmtId="0" fontId="12" fillId="3" borderId="0" xfId="5" applyFont="1" applyFill="1" applyAlignment="1" applyProtection="1">
      <alignment horizontal="center" wrapText="1"/>
    </xf>
    <xf numFmtId="3" fontId="13" fillId="3" borderId="0" xfId="5" applyNumberFormat="1" applyFont="1" applyFill="1" applyAlignment="1" applyProtection="1">
      <alignment horizontal="center"/>
    </xf>
    <xf numFmtId="3" fontId="13" fillId="3" borderId="0" xfId="4" applyNumberFormat="1" applyFont="1" applyFill="1" applyAlignment="1" applyProtection="1">
      <alignment horizontal="center"/>
    </xf>
    <xf numFmtId="0" fontId="14" fillId="3" borderId="0" xfId="5" applyFont="1" applyFill="1" applyAlignment="1" applyProtection="1">
      <alignment horizontal="right"/>
    </xf>
    <xf numFmtId="178" fontId="15" fillId="3" borderId="0" xfId="8" applyNumberFormat="1" applyFont="1" applyFill="1" applyProtection="1"/>
    <xf numFmtId="17" fontId="10" fillId="8" borderId="11" xfId="0" applyNumberFormat="1" applyFont="1" applyFill="1" applyBorder="1" applyProtection="1"/>
    <xf numFmtId="0" fontId="10" fillId="8" borderId="11" xfId="0" applyFont="1" applyFill="1" applyBorder="1" applyProtection="1"/>
    <xf numFmtId="179" fontId="10" fillId="8" borderId="11" xfId="1" applyNumberFormat="1" applyFont="1" applyFill="1" applyBorder="1" applyProtection="1"/>
    <xf numFmtId="178" fontId="10" fillId="8" borderId="11" xfId="7" applyNumberFormat="1" applyFont="1" applyFill="1" applyBorder="1" applyAlignment="1" applyProtection="1">
      <alignment horizontal="center"/>
    </xf>
    <xf numFmtId="17" fontId="13" fillId="3" borderId="0" xfId="5" applyNumberFormat="1" applyFont="1" applyFill="1" applyProtection="1"/>
    <xf numFmtId="178" fontId="15" fillId="3" borderId="0" xfId="8" applyNumberFormat="1" applyFont="1" applyFill="1" applyAlignment="1" applyProtection="1">
      <alignment horizontal="center"/>
    </xf>
    <xf numFmtId="0" fontId="10" fillId="8" borderId="9" xfId="5" applyFont="1" applyFill="1" applyBorder="1" applyAlignment="1" applyProtection="1">
      <alignment horizontal="right"/>
    </xf>
    <xf numFmtId="0" fontId="10" fillId="8" borderId="10" xfId="5" applyFont="1" applyFill="1" applyBorder="1" applyAlignment="1" applyProtection="1">
      <alignment horizontal="right"/>
    </xf>
    <xf numFmtId="0" fontId="10" fillId="8" borderId="11" xfId="5" applyFont="1" applyFill="1" applyBorder="1" applyAlignment="1" applyProtection="1">
      <alignment horizontal="right"/>
    </xf>
    <xf numFmtId="37" fontId="26" fillId="0" borderId="0" xfId="0" applyNumberFormat="1" applyFont="1" applyAlignment="1">
      <alignment horizontal="center"/>
    </xf>
    <xf numFmtId="184" fontId="8" fillId="0" borderId="0" xfId="0" applyNumberFormat="1" applyFont="1" applyAlignment="1">
      <alignment horizontal="center"/>
    </xf>
    <xf numFmtId="0" fontId="13" fillId="3" borderId="0" xfId="5" applyFont="1" applyFill="1" applyAlignment="1" applyProtection="1">
      <alignment horizontal="center" vertical="center"/>
    </xf>
    <xf numFmtId="0" fontId="16" fillId="3" borderId="0" xfId="5" applyFont="1" applyFill="1" applyAlignment="1" applyProtection="1">
      <alignment horizontal="center" vertical="center"/>
    </xf>
    <xf numFmtId="185" fontId="8" fillId="9" borderId="9" xfId="0" applyNumberFormat="1" applyFont="1" applyFill="1" applyBorder="1" applyAlignment="1" applyProtection="1">
      <alignment horizontal="center"/>
    </xf>
    <xf numFmtId="186" fontId="8" fillId="0" borderId="0" xfId="0" applyNumberFormat="1" applyFont="1" applyAlignment="1">
      <alignment horizontal="center"/>
    </xf>
    <xf numFmtId="0" fontId="8" fillId="9" borderId="2" xfId="0" applyFont="1" applyFill="1" applyBorder="1" applyAlignment="1" applyProtection="1">
      <alignment vertical="top" wrapText="1"/>
    </xf>
    <xf numFmtId="0" fontId="15" fillId="9" borderId="0" xfId="0" applyFont="1" applyFill="1" applyAlignment="1" applyProtection="1">
      <alignment vertical="top" wrapText="1"/>
    </xf>
    <xf numFmtId="0" fontId="15" fillId="9" borderId="8" xfId="0" applyFont="1" applyFill="1" applyBorder="1" applyAlignment="1" applyProtection="1">
      <alignment vertical="top" wrapText="1"/>
    </xf>
    <xf numFmtId="0" fontId="15" fillId="9" borderId="2" xfId="0" applyFont="1" applyFill="1" applyBorder="1" applyAlignment="1" applyProtection="1">
      <alignment vertical="top" wrapText="1"/>
    </xf>
    <xf numFmtId="0" fontId="15" fillId="9" borderId="3" xfId="0" applyFont="1" applyFill="1" applyBorder="1" applyAlignment="1" applyProtection="1">
      <alignment vertical="top" wrapText="1"/>
    </xf>
    <xf numFmtId="0" fontId="15" fillId="9" borderId="4" xfId="0" applyFont="1" applyFill="1" applyBorder="1" applyAlignment="1" applyProtection="1">
      <alignment vertical="top" wrapText="1"/>
    </xf>
    <xf numFmtId="0" fontId="15" fillId="9" borderId="5" xfId="0" applyFont="1" applyFill="1" applyBorder="1" applyAlignment="1" applyProtection="1">
      <alignment vertical="top" wrapText="1"/>
    </xf>
    <xf numFmtId="0" fontId="4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10" fillId="3" borderId="14" xfId="4" applyFont="1" applyFill="1" applyBorder="1" applyAlignment="1">
      <alignment horizontal="left" vertical="top" wrapText="1"/>
    </xf>
    <xf numFmtId="0" fontId="10" fillId="3" borderId="22" xfId="4" applyFont="1" applyFill="1" applyBorder="1" applyAlignment="1">
      <alignment horizontal="left" vertical="top" wrapText="1"/>
    </xf>
    <xf numFmtId="0" fontId="10" fillId="3" borderId="20" xfId="4" applyFont="1" applyFill="1" applyBorder="1" applyAlignment="1">
      <alignment horizontal="left" vertical="top" wrapText="1"/>
    </xf>
    <xf numFmtId="0" fontId="10" fillId="4" borderId="9" xfId="4" applyFont="1" applyFill="1" applyBorder="1" applyAlignment="1" applyProtection="1">
      <alignment vertical="center"/>
      <protection locked="0"/>
    </xf>
    <xf numFmtId="0" fontId="13" fillId="4" borderId="9" xfId="4" applyFont="1" applyFill="1" applyBorder="1" applyAlignment="1" applyProtection="1">
      <alignment vertical="center"/>
      <protection locked="0"/>
    </xf>
    <xf numFmtId="0" fontId="10" fillId="4" borderId="11" xfId="4" applyFont="1" applyFill="1" applyBorder="1" applyAlignment="1" applyProtection="1">
      <alignment vertical="center"/>
      <protection locked="0"/>
    </xf>
    <xf numFmtId="0" fontId="13" fillId="4" borderId="11" xfId="4" applyFont="1" applyFill="1" applyBorder="1" applyAlignment="1" applyProtection="1">
      <alignment vertical="center"/>
      <protection locked="0"/>
    </xf>
    <xf numFmtId="0" fontId="18" fillId="3" borderId="13" xfId="3" applyFont="1" applyFill="1" applyBorder="1" applyAlignment="1">
      <alignment horizontal="left" vertical="top" wrapText="1"/>
    </xf>
    <xf numFmtId="0" fontId="18" fillId="0" borderId="14" xfId="3" applyFont="1" applyBorder="1" applyAlignment="1">
      <alignment horizontal="left" vertical="top" wrapText="1"/>
    </xf>
    <xf numFmtId="0" fontId="18" fillId="0" borderId="0" xfId="3" applyFont="1" applyAlignment="1">
      <alignment horizontal="left" vertical="top" wrapText="1"/>
    </xf>
    <xf numFmtId="0" fontId="18" fillId="0" borderId="22" xfId="3" applyFont="1" applyBorder="1" applyAlignment="1">
      <alignment horizontal="left" vertical="top" wrapText="1"/>
    </xf>
    <xf numFmtId="0" fontId="13" fillId="3" borderId="20" xfId="4" applyFont="1" applyFill="1" applyBorder="1" applyAlignment="1">
      <alignment vertical="top" wrapText="1"/>
    </xf>
    <xf numFmtId="0" fontId="10" fillId="3" borderId="14" xfId="4" applyFont="1" applyFill="1" applyBorder="1" applyAlignment="1">
      <alignment vertical="top" wrapText="1"/>
    </xf>
    <xf numFmtId="0" fontId="13" fillId="3" borderId="22" xfId="4" applyFont="1" applyFill="1" applyBorder="1" applyAlignment="1">
      <alignment vertical="top" wrapText="1"/>
    </xf>
    <xf numFmtId="0" fontId="10" fillId="3" borderId="0" xfId="5" applyFont="1" applyFill="1" applyAlignment="1">
      <alignment horizontal="right" vertical="center" wrapText="1"/>
    </xf>
    <xf numFmtId="0" fontId="13" fillId="0" borderId="41" xfId="5" applyFont="1" applyBorder="1" applyAlignment="1">
      <alignment vertical="center" wrapText="1"/>
    </xf>
    <xf numFmtId="0" fontId="10" fillId="3" borderId="0" xfId="0" applyFont="1" applyFill="1" applyAlignment="1">
      <alignment horizontal="right" vertical="center" wrapText="1"/>
    </xf>
    <xf numFmtId="0" fontId="15" fillId="0" borderId="41" xfId="0" applyFont="1" applyBorder="1" applyAlignment="1">
      <alignment vertical="center" wrapText="1"/>
    </xf>
    <xf numFmtId="10" fontId="13" fillId="4" borderId="23" xfId="4" applyNumberFormat="1" applyFont="1" applyFill="1" applyBorder="1" applyAlignment="1" applyProtection="1">
      <alignment horizontal="center"/>
      <protection locked="0"/>
    </xf>
    <xf numFmtId="10" fontId="13" fillId="4" borderId="23" xfId="6" applyNumberFormat="1" applyFont="1" applyFill="1" applyBorder="1" applyAlignment="1" applyProtection="1">
      <alignment horizontal="center"/>
      <protection locked="0"/>
    </xf>
  </cellXfs>
  <cellStyles count="13">
    <cellStyle name="Comma 2" xfId="1"/>
    <cellStyle name="Comma 3" xfId="2"/>
    <cellStyle name="Normal 2" xfId="4"/>
    <cellStyle name="Normal 3" xfId="5"/>
    <cellStyle name="Percent 2" xfId="7"/>
    <cellStyle name="Percent 3" xfId="8"/>
    <cellStyle name="百分比" xfId="6" builtinId="5"/>
    <cellStyle name="百分比 2" xfId="9"/>
    <cellStyle name="常规" xfId="0" builtinId="0"/>
    <cellStyle name="常规_GZ1005 CLOSING PACKAGE final" xfId="10"/>
    <cellStyle name="常规_New PL Model" xfId="11"/>
    <cellStyle name="超链接" xfId="3" builtinId="8"/>
    <cellStyle name="千位分隔 2" xfId="12"/>
  </cellStyles>
  <dxfs count="4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auto="1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border>
        <left/>
        <right/>
        <top/>
        <bottom/>
      </border>
    </dxf>
    <dxf>
      <font>
        <b/>
        <i val="0"/>
        <color rgb="FF008000"/>
      </font>
      <fill>
        <patternFill>
          <bgColor theme="0"/>
        </patternFill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i val="0"/>
        <color rgb="FFC00000"/>
      </font>
      <border>
        <left/>
        <right/>
        <top/>
        <bottom/>
      </border>
    </dxf>
    <dxf>
      <font>
        <b/>
        <i val="0"/>
        <color rgb="FF008000"/>
      </font>
      <fill>
        <patternFill>
          <bgColor theme="0"/>
        </patternFill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i val="0"/>
        <color rgb="FFC00000"/>
      </font>
      <border>
        <left/>
        <right/>
        <top/>
        <bottom/>
      </border>
    </dxf>
    <dxf>
      <font>
        <b/>
        <i val="0"/>
        <color rgb="FF008000"/>
      </font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i val="0"/>
        <color rgb="FFC00000"/>
      </font>
      <border>
        <left/>
        <right/>
        <top/>
        <bottom/>
      </border>
    </dxf>
    <dxf>
      <font>
        <b/>
        <i val="0"/>
        <color rgb="FF008000"/>
      </font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i val="0"/>
        <color rgb="FFC00000"/>
      </font>
      <border>
        <left/>
        <right/>
        <top/>
        <bottom/>
      </border>
    </dxf>
    <dxf>
      <font>
        <b/>
        <i val="0"/>
        <color rgb="FF008000"/>
      </font>
      <fill>
        <patternFill>
          <bgColor theme="0"/>
        </patternFill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i val="0"/>
        <color rgb="FFC00000"/>
      </font>
      <border>
        <left/>
        <right/>
        <top/>
        <bottom/>
      </border>
    </dxf>
    <dxf>
      <font>
        <b/>
        <i val="0"/>
        <color rgb="FF008000"/>
      </font>
      <fill>
        <patternFill>
          <bgColor theme="0"/>
        </patternFill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condense val="0"/>
        <extend val="0"/>
        <color auto="1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313748</xdr:colOff>
      <xdr:row>5</xdr:row>
      <xdr:rowOff>112059</xdr:rowOff>
    </xdr:from>
    <xdr:to>
      <xdr:col>3</xdr:col>
      <xdr:colOff>0</xdr:colOff>
      <xdr:row>6</xdr:row>
      <xdr:rowOff>134471</xdr:rowOff>
    </xdr:to>
    <xdr:cxnSp macro="">
      <xdr:nvCxnSpPr>
        <xdr:cNvPr id="2" name="Straight Arrow Connector 1"/>
        <xdr:cNvCxnSpPr/>
      </xdr:nvCxnSpPr>
      <xdr:spPr>
        <a:xfrm flipH="1">
          <a:off x="313748" y="493059"/>
          <a:ext cx="577" cy="21291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112058</xdr:rowOff>
    </xdr:from>
    <xdr:to>
      <xdr:col>3</xdr:col>
      <xdr:colOff>582706</xdr:colOff>
      <xdr:row>5</xdr:row>
      <xdr:rowOff>112059</xdr:rowOff>
    </xdr:to>
    <xdr:cxnSp macro="">
      <xdr:nvCxnSpPr>
        <xdr:cNvPr id="3" name="Straight Connector 2"/>
        <xdr:cNvCxnSpPr/>
      </xdr:nvCxnSpPr>
      <xdr:spPr>
        <a:xfrm flipV="1">
          <a:off x="314325" y="493058"/>
          <a:ext cx="582706" cy="1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GridLines="0" tabSelected="1" zoomScale="85" zoomScaleNormal="85" workbookViewId="0">
      <pane ySplit="2" topLeftCell="A3" activePane="bottomLeft" state="frozen"/>
      <selection activeCell="F18" sqref="F18"/>
      <selection pane="bottomLeft" activeCell="I15" sqref="I15"/>
    </sheetView>
  </sheetViews>
  <sheetFormatPr defaultRowHeight="15" outlineLevelCol="1" x14ac:dyDescent="0.25"/>
  <cols>
    <col min="1" max="1" width="25.375" style="174" bestFit="1" customWidth="1"/>
    <col min="2" max="3" width="11.625" style="174" customWidth="1"/>
    <col min="4" max="4" width="2.75" style="174" customWidth="1"/>
    <col min="5" max="11" width="11.625" style="174" customWidth="1"/>
    <col min="12" max="12" width="1.875" style="174" customWidth="1"/>
    <col min="13" max="14" width="10.625" style="174" customWidth="1"/>
    <col min="15" max="15" width="9" style="174" customWidth="1"/>
    <col min="16" max="16" width="10.5" style="174" hidden="1" customWidth="1" outlineLevel="1"/>
    <col min="17" max="17" width="9" style="174" customWidth="1" collapsed="1"/>
    <col min="18" max="18" width="10.375" style="174" bestFit="1" customWidth="1"/>
    <col min="19" max="20" width="9" style="174" customWidth="1"/>
    <col min="21" max="16384" width="9" style="174"/>
  </cols>
  <sheetData>
    <row r="1" spans="1:16" ht="18.75" x14ac:dyDescent="0.25">
      <c r="A1" s="173" t="s">
        <v>0</v>
      </c>
      <c r="I1" s="175" t="s">
        <v>1</v>
      </c>
      <c r="J1" s="176">
        <f>PMT!B56</f>
        <v>0</v>
      </c>
    </row>
    <row r="2" spans="1:16" ht="15.75" x14ac:dyDescent="0.25">
      <c r="A2" s="177" t="s">
        <v>2</v>
      </c>
    </row>
    <row r="4" spans="1:16" x14ac:dyDescent="0.25">
      <c r="A4" s="178" t="s">
        <v>3</v>
      </c>
      <c r="B4" s="179"/>
      <c r="C4" s="180"/>
      <c r="D4" s="181"/>
      <c r="E4" s="178" t="s">
        <v>4</v>
      </c>
      <c r="F4" s="182"/>
      <c r="G4" s="182"/>
      <c r="H4" s="182"/>
      <c r="I4" s="182"/>
      <c r="J4" s="182"/>
      <c r="K4" s="182"/>
      <c r="L4" s="183"/>
      <c r="M4" s="184"/>
      <c r="N4" s="184"/>
    </row>
    <row r="5" spans="1:16" x14ac:dyDescent="0.25">
      <c r="A5" s="185" t="s">
        <v>5</v>
      </c>
      <c r="B5" s="186" t="str">
        <f>IF(PMT!B2="","",PMT!B2)</f>
        <v/>
      </c>
      <c r="C5" s="187"/>
      <c r="E5" s="188" t="s">
        <v>6</v>
      </c>
      <c r="F5" s="189"/>
      <c r="G5" s="186" t="str">
        <f>IF(PMT!B32="","",PMT!B32)</f>
        <v/>
      </c>
      <c r="H5" s="190" t="str">
        <f>IF(G5="","",HLOOKUP(G5,Data!B3:G4,2,FALSE))</f>
        <v/>
      </c>
      <c r="I5" s="190"/>
      <c r="J5" s="190"/>
      <c r="K5" s="190"/>
      <c r="L5" s="191"/>
      <c r="M5" s="184"/>
      <c r="N5" s="184"/>
    </row>
    <row r="6" spans="1:16" x14ac:dyDescent="0.25">
      <c r="A6" s="185" t="s">
        <v>7</v>
      </c>
      <c r="B6" s="186" t="str">
        <f>IF(PMT!B3="","",PMT!B3)</f>
        <v/>
      </c>
      <c r="C6" s="192"/>
      <c r="E6" s="185" t="s">
        <v>8</v>
      </c>
      <c r="F6" s="189"/>
      <c r="G6" s="193" t="str">
        <f>IF(PMT!B33="","",PMT!B33)</f>
        <v/>
      </c>
      <c r="H6" s="194" t="s">
        <v>9</v>
      </c>
      <c r="I6" s="189"/>
      <c r="J6" s="189"/>
      <c r="K6" s="189"/>
      <c r="L6" s="187"/>
      <c r="M6" s="184"/>
      <c r="N6" s="184"/>
    </row>
    <row r="7" spans="1:16" x14ac:dyDescent="0.25">
      <c r="A7" s="185" t="s">
        <v>10</v>
      </c>
      <c r="B7" s="195" t="str">
        <f>IF(PMT!B4="","",PMT!B4)</f>
        <v/>
      </c>
      <c r="C7" s="196"/>
      <c r="E7" s="185"/>
      <c r="F7" s="189"/>
      <c r="G7" s="197" t="s">
        <v>11</v>
      </c>
      <c r="H7" s="198"/>
      <c r="I7" s="189"/>
      <c r="J7" s="189"/>
      <c r="K7" s="189"/>
      <c r="L7" s="187"/>
      <c r="M7" s="184"/>
      <c r="N7" s="184"/>
    </row>
    <row r="8" spans="1:16" x14ac:dyDescent="0.25">
      <c r="A8" s="199" t="s">
        <v>12</v>
      </c>
      <c r="B8" s="200" t="str">
        <f>IF(PMT!B5="","",PMT!B5)</f>
        <v/>
      </c>
      <c r="C8" s="187"/>
      <c r="E8" s="201"/>
      <c r="F8" s="202"/>
      <c r="G8" s="203" t="s">
        <v>13</v>
      </c>
      <c r="H8" s="204" t="s">
        <v>14</v>
      </c>
      <c r="I8" s="205"/>
      <c r="J8" s="205"/>
      <c r="K8" s="205"/>
      <c r="L8" s="206"/>
      <c r="M8" s="184"/>
      <c r="N8" s="184"/>
    </row>
    <row r="9" spans="1:16" x14ac:dyDescent="0.25">
      <c r="A9" s="199" t="s">
        <v>15</v>
      </c>
      <c r="B9" s="200" t="str">
        <f>IF(PMT!B6="","",PMT!B6)</f>
        <v/>
      </c>
      <c r="C9" s="187"/>
      <c r="E9" s="207" t="s">
        <v>16</v>
      </c>
      <c r="F9" s="204" t="s">
        <v>17</v>
      </c>
      <c r="G9" s="203" t="s">
        <v>18</v>
      </c>
      <c r="H9" s="204" t="s">
        <v>19</v>
      </c>
      <c r="I9" s="204" t="s">
        <v>20</v>
      </c>
      <c r="J9" s="204" t="s">
        <v>21</v>
      </c>
      <c r="K9" s="204"/>
      <c r="L9" s="208"/>
      <c r="M9" s="184"/>
      <c r="N9" s="184"/>
    </row>
    <row r="10" spans="1:16" x14ac:dyDescent="0.25">
      <c r="A10" s="199" t="s">
        <v>22</v>
      </c>
      <c r="B10" s="186" t="str">
        <f>IF(PMT!B7="","",PMT!B7)</f>
        <v/>
      </c>
      <c r="C10" s="187"/>
      <c r="E10" s="209" t="s">
        <v>23</v>
      </c>
      <c r="F10" s="189"/>
      <c r="G10" s="210" t="str">
        <f>B17</f>
        <v/>
      </c>
      <c r="H10" s="211" t="e">
        <f>G10/(B14+B27)</f>
        <v>#VALUE!</v>
      </c>
      <c r="I10" s="211" t="e">
        <f>$C$29</f>
        <v>#VALUE!</v>
      </c>
      <c r="J10" s="211" t="e">
        <f>B30/B40</f>
        <v>#VALUE!</v>
      </c>
      <c r="K10" s="211"/>
      <c r="L10" s="212"/>
      <c r="M10" s="184"/>
      <c r="N10" s="184"/>
      <c r="P10" s="174">
        <v>1</v>
      </c>
    </row>
    <row r="11" spans="1:16" x14ac:dyDescent="0.25">
      <c r="A11" s="213"/>
      <c r="B11" s="214"/>
      <c r="C11" s="215"/>
      <c r="E11" s="207">
        <v>1</v>
      </c>
      <c r="F11" s="216" t="str">
        <f>IF(PMT!B34="","",PMT!B34)</f>
        <v/>
      </c>
      <c r="G11" s="217" t="str">
        <f>IF($G$5="","",HLOOKUP($G$5,Data!$B$3:$G$24,Data!O5,FALSE))</f>
        <v/>
      </c>
      <c r="H11" s="218" t="str">
        <f>IF($G$5="","",HLOOKUP($G$5,Data!$H$3:$M$24,Data!O5,FALSE))</f>
        <v/>
      </c>
      <c r="I11" s="218" t="str">
        <f>IF(G5="","",Trend!$D$24)</f>
        <v/>
      </c>
      <c r="J11" s="218" t="str">
        <f>IF(H5="","",Trend!$D$30)</f>
        <v/>
      </c>
      <c r="K11" s="218"/>
      <c r="L11" s="212"/>
      <c r="M11" s="184"/>
      <c r="N11" s="184"/>
      <c r="P11" s="174">
        <v>2</v>
      </c>
    </row>
    <row r="12" spans="1:16" x14ac:dyDescent="0.25">
      <c r="E12" s="209">
        <v>2</v>
      </c>
      <c r="F12" s="216" t="str">
        <f>IF(PMT!B35="","",PMT!B35)</f>
        <v/>
      </c>
      <c r="G12" s="210" t="str">
        <f>IF($G$5="","",HLOOKUP($G$5,Data!$B$3:$G$24,Data!O6,FALSE))</f>
        <v/>
      </c>
      <c r="H12" s="211" t="str">
        <f>IF($G$5="","",HLOOKUP($G$5,Data!$H$3:$M$24,Data!O6,FALSE))</f>
        <v/>
      </c>
      <c r="I12" s="211" t="str">
        <f>IF(G5="","",Trend!$E$24)</f>
        <v/>
      </c>
      <c r="J12" s="211" t="str">
        <f>IF(H5="","",Trend!$E$30)</f>
        <v/>
      </c>
      <c r="K12" s="211"/>
      <c r="L12" s="212"/>
      <c r="M12" s="184"/>
      <c r="N12" s="184"/>
      <c r="P12" s="174">
        <v>3</v>
      </c>
    </row>
    <row r="13" spans="1:16" x14ac:dyDescent="0.25">
      <c r="A13" s="178" t="s">
        <v>24</v>
      </c>
      <c r="B13" s="179"/>
      <c r="C13" s="183"/>
      <c r="D13" s="184"/>
      <c r="E13" s="209">
        <v>3</v>
      </c>
      <c r="F13" s="216" t="str">
        <f>IF(PMT!B36="","",PMT!B36)</f>
        <v/>
      </c>
      <c r="G13" s="210" t="str">
        <f>IF($G$5="","",HLOOKUP($G$5,Data!$B$3:$G$24,Data!O7,FALSE))</f>
        <v/>
      </c>
      <c r="H13" s="211" t="str">
        <f>IF($G$5="","",HLOOKUP($G$5,Data!$H$3:$M$24,Data!O7,FALSE))</f>
        <v/>
      </c>
      <c r="I13" s="211" t="str">
        <f>IF(G5="","",Trend!$F$24)</f>
        <v/>
      </c>
      <c r="J13" s="211" t="str">
        <f>IF(H5="","",Trend!$F$30)</f>
        <v/>
      </c>
      <c r="K13" s="211"/>
      <c r="L13" s="212"/>
      <c r="M13" s="184"/>
      <c r="N13" s="184"/>
      <c r="P13" s="174">
        <v>4</v>
      </c>
    </row>
    <row r="14" spans="1:16" x14ac:dyDescent="0.25">
      <c r="A14" s="185" t="s">
        <v>25</v>
      </c>
      <c r="B14" s="219" t="str">
        <f>IF(PMT!B8="","",PMT!B8)</f>
        <v/>
      </c>
      <c r="C14" s="187"/>
      <c r="E14" s="209">
        <v>4</v>
      </c>
      <c r="F14" s="216" t="str">
        <f>IF(PMT!B37="","",PMT!B37)</f>
        <v/>
      </c>
      <c r="G14" s="210" t="str">
        <f>IF($G$5="","",HLOOKUP($G$5,Data!$B$3:$G$24,Data!O8,FALSE))</f>
        <v/>
      </c>
      <c r="H14" s="211" t="str">
        <f>IF($G$5="","",HLOOKUP($G$5,Data!$H$3:$M$24,Data!O8,FALSE))</f>
        <v/>
      </c>
      <c r="I14" s="211" t="str">
        <f>IF(G5="","",Trend!$G$24)</f>
        <v/>
      </c>
      <c r="J14" s="211" t="str">
        <f>IF(H5="","",Trend!$G$30)</f>
        <v/>
      </c>
      <c r="K14" s="211"/>
      <c r="L14" s="212"/>
      <c r="M14" s="184"/>
      <c r="N14" s="184"/>
      <c r="P14" s="174">
        <v>5</v>
      </c>
    </row>
    <row r="15" spans="1:16" x14ac:dyDescent="0.25">
      <c r="A15" s="185" t="s">
        <v>26</v>
      </c>
      <c r="B15" s="189"/>
      <c r="C15" s="220">
        <f>PMT!B55</f>
        <v>0</v>
      </c>
      <c r="E15" s="209">
        <v>5</v>
      </c>
      <c r="F15" s="216" t="str">
        <f>IF(PMT!B38="","",PMT!B38)</f>
        <v/>
      </c>
      <c r="G15" s="210" t="str">
        <f>IF($G$5="","",HLOOKUP($G$5,Data!$B$3:$G$24,Data!O9,FALSE))</f>
        <v/>
      </c>
      <c r="H15" s="211" t="str">
        <f>IF($G$5="","",HLOOKUP($G$5,Data!$H$3:$M$24,Data!O9,FALSE))</f>
        <v/>
      </c>
      <c r="I15" s="211" t="str">
        <f>IF(G5="","",Trend!$H$24)</f>
        <v/>
      </c>
      <c r="J15" s="211" t="str">
        <f>IF(H5="","",Trend!$H$30)</f>
        <v/>
      </c>
      <c r="K15" s="211"/>
      <c r="L15" s="212"/>
      <c r="M15" s="184"/>
      <c r="N15" s="184"/>
      <c r="P15" s="174">
        <v>6</v>
      </c>
    </row>
    <row r="16" spans="1:16" x14ac:dyDescent="0.25">
      <c r="A16" s="185" t="s">
        <v>243</v>
      </c>
      <c r="B16" s="318" t="str">
        <f>IF(PMT!B9="","",PMT!B9)</f>
        <v/>
      </c>
      <c r="C16" s="212" t="e">
        <f t="shared" ref="C16:C29" si="0">B16/$B$14</f>
        <v>#VALUE!</v>
      </c>
      <c r="E16" s="209">
        <v>6</v>
      </c>
      <c r="F16" s="216" t="str">
        <f>IF(PMT!B39="","",PMT!B39)</f>
        <v/>
      </c>
      <c r="G16" s="210" t="str">
        <f>IF($G$5="","",HLOOKUP($G$5,Data!$B$3:$G$24,Data!O10,FALSE))</f>
        <v/>
      </c>
      <c r="H16" s="211" t="str">
        <f>IF($G$5="","",HLOOKUP($G$5,Data!$H$3:$M$24,Data!O10,FALSE))</f>
        <v/>
      </c>
      <c r="I16" s="211" t="str">
        <f>IF(G5="","",Trend!$I$24)</f>
        <v/>
      </c>
      <c r="J16" s="211" t="str">
        <f>IF(H5="","",Trend!$I$30)</f>
        <v/>
      </c>
      <c r="K16" s="211"/>
      <c r="L16" s="212"/>
      <c r="M16" s="184"/>
      <c r="N16" s="184"/>
      <c r="P16" s="221"/>
    </row>
    <row r="17" spans="1:14" x14ac:dyDescent="0.25">
      <c r="A17" s="185" t="s">
        <v>27</v>
      </c>
      <c r="B17" s="219" t="str">
        <f>IF(PMT!B10="","",PMT!B10)</f>
        <v/>
      </c>
      <c r="C17" s="212" t="e">
        <f t="shared" si="0"/>
        <v>#VALUE!</v>
      </c>
      <c r="E17" s="209">
        <v>7</v>
      </c>
      <c r="F17" s="216" t="str">
        <f>IF(PMT!B40="","",PMT!B40)</f>
        <v/>
      </c>
      <c r="G17" s="210" t="str">
        <f>IF($G$5="","",HLOOKUP($G$5,Data!$B$3:$G$24,Data!O11,FALSE))</f>
        <v/>
      </c>
      <c r="H17" s="211" t="str">
        <f>IF($G$5="","",HLOOKUP($G$5,Data!$H$3:$M$24,Data!O11,FALSE))</f>
        <v/>
      </c>
      <c r="I17" s="211" t="str">
        <f>IF(G5="","",Trend!$J$24)</f>
        <v/>
      </c>
      <c r="J17" s="211" t="str">
        <f>IF(H5="","",Trend!$J$30)</f>
        <v/>
      </c>
      <c r="K17" s="211"/>
      <c r="L17" s="212"/>
      <c r="M17" s="184"/>
      <c r="N17" s="184"/>
    </row>
    <row r="18" spans="1:14" x14ac:dyDescent="0.25">
      <c r="A18" s="185" t="s">
        <v>28</v>
      </c>
      <c r="B18" s="219" t="str">
        <f>IF(PMT!B11="","",PMT!B11)</f>
        <v/>
      </c>
      <c r="C18" s="212" t="e">
        <f t="shared" si="0"/>
        <v>#VALUE!</v>
      </c>
      <c r="E18" s="209">
        <v>8</v>
      </c>
      <c r="F18" s="216" t="str">
        <f>IF(PMT!B41="","",PMT!B41)</f>
        <v/>
      </c>
      <c r="G18" s="210" t="str">
        <f>IF($G$5="","",HLOOKUP($G$5,Data!$B$3:$G$24,Data!O12,FALSE))</f>
        <v/>
      </c>
      <c r="H18" s="211" t="str">
        <f>IF($G$5="","",HLOOKUP($G$5,Data!$H$3:$M$24,Data!O12,FALSE))</f>
        <v/>
      </c>
      <c r="I18" s="211" t="str">
        <f>IF(G5="","",Trend!$K$24)</f>
        <v/>
      </c>
      <c r="J18" s="211" t="str">
        <f>IF(H5="","",Trend!$K$30)</f>
        <v/>
      </c>
      <c r="K18" s="211"/>
      <c r="L18" s="212"/>
      <c r="M18" s="184"/>
      <c r="N18" s="184"/>
    </row>
    <row r="19" spans="1:14" x14ac:dyDescent="0.25">
      <c r="A19" s="185" t="s">
        <v>29</v>
      </c>
      <c r="B19" s="219" t="str">
        <f>IF(PMT!B12="","",PMT!B12)</f>
        <v/>
      </c>
      <c r="C19" s="212" t="e">
        <f t="shared" si="0"/>
        <v>#VALUE!</v>
      </c>
      <c r="E19" s="209">
        <v>9</v>
      </c>
      <c r="F19" s="216" t="str">
        <f>IF(PMT!B42="","",PMT!B42)</f>
        <v/>
      </c>
      <c r="G19" s="210" t="str">
        <f>IF($G$5="","",HLOOKUP($G$5,Data!$B$3:$G$24,Data!O13,FALSE))</f>
        <v/>
      </c>
      <c r="H19" s="211" t="str">
        <f>IF($G$5="","",HLOOKUP($G$5,Data!$H$3:$M$24,Data!O13,FALSE))</f>
        <v/>
      </c>
      <c r="I19" s="211" t="str">
        <f>IF(G5="","",Trend!$L$24)</f>
        <v/>
      </c>
      <c r="J19" s="211" t="str">
        <f>IF(H5="","",Trend!$L$30)</f>
        <v/>
      </c>
      <c r="K19" s="211"/>
      <c r="L19" s="212"/>
      <c r="M19" s="184"/>
      <c r="N19" s="184"/>
    </row>
    <row r="20" spans="1:14" x14ac:dyDescent="0.25">
      <c r="A20" s="185" t="s">
        <v>30</v>
      </c>
      <c r="B20" s="219" t="str">
        <f>IF(PMT!B13="","",PMT!B13)</f>
        <v/>
      </c>
      <c r="C20" s="212" t="e">
        <f t="shared" si="0"/>
        <v>#VALUE!</v>
      </c>
      <c r="E20" s="209">
        <v>10</v>
      </c>
      <c r="F20" s="216" t="str">
        <f>IF(PMT!B43="","",PMT!B43)</f>
        <v/>
      </c>
      <c r="G20" s="210" t="str">
        <f>IF($G$5="","",HLOOKUP($G$5,Data!$B$3:$G$24,Data!O14,FALSE))</f>
        <v/>
      </c>
      <c r="H20" s="211" t="str">
        <f>IF($G$5="","",HLOOKUP($G$5,Data!$H$3:$M$24,Data!O14,FALSE))</f>
        <v/>
      </c>
      <c r="I20" s="211" t="str">
        <f>IF(G5="","",Trend!$M$24)</f>
        <v/>
      </c>
      <c r="J20" s="211" t="str">
        <f>IF(H5="","",Trend!$M$30)</f>
        <v/>
      </c>
      <c r="K20" s="211"/>
      <c r="L20" s="212"/>
      <c r="M20" s="184"/>
      <c r="N20" s="184"/>
    </row>
    <row r="21" spans="1:14" x14ac:dyDescent="0.25">
      <c r="A21" s="185" t="s">
        <v>31</v>
      </c>
      <c r="B21" s="219" t="str">
        <f>IF(PMT!B14="","",PMT!B14)</f>
        <v/>
      </c>
      <c r="C21" s="212" t="e">
        <f t="shared" si="0"/>
        <v>#VALUE!</v>
      </c>
      <c r="E21" s="209">
        <v>11</v>
      </c>
      <c r="F21" s="216" t="str">
        <f>IF(PMT!B44="","",PMT!B44)</f>
        <v/>
      </c>
      <c r="G21" s="210" t="str">
        <f>IF($G$5="","",HLOOKUP($G$5,Data!$B$3:$G$24,Data!O15,FALSE))</f>
        <v/>
      </c>
      <c r="H21" s="211" t="str">
        <f>IF($G$5="","",HLOOKUP($G$5,Data!$H$3:$M$24,Data!O15,FALSE))</f>
        <v/>
      </c>
      <c r="I21" s="211" t="str">
        <f>IF(G5="","",Trend!$N$24)</f>
        <v/>
      </c>
      <c r="J21" s="211" t="str">
        <f>IF(H5="","",Trend!$N$30)</f>
        <v/>
      </c>
      <c r="K21" s="211"/>
      <c r="L21" s="212"/>
      <c r="M21" s="184"/>
      <c r="N21" s="184"/>
    </row>
    <row r="22" spans="1:14" x14ac:dyDescent="0.25">
      <c r="A22" s="185" t="s">
        <v>32</v>
      </c>
      <c r="B22" s="219" t="str">
        <f>IF(PMT!B15="","",PMT!B15)</f>
        <v/>
      </c>
      <c r="C22" s="212" t="e">
        <f t="shared" si="0"/>
        <v>#VALUE!</v>
      </c>
      <c r="E22" s="209">
        <v>12</v>
      </c>
      <c r="F22" s="216" t="str">
        <f>IF(PMT!B45="","",PMT!B45)</f>
        <v/>
      </c>
      <c r="G22" s="210" t="str">
        <f>IF($G$5="","",HLOOKUP($G$5,Data!$B$3:$G$24,Data!O16,FALSE))</f>
        <v/>
      </c>
      <c r="H22" s="211" t="str">
        <f>IF($G$5="","",HLOOKUP($G$5,Data!$H$3:$M$24,Data!O16,FALSE))</f>
        <v/>
      </c>
      <c r="I22" s="211" t="str">
        <f>IF(G5="","",Trend!$O$24)</f>
        <v/>
      </c>
      <c r="J22" s="211" t="str">
        <f>IF(H5="","",Trend!$O$30)</f>
        <v/>
      </c>
      <c r="K22" s="211"/>
      <c r="L22" s="212"/>
      <c r="M22" s="184"/>
      <c r="N22" s="184"/>
    </row>
    <row r="23" spans="1:14" x14ac:dyDescent="0.25">
      <c r="A23" s="185" t="s">
        <v>33</v>
      </c>
      <c r="B23" s="219" t="str">
        <f>IF(PMT!B16="","",PMT!B16)</f>
        <v/>
      </c>
      <c r="C23" s="212" t="e">
        <f t="shared" si="0"/>
        <v>#VALUE!</v>
      </c>
      <c r="E23" s="209">
        <v>13</v>
      </c>
      <c r="F23" s="216" t="str">
        <f>IF(PMT!B46="","",PMT!B46)</f>
        <v/>
      </c>
      <c r="G23" s="210" t="str">
        <f>IF($G$5="","",HLOOKUP($G$5,Data!$B$3:$G$24,Data!O17,FALSE))</f>
        <v/>
      </c>
      <c r="H23" s="211" t="str">
        <f>IF($G$5="","",HLOOKUP($G$5,Data!$H$3:$M$24,Data!O17,FALSE))</f>
        <v/>
      </c>
      <c r="I23" s="211" t="str">
        <f>IF(G5="","",Trend!$P$24)</f>
        <v/>
      </c>
      <c r="J23" s="211" t="str">
        <f>IF(H5="","",Trend!$P$30)</f>
        <v/>
      </c>
      <c r="K23" s="211"/>
      <c r="L23" s="212"/>
      <c r="M23" s="184"/>
      <c r="N23" s="184"/>
    </row>
    <row r="24" spans="1:14" x14ac:dyDescent="0.25">
      <c r="A24" s="185" t="s">
        <v>34</v>
      </c>
      <c r="B24" s="219" t="str">
        <f>IF(PMT!B17="","",PMT!B17)</f>
        <v/>
      </c>
      <c r="C24" s="212" t="e">
        <f t="shared" si="0"/>
        <v>#VALUE!</v>
      </c>
      <c r="E24" s="209">
        <v>14</v>
      </c>
      <c r="F24" s="216" t="str">
        <f>IF(PMT!B47="","",PMT!B47)</f>
        <v/>
      </c>
      <c r="G24" s="210" t="str">
        <f>IF($G$5="","",HLOOKUP($G$5,Data!$B$3:$G$24,Data!O18,FALSE))</f>
        <v/>
      </c>
      <c r="H24" s="211" t="str">
        <f>IF($G$5="","",HLOOKUP($G$5,Data!$H$3:$M$24,Data!O18,FALSE))</f>
        <v/>
      </c>
      <c r="I24" s="211" t="str">
        <f>IF(G5="","",Trend!$Q$24)</f>
        <v/>
      </c>
      <c r="J24" s="211" t="str">
        <f>IF(H5="","",Trend!$Q$30)</f>
        <v/>
      </c>
      <c r="K24" s="211"/>
      <c r="L24" s="212"/>
      <c r="M24" s="184"/>
      <c r="N24" s="184"/>
    </row>
    <row r="25" spans="1:14" x14ac:dyDescent="0.25">
      <c r="A25" s="185" t="s">
        <v>35</v>
      </c>
      <c r="B25" s="219" t="str">
        <f>IF(PMT!B18="","",PMT!B18)</f>
        <v/>
      </c>
      <c r="C25" s="212" t="e">
        <f t="shared" si="0"/>
        <v>#VALUE!</v>
      </c>
      <c r="E25" s="209">
        <v>15</v>
      </c>
      <c r="F25" s="216" t="str">
        <f>IF(PMT!B48="","",PMT!B48)</f>
        <v/>
      </c>
      <c r="G25" s="210" t="str">
        <f>IF($G$5="","",HLOOKUP($G$5,Data!$B$3:$G$24,Data!O19,FALSE))</f>
        <v/>
      </c>
      <c r="H25" s="211" t="str">
        <f>IF($G$5="","",HLOOKUP($G$5,Data!$H$3:$M$24,Data!O19,FALSE))</f>
        <v/>
      </c>
      <c r="I25" s="211" t="str">
        <f>IF(G5="","",Trend!$R$24)</f>
        <v/>
      </c>
      <c r="J25" s="211" t="str">
        <f>IF(H5="","",Trend!$R$30)</f>
        <v/>
      </c>
      <c r="K25" s="211"/>
      <c r="L25" s="212"/>
      <c r="M25" s="184"/>
      <c r="N25" s="184"/>
    </row>
    <row r="26" spans="1:14" x14ac:dyDescent="0.25">
      <c r="A26" s="185" t="s">
        <v>36</v>
      </c>
      <c r="B26" s="219" t="str">
        <f>IF(PMT!B19="","",PMT!B19)</f>
        <v/>
      </c>
      <c r="C26" s="212" t="e">
        <f t="shared" si="0"/>
        <v>#VALUE!</v>
      </c>
      <c r="E26" s="209">
        <v>16</v>
      </c>
      <c r="F26" s="216" t="str">
        <f>IF(PMT!B49="","",PMT!B49)</f>
        <v/>
      </c>
      <c r="G26" s="210" t="str">
        <f>IF($G$5="","",HLOOKUP($G$5,Data!$B$3:$G$24,Data!O20,FALSE))</f>
        <v/>
      </c>
      <c r="H26" s="211" t="str">
        <f>IF($G$5="","",HLOOKUP($G$5,Data!$H$3:$M$24,Data!O20,FALSE))</f>
        <v/>
      </c>
      <c r="I26" s="211" t="str">
        <f>IF(G5="","",Trend!$S$24)</f>
        <v/>
      </c>
      <c r="J26" s="211" t="str">
        <f>IF(H5="","",Trend!$S$30)</f>
        <v/>
      </c>
      <c r="K26" s="211"/>
      <c r="L26" s="212"/>
      <c r="M26" s="184"/>
      <c r="N26" s="184"/>
    </row>
    <row r="27" spans="1:14" x14ac:dyDescent="0.25">
      <c r="A27" s="185" t="s">
        <v>37</v>
      </c>
      <c r="B27" s="219" t="str">
        <f>IF(PMT!B20="","",PMT!B20)</f>
        <v/>
      </c>
      <c r="C27" s="212" t="e">
        <f t="shared" si="0"/>
        <v>#VALUE!</v>
      </c>
      <c r="E27" s="209">
        <v>17</v>
      </c>
      <c r="F27" s="216" t="str">
        <f>IF(PMT!B50="","",PMT!B50)</f>
        <v/>
      </c>
      <c r="G27" s="210" t="str">
        <f>IF($G$5="","",HLOOKUP($G$5,Data!$B$3:$G$24,Data!O21,FALSE))</f>
        <v/>
      </c>
      <c r="H27" s="211" t="str">
        <f>IF($G$5="","",HLOOKUP($G$5,Data!$H$3:$M$24,Data!O21,FALSE))</f>
        <v/>
      </c>
      <c r="I27" s="211" t="str">
        <f>IF(G5="","",Trend!$T$24)</f>
        <v/>
      </c>
      <c r="J27" s="211" t="str">
        <f>IF(H5="","",Trend!$T$30)</f>
        <v/>
      </c>
      <c r="K27" s="211"/>
      <c r="L27" s="212"/>
      <c r="M27" s="184"/>
      <c r="N27" s="184"/>
    </row>
    <row r="28" spans="1:14" x14ac:dyDescent="0.25">
      <c r="A28" s="185" t="s">
        <v>38</v>
      </c>
      <c r="B28" s="219" t="str">
        <f>IF(PMT!B21="","",PMT!B21)</f>
        <v/>
      </c>
      <c r="C28" s="212" t="e">
        <f t="shared" si="0"/>
        <v>#VALUE!</v>
      </c>
      <c r="E28" s="209">
        <v>18</v>
      </c>
      <c r="F28" s="216" t="str">
        <f>IF(PMT!B51="","",PMT!B51)</f>
        <v/>
      </c>
      <c r="G28" s="210" t="str">
        <f>IF($G$5="","",HLOOKUP($G$5,Data!$B$3:$G$24,Data!O22,FALSE))</f>
        <v/>
      </c>
      <c r="H28" s="211" t="str">
        <f>IF($G$5="","",HLOOKUP($G$5,Data!$H$3:$M$24,Data!O22,FALSE))</f>
        <v/>
      </c>
      <c r="I28" s="211" t="str">
        <f>IF(G5="","",Trend!$U$24)</f>
        <v/>
      </c>
      <c r="J28" s="211" t="str">
        <f>IF(H5="","",Trend!$U$30)</f>
        <v/>
      </c>
      <c r="K28" s="211"/>
      <c r="L28" s="212"/>
    </row>
    <row r="29" spans="1:14" x14ac:dyDescent="0.25">
      <c r="A29" s="185" t="s">
        <v>39</v>
      </c>
      <c r="B29" s="222" t="e">
        <f>B16-SUM(B17:B26)+B27-B28</f>
        <v>#VALUE!</v>
      </c>
      <c r="C29" s="212" t="e">
        <f t="shared" si="0"/>
        <v>#VALUE!</v>
      </c>
      <c r="E29" s="209">
        <v>19</v>
      </c>
      <c r="F29" s="216" t="str">
        <f>IF(PMT!B52="","",PMT!B52)</f>
        <v/>
      </c>
      <c r="G29" s="210" t="str">
        <f>IF($G$5="","",HLOOKUP($G$5,Data!$B$3:$G$24,Data!O23,FALSE))</f>
        <v/>
      </c>
      <c r="H29" s="211" t="str">
        <f>IF($G$5="","",HLOOKUP($G$5,Data!$H$3:$M$24,Data!O23,FALSE))</f>
        <v/>
      </c>
      <c r="I29" s="211" t="str">
        <f>IF(G5="","",Trend!$V$24)</f>
        <v/>
      </c>
      <c r="J29" s="211" t="str">
        <f>IF(H5="","",Trend!$V$30)</f>
        <v/>
      </c>
      <c r="K29" s="211"/>
      <c r="L29" s="212"/>
    </row>
    <row r="30" spans="1:14" x14ac:dyDescent="0.25">
      <c r="A30" s="185" t="s">
        <v>40</v>
      </c>
      <c r="B30" s="210" t="e">
        <f>B29+SUM(B18,B19,B24,B25)</f>
        <v>#VALUE!</v>
      </c>
      <c r="C30" s="212" t="e">
        <f>B30/B40</f>
        <v>#VALUE!</v>
      </c>
      <c r="E30" s="209">
        <v>20</v>
      </c>
      <c r="F30" s="216" t="str">
        <f>IF(PMT!B53="","",PMT!B53)</f>
        <v/>
      </c>
      <c r="G30" s="210" t="str">
        <f>IF($G$5="","",HLOOKUP($G$5,Data!$B$3:$G$24,Data!O24,FALSE))</f>
        <v/>
      </c>
      <c r="H30" s="211" t="str">
        <f>IF($G$5="","",HLOOKUP($G$5,Data!$H$3:$M$24,Data!O24,FALSE))</f>
        <v/>
      </c>
      <c r="I30" s="211" t="str">
        <f>IF(G5="","",Trend!$W$24)</f>
        <v/>
      </c>
      <c r="J30" s="211" t="str">
        <f>IF(H5="","",Trend!$W$30)</f>
        <v/>
      </c>
      <c r="K30" s="211"/>
      <c r="L30" s="212"/>
    </row>
    <row r="31" spans="1:14" x14ac:dyDescent="0.25">
      <c r="A31" s="185" t="s">
        <v>41</v>
      </c>
      <c r="B31" s="210" t="e">
        <f>B30+B20+B21</f>
        <v>#VALUE!</v>
      </c>
      <c r="C31" s="212" t="e">
        <f>B31/B40</f>
        <v>#VALUE!</v>
      </c>
      <c r="E31" s="213"/>
      <c r="F31" s="214"/>
      <c r="G31" s="214"/>
      <c r="H31" s="214"/>
      <c r="I31" s="214"/>
      <c r="J31" s="214"/>
      <c r="K31" s="214"/>
      <c r="L31" s="215"/>
    </row>
    <row r="32" spans="1:14" x14ac:dyDescent="0.25">
      <c r="A32" s="185" t="s">
        <v>42</v>
      </c>
      <c r="B32" s="210" t="e">
        <f>SUM(B29,B21,B19:B20,B25)</f>
        <v>#VALUE!</v>
      </c>
      <c r="C32" s="212" t="e">
        <f>B32/(B14+B27)</f>
        <v>#VALUE!</v>
      </c>
    </row>
    <row r="33" spans="1:12" x14ac:dyDescent="0.25">
      <c r="A33" s="223" t="s">
        <v>43</v>
      </c>
      <c r="B33" s="214"/>
      <c r="C33" s="215"/>
      <c r="E33" s="224" t="s">
        <v>44</v>
      </c>
      <c r="F33" s="225"/>
      <c r="G33" s="225"/>
      <c r="H33" s="225"/>
      <c r="I33" s="225"/>
      <c r="J33" s="225"/>
      <c r="K33" s="225"/>
      <c r="L33" s="226"/>
    </row>
    <row r="34" spans="1:12" x14ac:dyDescent="0.25">
      <c r="E34" s="227"/>
      <c r="F34" s="189"/>
      <c r="G34" s="189"/>
      <c r="H34" s="228" t="s">
        <v>45</v>
      </c>
      <c r="I34" s="204" t="s">
        <v>46</v>
      </c>
      <c r="J34" s="202" t="s">
        <v>47</v>
      </c>
      <c r="K34" s="202"/>
      <c r="L34" s="229"/>
    </row>
    <row r="35" spans="1:12" x14ac:dyDescent="0.25">
      <c r="A35" s="230" t="s">
        <v>48</v>
      </c>
      <c r="B35" s="231"/>
      <c r="C35" s="232" t="s">
        <v>49</v>
      </c>
      <c r="E35" s="233"/>
      <c r="F35" s="234"/>
      <c r="G35" s="234"/>
      <c r="H35" s="228" t="s">
        <v>50</v>
      </c>
      <c r="I35" s="228" t="s">
        <v>51</v>
      </c>
      <c r="J35" s="228" t="s">
        <v>52</v>
      </c>
      <c r="K35" s="228"/>
      <c r="L35" s="235"/>
    </row>
    <row r="36" spans="1:12" x14ac:dyDescent="0.25">
      <c r="A36" s="227"/>
      <c r="B36" s="236" t="s">
        <v>53</v>
      </c>
      <c r="C36" s="237" t="s">
        <v>54</v>
      </c>
      <c r="E36" s="227" t="s">
        <v>55</v>
      </c>
      <c r="F36" s="234"/>
      <c r="G36" s="234"/>
      <c r="H36" s="238" t="str">
        <f>B17</f>
        <v/>
      </c>
      <c r="I36" s="238" t="str">
        <f>G11</f>
        <v/>
      </c>
      <c r="J36" s="238" t="e">
        <f>Trend!X12/Trend!B4</f>
        <v>#VALUE!</v>
      </c>
      <c r="K36" s="238"/>
      <c r="L36" s="239"/>
    </row>
    <row r="37" spans="1:12" x14ac:dyDescent="0.25">
      <c r="A37" s="227" t="s">
        <v>56</v>
      </c>
      <c r="B37" s="240" t="str">
        <f>IF(PMT!B22="","",PMT!B22)</f>
        <v/>
      </c>
      <c r="C37" s="241" t="str">
        <f>IF(PMT!B25="","",PMT!B25)</f>
        <v/>
      </c>
      <c r="E37" s="227" t="s">
        <v>57</v>
      </c>
      <c r="F37" s="189"/>
      <c r="G37" s="189"/>
      <c r="H37" s="211" t="e">
        <f>C17</f>
        <v>#VALUE!</v>
      </c>
      <c r="I37" s="211" t="str">
        <f>IF(I36="","",I36/Trend!D7)</f>
        <v/>
      </c>
      <c r="J37" s="211" t="e">
        <f>Trend!X12/Trend!X7</f>
        <v>#VALUE!</v>
      </c>
      <c r="K37" s="211"/>
      <c r="L37" s="242"/>
    </row>
    <row r="38" spans="1:12" s="243" customFormat="1" x14ac:dyDescent="0.25">
      <c r="A38" s="227" t="s">
        <v>58</v>
      </c>
      <c r="B38" s="240" t="str">
        <f>IF(PMT!B23="","",PMT!B23)</f>
        <v/>
      </c>
      <c r="C38" s="241" t="str">
        <f>IF(PMT!B26="","",PMT!B26)</f>
        <v/>
      </c>
      <c r="D38" s="174"/>
      <c r="E38" s="227" t="s">
        <v>59</v>
      </c>
      <c r="F38" s="189"/>
      <c r="G38" s="189"/>
      <c r="H38" s="211" t="e">
        <f>SUM(B17:B19)/B14</f>
        <v>#VALUE!</v>
      </c>
      <c r="I38" s="211" t="e">
        <f>SUM(Trend!D12,Trend!D64:D65,Trend!D59:D60)/Trend!D7</f>
        <v>#VALUE!</v>
      </c>
      <c r="J38" s="211" t="e">
        <f>SUM(Trend!X12,Trend!X64:X65,Trend!X59:X60)/Trend!X7</f>
        <v>#VALUE!</v>
      </c>
      <c r="K38" s="211"/>
      <c r="L38" s="242"/>
    </row>
    <row r="39" spans="1:12" s="243" customFormat="1" x14ac:dyDescent="0.25">
      <c r="A39" s="227" t="s">
        <v>60</v>
      </c>
      <c r="B39" s="240" t="str">
        <f>IF(PMT!B24="","",PMT!B24)</f>
        <v/>
      </c>
      <c r="C39" s="241" t="str">
        <f>IF(PMT!B27="","",PMT!B27)</f>
        <v/>
      </c>
      <c r="D39" s="174"/>
      <c r="E39" s="244" t="s">
        <v>61</v>
      </c>
      <c r="F39" s="202"/>
      <c r="G39" s="202"/>
      <c r="H39" s="218" t="e">
        <f>Trend!B24</f>
        <v>#VALUE!</v>
      </c>
      <c r="I39" s="218" t="str">
        <f>I11</f>
        <v/>
      </c>
      <c r="J39" s="218" t="e">
        <f>Trend!X24</f>
        <v>#VALUE!</v>
      </c>
      <c r="K39" s="218"/>
      <c r="L39" s="245"/>
    </row>
    <row r="40" spans="1:12" s="243" customFormat="1" x14ac:dyDescent="0.25">
      <c r="A40" s="227" t="s">
        <v>62</v>
      </c>
      <c r="B40" s="210">
        <f>SUM(B37:B39)</f>
        <v>0</v>
      </c>
      <c r="C40" s="246">
        <f>SUM(C37:C39)</f>
        <v>0</v>
      </c>
      <c r="D40" s="247"/>
      <c r="E40" s="227" t="s">
        <v>21</v>
      </c>
      <c r="F40" s="189"/>
      <c r="G40" s="189"/>
      <c r="H40" s="211" t="e">
        <f>Trend!B30</f>
        <v>#VALUE!</v>
      </c>
      <c r="I40" s="211" t="e">
        <f>Trend!D30</f>
        <v>#VALUE!</v>
      </c>
      <c r="J40" s="211" t="e">
        <f>Trend!X30</f>
        <v>#VALUE!</v>
      </c>
      <c r="K40" s="211"/>
      <c r="L40" s="242"/>
    </row>
    <row r="41" spans="1:12" s="243" customFormat="1" x14ac:dyDescent="0.25">
      <c r="A41" s="244" t="s">
        <v>63</v>
      </c>
      <c r="B41" s="217"/>
      <c r="C41" s="248" t="str">
        <f>IF(PMT!B31="","",PMT!B31)</f>
        <v/>
      </c>
      <c r="D41" s="247"/>
      <c r="E41" s="227"/>
      <c r="F41" s="189"/>
      <c r="G41" s="189"/>
      <c r="H41" s="211"/>
      <c r="I41" s="211"/>
      <c r="J41" s="211"/>
      <c r="K41" s="211"/>
      <c r="L41" s="242"/>
    </row>
    <row r="42" spans="1:12" s="243" customFormat="1" x14ac:dyDescent="0.25">
      <c r="A42" s="249"/>
      <c r="B42" s="250"/>
      <c r="C42" s="251"/>
      <c r="D42" s="247"/>
      <c r="E42" s="252"/>
      <c r="F42" s="253" t="s">
        <v>64</v>
      </c>
      <c r="G42" s="254" t="e">
        <f>Trend!D80</f>
        <v>#VALUE!</v>
      </c>
      <c r="H42" s="255"/>
      <c r="I42" s="256"/>
      <c r="J42" s="257"/>
      <c r="K42" s="257"/>
      <c r="L42" s="258"/>
    </row>
    <row r="43" spans="1:12" s="243" customFormat="1" x14ac:dyDescent="0.25">
      <c r="A43" s="174"/>
      <c r="B43" s="174"/>
      <c r="C43" s="174"/>
      <c r="D43" s="247"/>
    </row>
    <row r="44" spans="1:12" s="243" customFormat="1" x14ac:dyDescent="0.25">
      <c r="A44" s="230" t="s">
        <v>65</v>
      </c>
      <c r="B44" s="231"/>
      <c r="C44" s="232"/>
      <c r="D44" s="247"/>
      <c r="E44" s="224" t="s">
        <v>66</v>
      </c>
      <c r="F44" s="225"/>
      <c r="G44" s="225"/>
      <c r="H44" s="225"/>
      <c r="I44" s="259"/>
      <c r="J44" s="260"/>
      <c r="K44" s="260"/>
      <c r="L44" s="261"/>
    </row>
    <row r="45" spans="1:12" s="243" customFormat="1" x14ac:dyDescent="0.25">
      <c r="A45" s="227"/>
      <c r="B45" s="234"/>
      <c r="C45" s="237" t="s">
        <v>53</v>
      </c>
      <c r="D45" s="247"/>
      <c r="E45" s="233"/>
      <c r="F45" s="228" t="s">
        <v>67</v>
      </c>
      <c r="G45" s="228" t="s">
        <v>68</v>
      </c>
      <c r="H45" s="204" t="s">
        <v>69</v>
      </c>
      <c r="I45" s="204" t="s">
        <v>70</v>
      </c>
      <c r="J45" s="228" t="s">
        <v>71</v>
      </c>
      <c r="K45" s="228"/>
      <c r="L45" s="262"/>
    </row>
    <row r="46" spans="1:12" s="243" customFormat="1" x14ac:dyDescent="0.25">
      <c r="A46" s="227" t="s">
        <v>56</v>
      </c>
      <c r="B46" s="234"/>
      <c r="C46" s="240" t="str">
        <f>IF(PMT!B28="","",PMT!B28)</f>
        <v/>
      </c>
      <c r="D46" s="247"/>
      <c r="E46" s="233"/>
      <c r="F46" s="228" t="s">
        <v>72</v>
      </c>
      <c r="G46" s="228" t="s">
        <v>72</v>
      </c>
      <c r="H46" s="204" t="s">
        <v>73</v>
      </c>
      <c r="I46" s="204" t="s">
        <v>74</v>
      </c>
      <c r="J46" s="228" t="s">
        <v>75</v>
      </c>
      <c r="K46" s="228" t="s">
        <v>76</v>
      </c>
      <c r="L46" s="262"/>
    </row>
    <row r="47" spans="1:12" s="243" customFormat="1" x14ac:dyDescent="0.25">
      <c r="A47" s="227" t="s">
        <v>58</v>
      </c>
      <c r="B47" s="234"/>
      <c r="C47" s="240" t="str">
        <f>IF(PMT!B29="","",PMT!B29)</f>
        <v/>
      </c>
      <c r="E47" s="227" t="s">
        <v>77</v>
      </c>
      <c r="F47" s="263" t="str">
        <f>'Rent Structure Comparison'!D26</f>
        <v/>
      </c>
      <c r="G47" s="263" t="e">
        <f>'Rent Structure Comparison'!E26</f>
        <v>#VALUE!</v>
      </c>
      <c r="H47" s="263" t="e">
        <f>'Rent Structure Comparison'!F26</f>
        <v>#VALUE!</v>
      </c>
      <c r="I47" s="263" t="e">
        <f>'Rent Structure Comparison'!G26</f>
        <v>#VALUE!</v>
      </c>
      <c r="J47" s="263" t="str">
        <f>'Rent Structure Comparison'!H26</f>
        <v/>
      </c>
      <c r="K47" s="263">
        <f>'Rent Structure Comparison'!I26</f>
        <v>0</v>
      </c>
      <c r="L47" s="264"/>
    </row>
    <row r="48" spans="1:12" s="243" customFormat="1" x14ac:dyDescent="0.25">
      <c r="A48" s="227" t="s">
        <v>60</v>
      </c>
      <c r="B48" s="234"/>
      <c r="C48" s="240" t="str">
        <f>IF(PMT!B30="","",PMT!B30)</f>
        <v/>
      </c>
      <c r="D48" s="247"/>
      <c r="E48" s="233" t="s">
        <v>78</v>
      </c>
      <c r="F48" s="265" t="str">
        <f>'Rent Structure Comparison'!D27</f>
        <v/>
      </c>
      <c r="G48" s="265" t="e">
        <f>'Rent Structure Comparison'!E27</f>
        <v>#VALUE!</v>
      </c>
      <c r="H48" s="265" t="e">
        <f>'Rent Structure Comparison'!F27</f>
        <v>#VALUE!</v>
      </c>
      <c r="I48" s="265" t="e">
        <f>'Rent Structure Comparison'!G27</f>
        <v>#VALUE!</v>
      </c>
      <c r="J48" s="265" t="e">
        <f>'Rent Structure Comparison'!H27</f>
        <v>#VALUE!</v>
      </c>
      <c r="K48" s="265" t="e">
        <f>'Rent Structure Comparison'!I27</f>
        <v>#VALUE!</v>
      </c>
      <c r="L48" s="266"/>
    </row>
    <row r="49" spans="1:16" x14ac:dyDescent="0.25">
      <c r="A49" s="227" t="s">
        <v>62</v>
      </c>
      <c r="B49" s="189"/>
      <c r="C49" s="246">
        <f>SUM(C46:C48)</f>
        <v>0</v>
      </c>
      <c r="E49" s="227" t="s">
        <v>79</v>
      </c>
      <c r="F49" s="265" t="str">
        <f>'Rent Structure Comparison'!D28</f>
        <v/>
      </c>
      <c r="G49" s="265" t="e">
        <f>'Rent Structure Comparison'!E28</f>
        <v>#VALUE!</v>
      </c>
      <c r="H49" s="265" t="e">
        <f>'Rent Structure Comparison'!F28</f>
        <v>#VALUE!</v>
      </c>
      <c r="I49" s="265" t="e">
        <f>'Rent Structure Comparison'!G28</f>
        <v>#VALUE!</v>
      </c>
      <c r="J49" s="265" t="str">
        <f>'Rent Structure Comparison'!H28</f>
        <v/>
      </c>
      <c r="K49" s="265" t="e">
        <f>'Rent Structure Comparison'!I28</f>
        <v>#VALUE!</v>
      </c>
      <c r="L49" s="266"/>
      <c r="M49" s="243"/>
      <c r="N49" s="243"/>
      <c r="O49" s="243"/>
      <c r="P49" s="243"/>
    </row>
    <row r="50" spans="1:16" x14ac:dyDescent="0.25">
      <c r="A50" s="244" t="s">
        <v>63</v>
      </c>
      <c r="B50" s="189"/>
      <c r="C50" s="240" t="str">
        <f>IF(PMT!B31="","",PMT!B31)</f>
        <v/>
      </c>
      <c r="E50" s="227" t="s">
        <v>80</v>
      </c>
      <c r="F50" s="263" t="str">
        <f>'Rent Structure Comparison'!D29</f>
        <v/>
      </c>
      <c r="G50" s="263" t="e">
        <f>'Rent Structure Comparison'!E29</f>
        <v>#VALUE!</v>
      </c>
      <c r="H50" s="263" t="e">
        <f>'Rent Structure Comparison'!F29</f>
        <v>#VALUE!</v>
      </c>
      <c r="I50" s="263" t="e">
        <f>'Rent Structure Comparison'!G29</f>
        <v>#VALUE!</v>
      </c>
      <c r="J50" s="263" t="str">
        <f>'Rent Structure Comparison'!H29</f>
        <v/>
      </c>
      <c r="K50" s="263" t="str">
        <f>'Rent Structure Comparison'!I29</f>
        <v/>
      </c>
      <c r="L50" s="264"/>
      <c r="M50" s="243"/>
      <c r="N50" s="243"/>
      <c r="O50" s="243"/>
      <c r="P50" s="243"/>
    </row>
    <row r="51" spans="1:16" x14ac:dyDescent="0.25">
      <c r="A51" s="267"/>
      <c r="B51" s="268"/>
      <c r="C51" s="269"/>
      <c r="E51" s="249"/>
      <c r="F51" s="250"/>
      <c r="G51" s="250"/>
      <c r="H51" s="250"/>
      <c r="I51" s="250"/>
      <c r="J51" s="250"/>
      <c r="K51" s="250"/>
      <c r="L51" s="251"/>
      <c r="M51" s="243"/>
      <c r="N51" s="243"/>
      <c r="O51" s="243"/>
      <c r="P51" s="243"/>
    </row>
    <row r="52" spans="1:16" x14ac:dyDescent="0.25">
      <c r="M52" s="243"/>
      <c r="N52" s="243"/>
      <c r="O52" s="243"/>
      <c r="P52" s="243"/>
    </row>
    <row r="53" spans="1:16" x14ac:dyDescent="0.25">
      <c r="A53" s="224" t="s">
        <v>81</v>
      </c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6"/>
      <c r="M53" s="243"/>
      <c r="N53" s="243"/>
      <c r="O53" s="243"/>
      <c r="P53" s="243"/>
    </row>
    <row r="54" spans="1:16" ht="25.5" customHeight="1" x14ac:dyDescent="0.25">
      <c r="A54" s="320" t="str">
        <f>IF(PMT!B54="","",PMT!B54)</f>
        <v/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2"/>
      <c r="M54" s="243"/>
      <c r="N54" s="243"/>
      <c r="O54" s="243"/>
      <c r="P54" s="243"/>
    </row>
    <row r="55" spans="1:16" ht="25.5" customHeight="1" x14ac:dyDescent="0.25">
      <c r="A55" s="323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243"/>
      <c r="N55" s="243"/>
      <c r="O55" s="243"/>
      <c r="P55" s="243"/>
    </row>
    <row r="56" spans="1:16" ht="25.5" customHeight="1" x14ac:dyDescent="0.25">
      <c r="A56" s="323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243"/>
      <c r="N56" s="243"/>
      <c r="O56" s="243"/>
      <c r="P56" s="243"/>
    </row>
    <row r="57" spans="1:16" ht="25.5" customHeight="1" x14ac:dyDescent="0.25">
      <c r="A57" s="323"/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2"/>
    </row>
    <row r="58" spans="1:16" ht="25.5" customHeight="1" x14ac:dyDescent="0.25">
      <c r="A58" s="324"/>
      <c r="B58" s="325"/>
      <c r="C58" s="325"/>
      <c r="D58" s="325"/>
      <c r="E58" s="325"/>
      <c r="F58" s="325"/>
      <c r="G58" s="325"/>
      <c r="H58" s="325"/>
      <c r="I58" s="325"/>
      <c r="J58" s="325"/>
      <c r="K58" s="325"/>
      <c r="L58" s="326"/>
    </row>
    <row r="60" spans="1:16" x14ac:dyDescent="0.25">
      <c r="A60" s="270"/>
      <c r="B60" s="270"/>
      <c r="C60" s="270"/>
      <c r="D60" s="270"/>
      <c r="E60" s="270"/>
      <c r="F60" s="270"/>
      <c r="H60" s="270"/>
      <c r="I60" s="270"/>
      <c r="J60" s="270"/>
      <c r="K60" s="270"/>
      <c r="L60" s="270"/>
    </row>
    <row r="61" spans="1:16" x14ac:dyDescent="0.25">
      <c r="A61" s="270"/>
      <c r="B61" s="270"/>
      <c r="C61" s="270"/>
      <c r="D61" s="270"/>
      <c r="E61" s="270"/>
      <c r="F61" s="270"/>
      <c r="H61" s="270"/>
      <c r="I61" s="270"/>
      <c r="J61" s="270"/>
      <c r="K61" s="270"/>
      <c r="L61" s="270"/>
    </row>
    <row r="62" spans="1:16" x14ac:dyDescent="0.25">
      <c r="A62" s="270"/>
      <c r="B62" s="270"/>
      <c r="C62" s="270"/>
      <c r="D62" s="270"/>
      <c r="E62" s="270"/>
      <c r="F62" s="270"/>
      <c r="H62" s="270"/>
      <c r="I62" s="270"/>
      <c r="J62" s="270"/>
      <c r="K62" s="270"/>
      <c r="L62" s="270"/>
    </row>
    <row r="63" spans="1:16" x14ac:dyDescent="0.25">
      <c r="A63" s="270"/>
      <c r="B63" s="270"/>
      <c r="C63" s="270"/>
      <c r="D63" s="270"/>
      <c r="E63" s="270"/>
      <c r="F63" s="270"/>
      <c r="H63" s="270"/>
      <c r="I63" s="270"/>
      <c r="J63" s="270"/>
      <c r="K63" s="270"/>
      <c r="L63" s="270"/>
    </row>
    <row r="64" spans="1:16" x14ac:dyDescent="0.25">
      <c r="A64" s="270"/>
      <c r="B64" s="270"/>
      <c r="C64" s="270"/>
      <c r="D64" s="270"/>
      <c r="E64" s="270"/>
      <c r="F64" s="270"/>
      <c r="H64" s="270"/>
      <c r="I64" s="270"/>
      <c r="J64" s="270"/>
      <c r="K64" s="270"/>
      <c r="L64" s="270"/>
    </row>
    <row r="65" spans="1:12" x14ac:dyDescent="0.25">
      <c r="A65" s="270"/>
      <c r="B65" s="270"/>
      <c r="C65" s="270"/>
      <c r="D65" s="270"/>
      <c r="E65" s="270"/>
      <c r="F65" s="270"/>
      <c r="H65" s="270"/>
      <c r="I65" s="270"/>
      <c r="J65" s="270"/>
      <c r="K65" s="270"/>
      <c r="L65" s="270"/>
    </row>
    <row r="66" spans="1:12" x14ac:dyDescent="0.25">
      <c r="A66" s="270"/>
      <c r="B66" s="270"/>
      <c r="C66" s="271"/>
      <c r="D66" s="270"/>
      <c r="E66" s="270"/>
      <c r="I66" s="270"/>
      <c r="J66" s="270"/>
      <c r="K66" s="270"/>
      <c r="L66" s="270"/>
    </row>
    <row r="67" spans="1:12" x14ac:dyDescent="0.25">
      <c r="A67" s="270"/>
      <c r="B67" s="270"/>
      <c r="C67" s="272"/>
      <c r="D67" s="270"/>
      <c r="E67" s="270"/>
      <c r="F67" s="270"/>
      <c r="G67" s="270"/>
      <c r="H67" s="270"/>
      <c r="I67" s="270"/>
      <c r="J67" s="270"/>
      <c r="K67" s="270"/>
      <c r="L67" s="270"/>
    </row>
    <row r="68" spans="1:12" x14ac:dyDescent="0.25">
      <c r="D68" s="270"/>
      <c r="E68" s="270"/>
      <c r="F68" s="270"/>
      <c r="G68" s="270"/>
      <c r="H68" s="270"/>
      <c r="I68" s="270"/>
      <c r="J68" s="270"/>
      <c r="K68" s="270"/>
      <c r="L68" s="270"/>
    </row>
    <row r="69" spans="1:12" x14ac:dyDescent="0.25">
      <c r="D69" s="270"/>
      <c r="E69" s="270"/>
      <c r="F69" s="270"/>
      <c r="G69" s="270"/>
      <c r="H69" s="270"/>
      <c r="I69" s="270"/>
      <c r="J69" s="270"/>
      <c r="K69" s="270"/>
      <c r="L69" s="270"/>
    </row>
    <row r="70" spans="1:12" x14ac:dyDescent="0.25">
      <c r="D70" s="270"/>
      <c r="E70" s="270"/>
      <c r="F70" s="270"/>
      <c r="G70" s="270"/>
      <c r="H70" s="270"/>
      <c r="I70" s="270"/>
      <c r="J70" s="270"/>
      <c r="K70" s="270"/>
      <c r="L70" s="270"/>
    </row>
    <row r="71" spans="1:12" x14ac:dyDescent="0.25">
      <c r="D71" s="270"/>
      <c r="E71" s="270"/>
      <c r="F71" s="270"/>
      <c r="G71" s="270"/>
      <c r="H71" s="270"/>
      <c r="I71" s="270"/>
      <c r="J71" s="270"/>
      <c r="K71" s="270"/>
      <c r="L71" s="270"/>
    </row>
    <row r="72" spans="1:12" x14ac:dyDescent="0.25">
      <c r="D72" s="270"/>
      <c r="E72" s="270"/>
      <c r="F72" s="270"/>
      <c r="G72" s="270"/>
      <c r="H72" s="270"/>
      <c r="I72" s="270"/>
      <c r="J72" s="270"/>
      <c r="K72" s="270"/>
      <c r="L72" s="270"/>
    </row>
    <row r="73" spans="1:12" x14ac:dyDescent="0.25">
      <c r="D73" s="270"/>
      <c r="E73" s="270"/>
      <c r="F73" s="270"/>
      <c r="G73" s="270"/>
      <c r="H73" s="270"/>
      <c r="I73" s="270"/>
      <c r="J73" s="270"/>
      <c r="K73" s="270"/>
      <c r="L73" s="270"/>
    </row>
  </sheetData>
  <sheetProtection algorithmName="SHA-512" hashValue="aO1yYj8x3/y4aefNpHXBCl3u8OuPrDbC5mw+GCadebg3vZsWWl5KUqRun09IWAl30vMf8BnrUqB623kFlmULWQ==" saltValue="R6qVjrzgWG6kFDSWyqopeg==" spinCount="100000" sheet="1" objects="1" scenarios="1"/>
  <mergeCells count="1">
    <mergeCell ref="A54:L58"/>
  </mergeCells>
  <phoneticPr fontId="2" type="noConversion"/>
  <conditionalFormatting sqref="F11:F30">
    <cfRule type="expression" dxfId="42" priority="35" stopIfTrue="1">
      <formula>$E11&gt;$B$10</formula>
    </cfRule>
  </conditionalFormatting>
  <conditionalFormatting sqref="F47:L47">
    <cfRule type="top10" dxfId="41" priority="11" stopIfTrue="1" bottom="1" rank="1"/>
    <cfRule type="top10" dxfId="40" priority="12" stopIfTrue="1" rank="1"/>
  </conditionalFormatting>
  <conditionalFormatting sqref="F48:L48">
    <cfRule type="top10" dxfId="39" priority="9" stopIfTrue="1" rank="1"/>
    <cfRule type="top10" dxfId="38" priority="10" stopIfTrue="1" bottom="1" rank="1"/>
  </conditionalFormatting>
  <conditionalFormatting sqref="L49">
    <cfRule type="top10" dxfId="37" priority="7" stopIfTrue="1" bottom="1" rank="1"/>
    <cfRule type="top10" dxfId="36" priority="8" stopIfTrue="1" rank="1"/>
  </conditionalFormatting>
  <conditionalFormatting sqref="L50">
    <cfRule type="top10" dxfId="35" priority="5" stopIfTrue="1" bottom="1" rank="1"/>
    <cfRule type="top10" dxfId="34" priority="6" stopIfTrue="1" rank="1"/>
  </conditionalFormatting>
  <conditionalFormatting sqref="F50:K50">
    <cfRule type="top10" dxfId="33" priority="3" stopIfTrue="1" bottom="1" rank="1"/>
    <cfRule type="top10" dxfId="32" priority="4" stopIfTrue="1" rank="1"/>
  </conditionalFormatting>
  <conditionalFormatting sqref="F49:K49">
    <cfRule type="top10" dxfId="31" priority="1" stopIfTrue="1" bottom="1" rank="1"/>
    <cfRule type="top10" dxfId="30" priority="2" stopIfTrue="1" rank="1"/>
  </conditionalFormatting>
  <printOptions horizontalCentered="1"/>
  <pageMargins left="0.5" right="0.5" top="0.5" bottom="0.25" header="0.5" footer="0.5"/>
  <pageSetup paperSize="9" scale="70" orientation="portrait" r:id="rId1"/>
  <headerFooter alignWithMargins="0"/>
  <ignoredErrors>
    <ignoredError sqref="G10:I10 B5:B10" unlockedFormula="1"/>
    <ignoredError sqref="H38:I40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85" zoomScaleNormal="85" workbookViewId="0">
      <pane ySplit="4" topLeftCell="A5" activePane="bottomLeft" state="frozen"/>
      <selection activeCell="F18" sqref="F18"/>
      <selection pane="bottomLeft" activeCell="C8" sqref="C8"/>
    </sheetView>
  </sheetViews>
  <sheetFormatPr defaultRowHeight="15" x14ac:dyDescent="0.25"/>
  <cols>
    <col min="1" max="7" width="12" style="273" customWidth="1"/>
    <col min="8" max="9" width="9" style="273" customWidth="1"/>
    <col min="10" max="16384" width="9" style="273"/>
  </cols>
  <sheetData>
    <row r="1" spans="1:6" ht="8.25" customHeight="1" x14ac:dyDescent="0.25"/>
    <row r="2" spans="1:6" ht="18.75" x14ac:dyDescent="0.3">
      <c r="A2" s="274" t="s">
        <v>82</v>
      </c>
      <c r="D2" s="316"/>
      <c r="F2" s="276" t="str">
        <f>'Renewal Tool'!B10</f>
        <v/>
      </c>
    </row>
    <row r="3" spans="1:6" ht="15.75" x14ac:dyDescent="0.25">
      <c r="A3" s="275" t="s">
        <v>2</v>
      </c>
      <c r="C3" s="276" t="str">
        <f>'Renewal Tool'!B10</f>
        <v/>
      </c>
      <c r="D3" s="317" t="str">
        <f>'Renewal Tool'!G5</f>
        <v/>
      </c>
      <c r="E3" s="317">
        <v>1</v>
      </c>
    </row>
    <row r="4" spans="1:6" ht="45" x14ac:dyDescent="0.25">
      <c r="A4" s="277" t="s">
        <v>16</v>
      </c>
      <c r="B4" s="278" t="s">
        <v>83</v>
      </c>
      <c r="C4" s="278" t="s">
        <v>84</v>
      </c>
      <c r="D4" s="278" t="s">
        <v>85</v>
      </c>
      <c r="E4" s="278" t="s">
        <v>86</v>
      </c>
      <c r="F4" s="278" t="s">
        <v>87</v>
      </c>
    </row>
    <row r="5" spans="1:6" x14ac:dyDescent="0.25">
      <c r="A5" s="279">
        <v>1</v>
      </c>
      <c r="B5" s="280" t="e">
        <f>'Renewal Tool'!B14*(1+'Renewal Tool'!F11)</f>
        <v>#VALUE!</v>
      </c>
      <c r="C5" s="159"/>
      <c r="D5" s="301" t="str">
        <f t="shared" ref="D5:D24" si="0">IF(C5&gt;0,C5,"")</f>
        <v/>
      </c>
      <c r="E5" s="301" t="str">
        <f t="shared" ref="E5:E24" si="1">IF(C5="","",$C$27)</f>
        <v/>
      </c>
      <c r="F5" s="281" t="str">
        <f>IF(E5="","",(IF(B5="","",E5/B5)))</f>
        <v/>
      </c>
    </row>
    <row r="6" spans="1:6" x14ac:dyDescent="0.25">
      <c r="A6" s="279">
        <v>2</v>
      </c>
      <c r="B6" s="280" t="str">
        <f>IF('Renewal Tool'!F12="","",B5*(1+'Renewal Tool'!F12))</f>
        <v/>
      </c>
      <c r="C6" s="159"/>
      <c r="D6" s="301" t="str">
        <f t="shared" si="0"/>
        <v/>
      </c>
      <c r="E6" s="301" t="str">
        <f t="shared" si="1"/>
        <v/>
      </c>
      <c r="F6" s="281" t="str">
        <f t="shared" ref="F6:F24" si="2">IF(E6="","",(IF(B6="","",E6/B6)))</f>
        <v/>
      </c>
    </row>
    <row r="7" spans="1:6" x14ac:dyDescent="0.25">
      <c r="A7" s="279">
        <v>3</v>
      </c>
      <c r="B7" s="280" t="str">
        <f>IF('Renewal Tool'!F13="","",B6*(1+'Renewal Tool'!F13))</f>
        <v/>
      </c>
      <c r="C7" s="159"/>
      <c r="D7" s="301" t="str">
        <f t="shared" si="0"/>
        <v/>
      </c>
      <c r="E7" s="301" t="str">
        <f t="shared" si="1"/>
        <v/>
      </c>
      <c r="F7" s="281" t="str">
        <f t="shared" si="2"/>
        <v/>
      </c>
    </row>
    <row r="8" spans="1:6" x14ac:dyDescent="0.25">
      <c r="A8" s="279">
        <v>4</v>
      </c>
      <c r="B8" s="280" t="str">
        <f>IF('Renewal Tool'!F14="","",B7*(1+'Renewal Tool'!F14))</f>
        <v/>
      </c>
      <c r="C8" s="159"/>
      <c r="D8" s="301" t="str">
        <f t="shared" si="0"/>
        <v/>
      </c>
      <c r="E8" s="301" t="str">
        <f t="shared" si="1"/>
        <v/>
      </c>
      <c r="F8" s="281" t="str">
        <f t="shared" si="2"/>
        <v/>
      </c>
    </row>
    <row r="9" spans="1:6" x14ac:dyDescent="0.25">
      <c r="A9" s="279">
        <v>5</v>
      </c>
      <c r="B9" s="280" t="str">
        <f>IF('Renewal Tool'!F15="","",B8*(1+'Renewal Tool'!F15))</f>
        <v/>
      </c>
      <c r="C9" s="159"/>
      <c r="D9" s="301" t="str">
        <f t="shared" si="0"/>
        <v/>
      </c>
      <c r="E9" s="301" t="str">
        <f t="shared" si="1"/>
        <v/>
      </c>
      <c r="F9" s="281" t="str">
        <f t="shared" si="2"/>
        <v/>
      </c>
    </row>
    <row r="10" spans="1:6" x14ac:dyDescent="0.25">
      <c r="A10" s="279">
        <v>6</v>
      </c>
      <c r="B10" s="280" t="str">
        <f>IF('Renewal Tool'!F16="","",B9*(1+'Renewal Tool'!F16))</f>
        <v/>
      </c>
      <c r="C10" s="159"/>
      <c r="D10" s="301" t="str">
        <f t="shared" si="0"/>
        <v/>
      </c>
      <c r="E10" s="301" t="str">
        <f t="shared" si="1"/>
        <v/>
      </c>
      <c r="F10" s="281" t="str">
        <f t="shared" si="2"/>
        <v/>
      </c>
    </row>
    <row r="11" spans="1:6" x14ac:dyDescent="0.25">
      <c r="A11" s="279">
        <v>7</v>
      </c>
      <c r="B11" s="280" t="str">
        <f>IF('Renewal Tool'!F17="","",B10*(1+'Renewal Tool'!F17))</f>
        <v/>
      </c>
      <c r="C11" s="159"/>
      <c r="D11" s="301" t="str">
        <f t="shared" si="0"/>
        <v/>
      </c>
      <c r="E11" s="301" t="str">
        <f t="shared" si="1"/>
        <v/>
      </c>
      <c r="F11" s="281" t="str">
        <f t="shared" si="2"/>
        <v/>
      </c>
    </row>
    <row r="12" spans="1:6" x14ac:dyDescent="0.25">
      <c r="A12" s="279">
        <v>8</v>
      </c>
      <c r="B12" s="280" t="str">
        <f>IF('Renewal Tool'!F18="","",B11*(1+'Renewal Tool'!F18))</f>
        <v/>
      </c>
      <c r="C12" s="159"/>
      <c r="D12" s="301" t="str">
        <f t="shared" si="0"/>
        <v/>
      </c>
      <c r="E12" s="301" t="str">
        <f t="shared" si="1"/>
        <v/>
      </c>
      <c r="F12" s="281" t="str">
        <f t="shared" si="2"/>
        <v/>
      </c>
    </row>
    <row r="13" spans="1:6" x14ac:dyDescent="0.25">
      <c r="A13" s="279">
        <v>9</v>
      </c>
      <c r="B13" s="280" t="str">
        <f>IF('Renewal Tool'!F19="","",B12*(1+'Renewal Tool'!F19))</f>
        <v/>
      </c>
      <c r="C13" s="159"/>
      <c r="D13" s="301" t="str">
        <f t="shared" si="0"/>
        <v/>
      </c>
      <c r="E13" s="301" t="str">
        <f t="shared" si="1"/>
        <v/>
      </c>
      <c r="F13" s="281" t="str">
        <f t="shared" si="2"/>
        <v/>
      </c>
    </row>
    <row r="14" spans="1:6" x14ac:dyDescent="0.25">
      <c r="A14" s="279">
        <v>10</v>
      </c>
      <c r="B14" s="280" t="str">
        <f>IF('Renewal Tool'!F20="","",B13*(1+'Renewal Tool'!F20))</f>
        <v/>
      </c>
      <c r="C14" s="159"/>
      <c r="D14" s="301" t="str">
        <f t="shared" si="0"/>
        <v/>
      </c>
      <c r="E14" s="301" t="str">
        <f t="shared" si="1"/>
        <v/>
      </c>
      <c r="F14" s="281" t="str">
        <f t="shared" si="2"/>
        <v/>
      </c>
    </row>
    <row r="15" spans="1:6" x14ac:dyDescent="0.25">
      <c r="A15" s="279">
        <v>11</v>
      </c>
      <c r="B15" s="280" t="str">
        <f>IF('Renewal Tool'!F21="","",B14*(1+'Renewal Tool'!F21))</f>
        <v/>
      </c>
      <c r="C15" s="159"/>
      <c r="D15" s="301" t="str">
        <f t="shared" si="0"/>
        <v/>
      </c>
      <c r="E15" s="301" t="str">
        <f t="shared" si="1"/>
        <v/>
      </c>
      <c r="F15" s="281" t="str">
        <f t="shared" si="2"/>
        <v/>
      </c>
    </row>
    <row r="16" spans="1:6" x14ac:dyDescent="0.25">
      <c r="A16" s="279">
        <v>12</v>
      </c>
      <c r="B16" s="280" t="str">
        <f>IF('Renewal Tool'!F22="","",B15*(1+'Renewal Tool'!F22))</f>
        <v/>
      </c>
      <c r="C16" s="159"/>
      <c r="D16" s="301" t="str">
        <f>IF(C16&gt;0,C16,"")</f>
        <v/>
      </c>
      <c r="E16" s="301" t="str">
        <f t="shared" si="1"/>
        <v/>
      </c>
      <c r="F16" s="281" t="str">
        <f t="shared" si="2"/>
        <v/>
      </c>
    </row>
    <row r="17" spans="1:6" x14ac:dyDescent="0.25">
      <c r="A17" s="279">
        <v>13</v>
      </c>
      <c r="B17" s="280" t="str">
        <f>IF('Renewal Tool'!F23="","",B16*(1+'Renewal Tool'!F23))</f>
        <v/>
      </c>
      <c r="C17" s="159"/>
      <c r="D17" s="301" t="str">
        <f t="shared" si="0"/>
        <v/>
      </c>
      <c r="E17" s="301" t="str">
        <f t="shared" si="1"/>
        <v/>
      </c>
      <c r="F17" s="281" t="str">
        <f t="shared" si="2"/>
        <v/>
      </c>
    </row>
    <row r="18" spans="1:6" x14ac:dyDescent="0.25">
      <c r="A18" s="279">
        <v>14</v>
      </c>
      <c r="B18" s="280" t="str">
        <f>IF('Renewal Tool'!F24="","",B17*(1+'Renewal Tool'!F24))</f>
        <v/>
      </c>
      <c r="C18" s="159"/>
      <c r="D18" s="301" t="str">
        <f t="shared" si="0"/>
        <v/>
      </c>
      <c r="E18" s="301" t="str">
        <f t="shared" si="1"/>
        <v/>
      </c>
      <c r="F18" s="281" t="str">
        <f t="shared" si="2"/>
        <v/>
      </c>
    </row>
    <row r="19" spans="1:6" x14ac:dyDescent="0.25">
      <c r="A19" s="279">
        <v>15</v>
      </c>
      <c r="B19" s="280" t="str">
        <f>IF('Renewal Tool'!F25="","",B18*(1+'Renewal Tool'!F25))</f>
        <v/>
      </c>
      <c r="C19" s="159"/>
      <c r="D19" s="301" t="str">
        <f t="shared" si="0"/>
        <v/>
      </c>
      <c r="E19" s="301" t="str">
        <f t="shared" si="1"/>
        <v/>
      </c>
      <c r="F19" s="281" t="str">
        <f t="shared" si="2"/>
        <v/>
      </c>
    </row>
    <row r="20" spans="1:6" x14ac:dyDescent="0.25">
      <c r="A20" s="279">
        <v>16</v>
      </c>
      <c r="B20" s="280" t="str">
        <f>IF('Renewal Tool'!F26="","",B19*(1+'Renewal Tool'!F26))</f>
        <v/>
      </c>
      <c r="C20" s="159"/>
      <c r="D20" s="301" t="str">
        <f>IF(C20&gt;0,C20,"")</f>
        <v/>
      </c>
      <c r="E20" s="301" t="str">
        <f t="shared" si="1"/>
        <v/>
      </c>
      <c r="F20" s="281" t="str">
        <f t="shared" si="2"/>
        <v/>
      </c>
    </row>
    <row r="21" spans="1:6" x14ac:dyDescent="0.25">
      <c r="A21" s="279">
        <v>17</v>
      </c>
      <c r="B21" s="280" t="str">
        <f>IF('Renewal Tool'!F27="","",B20*(1+'Renewal Tool'!F27))</f>
        <v/>
      </c>
      <c r="C21" s="159"/>
      <c r="D21" s="301" t="str">
        <f t="shared" si="0"/>
        <v/>
      </c>
      <c r="E21" s="301" t="str">
        <f t="shared" si="1"/>
        <v/>
      </c>
      <c r="F21" s="281" t="str">
        <f t="shared" si="2"/>
        <v/>
      </c>
    </row>
    <row r="22" spans="1:6" x14ac:dyDescent="0.25">
      <c r="A22" s="279">
        <v>18</v>
      </c>
      <c r="B22" s="280" t="str">
        <f>IF('Renewal Tool'!F28="","",B21*(1+'Renewal Tool'!F28))</f>
        <v/>
      </c>
      <c r="C22" s="159"/>
      <c r="D22" s="301" t="str">
        <f t="shared" si="0"/>
        <v/>
      </c>
      <c r="E22" s="301" t="str">
        <f t="shared" si="1"/>
        <v/>
      </c>
      <c r="F22" s="281" t="str">
        <f t="shared" si="2"/>
        <v/>
      </c>
    </row>
    <row r="23" spans="1:6" x14ac:dyDescent="0.25">
      <c r="A23" s="279">
        <v>19</v>
      </c>
      <c r="B23" s="280" t="str">
        <f>IF('Renewal Tool'!F29="","",B22*(1+'Renewal Tool'!F29))</f>
        <v/>
      </c>
      <c r="C23" s="159"/>
      <c r="D23" s="301" t="str">
        <f t="shared" si="0"/>
        <v/>
      </c>
      <c r="E23" s="301" t="str">
        <f t="shared" si="1"/>
        <v/>
      </c>
      <c r="F23" s="281" t="str">
        <f t="shared" si="2"/>
        <v/>
      </c>
    </row>
    <row r="24" spans="1:6" x14ac:dyDescent="0.25">
      <c r="A24" s="279">
        <v>20</v>
      </c>
      <c r="B24" s="280" t="str">
        <f>IF('Renewal Tool'!F30="","",B23*(1+'Renewal Tool'!F30))</f>
        <v/>
      </c>
      <c r="C24" s="159"/>
      <c r="D24" s="301" t="str">
        <f t="shared" si="0"/>
        <v/>
      </c>
      <c r="E24" s="301" t="str">
        <f t="shared" si="1"/>
        <v/>
      </c>
      <c r="F24" s="281" t="str">
        <f t="shared" si="2"/>
        <v/>
      </c>
    </row>
    <row r="25" spans="1:6" x14ac:dyDescent="0.25">
      <c r="A25" s="282"/>
      <c r="B25" s="279"/>
      <c r="C25" s="279"/>
      <c r="D25" s="279"/>
      <c r="E25" s="279"/>
    </row>
    <row r="26" spans="1:6" x14ac:dyDescent="0.25">
      <c r="A26" s="311" t="s">
        <v>62</v>
      </c>
      <c r="B26" s="284" t="e">
        <f>IF(SUM(B5:B24)=0,"",SUM(B5:B24))</f>
        <v>#VALUE!</v>
      </c>
      <c r="C26" s="284" t="str">
        <f>IF(SUM(C5:C24)=0,"",SUM(C5:C24))</f>
        <v/>
      </c>
      <c r="D26" s="284" t="str">
        <f>IF(SUM(D5:D24)=0,"",SUM(D5:D24))</f>
        <v/>
      </c>
      <c r="E26" s="284" t="str">
        <f>IF(SUM(E5:E24)=0,"",SUM(E5:E24))</f>
        <v/>
      </c>
      <c r="F26" s="285" t="str">
        <f>IF(E26="","",IF(B26="","",E26/B26))</f>
        <v/>
      </c>
    </row>
    <row r="27" spans="1:6" x14ac:dyDescent="0.25">
      <c r="A27" s="312" t="s">
        <v>88</v>
      </c>
      <c r="B27" s="288" t="e">
        <f>IF(B26="","",AVERAGE(B5:B24))</f>
        <v>#VALUE!</v>
      </c>
      <c r="C27" s="288" t="str">
        <f>IF(C26="","",AVERAGE(C5:C24))</f>
        <v/>
      </c>
      <c r="D27" s="288" t="str">
        <f>IF(D26="","",AVERAGE(D5:D24))</f>
        <v/>
      </c>
      <c r="E27" s="288" t="str">
        <f>IF(E26="","",AVERAGE(E5:E24))</f>
        <v/>
      </c>
      <c r="F27" s="285" t="str">
        <f>IF(E27="","",IF(B27="","",E27/B27))</f>
        <v/>
      </c>
    </row>
    <row r="28" spans="1:6" x14ac:dyDescent="0.25">
      <c r="A28" s="313" t="s">
        <v>89</v>
      </c>
      <c r="B28" s="290"/>
      <c r="C28" s="290"/>
      <c r="D28" s="290" t="str">
        <f>IF(D26="","",NPV(8%,D5:D24))</f>
        <v/>
      </c>
      <c r="E28" s="290"/>
      <c r="F28" s="290"/>
    </row>
  </sheetData>
  <sheetProtection algorithmName="SHA-512" hashValue="CdK1jfgNoxspDrkETx6w539qB1JX1GW8rQA/m4xrIgocCSQuJbFmeWRu/KWdnP9Gm98991o840xbJJA1H/jCWg==" saltValue="vpsLed01FbRR7wgmQWbfbQ==" spinCount="100000" sheet="1" objects="1" scenarios="1"/>
  <phoneticPr fontId="13" type="noConversion"/>
  <conditionalFormatting sqref="C5:C24">
    <cfRule type="expression" dxfId="29" priority="2">
      <formula>$C$3-A5&lt;0</formula>
    </cfRule>
    <cfRule type="expression" dxfId="28" priority="1">
      <formula>$D$3&lt;&gt;$E$3</formula>
    </cfRule>
  </conditionalFormatting>
  <pageMargins left="0.45" right="0.45" top="0.75" bottom="0.25" header="0.3" footer="0.3"/>
  <pageSetup paperSize="9" scal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85" zoomScaleNormal="85" workbookViewId="0">
      <pane ySplit="4" topLeftCell="A5" activePane="bottomLeft" state="frozen"/>
      <selection activeCell="F18" sqref="F18"/>
      <selection pane="bottomLeft" activeCell="C17" sqref="C17"/>
    </sheetView>
  </sheetViews>
  <sheetFormatPr defaultRowHeight="15" x14ac:dyDescent="0.25"/>
  <cols>
    <col min="1" max="7" width="12" style="273" customWidth="1"/>
    <col min="8" max="9" width="9" style="273" customWidth="1"/>
    <col min="10" max="16384" width="9" style="273"/>
  </cols>
  <sheetData>
    <row r="1" spans="1:6" ht="8.25" customHeight="1" x14ac:dyDescent="0.25"/>
    <row r="2" spans="1:6" ht="18.75" x14ac:dyDescent="0.3">
      <c r="A2" s="274" t="s">
        <v>90</v>
      </c>
      <c r="D2" s="316"/>
    </row>
    <row r="3" spans="1:6" ht="15.75" x14ac:dyDescent="0.25">
      <c r="A3" s="275" t="s">
        <v>2</v>
      </c>
      <c r="C3" s="276" t="str">
        <f>'Renewal Tool'!B10</f>
        <v/>
      </c>
      <c r="D3" s="317" t="str">
        <f>'Renewal Tool'!G5</f>
        <v/>
      </c>
      <c r="E3" s="317">
        <v>2</v>
      </c>
    </row>
    <row r="4" spans="1:6" ht="45" x14ac:dyDescent="0.25">
      <c r="A4" s="277" t="s">
        <v>16</v>
      </c>
      <c r="B4" s="278" t="s">
        <v>83</v>
      </c>
      <c r="C4" s="278" t="s">
        <v>91</v>
      </c>
      <c r="D4" s="278" t="s">
        <v>85</v>
      </c>
      <c r="E4" s="278" t="s">
        <v>86</v>
      </c>
      <c r="F4" s="278" t="s">
        <v>87</v>
      </c>
    </row>
    <row r="5" spans="1:6" x14ac:dyDescent="0.25">
      <c r="A5" s="279">
        <v>1</v>
      </c>
      <c r="B5" s="280" t="e">
        <f>'Renewal Tool'!B14*(1+'Renewal Tool'!F11)</f>
        <v>#VALUE!</v>
      </c>
      <c r="C5" s="350"/>
      <c r="D5" s="301" t="e">
        <f>IF(B5="","",IF(C5="","",B5*C5))</f>
        <v>#VALUE!</v>
      </c>
      <c r="E5" s="301" t="e">
        <f>IF(B5="","",IF(C5="","",B5*C5))</f>
        <v>#VALUE!</v>
      </c>
      <c r="F5" s="281" t="e">
        <f>IF(E5="","",E5/B5)</f>
        <v>#VALUE!</v>
      </c>
    </row>
    <row r="6" spans="1:6" x14ac:dyDescent="0.25">
      <c r="A6" s="279">
        <v>2</v>
      </c>
      <c r="B6" s="280" t="str">
        <f>IF('Renewal Tool'!F12="","",B5*(1+'Renewal Tool'!F12))</f>
        <v/>
      </c>
      <c r="C6" s="350"/>
      <c r="D6" s="301" t="str">
        <f t="shared" ref="D6:D24" si="0">IF(B6="","",IF(C6="","",B6*C6))</f>
        <v/>
      </c>
      <c r="E6" s="301" t="str">
        <f t="shared" ref="E6:E24" si="1">IF(B6="","",IF(C6="","",B6*C6))</f>
        <v/>
      </c>
      <c r="F6" s="281" t="str">
        <f t="shared" ref="F6:F24" si="2">IF(E6="","",E6/B6)</f>
        <v/>
      </c>
    </row>
    <row r="7" spans="1:6" x14ac:dyDescent="0.25">
      <c r="A7" s="279">
        <v>3</v>
      </c>
      <c r="B7" s="280" t="str">
        <f>IF('Renewal Tool'!F13="","",B6*(1+'Renewal Tool'!F13))</f>
        <v/>
      </c>
      <c r="C7" s="350"/>
      <c r="D7" s="301" t="str">
        <f t="shared" si="0"/>
        <v/>
      </c>
      <c r="E7" s="301" t="str">
        <f t="shared" si="1"/>
        <v/>
      </c>
      <c r="F7" s="281" t="str">
        <f t="shared" si="2"/>
        <v/>
      </c>
    </row>
    <row r="8" spans="1:6" x14ac:dyDescent="0.25">
      <c r="A8" s="279">
        <v>4</v>
      </c>
      <c r="B8" s="280" t="str">
        <f>IF('Renewal Tool'!F14="","",B7*(1+'Renewal Tool'!F14))</f>
        <v/>
      </c>
      <c r="C8" s="350"/>
      <c r="D8" s="301" t="str">
        <f t="shared" si="0"/>
        <v/>
      </c>
      <c r="E8" s="301" t="str">
        <f t="shared" si="1"/>
        <v/>
      </c>
      <c r="F8" s="281" t="str">
        <f t="shared" si="2"/>
        <v/>
      </c>
    </row>
    <row r="9" spans="1:6" x14ac:dyDescent="0.25">
      <c r="A9" s="279">
        <v>5</v>
      </c>
      <c r="B9" s="280" t="str">
        <f>IF('Renewal Tool'!F15="","",B8*(1+'Renewal Tool'!F15))</f>
        <v/>
      </c>
      <c r="C9" s="350"/>
      <c r="D9" s="301" t="str">
        <f t="shared" si="0"/>
        <v/>
      </c>
      <c r="E9" s="301" t="str">
        <f t="shared" si="1"/>
        <v/>
      </c>
      <c r="F9" s="281" t="str">
        <f t="shared" si="2"/>
        <v/>
      </c>
    </row>
    <row r="10" spans="1:6" x14ac:dyDescent="0.25">
      <c r="A10" s="279">
        <v>6</v>
      </c>
      <c r="B10" s="280" t="str">
        <f>IF('Renewal Tool'!F16="","",B9*(1+'Renewal Tool'!F16))</f>
        <v/>
      </c>
      <c r="C10" s="350"/>
      <c r="D10" s="301" t="str">
        <f t="shared" si="0"/>
        <v/>
      </c>
      <c r="E10" s="301" t="str">
        <f t="shared" si="1"/>
        <v/>
      </c>
      <c r="F10" s="281" t="str">
        <f t="shared" si="2"/>
        <v/>
      </c>
    </row>
    <row r="11" spans="1:6" x14ac:dyDescent="0.25">
      <c r="A11" s="279">
        <v>7</v>
      </c>
      <c r="B11" s="280" t="str">
        <f>IF('Renewal Tool'!F17="","",B10*(1+'Renewal Tool'!F17))</f>
        <v/>
      </c>
      <c r="C11" s="350"/>
      <c r="D11" s="301" t="str">
        <f t="shared" si="0"/>
        <v/>
      </c>
      <c r="E11" s="301" t="str">
        <f t="shared" si="1"/>
        <v/>
      </c>
      <c r="F11" s="281" t="str">
        <f t="shared" si="2"/>
        <v/>
      </c>
    </row>
    <row r="12" spans="1:6" x14ac:dyDescent="0.25">
      <c r="A12" s="279">
        <v>8</v>
      </c>
      <c r="B12" s="280" t="str">
        <f>IF('Renewal Tool'!F18="","",B11*(1+'Renewal Tool'!F18))</f>
        <v/>
      </c>
      <c r="C12" s="350"/>
      <c r="D12" s="301" t="str">
        <f t="shared" si="0"/>
        <v/>
      </c>
      <c r="E12" s="301" t="str">
        <f t="shared" si="1"/>
        <v/>
      </c>
      <c r="F12" s="281" t="str">
        <f t="shared" si="2"/>
        <v/>
      </c>
    </row>
    <row r="13" spans="1:6" x14ac:dyDescent="0.25">
      <c r="A13" s="279">
        <v>9</v>
      </c>
      <c r="B13" s="280" t="str">
        <f>IF('Renewal Tool'!F19="","",B12*(1+'Renewal Tool'!F19))</f>
        <v/>
      </c>
      <c r="C13" s="350"/>
      <c r="D13" s="301" t="str">
        <f t="shared" si="0"/>
        <v/>
      </c>
      <c r="E13" s="301" t="str">
        <f t="shared" si="1"/>
        <v/>
      </c>
      <c r="F13" s="281" t="str">
        <f t="shared" si="2"/>
        <v/>
      </c>
    </row>
    <row r="14" spans="1:6" x14ac:dyDescent="0.25">
      <c r="A14" s="279">
        <v>10</v>
      </c>
      <c r="B14" s="280" t="str">
        <f>IF('Renewal Tool'!F20="","",B13*(1+'Renewal Tool'!F20))</f>
        <v/>
      </c>
      <c r="C14" s="350"/>
      <c r="D14" s="301" t="str">
        <f t="shared" si="0"/>
        <v/>
      </c>
      <c r="E14" s="301" t="str">
        <f t="shared" si="1"/>
        <v/>
      </c>
      <c r="F14" s="281" t="str">
        <f t="shared" si="2"/>
        <v/>
      </c>
    </row>
    <row r="15" spans="1:6" x14ac:dyDescent="0.25">
      <c r="A15" s="279">
        <v>11</v>
      </c>
      <c r="B15" s="280" t="str">
        <f>IF('Renewal Tool'!F21="","",B14*(1+'Renewal Tool'!F21))</f>
        <v/>
      </c>
      <c r="C15" s="350"/>
      <c r="D15" s="301" t="str">
        <f t="shared" si="0"/>
        <v/>
      </c>
      <c r="E15" s="301" t="str">
        <f t="shared" si="1"/>
        <v/>
      </c>
      <c r="F15" s="281" t="str">
        <f t="shared" si="2"/>
        <v/>
      </c>
    </row>
    <row r="16" spans="1:6" x14ac:dyDescent="0.25">
      <c r="A16" s="279">
        <v>12</v>
      </c>
      <c r="B16" s="280" t="str">
        <f>IF('Renewal Tool'!F22="","",B15*(1+'Renewal Tool'!F22))</f>
        <v/>
      </c>
      <c r="C16" s="350"/>
      <c r="D16" s="301" t="str">
        <f t="shared" si="0"/>
        <v/>
      </c>
      <c r="E16" s="301" t="str">
        <f t="shared" si="1"/>
        <v/>
      </c>
      <c r="F16" s="281" t="str">
        <f t="shared" si="2"/>
        <v/>
      </c>
    </row>
    <row r="17" spans="1:6" x14ac:dyDescent="0.25">
      <c r="A17" s="279">
        <v>13</v>
      </c>
      <c r="B17" s="280" t="str">
        <f>IF('Renewal Tool'!F23="","",B16*(1+'Renewal Tool'!F23))</f>
        <v/>
      </c>
      <c r="C17" s="350"/>
      <c r="D17" s="301" t="str">
        <f t="shared" si="0"/>
        <v/>
      </c>
      <c r="E17" s="301" t="str">
        <f t="shared" si="1"/>
        <v/>
      </c>
      <c r="F17" s="281" t="str">
        <f t="shared" si="2"/>
        <v/>
      </c>
    </row>
    <row r="18" spans="1:6" x14ac:dyDescent="0.25">
      <c r="A18" s="279">
        <v>14</v>
      </c>
      <c r="B18" s="280" t="str">
        <f>IF('Renewal Tool'!F24="","",B17*(1+'Renewal Tool'!F24))</f>
        <v/>
      </c>
      <c r="C18" s="350"/>
      <c r="D18" s="301" t="str">
        <f t="shared" si="0"/>
        <v/>
      </c>
      <c r="E18" s="301" t="str">
        <f t="shared" si="1"/>
        <v/>
      </c>
      <c r="F18" s="281" t="str">
        <f t="shared" si="2"/>
        <v/>
      </c>
    </row>
    <row r="19" spans="1:6" x14ac:dyDescent="0.25">
      <c r="A19" s="279">
        <v>15</v>
      </c>
      <c r="B19" s="280" t="str">
        <f>IF('Renewal Tool'!F25="","",B18*(1+'Renewal Tool'!F25))</f>
        <v/>
      </c>
      <c r="C19" s="350"/>
      <c r="D19" s="301" t="str">
        <f t="shared" si="0"/>
        <v/>
      </c>
      <c r="E19" s="301" t="str">
        <f t="shared" si="1"/>
        <v/>
      </c>
      <c r="F19" s="281" t="str">
        <f t="shared" si="2"/>
        <v/>
      </c>
    </row>
    <row r="20" spans="1:6" x14ac:dyDescent="0.25">
      <c r="A20" s="279">
        <v>16</v>
      </c>
      <c r="B20" s="280" t="str">
        <f>IF('Renewal Tool'!F26="","",B19*(1+'Renewal Tool'!F26))</f>
        <v/>
      </c>
      <c r="C20" s="350"/>
      <c r="D20" s="301" t="str">
        <f t="shared" si="0"/>
        <v/>
      </c>
      <c r="E20" s="301" t="str">
        <f t="shared" si="1"/>
        <v/>
      </c>
      <c r="F20" s="281" t="str">
        <f t="shared" si="2"/>
        <v/>
      </c>
    </row>
    <row r="21" spans="1:6" x14ac:dyDescent="0.25">
      <c r="A21" s="279">
        <v>17</v>
      </c>
      <c r="B21" s="280" t="str">
        <f>IF('Renewal Tool'!F27="","",B20*(1+'Renewal Tool'!F27))</f>
        <v/>
      </c>
      <c r="C21" s="350"/>
      <c r="D21" s="301" t="str">
        <f t="shared" si="0"/>
        <v/>
      </c>
      <c r="E21" s="301" t="str">
        <f t="shared" si="1"/>
        <v/>
      </c>
      <c r="F21" s="281" t="str">
        <f t="shared" si="2"/>
        <v/>
      </c>
    </row>
    <row r="22" spans="1:6" x14ac:dyDescent="0.25">
      <c r="A22" s="279">
        <v>18</v>
      </c>
      <c r="B22" s="280" t="str">
        <f>IF('Renewal Tool'!F28="","",B21*(1+'Renewal Tool'!F28))</f>
        <v/>
      </c>
      <c r="C22" s="350"/>
      <c r="D22" s="301" t="str">
        <f t="shared" si="0"/>
        <v/>
      </c>
      <c r="E22" s="301" t="str">
        <f>IF(B22="","",IF(C22="","",B22*C22))</f>
        <v/>
      </c>
      <c r="F22" s="281" t="str">
        <f t="shared" si="2"/>
        <v/>
      </c>
    </row>
    <row r="23" spans="1:6" x14ac:dyDescent="0.25">
      <c r="A23" s="279">
        <v>19</v>
      </c>
      <c r="B23" s="280" t="str">
        <f>IF('Renewal Tool'!F29="","",B22*(1+'Renewal Tool'!F29))</f>
        <v/>
      </c>
      <c r="C23" s="350"/>
      <c r="D23" s="301" t="str">
        <f t="shared" si="0"/>
        <v/>
      </c>
      <c r="E23" s="301" t="str">
        <f t="shared" si="1"/>
        <v/>
      </c>
      <c r="F23" s="281" t="str">
        <f t="shared" si="2"/>
        <v/>
      </c>
    </row>
    <row r="24" spans="1:6" x14ac:dyDescent="0.25">
      <c r="A24" s="279">
        <v>20</v>
      </c>
      <c r="B24" s="280" t="str">
        <f>IF('Renewal Tool'!F30="","",B23*(1+'Renewal Tool'!F30))</f>
        <v/>
      </c>
      <c r="C24" s="350"/>
      <c r="D24" s="301" t="str">
        <f t="shared" si="0"/>
        <v/>
      </c>
      <c r="E24" s="301" t="str">
        <f t="shared" si="1"/>
        <v/>
      </c>
      <c r="F24" s="281" t="str">
        <f t="shared" si="2"/>
        <v/>
      </c>
    </row>
    <row r="25" spans="1:6" x14ac:dyDescent="0.25">
      <c r="A25" s="282"/>
      <c r="B25" s="279"/>
      <c r="C25" s="279"/>
      <c r="D25" s="279"/>
      <c r="E25" s="279"/>
    </row>
    <row r="26" spans="1:6" x14ac:dyDescent="0.25">
      <c r="A26" s="311" t="s">
        <v>62</v>
      </c>
      <c r="B26" s="284" t="e">
        <f>IF(SUM(B5:B24)=0,"",SUM(B5:B24))</f>
        <v>#VALUE!</v>
      </c>
      <c r="C26" s="284"/>
      <c r="D26" s="284" t="e">
        <f>IF(SUM(D5:D24)=0,"",SUM(D5:D24))</f>
        <v>#VALUE!</v>
      </c>
      <c r="E26" s="284" t="e">
        <f>IF(SUM(E5:E24)=0,"",SUM(E5:E24))</f>
        <v>#VALUE!</v>
      </c>
      <c r="F26" s="285" t="e">
        <f>IF(E26="","",IF(B26="","",E26/B26))</f>
        <v>#VALUE!</v>
      </c>
    </row>
    <row r="27" spans="1:6" x14ac:dyDescent="0.25">
      <c r="A27" s="312" t="s">
        <v>88</v>
      </c>
      <c r="B27" s="288" t="e">
        <f>IF(B26="","",AVERAGE(B5:B24))</f>
        <v>#VALUE!</v>
      </c>
      <c r="C27" s="288"/>
      <c r="D27" s="288" t="e">
        <f>IF(D26="","",AVERAGE(D5:D24))</f>
        <v>#VALUE!</v>
      </c>
      <c r="E27" s="288" t="e">
        <f>IF(E26="","",AVERAGE(E5:E24))</f>
        <v>#VALUE!</v>
      </c>
      <c r="F27" s="285" t="e">
        <f>IF(E27="","",IF(B27="","",E27/B27))</f>
        <v>#VALUE!</v>
      </c>
    </row>
    <row r="28" spans="1:6" x14ac:dyDescent="0.25">
      <c r="A28" s="313" t="s">
        <v>89</v>
      </c>
      <c r="B28" s="290"/>
      <c r="C28" s="290"/>
      <c r="D28" s="290" t="e">
        <f>IF(D26="","",NPV(8%,D5:D24))</f>
        <v>#VALUE!</v>
      </c>
      <c r="E28" s="290"/>
      <c r="F28" s="290"/>
    </row>
  </sheetData>
  <sheetProtection algorithmName="SHA-512" hashValue="h9w8JnlbUuuBCSiPppZSVi9abYQaCNe2d+DhdxChjgugboYrP/LAiviMxdkWm/1En3JACYBsKcXApmr/SJx64Q==" saltValue="AZYR7qNiN5UoL8AyUgHZZQ==" spinCount="100000" sheet="1" objects="1" scenarios="1"/>
  <phoneticPr fontId="13" type="noConversion"/>
  <conditionalFormatting sqref="C5:C24">
    <cfRule type="expression" dxfId="27" priority="2">
      <formula>$C$3-A5&lt;0</formula>
    </cfRule>
    <cfRule type="expression" dxfId="26" priority="1">
      <formula>$D$3&lt;&gt;$E$3</formula>
    </cfRule>
  </conditionalFormatting>
  <pageMargins left="0.5" right="0.5" top="0.5" bottom="0.25" header="0.3" footer="0.3"/>
  <pageSetup paperSize="9" scale="70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85" zoomScaleNormal="85" workbookViewId="0">
      <pane ySplit="4" topLeftCell="A5" activePane="bottomLeft" state="frozen"/>
      <selection activeCell="F20" sqref="F20"/>
      <selection pane="bottomLeft" activeCell="D8" sqref="D8"/>
    </sheetView>
  </sheetViews>
  <sheetFormatPr defaultRowHeight="15" x14ac:dyDescent="0.25"/>
  <cols>
    <col min="1" max="7" width="12" style="273" customWidth="1"/>
    <col min="8" max="9" width="9" style="273" customWidth="1"/>
    <col min="10" max="16384" width="9" style="273"/>
  </cols>
  <sheetData>
    <row r="1" spans="1:7" ht="8.25" customHeight="1" x14ac:dyDescent="0.25"/>
    <row r="2" spans="1:7" ht="18.75" x14ac:dyDescent="0.3">
      <c r="A2" s="274" t="s">
        <v>92</v>
      </c>
      <c r="D2" s="316"/>
    </row>
    <row r="3" spans="1:7" ht="15.75" x14ac:dyDescent="0.25">
      <c r="A3" s="275" t="s">
        <v>2</v>
      </c>
      <c r="C3" s="276" t="str">
        <f>'Renewal Tool'!B10</f>
        <v/>
      </c>
      <c r="D3" s="317" t="str">
        <f>'Renewal Tool'!G5</f>
        <v/>
      </c>
      <c r="E3" s="317">
        <v>3</v>
      </c>
    </row>
    <row r="4" spans="1:7" ht="45" x14ac:dyDescent="0.25">
      <c r="A4" s="277" t="s">
        <v>16</v>
      </c>
      <c r="B4" s="278" t="s">
        <v>83</v>
      </c>
      <c r="C4" s="278" t="s">
        <v>93</v>
      </c>
      <c r="D4" s="278" t="s">
        <v>91</v>
      </c>
      <c r="E4" s="278" t="s">
        <v>85</v>
      </c>
      <c r="F4" s="278" t="s">
        <v>86</v>
      </c>
      <c r="G4" s="278" t="s">
        <v>87</v>
      </c>
    </row>
    <row r="5" spans="1:7" x14ac:dyDescent="0.25">
      <c r="A5" s="279">
        <v>1</v>
      </c>
      <c r="B5" s="280" t="e">
        <f>'Renewal Tool'!B14*(1+'Renewal Tool'!F11)</f>
        <v>#VALUE!</v>
      </c>
      <c r="C5" s="159"/>
      <c r="D5" s="351"/>
      <c r="E5" s="301" t="e">
        <f>IF(B5="","",IF(C5="","",IF(B5*D5&gt;C5,B5*D5,C5)))</f>
        <v>#VALUE!</v>
      </c>
      <c r="F5" s="301" t="e">
        <f t="shared" ref="F5:F24" si="0">IF(B5="","",IF(C5="","",$C$27+IF(D5=0,0,IF(B5-C5/D5&gt;0,(B5-C5/D5)*D5,0))))</f>
        <v>#VALUE!</v>
      </c>
      <c r="G5" s="281" t="e">
        <f>IF(B5="","",IF(C5="","",F5/B5))</f>
        <v>#VALUE!</v>
      </c>
    </row>
    <row r="6" spans="1:7" x14ac:dyDescent="0.25">
      <c r="A6" s="279">
        <v>2</v>
      </c>
      <c r="B6" s="280" t="str">
        <f>IF('Renewal Tool'!F12="","",B5*(1+'Renewal Tool'!F12))</f>
        <v/>
      </c>
      <c r="C6" s="159"/>
      <c r="D6" s="351"/>
      <c r="E6" s="301" t="str">
        <f t="shared" ref="E6:E24" si="1">IF(B6="","",IF(C6="","",IF(B6*D6&gt;C6,B6*D6,C6)))</f>
        <v/>
      </c>
      <c r="F6" s="301" t="str">
        <f t="shared" si="0"/>
        <v/>
      </c>
      <c r="G6" s="281" t="str">
        <f t="shared" ref="G6:G24" si="2">IF(B6="","",IF(C6="","",F6/B6))</f>
        <v/>
      </c>
    </row>
    <row r="7" spans="1:7" x14ac:dyDescent="0.25">
      <c r="A7" s="279">
        <v>3</v>
      </c>
      <c r="B7" s="280" t="str">
        <f>IF('Renewal Tool'!F13="","",B6*(1+'Renewal Tool'!F13))</f>
        <v/>
      </c>
      <c r="C7" s="159"/>
      <c r="D7" s="351"/>
      <c r="E7" s="301" t="str">
        <f t="shared" si="1"/>
        <v/>
      </c>
      <c r="F7" s="301" t="str">
        <f t="shared" si="0"/>
        <v/>
      </c>
      <c r="G7" s="281" t="str">
        <f t="shared" si="2"/>
        <v/>
      </c>
    </row>
    <row r="8" spans="1:7" x14ac:dyDescent="0.25">
      <c r="A8" s="279">
        <v>4</v>
      </c>
      <c r="B8" s="280" t="str">
        <f>IF('Renewal Tool'!F14="","",B7*(1+'Renewal Tool'!F14))</f>
        <v/>
      </c>
      <c r="C8" s="159"/>
      <c r="D8" s="351"/>
      <c r="E8" s="301" t="str">
        <f t="shared" si="1"/>
        <v/>
      </c>
      <c r="F8" s="301" t="str">
        <f t="shared" si="0"/>
        <v/>
      </c>
      <c r="G8" s="281" t="str">
        <f t="shared" si="2"/>
        <v/>
      </c>
    </row>
    <row r="9" spans="1:7" x14ac:dyDescent="0.25">
      <c r="A9" s="279">
        <v>5</v>
      </c>
      <c r="B9" s="280" t="str">
        <f>IF('Renewal Tool'!F15="","",B8*(1+'Renewal Tool'!F15))</f>
        <v/>
      </c>
      <c r="C9" s="159"/>
      <c r="D9" s="351"/>
      <c r="E9" s="301" t="str">
        <f t="shared" si="1"/>
        <v/>
      </c>
      <c r="F9" s="301" t="str">
        <f t="shared" si="0"/>
        <v/>
      </c>
      <c r="G9" s="281" t="str">
        <f t="shared" si="2"/>
        <v/>
      </c>
    </row>
    <row r="10" spans="1:7" x14ac:dyDescent="0.25">
      <c r="A10" s="279">
        <v>6</v>
      </c>
      <c r="B10" s="280" t="str">
        <f>IF('Renewal Tool'!F16="","",B9*(1+'Renewal Tool'!F16))</f>
        <v/>
      </c>
      <c r="C10" s="159"/>
      <c r="D10" s="351"/>
      <c r="E10" s="301" t="str">
        <f t="shared" si="1"/>
        <v/>
      </c>
      <c r="F10" s="301" t="str">
        <f t="shared" si="0"/>
        <v/>
      </c>
      <c r="G10" s="281" t="str">
        <f t="shared" si="2"/>
        <v/>
      </c>
    </row>
    <row r="11" spans="1:7" x14ac:dyDescent="0.25">
      <c r="A11" s="279">
        <v>7</v>
      </c>
      <c r="B11" s="280" t="str">
        <f>IF('Renewal Tool'!F17="","",B10*(1+'Renewal Tool'!F17))</f>
        <v/>
      </c>
      <c r="C11" s="159"/>
      <c r="D11" s="351"/>
      <c r="E11" s="301" t="str">
        <f t="shared" si="1"/>
        <v/>
      </c>
      <c r="F11" s="301" t="str">
        <f t="shared" si="0"/>
        <v/>
      </c>
      <c r="G11" s="281" t="str">
        <f t="shared" si="2"/>
        <v/>
      </c>
    </row>
    <row r="12" spans="1:7" x14ac:dyDescent="0.25">
      <c r="A12" s="279">
        <v>8</v>
      </c>
      <c r="B12" s="280" t="str">
        <f>IF('Renewal Tool'!F18="","",B11*(1+'Renewal Tool'!F18))</f>
        <v/>
      </c>
      <c r="C12" s="159"/>
      <c r="D12" s="351"/>
      <c r="E12" s="301" t="str">
        <f t="shared" si="1"/>
        <v/>
      </c>
      <c r="F12" s="301" t="str">
        <f t="shared" si="0"/>
        <v/>
      </c>
      <c r="G12" s="281" t="str">
        <f t="shared" si="2"/>
        <v/>
      </c>
    </row>
    <row r="13" spans="1:7" x14ac:dyDescent="0.25">
      <c r="A13" s="279">
        <v>9</v>
      </c>
      <c r="B13" s="280" t="str">
        <f>IF('Renewal Tool'!F19="","",B12*(1+'Renewal Tool'!F19))</f>
        <v/>
      </c>
      <c r="C13" s="159"/>
      <c r="D13" s="351"/>
      <c r="E13" s="301" t="str">
        <f t="shared" si="1"/>
        <v/>
      </c>
      <c r="F13" s="301" t="str">
        <f t="shared" si="0"/>
        <v/>
      </c>
      <c r="G13" s="281" t="str">
        <f t="shared" si="2"/>
        <v/>
      </c>
    </row>
    <row r="14" spans="1:7" x14ac:dyDescent="0.25">
      <c r="A14" s="279">
        <v>10</v>
      </c>
      <c r="B14" s="280" t="str">
        <f>IF('Renewal Tool'!F20="","",B13*(1+'Renewal Tool'!F20))</f>
        <v/>
      </c>
      <c r="C14" s="159"/>
      <c r="D14" s="351"/>
      <c r="E14" s="301" t="str">
        <f t="shared" si="1"/>
        <v/>
      </c>
      <c r="F14" s="301" t="str">
        <f t="shared" si="0"/>
        <v/>
      </c>
      <c r="G14" s="281" t="str">
        <f t="shared" si="2"/>
        <v/>
      </c>
    </row>
    <row r="15" spans="1:7" x14ac:dyDescent="0.25">
      <c r="A15" s="279">
        <v>11</v>
      </c>
      <c r="B15" s="280" t="str">
        <f>IF('Renewal Tool'!F21="","",B14*(1+'Renewal Tool'!F21))</f>
        <v/>
      </c>
      <c r="C15" s="159"/>
      <c r="D15" s="351"/>
      <c r="E15" s="301" t="str">
        <f t="shared" si="1"/>
        <v/>
      </c>
      <c r="F15" s="301" t="str">
        <f t="shared" si="0"/>
        <v/>
      </c>
      <c r="G15" s="281" t="str">
        <f t="shared" si="2"/>
        <v/>
      </c>
    </row>
    <row r="16" spans="1:7" x14ac:dyDescent="0.25">
      <c r="A16" s="279">
        <v>12</v>
      </c>
      <c r="B16" s="280" t="str">
        <f>IF('Renewal Tool'!F22="","",B15*(1+'Renewal Tool'!F22))</f>
        <v/>
      </c>
      <c r="C16" s="159"/>
      <c r="D16" s="351"/>
      <c r="E16" s="301" t="str">
        <f t="shared" si="1"/>
        <v/>
      </c>
      <c r="F16" s="301" t="str">
        <f t="shared" si="0"/>
        <v/>
      </c>
      <c r="G16" s="281" t="str">
        <f t="shared" si="2"/>
        <v/>
      </c>
    </row>
    <row r="17" spans="1:9" x14ac:dyDescent="0.25">
      <c r="A17" s="279">
        <v>13</v>
      </c>
      <c r="B17" s="280" t="str">
        <f>IF('Renewal Tool'!F23="","",B16*(1+'Renewal Tool'!F23))</f>
        <v/>
      </c>
      <c r="C17" s="159"/>
      <c r="D17" s="351"/>
      <c r="E17" s="301" t="str">
        <f t="shared" si="1"/>
        <v/>
      </c>
      <c r="F17" s="301" t="str">
        <f t="shared" si="0"/>
        <v/>
      </c>
      <c r="G17" s="281" t="str">
        <f t="shared" si="2"/>
        <v/>
      </c>
    </row>
    <row r="18" spans="1:9" x14ac:dyDescent="0.25">
      <c r="A18" s="279">
        <v>14</v>
      </c>
      <c r="B18" s="280" t="str">
        <f>IF('Renewal Tool'!F24="","",B17*(1+'Renewal Tool'!F24))</f>
        <v/>
      </c>
      <c r="C18" s="159"/>
      <c r="D18" s="351"/>
      <c r="E18" s="301" t="str">
        <f t="shared" si="1"/>
        <v/>
      </c>
      <c r="F18" s="301" t="str">
        <f t="shared" si="0"/>
        <v/>
      </c>
      <c r="G18" s="281" t="str">
        <f t="shared" si="2"/>
        <v/>
      </c>
    </row>
    <row r="19" spans="1:9" x14ac:dyDescent="0.25">
      <c r="A19" s="279">
        <v>15</v>
      </c>
      <c r="B19" s="280" t="str">
        <f>IF('Renewal Tool'!F25="","",B18*(1+'Renewal Tool'!F25))</f>
        <v/>
      </c>
      <c r="C19" s="159"/>
      <c r="D19" s="351"/>
      <c r="E19" s="301" t="str">
        <f t="shared" si="1"/>
        <v/>
      </c>
      <c r="F19" s="301" t="str">
        <f t="shared" si="0"/>
        <v/>
      </c>
      <c r="G19" s="281" t="str">
        <f t="shared" si="2"/>
        <v/>
      </c>
    </row>
    <row r="20" spans="1:9" x14ac:dyDescent="0.25">
      <c r="A20" s="279">
        <v>16</v>
      </c>
      <c r="B20" s="280" t="str">
        <f>IF('Renewal Tool'!F26="","",B19*(1+'Renewal Tool'!F26))</f>
        <v/>
      </c>
      <c r="C20" s="159"/>
      <c r="D20" s="351"/>
      <c r="E20" s="301" t="str">
        <f t="shared" si="1"/>
        <v/>
      </c>
      <c r="F20" s="301" t="str">
        <f t="shared" si="0"/>
        <v/>
      </c>
      <c r="G20" s="281" t="str">
        <f t="shared" si="2"/>
        <v/>
      </c>
    </row>
    <row r="21" spans="1:9" x14ac:dyDescent="0.25">
      <c r="A21" s="279">
        <v>17</v>
      </c>
      <c r="B21" s="280" t="str">
        <f>IF('Renewal Tool'!F27="","",B20*(1+'Renewal Tool'!F27))</f>
        <v/>
      </c>
      <c r="C21" s="159"/>
      <c r="D21" s="351"/>
      <c r="E21" s="301" t="str">
        <f t="shared" si="1"/>
        <v/>
      </c>
      <c r="F21" s="301" t="str">
        <f t="shared" si="0"/>
        <v/>
      </c>
      <c r="G21" s="281" t="str">
        <f t="shared" si="2"/>
        <v/>
      </c>
    </row>
    <row r="22" spans="1:9" x14ac:dyDescent="0.25">
      <c r="A22" s="279">
        <v>18</v>
      </c>
      <c r="B22" s="280" t="str">
        <f>IF('Renewal Tool'!F28="","",B21*(1+'Renewal Tool'!F28))</f>
        <v/>
      </c>
      <c r="C22" s="159"/>
      <c r="D22" s="351"/>
      <c r="E22" s="301" t="str">
        <f t="shared" si="1"/>
        <v/>
      </c>
      <c r="F22" s="301" t="str">
        <f t="shared" si="0"/>
        <v/>
      </c>
      <c r="G22" s="281" t="str">
        <f t="shared" si="2"/>
        <v/>
      </c>
    </row>
    <row r="23" spans="1:9" x14ac:dyDescent="0.25">
      <c r="A23" s="279">
        <v>19</v>
      </c>
      <c r="B23" s="280" t="str">
        <f>IF('Renewal Tool'!F29="","",B22*(1+'Renewal Tool'!F29))</f>
        <v/>
      </c>
      <c r="C23" s="159"/>
      <c r="D23" s="351"/>
      <c r="E23" s="301" t="str">
        <f t="shared" si="1"/>
        <v/>
      </c>
      <c r="F23" s="301" t="str">
        <f t="shared" si="0"/>
        <v/>
      </c>
      <c r="G23" s="281" t="str">
        <f t="shared" si="2"/>
        <v/>
      </c>
    </row>
    <row r="24" spans="1:9" x14ac:dyDescent="0.25">
      <c r="A24" s="279">
        <v>20</v>
      </c>
      <c r="B24" s="280" t="str">
        <f>IF('Renewal Tool'!F30="","",B23*(1+'Renewal Tool'!F30))</f>
        <v/>
      </c>
      <c r="C24" s="159"/>
      <c r="D24" s="351"/>
      <c r="E24" s="301" t="str">
        <f t="shared" si="1"/>
        <v/>
      </c>
      <c r="F24" s="301" t="str">
        <f t="shared" si="0"/>
        <v/>
      </c>
      <c r="G24" s="281" t="str">
        <f t="shared" si="2"/>
        <v/>
      </c>
    </row>
    <row r="25" spans="1:9" x14ac:dyDescent="0.25">
      <c r="A25" s="282"/>
      <c r="B25" s="279"/>
      <c r="C25" s="279"/>
      <c r="D25" s="279"/>
      <c r="E25" s="279"/>
      <c r="F25" s="279"/>
    </row>
    <row r="26" spans="1:9" x14ac:dyDescent="0.25">
      <c r="A26" s="283" t="s">
        <v>62</v>
      </c>
      <c r="B26" s="284" t="e">
        <f>IF(SUM(B5:B24)=0,"",SUM(B5:B24))</f>
        <v>#VALUE!</v>
      </c>
      <c r="C26" s="284" t="str">
        <f>IF(SUM(C5:C24)=0,"",SUM(C5:C24))</f>
        <v/>
      </c>
      <c r="D26" s="284"/>
      <c r="E26" s="284" t="e">
        <f>IF(SUM(E5:E24)=0,"",SUM(E5:E24))</f>
        <v>#VALUE!</v>
      </c>
      <c r="F26" s="284" t="e">
        <f>IF(SUM(F5:F24)=0,"",SUM(F5:F24))</f>
        <v>#VALUE!</v>
      </c>
      <c r="G26" s="285" t="e">
        <f>IF(F26="","",IF(B26="","",F26/B26))</f>
        <v>#VALUE!</v>
      </c>
      <c r="I26" s="286"/>
    </row>
    <row r="27" spans="1:9" x14ac:dyDescent="0.25">
      <c r="A27" s="287" t="s">
        <v>88</v>
      </c>
      <c r="B27" s="288" t="e">
        <f>IF(B26="","",AVERAGE(B5:B24))</f>
        <v>#VALUE!</v>
      </c>
      <c r="C27" s="288" t="str">
        <f>IF(C26="","",AVERAGE(C5:C24))</f>
        <v/>
      </c>
      <c r="D27" s="288"/>
      <c r="E27" s="288" t="e">
        <f>IF(E26="","",AVERAGE(E5:E24))</f>
        <v>#VALUE!</v>
      </c>
      <c r="F27" s="288" t="e">
        <f>IF(F26="","",AVERAGE(F5:F24))</f>
        <v>#VALUE!</v>
      </c>
      <c r="G27" s="285" t="e">
        <f>IF(F27="","",IF(B27="","",F27/B27))</f>
        <v>#VALUE!</v>
      </c>
    </row>
    <row r="28" spans="1:9" x14ac:dyDescent="0.25">
      <c r="A28" s="289" t="s">
        <v>89</v>
      </c>
      <c r="B28" s="290"/>
      <c r="C28" s="290"/>
      <c r="D28" s="290"/>
      <c r="E28" s="290" t="e">
        <f>IF(E26="","",NPV(8%,E5:E24))</f>
        <v>#VALUE!</v>
      </c>
      <c r="F28" s="290"/>
      <c r="G28" s="290"/>
    </row>
    <row r="29" spans="1:9" x14ac:dyDescent="0.25">
      <c r="B29" s="301"/>
      <c r="C29" s="301"/>
    </row>
    <row r="30" spans="1:9" x14ac:dyDescent="0.25">
      <c r="B30" s="301"/>
      <c r="C30" s="301"/>
      <c r="D30" s="301"/>
      <c r="E30" s="301"/>
      <c r="F30" s="301"/>
    </row>
  </sheetData>
  <sheetProtection algorithmName="SHA-512" hashValue="tZ4Q+io4IXrsB/KdhiIEfsE2O/mPtU9XvpmN8h8BDGz51BNWR1T5Kv/0FdNXrqJfq2eGdZm5RN0GSFhlypfVwg==" saltValue="IC2cKqqkyyohVFNT2rOiAQ==" spinCount="100000" sheet="1" objects="1" scenarios="1"/>
  <phoneticPr fontId="13" type="noConversion"/>
  <conditionalFormatting sqref="C5:C24">
    <cfRule type="expression" dxfId="2" priority="1">
      <formula>$C$3-A5&lt;0</formula>
    </cfRule>
  </conditionalFormatting>
  <conditionalFormatting sqref="D5:D24">
    <cfRule type="expression" dxfId="1" priority="4">
      <formula>$C$3-A5&lt;0</formula>
    </cfRule>
  </conditionalFormatting>
  <conditionalFormatting sqref="C5:D24">
    <cfRule type="expression" dxfId="0" priority="5">
      <formula>$D$3&lt;&gt;$E$3</formula>
    </cfRule>
  </conditionalFormatting>
  <pageMargins left="0.5" right="0.5" top="0.5" bottom="0.25" header="0.3" footer="0.3"/>
  <pageSetup paperSize="9" scale="7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85" zoomScaleNormal="85" workbookViewId="0">
      <pane ySplit="4" topLeftCell="A5" activePane="bottomLeft" state="frozen"/>
      <selection activeCell="F20" sqref="F20"/>
      <selection pane="bottomLeft" activeCell="D24" sqref="D24"/>
    </sheetView>
  </sheetViews>
  <sheetFormatPr defaultRowHeight="15" x14ac:dyDescent="0.25"/>
  <cols>
    <col min="1" max="8" width="12" style="273" customWidth="1"/>
    <col min="9" max="10" width="9" style="273" customWidth="1"/>
    <col min="11" max="16384" width="9" style="273"/>
  </cols>
  <sheetData>
    <row r="1" spans="1:8" ht="8.25" customHeight="1" x14ac:dyDescent="0.25"/>
    <row r="2" spans="1:8" ht="18.75" x14ac:dyDescent="0.3">
      <c r="A2" s="274" t="s">
        <v>94</v>
      </c>
      <c r="D2" s="316"/>
    </row>
    <row r="3" spans="1:8" ht="15.75" x14ac:dyDescent="0.25">
      <c r="A3" s="275" t="s">
        <v>2</v>
      </c>
      <c r="C3" s="276" t="str">
        <f>'Renewal Tool'!B10</f>
        <v/>
      </c>
      <c r="D3" s="317" t="str">
        <f>'Renewal Tool'!G5</f>
        <v/>
      </c>
      <c r="E3" s="317">
        <v>4</v>
      </c>
    </row>
    <row r="4" spans="1:8" ht="45" x14ac:dyDescent="0.25">
      <c r="A4" s="277" t="s">
        <v>16</v>
      </c>
      <c r="B4" s="278" t="s">
        <v>83</v>
      </c>
      <c r="C4" s="278" t="s">
        <v>84</v>
      </c>
      <c r="D4" s="278" t="s">
        <v>91</v>
      </c>
      <c r="E4" s="278" t="s">
        <v>95</v>
      </c>
      <c r="F4" s="278" t="s">
        <v>85</v>
      </c>
      <c r="G4" s="278" t="s">
        <v>86</v>
      </c>
      <c r="H4" s="278" t="s">
        <v>87</v>
      </c>
    </row>
    <row r="5" spans="1:8" x14ac:dyDescent="0.25">
      <c r="A5" s="279">
        <v>1</v>
      </c>
      <c r="B5" s="280" t="e">
        <f>'Renewal Tool'!B14*(1+'Renewal Tool'!F11)</f>
        <v>#VALUE!</v>
      </c>
      <c r="C5" s="159"/>
      <c r="D5" s="163"/>
      <c r="E5" s="159"/>
      <c r="F5" s="301" t="e">
        <f>IF(B5="","",IF(C5="","",C5+IF((B5-E5)&gt;0,(B5-E5)*D5,0)))</f>
        <v>#VALUE!</v>
      </c>
      <c r="G5" s="301" t="e">
        <f t="shared" ref="G5:G24" si="0">IF(B5="","",IF(C5="","",$C$27+IF((B5-E5)&gt;0,(B5-E5)*D5,0)))</f>
        <v>#VALUE!</v>
      </c>
      <c r="H5" s="281" t="e">
        <f>IF(B5="","",IF(C5="","",G5/B5))</f>
        <v>#VALUE!</v>
      </c>
    </row>
    <row r="6" spans="1:8" x14ac:dyDescent="0.25">
      <c r="A6" s="279">
        <v>2</v>
      </c>
      <c r="B6" s="280" t="str">
        <f>IF('Renewal Tool'!F12="","",B5*(1+'Renewal Tool'!F12))</f>
        <v/>
      </c>
      <c r="C6" s="159"/>
      <c r="D6" s="163"/>
      <c r="E6" s="159"/>
      <c r="F6" s="301" t="str">
        <f t="shared" ref="F6:F24" si="1">IF(B6="","",IF(C6="","",C6+IF((B6-E6)&gt;0,(B6-E6)*D6,0)))</f>
        <v/>
      </c>
      <c r="G6" s="301" t="str">
        <f t="shared" si="0"/>
        <v/>
      </c>
      <c r="H6" s="281" t="str">
        <f t="shared" ref="H6:H24" si="2">IF(B6="","",IF(C6="","",G6/B6))</f>
        <v/>
      </c>
    </row>
    <row r="7" spans="1:8" x14ac:dyDescent="0.25">
      <c r="A7" s="279">
        <v>3</v>
      </c>
      <c r="B7" s="280" t="str">
        <f>IF('Renewal Tool'!F13="","",B6*(1+'Renewal Tool'!F13))</f>
        <v/>
      </c>
      <c r="C7" s="159"/>
      <c r="D7" s="163"/>
      <c r="E7" s="159"/>
      <c r="F7" s="301" t="str">
        <f t="shared" si="1"/>
        <v/>
      </c>
      <c r="G7" s="301" t="str">
        <f t="shared" si="0"/>
        <v/>
      </c>
      <c r="H7" s="281" t="str">
        <f t="shared" si="2"/>
        <v/>
      </c>
    </row>
    <row r="8" spans="1:8" x14ac:dyDescent="0.25">
      <c r="A8" s="279">
        <v>4</v>
      </c>
      <c r="B8" s="280" t="str">
        <f>IF('Renewal Tool'!F14="","",B7*(1+'Renewal Tool'!F14))</f>
        <v/>
      </c>
      <c r="C8" s="159"/>
      <c r="D8" s="163"/>
      <c r="E8" s="159"/>
      <c r="F8" s="301" t="str">
        <f t="shared" si="1"/>
        <v/>
      </c>
      <c r="G8" s="301" t="str">
        <f t="shared" si="0"/>
        <v/>
      </c>
      <c r="H8" s="281" t="str">
        <f t="shared" si="2"/>
        <v/>
      </c>
    </row>
    <row r="9" spans="1:8" x14ac:dyDescent="0.25">
      <c r="A9" s="279">
        <v>5</v>
      </c>
      <c r="B9" s="280" t="str">
        <f>IF('Renewal Tool'!F15="","",B8*(1+'Renewal Tool'!F15))</f>
        <v/>
      </c>
      <c r="C9" s="159"/>
      <c r="D9" s="163"/>
      <c r="E9" s="159"/>
      <c r="F9" s="301" t="str">
        <f t="shared" si="1"/>
        <v/>
      </c>
      <c r="G9" s="301" t="str">
        <f t="shared" si="0"/>
        <v/>
      </c>
      <c r="H9" s="281" t="str">
        <f t="shared" si="2"/>
        <v/>
      </c>
    </row>
    <row r="10" spans="1:8" x14ac:dyDescent="0.25">
      <c r="A10" s="279">
        <v>6</v>
      </c>
      <c r="B10" s="280" t="str">
        <f>IF('Renewal Tool'!F16="","",B9*(1+'Renewal Tool'!F16))</f>
        <v/>
      </c>
      <c r="C10" s="159"/>
      <c r="D10" s="163"/>
      <c r="E10" s="159"/>
      <c r="F10" s="301" t="str">
        <f t="shared" si="1"/>
        <v/>
      </c>
      <c r="G10" s="301" t="str">
        <f t="shared" si="0"/>
        <v/>
      </c>
      <c r="H10" s="281" t="str">
        <f t="shared" si="2"/>
        <v/>
      </c>
    </row>
    <row r="11" spans="1:8" x14ac:dyDescent="0.25">
      <c r="A11" s="279">
        <v>7</v>
      </c>
      <c r="B11" s="280" t="str">
        <f>IF('Renewal Tool'!F17="","",B10*(1+'Renewal Tool'!F17))</f>
        <v/>
      </c>
      <c r="C11" s="159"/>
      <c r="D11" s="163"/>
      <c r="E11" s="159"/>
      <c r="F11" s="301" t="str">
        <f t="shared" si="1"/>
        <v/>
      </c>
      <c r="G11" s="301" t="str">
        <f t="shared" si="0"/>
        <v/>
      </c>
      <c r="H11" s="281" t="str">
        <f t="shared" si="2"/>
        <v/>
      </c>
    </row>
    <row r="12" spans="1:8" x14ac:dyDescent="0.25">
      <c r="A12" s="279">
        <v>8</v>
      </c>
      <c r="B12" s="280" t="str">
        <f>IF('Renewal Tool'!F18="","",B11*(1+'Renewal Tool'!F18))</f>
        <v/>
      </c>
      <c r="C12" s="159"/>
      <c r="D12" s="163"/>
      <c r="E12" s="159"/>
      <c r="F12" s="301" t="str">
        <f t="shared" si="1"/>
        <v/>
      </c>
      <c r="G12" s="301" t="str">
        <f t="shared" si="0"/>
        <v/>
      </c>
      <c r="H12" s="281" t="str">
        <f t="shared" si="2"/>
        <v/>
      </c>
    </row>
    <row r="13" spans="1:8" x14ac:dyDescent="0.25">
      <c r="A13" s="279">
        <v>9</v>
      </c>
      <c r="B13" s="280" t="str">
        <f>IF('Renewal Tool'!F19="","",B12*(1+'Renewal Tool'!F19))</f>
        <v/>
      </c>
      <c r="C13" s="159"/>
      <c r="D13" s="163"/>
      <c r="E13" s="159"/>
      <c r="F13" s="301" t="str">
        <f t="shared" si="1"/>
        <v/>
      </c>
      <c r="G13" s="301" t="str">
        <f t="shared" si="0"/>
        <v/>
      </c>
      <c r="H13" s="281" t="str">
        <f t="shared" si="2"/>
        <v/>
      </c>
    </row>
    <row r="14" spans="1:8" x14ac:dyDescent="0.25">
      <c r="A14" s="279">
        <v>10</v>
      </c>
      <c r="B14" s="280" t="str">
        <f>IF('Renewal Tool'!F20="","",B13*(1+'Renewal Tool'!F20))</f>
        <v/>
      </c>
      <c r="C14" s="159"/>
      <c r="D14" s="163"/>
      <c r="E14" s="159"/>
      <c r="F14" s="301" t="str">
        <f t="shared" si="1"/>
        <v/>
      </c>
      <c r="G14" s="301" t="str">
        <f t="shared" si="0"/>
        <v/>
      </c>
      <c r="H14" s="281" t="str">
        <f t="shared" si="2"/>
        <v/>
      </c>
    </row>
    <row r="15" spans="1:8" x14ac:dyDescent="0.25">
      <c r="A15" s="279">
        <v>11</v>
      </c>
      <c r="B15" s="280" t="str">
        <f>IF('Renewal Tool'!F21="","",B14*(1+'Renewal Tool'!F21))</f>
        <v/>
      </c>
      <c r="C15" s="159"/>
      <c r="D15" s="163"/>
      <c r="E15" s="159"/>
      <c r="F15" s="301" t="str">
        <f t="shared" si="1"/>
        <v/>
      </c>
      <c r="G15" s="301" t="str">
        <f t="shared" si="0"/>
        <v/>
      </c>
      <c r="H15" s="281" t="str">
        <f t="shared" si="2"/>
        <v/>
      </c>
    </row>
    <row r="16" spans="1:8" x14ac:dyDescent="0.25">
      <c r="A16" s="279">
        <v>12</v>
      </c>
      <c r="B16" s="280" t="str">
        <f>IF('Renewal Tool'!F22="","",B15*(1+'Renewal Tool'!F22))</f>
        <v/>
      </c>
      <c r="C16" s="159"/>
      <c r="D16" s="163"/>
      <c r="E16" s="159"/>
      <c r="F16" s="301" t="str">
        <f t="shared" si="1"/>
        <v/>
      </c>
      <c r="G16" s="301" t="str">
        <f t="shared" si="0"/>
        <v/>
      </c>
      <c r="H16" s="281" t="str">
        <f t="shared" si="2"/>
        <v/>
      </c>
    </row>
    <row r="17" spans="1:10" x14ac:dyDescent="0.25">
      <c r="A17" s="279">
        <v>13</v>
      </c>
      <c r="B17" s="280" t="str">
        <f>IF('Renewal Tool'!F23="","",B16*(1+'Renewal Tool'!F23))</f>
        <v/>
      </c>
      <c r="C17" s="159"/>
      <c r="D17" s="163"/>
      <c r="E17" s="159"/>
      <c r="F17" s="301" t="str">
        <f t="shared" si="1"/>
        <v/>
      </c>
      <c r="G17" s="301" t="str">
        <f t="shared" si="0"/>
        <v/>
      </c>
      <c r="H17" s="281" t="str">
        <f t="shared" si="2"/>
        <v/>
      </c>
    </row>
    <row r="18" spans="1:10" x14ac:dyDescent="0.25">
      <c r="A18" s="279">
        <v>14</v>
      </c>
      <c r="B18" s="280" t="str">
        <f>IF('Renewal Tool'!F24="","",B17*(1+'Renewal Tool'!F24))</f>
        <v/>
      </c>
      <c r="C18" s="159"/>
      <c r="D18" s="163"/>
      <c r="E18" s="159"/>
      <c r="F18" s="301" t="str">
        <f t="shared" si="1"/>
        <v/>
      </c>
      <c r="G18" s="301" t="str">
        <f t="shared" si="0"/>
        <v/>
      </c>
      <c r="H18" s="281" t="str">
        <f t="shared" si="2"/>
        <v/>
      </c>
    </row>
    <row r="19" spans="1:10" x14ac:dyDescent="0.25">
      <c r="A19" s="279">
        <v>15</v>
      </c>
      <c r="B19" s="280" t="str">
        <f>IF('Renewal Tool'!F25="","",B18*(1+'Renewal Tool'!F25))</f>
        <v/>
      </c>
      <c r="C19" s="159"/>
      <c r="D19" s="163"/>
      <c r="E19" s="159"/>
      <c r="F19" s="301" t="str">
        <f t="shared" si="1"/>
        <v/>
      </c>
      <c r="G19" s="301" t="str">
        <f t="shared" si="0"/>
        <v/>
      </c>
      <c r="H19" s="281" t="str">
        <f t="shared" si="2"/>
        <v/>
      </c>
    </row>
    <row r="20" spans="1:10" x14ac:dyDescent="0.25">
      <c r="A20" s="279">
        <v>16</v>
      </c>
      <c r="B20" s="280" t="str">
        <f>IF('Renewal Tool'!F26="","",B19*(1+'Renewal Tool'!F26))</f>
        <v/>
      </c>
      <c r="C20" s="159"/>
      <c r="D20" s="163"/>
      <c r="E20" s="159"/>
      <c r="F20" s="301" t="str">
        <f t="shared" si="1"/>
        <v/>
      </c>
      <c r="G20" s="301" t="str">
        <f t="shared" si="0"/>
        <v/>
      </c>
      <c r="H20" s="281" t="str">
        <f t="shared" si="2"/>
        <v/>
      </c>
    </row>
    <row r="21" spans="1:10" x14ac:dyDescent="0.25">
      <c r="A21" s="279">
        <v>17</v>
      </c>
      <c r="B21" s="280" t="str">
        <f>IF('Renewal Tool'!F27="","",B20*(1+'Renewal Tool'!F27))</f>
        <v/>
      </c>
      <c r="C21" s="159"/>
      <c r="D21" s="163"/>
      <c r="E21" s="159"/>
      <c r="F21" s="301" t="str">
        <f t="shared" si="1"/>
        <v/>
      </c>
      <c r="G21" s="301" t="str">
        <f t="shared" si="0"/>
        <v/>
      </c>
      <c r="H21" s="281" t="str">
        <f t="shared" si="2"/>
        <v/>
      </c>
    </row>
    <row r="22" spans="1:10" x14ac:dyDescent="0.25">
      <c r="A22" s="279">
        <v>18</v>
      </c>
      <c r="B22" s="280" t="str">
        <f>IF('Renewal Tool'!F28="","",B21*(1+'Renewal Tool'!F28))</f>
        <v/>
      </c>
      <c r="C22" s="159"/>
      <c r="D22" s="163"/>
      <c r="E22" s="159"/>
      <c r="F22" s="301" t="str">
        <f t="shared" si="1"/>
        <v/>
      </c>
      <c r="G22" s="301" t="str">
        <f t="shared" si="0"/>
        <v/>
      </c>
      <c r="H22" s="281" t="str">
        <f t="shared" si="2"/>
        <v/>
      </c>
    </row>
    <row r="23" spans="1:10" x14ac:dyDescent="0.25">
      <c r="A23" s="279">
        <v>19</v>
      </c>
      <c r="B23" s="280" t="str">
        <f>IF('Renewal Tool'!F29="","",B22*(1+'Renewal Tool'!F29))</f>
        <v/>
      </c>
      <c r="C23" s="159"/>
      <c r="D23" s="163"/>
      <c r="E23" s="159"/>
      <c r="F23" s="301" t="str">
        <f t="shared" si="1"/>
        <v/>
      </c>
      <c r="G23" s="301" t="str">
        <f t="shared" si="0"/>
        <v/>
      </c>
      <c r="H23" s="281" t="str">
        <f t="shared" si="2"/>
        <v/>
      </c>
    </row>
    <row r="24" spans="1:10" x14ac:dyDescent="0.25">
      <c r="A24" s="279">
        <v>20</v>
      </c>
      <c r="B24" s="280" t="str">
        <f>IF('Renewal Tool'!F30="","",B23*(1+'Renewal Tool'!F30))</f>
        <v/>
      </c>
      <c r="C24" s="159"/>
      <c r="D24" s="163"/>
      <c r="E24" s="159"/>
      <c r="F24" s="301" t="str">
        <f t="shared" si="1"/>
        <v/>
      </c>
      <c r="G24" s="301" t="str">
        <f t="shared" si="0"/>
        <v/>
      </c>
      <c r="H24" s="281" t="str">
        <f t="shared" si="2"/>
        <v/>
      </c>
    </row>
    <row r="25" spans="1:10" x14ac:dyDescent="0.25">
      <c r="A25" s="282"/>
      <c r="B25" s="279"/>
      <c r="C25" s="279"/>
      <c r="D25" s="279"/>
      <c r="E25" s="279"/>
      <c r="F25" s="279"/>
      <c r="G25" s="279"/>
    </row>
    <row r="26" spans="1:10" x14ac:dyDescent="0.25">
      <c r="A26" s="283" t="s">
        <v>62</v>
      </c>
      <c r="B26" s="284" t="e">
        <f>IF(SUM(B5:B24)=0,"",SUM(B5:B24))</f>
        <v>#VALUE!</v>
      </c>
      <c r="C26" s="284" t="str">
        <f>IF(SUM(C5:C24)=0,"",SUM(C5:C24))</f>
        <v/>
      </c>
      <c r="D26" s="284"/>
      <c r="E26" s="284"/>
      <c r="F26" s="284" t="e">
        <f>IF(SUM(F5:F24)=0,"",SUM(F5:F24))</f>
        <v>#VALUE!</v>
      </c>
      <c r="G26" s="284" t="e">
        <f>IF(SUM(G5:G24)=0,"",SUM(G5:G24))</f>
        <v>#VALUE!</v>
      </c>
      <c r="H26" s="285" t="e">
        <f>IF(G26="","",IF(B26="","",G26/B26))</f>
        <v>#VALUE!</v>
      </c>
      <c r="J26" s="286"/>
    </row>
    <row r="27" spans="1:10" x14ac:dyDescent="0.25">
      <c r="A27" s="287" t="s">
        <v>88</v>
      </c>
      <c r="B27" s="288" t="e">
        <f>IF(B26="","",AVERAGE(B5:B24))</f>
        <v>#VALUE!</v>
      </c>
      <c r="C27" s="288" t="str">
        <f>IF(C26="","",AVERAGE(C5:C24))</f>
        <v/>
      </c>
      <c r="D27" s="288"/>
      <c r="E27" s="288"/>
      <c r="F27" s="288" t="e">
        <f>IF(F26="","",AVERAGE(F5:F24))</f>
        <v>#VALUE!</v>
      </c>
      <c r="G27" s="288" t="e">
        <f>IF(G26="","",AVERAGE(G5:G24))</f>
        <v>#VALUE!</v>
      </c>
      <c r="H27" s="285" t="e">
        <f>IF(G27="","",IF(B27="","",G27/B27))</f>
        <v>#VALUE!</v>
      </c>
    </row>
    <row r="28" spans="1:10" x14ac:dyDescent="0.25">
      <c r="A28" s="289" t="s">
        <v>89</v>
      </c>
      <c r="B28" s="290"/>
      <c r="C28" s="290"/>
      <c r="D28" s="290"/>
      <c r="E28" s="290"/>
      <c r="F28" s="290" t="e">
        <f>IF(F26="","",NPV(8%,F5:F24))</f>
        <v>#VALUE!</v>
      </c>
      <c r="G28" s="290"/>
      <c r="H28" s="290"/>
    </row>
  </sheetData>
  <sheetProtection algorithmName="SHA-512" hashValue="XP3SafitGOJb/cGPfWqUGhxkPW82uZGDRKxXO9L/eicVuNLC84NryUrEymzwmQSCKxKJSW9TTPW8/orcboZg9g==" saltValue="ZtfyNthDjM+T3CdlygYK3w==" spinCount="100000" sheet="1" objects="1" scenarios="1" autoFilter="0"/>
  <phoneticPr fontId="13" type="noConversion"/>
  <conditionalFormatting sqref="D5:D24">
    <cfRule type="expression" dxfId="25" priority="7">
      <formula>$C$3-A5&lt;0</formula>
    </cfRule>
  </conditionalFormatting>
  <conditionalFormatting sqref="E5:E24">
    <cfRule type="expression" dxfId="24" priority="6">
      <formula>$C$3-A5&lt;0</formula>
    </cfRule>
  </conditionalFormatting>
  <conditionalFormatting sqref="C5:C24">
    <cfRule type="expression" dxfId="23" priority="5">
      <formula>$C$3-A5&lt;0</formula>
    </cfRule>
  </conditionalFormatting>
  <conditionalFormatting sqref="C5:E24">
    <cfRule type="expression" dxfId="22" priority="1">
      <formula>$D$3&lt;&gt;$E$3</formula>
    </cfRule>
  </conditionalFormatting>
  <pageMargins left="0.5" right="0.5" top="0.5" bottom="0.25" header="0.3" footer="0.3"/>
  <pageSetup paperSize="9" scale="70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5" zoomScaleNormal="85" workbookViewId="0">
      <pane ySplit="11" topLeftCell="A12" activePane="bottomLeft" state="frozen"/>
      <selection activeCell="F20" sqref="F20"/>
      <selection pane="bottomLeft" activeCell="E18" sqref="E18"/>
    </sheetView>
  </sheetViews>
  <sheetFormatPr defaultRowHeight="15" outlineLevelCol="1" x14ac:dyDescent="0.25"/>
  <cols>
    <col min="1" max="9" width="12" style="273" customWidth="1"/>
    <col min="10" max="14" width="12" style="273" hidden="1" customWidth="1" outlineLevel="1"/>
    <col min="15" max="15" width="12" style="273" customWidth="1" collapsed="1"/>
    <col min="16" max="16" width="12" style="273" customWidth="1"/>
    <col min="17" max="18" width="9" style="273" customWidth="1"/>
    <col min="19" max="16384" width="9" style="273"/>
  </cols>
  <sheetData>
    <row r="1" spans="1:23" ht="8.25" customHeight="1" x14ac:dyDescent="0.25"/>
    <row r="2" spans="1:23" ht="18.75" x14ac:dyDescent="0.3">
      <c r="A2" s="274" t="s">
        <v>96</v>
      </c>
      <c r="D2" s="316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</row>
    <row r="3" spans="1:23" ht="15.75" x14ac:dyDescent="0.25">
      <c r="A3" s="275" t="s">
        <v>2</v>
      </c>
      <c r="C3" s="276" t="str">
        <f>'Renewal Tool'!B10</f>
        <v/>
      </c>
      <c r="D3" s="317" t="str">
        <f>'Renewal Tool'!G5</f>
        <v/>
      </c>
      <c r="E3" s="317">
        <v>5</v>
      </c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</row>
    <row r="4" spans="1:23" ht="15.75" x14ac:dyDescent="0.25">
      <c r="A4" s="277" t="s">
        <v>97</v>
      </c>
      <c r="B4" s="277" t="s">
        <v>98</v>
      </c>
      <c r="C4" s="277" t="s">
        <v>99</v>
      </c>
      <c r="D4" s="277" t="s">
        <v>91</v>
      </c>
      <c r="E4" s="276" t="s">
        <v>100</v>
      </c>
      <c r="F4" s="291"/>
      <c r="G4" s="291"/>
      <c r="H4" s="291"/>
      <c r="I4" s="291"/>
      <c r="J4" s="29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</row>
    <row r="5" spans="1:23" ht="15.75" x14ac:dyDescent="0.25">
      <c r="A5" s="279">
        <v>1</v>
      </c>
      <c r="B5" s="161"/>
      <c r="C5" s="161"/>
      <c r="D5" s="162"/>
      <c r="E5" s="293">
        <f>IF(C5&lt;B5,0,(C5-B5)*D5)</f>
        <v>0</v>
      </c>
      <c r="F5" s="291"/>
      <c r="G5" s="291"/>
      <c r="H5" s="291"/>
      <c r="I5" s="291"/>
      <c r="J5" s="29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</row>
    <row r="6" spans="1:23" ht="15.75" x14ac:dyDescent="0.25">
      <c r="A6" s="279">
        <v>2</v>
      </c>
      <c r="B6" s="161"/>
      <c r="C6" s="161"/>
      <c r="D6" s="162"/>
      <c r="E6" s="293">
        <f>IF(C6&lt;B6,0,(C6-B6)*D6)</f>
        <v>0</v>
      </c>
      <c r="F6" s="291"/>
      <c r="G6" s="291"/>
      <c r="H6" s="291"/>
      <c r="I6" s="291"/>
      <c r="J6" s="29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</row>
    <row r="7" spans="1:23" ht="15.75" x14ac:dyDescent="0.25">
      <c r="A7" s="279">
        <v>3</v>
      </c>
      <c r="B7" s="161"/>
      <c r="C7" s="161"/>
      <c r="D7" s="162"/>
      <c r="E7" s="293">
        <f>IF(C7&lt;B7,0,(C7-B7)*D7)</f>
        <v>0</v>
      </c>
      <c r="F7" s="291"/>
      <c r="G7" s="291"/>
      <c r="H7" s="291"/>
      <c r="I7" s="291"/>
      <c r="J7" s="29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</row>
    <row r="8" spans="1:23" ht="15.75" x14ac:dyDescent="0.25">
      <c r="A8" s="279">
        <v>4</v>
      </c>
      <c r="B8" s="161"/>
      <c r="C8" s="161"/>
      <c r="D8" s="162"/>
      <c r="E8" s="293">
        <f>IF(C8&lt;B8,0,(C8-B8)*D8)</f>
        <v>0</v>
      </c>
      <c r="F8" s="291"/>
      <c r="G8" s="291"/>
      <c r="H8" s="291"/>
      <c r="I8" s="291"/>
      <c r="J8" s="29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</row>
    <row r="9" spans="1:23" ht="15.75" x14ac:dyDescent="0.25">
      <c r="A9" s="279">
        <v>5</v>
      </c>
      <c r="B9" s="161"/>
      <c r="C9" s="161"/>
      <c r="D9" s="162"/>
      <c r="E9" s="293">
        <f>IF(C9&lt;B9,0,(C9-B9)*D9)</f>
        <v>0</v>
      </c>
      <c r="F9" s="291"/>
      <c r="G9" s="291"/>
      <c r="H9" s="291"/>
      <c r="I9" s="291"/>
      <c r="J9" s="292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</row>
    <row r="10" spans="1:23" ht="15.75" x14ac:dyDescent="0.25">
      <c r="C10" s="294"/>
      <c r="D10" s="294"/>
      <c r="E10" s="295"/>
      <c r="F10" s="291"/>
      <c r="G10" s="296"/>
      <c r="H10" s="297"/>
      <c r="I10" s="297"/>
      <c r="J10" s="297"/>
      <c r="K10" s="298"/>
      <c r="L10" s="298"/>
      <c r="M10" s="298"/>
      <c r="N10" s="298"/>
      <c r="O10" s="298"/>
      <c r="P10" s="298"/>
      <c r="Q10" s="282"/>
      <c r="R10" s="282"/>
      <c r="S10" s="282"/>
      <c r="T10" s="282"/>
      <c r="U10" s="282"/>
      <c r="V10" s="282"/>
      <c r="W10" s="282"/>
    </row>
    <row r="11" spans="1:23" ht="45" x14ac:dyDescent="0.25">
      <c r="A11" s="277" t="s">
        <v>16</v>
      </c>
      <c r="B11" s="278" t="s">
        <v>83</v>
      </c>
      <c r="C11" s="278" t="s">
        <v>93</v>
      </c>
      <c r="D11" s="278" t="s">
        <v>85</v>
      </c>
      <c r="E11" s="278" t="s">
        <v>86</v>
      </c>
      <c r="F11" s="278" t="s">
        <v>87</v>
      </c>
      <c r="H11" s="298"/>
      <c r="I11" s="298"/>
      <c r="J11" s="299">
        <v>1</v>
      </c>
      <c r="K11" s="299">
        <v>2</v>
      </c>
      <c r="L11" s="299">
        <v>3</v>
      </c>
      <c r="M11" s="300">
        <v>4</v>
      </c>
      <c r="N11" s="299">
        <v>5</v>
      </c>
      <c r="O11" s="298"/>
      <c r="P11" s="298"/>
      <c r="Q11" s="282"/>
      <c r="R11" s="282"/>
      <c r="S11" s="282"/>
      <c r="T11" s="282"/>
      <c r="U11" s="282"/>
      <c r="V11" s="282"/>
      <c r="W11" s="282"/>
    </row>
    <row r="12" spans="1:23" x14ac:dyDescent="0.25">
      <c r="A12" s="279">
        <v>1</v>
      </c>
      <c r="B12" s="280" t="e">
        <f>'Renewal Tool'!B14*(1+'Renewal Tool'!F11)</f>
        <v>#VALUE!</v>
      </c>
      <c r="C12" s="159"/>
      <c r="D12" s="301" t="e">
        <f>IF(B12="","",IF(SUM(J12:N12)&gt;C12,SUM(J12:N12),C12))</f>
        <v>#VALUE!</v>
      </c>
      <c r="E12" s="302" t="str">
        <f t="shared" ref="E12:E30" si="0">IF($C$5="","",IF(B12="","",IF($C$33=0,IF(SUM(J12:N12)&gt;C12,SUM(J12:N12)-C12,0),$C$34+IF(SUM(J12:N12)&gt;C12,SUM(J12:N12)-C12,0))))</f>
        <v/>
      </c>
      <c r="F12" s="281" t="e">
        <f>IF(B12="","",IF(B12=0,"",IF(E12="","",E12/B12)))</f>
        <v>#VALUE!</v>
      </c>
      <c r="H12" s="298"/>
      <c r="I12" s="298"/>
      <c r="J12" s="295" t="e">
        <f t="shared" ref="J12:J32" si="1">IF(B12="","",IF(B12&gt;$C$5,$E$5,(B12-$B$5)*$D$5))</f>
        <v>#VALUE!</v>
      </c>
      <c r="K12" s="295" t="e">
        <f>IF(B12="","",IF($C$6="",IF($B$6="",0,IF(B12&lt;$B$6,0,(B12-$B$6)*$D$6)),IF(B12&lt;$B$6,0,IF(B12&gt;$C$6,$E$6,(B12-$B$6)*$D$6))))</f>
        <v>#VALUE!</v>
      </c>
      <c r="L12" s="295" t="e">
        <f>IF(B12="","",IF($B$7="",0,IF($C$7="",IF(B12&lt;$B$7,0,(B12-$B$7)*$D$7),IF(B12&lt;$B$7,0,IF(B12&gt;$C$7,$E$7,(B12-$B$7)*$D$7)))))</f>
        <v>#VALUE!</v>
      </c>
      <c r="M12" s="295" t="e">
        <f>IF(B12="","",IF($B$8="",0,IF($C$8="",IF(B12&lt;$B$8,0,(B12-$B$8))*$D$8,IF(B12&lt;$B$8,0,IF(B12&gt;$C$8,$E$8,(B12-$B$8)*$D$8)))))</f>
        <v>#VALUE!</v>
      </c>
      <c r="N12" s="295" t="e">
        <f t="shared" ref="N12:N32" si="2">IF(B12="","",IF($B$9="",0,IF(B12&gt;$B$9,(B12-$B$9)*$D$9,)))</f>
        <v>#VALUE!</v>
      </c>
      <c r="O12" s="298"/>
      <c r="P12" s="298"/>
      <c r="Q12" s="282"/>
      <c r="R12" s="282"/>
      <c r="S12" s="282"/>
      <c r="T12" s="282"/>
      <c r="U12" s="282"/>
      <c r="V12" s="282"/>
      <c r="W12" s="282"/>
    </row>
    <row r="13" spans="1:23" x14ac:dyDescent="0.25">
      <c r="A13" s="279">
        <v>2</v>
      </c>
      <c r="B13" s="280" t="str">
        <f>IF('Renewal Tool'!F12="","",B12*(1+'Renewal Tool'!F12))</f>
        <v/>
      </c>
      <c r="C13" s="159"/>
      <c r="D13" s="301" t="str">
        <f t="shared" ref="D13:D31" si="3">IF(B13="","",IF(SUM(J13:N13)&gt;C13,SUM(J13:N13),C13))</f>
        <v/>
      </c>
      <c r="E13" s="302" t="str">
        <f t="shared" si="0"/>
        <v/>
      </c>
      <c r="F13" s="281" t="str">
        <f t="shared" ref="F13:F31" si="4">IF(B13="","",IF(B13=0,"",IF(E13="","",E13/B13)))</f>
        <v/>
      </c>
      <c r="H13" s="298"/>
      <c r="I13" s="298"/>
      <c r="J13" s="295" t="str">
        <f t="shared" si="1"/>
        <v/>
      </c>
      <c r="K13" s="295" t="str">
        <f t="shared" ref="K13:K32" si="5">IF(B13="","",IF($C$6="",IF($B$6="",0,IF(B13&lt;$B$6,0,(B13-$B$6)*$D$6)),IF(B13&lt;$B$6,0,IF(B13&gt;$C$6,$E$6,(B13-$B$6)*$D$6))))</f>
        <v/>
      </c>
      <c r="L13" s="295" t="str">
        <f t="shared" ref="L13:L32" si="6">IF(B13="","",IF($B$7="",0,IF($C$7="",IF(B13&lt;$B$7,0,(B13-$B$7)*$D$7),IF(B13&lt;$B$7,0,IF(B13&gt;$C$7,$E$7,(B13-$B$7)*$D$7)))))</f>
        <v/>
      </c>
      <c r="M13" s="295" t="str">
        <f t="shared" ref="M13:M32" si="7">IF(B13="","",IF($B$8="",0,IF($C$8="",IF(B13&lt;$B$8,0,(B13-$B$8))*$D$8,IF(B13&lt;$B$8,0,IF(B13&gt;$C$8,$E$8,(B13-$B$8)*$D$8)))))</f>
        <v/>
      </c>
      <c r="N13" s="295" t="str">
        <f t="shared" si="2"/>
        <v/>
      </c>
      <c r="O13" s="298"/>
      <c r="P13" s="298"/>
      <c r="Q13" s="282"/>
      <c r="R13" s="282"/>
      <c r="S13" s="282"/>
      <c r="T13" s="282"/>
      <c r="U13" s="282"/>
      <c r="V13" s="282"/>
      <c r="W13" s="282"/>
    </row>
    <row r="14" spans="1:23" x14ac:dyDescent="0.25">
      <c r="A14" s="279">
        <v>3</v>
      </c>
      <c r="B14" s="280" t="str">
        <f>IF('Renewal Tool'!F13="","",B13*(1+'Renewal Tool'!F13))</f>
        <v/>
      </c>
      <c r="C14" s="159"/>
      <c r="D14" s="301" t="str">
        <f t="shared" si="3"/>
        <v/>
      </c>
      <c r="E14" s="302" t="str">
        <f t="shared" si="0"/>
        <v/>
      </c>
      <c r="F14" s="281" t="str">
        <f t="shared" si="4"/>
        <v/>
      </c>
      <c r="H14" s="298"/>
      <c r="I14" s="298"/>
      <c r="J14" s="295" t="str">
        <f t="shared" si="1"/>
        <v/>
      </c>
      <c r="K14" s="295" t="str">
        <f t="shared" si="5"/>
        <v/>
      </c>
      <c r="L14" s="295" t="str">
        <f t="shared" si="6"/>
        <v/>
      </c>
      <c r="M14" s="295" t="str">
        <f t="shared" si="7"/>
        <v/>
      </c>
      <c r="N14" s="295" t="str">
        <f t="shared" si="2"/>
        <v/>
      </c>
      <c r="O14" s="298"/>
      <c r="P14" s="298"/>
      <c r="Q14" s="282"/>
      <c r="R14" s="282"/>
      <c r="S14" s="282"/>
      <c r="T14" s="282"/>
      <c r="U14" s="282"/>
      <c r="V14" s="282"/>
      <c r="W14" s="282"/>
    </row>
    <row r="15" spans="1:23" x14ac:dyDescent="0.25">
      <c r="A15" s="279">
        <v>4</v>
      </c>
      <c r="B15" s="280" t="str">
        <f>IF('Renewal Tool'!F14="","",B14*(1+'Renewal Tool'!F14))</f>
        <v/>
      </c>
      <c r="C15" s="159"/>
      <c r="D15" s="301" t="str">
        <f t="shared" si="3"/>
        <v/>
      </c>
      <c r="E15" s="302" t="str">
        <f t="shared" si="0"/>
        <v/>
      </c>
      <c r="F15" s="281" t="str">
        <f t="shared" si="4"/>
        <v/>
      </c>
      <c r="H15" s="298"/>
      <c r="I15" s="298"/>
      <c r="J15" s="295" t="str">
        <f t="shared" si="1"/>
        <v/>
      </c>
      <c r="K15" s="295" t="str">
        <f t="shared" si="5"/>
        <v/>
      </c>
      <c r="L15" s="295" t="str">
        <f t="shared" si="6"/>
        <v/>
      </c>
      <c r="M15" s="295" t="str">
        <f t="shared" si="7"/>
        <v/>
      </c>
      <c r="N15" s="295" t="str">
        <f t="shared" si="2"/>
        <v/>
      </c>
      <c r="O15" s="298"/>
      <c r="P15" s="298"/>
      <c r="Q15" s="282"/>
      <c r="R15" s="282"/>
      <c r="S15" s="282"/>
      <c r="T15" s="282"/>
      <c r="U15" s="282"/>
      <c r="V15" s="282"/>
      <c r="W15" s="282"/>
    </row>
    <row r="16" spans="1:23" x14ac:dyDescent="0.25">
      <c r="A16" s="279">
        <v>5</v>
      </c>
      <c r="B16" s="280" t="str">
        <f>IF('Renewal Tool'!F15="","",B15*(1+'Renewal Tool'!F15))</f>
        <v/>
      </c>
      <c r="C16" s="159"/>
      <c r="D16" s="301" t="str">
        <f t="shared" si="3"/>
        <v/>
      </c>
      <c r="E16" s="302" t="str">
        <f t="shared" si="0"/>
        <v/>
      </c>
      <c r="F16" s="281" t="str">
        <f t="shared" si="4"/>
        <v/>
      </c>
      <c r="H16" s="298"/>
      <c r="I16" s="298"/>
      <c r="J16" s="295" t="str">
        <f t="shared" si="1"/>
        <v/>
      </c>
      <c r="K16" s="295" t="str">
        <f t="shared" si="5"/>
        <v/>
      </c>
      <c r="L16" s="295" t="str">
        <f t="shared" si="6"/>
        <v/>
      </c>
      <c r="M16" s="295" t="str">
        <f t="shared" si="7"/>
        <v/>
      </c>
      <c r="N16" s="295" t="str">
        <f t="shared" si="2"/>
        <v/>
      </c>
      <c r="O16" s="298"/>
      <c r="P16" s="298"/>
      <c r="Q16" s="282"/>
      <c r="R16" s="282"/>
      <c r="S16" s="282"/>
      <c r="T16" s="282"/>
      <c r="U16" s="282"/>
      <c r="V16" s="282"/>
      <c r="W16" s="282"/>
    </row>
    <row r="17" spans="1:16" x14ac:dyDescent="0.25">
      <c r="A17" s="279">
        <v>6</v>
      </c>
      <c r="B17" s="280" t="str">
        <f>IF('Renewal Tool'!F16="","",B16*(1+'Renewal Tool'!F16))</f>
        <v/>
      </c>
      <c r="C17" s="159"/>
      <c r="D17" s="301" t="str">
        <f t="shared" si="3"/>
        <v/>
      </c>
      <c r="E17" s="302" t="str">
        <f t="shared" si="0"/>
        <v/>
      </c>
      <c r="F17" s="281" t="str">
        <f t="shared" si="4"/>
        <v/>
      </c>
      <c r="H17" s="298"/>
      <c r="I17" s="298"/>
      <c r="J17" s="295" t="str">
        <f t="shared" si="1"/>
        <v/>
      </c>
      <c r="K17" s="295" t="str">
        <f t="shared" si="5"/>
        <v/>
      </c>
      <c r="L17" s="295" t="str">
        <f t="shared" si="6"/>
        <v/>
      </c>
      <c r="M17" s="295" t="str">
        <f t="shared" si="7"/>
        <v/>
      </c>
      <c r="N17" s="295" t="str">
        <f t="shared" si="2"/>
        <v/>
      </c>
      <c r="O17" s="298"/>
      <c r="P17" s="298"/>
    </row>
    <row r="18" spans="1:16" x14ac:dyDescent="0.25">
      <c r="A18" s="279">
        <v>7</v>
      </c>
      <c r="B18" s="280" t="str">
        <f>IF('Renewal Tool'!F17="","",B17*(1+'Renewal Tool'!F17))</f>
        <v/>
      </c>
      <c r="C18" s="159"/>
      <c r="D18" s="301" t="str">
        <f t="shared" si="3"/>
        <v/>
      </c>
      <c r="E18" s="302" t="str">
        <f t="shared" si="0"/>
        <v/>
      </c>
      <c r="F18" s="281" t="str">
        <f t="shared" si="4"/>
        <v/>
      </c>
      <c r="H18" s="298"/>
      <c r="I18" s="298"/>
      <c r="J18" s="295" t="str">
        <f t="shared" si="1"/>
        <v/>
      </c>
      <c r="K18" s="295" t="str">
        <f t="shared" si="5"/>
        <v/>
      </c>
      <c r="L18" s="295" t="str">
        <f t="shared" si="6"/>
        <v/>
      </c>
      <c r="M18" s="295" t="str">
        <f t="shared" si="7"/>
        <v/>
      </c>
      <c r="N18" s="295" t="str">
        <f t="shared" si="2"/>
        <v/>
      </c>
      <c r="O18" s="298"/>
      <c r="P18" s="298"/>
    </row>
    <row r="19" spans="1:16" x14ac:dyDescent="0.25">
      <c r="A19" s="279">
        <v>8</v>
      </c>
      <c r="B19" s="280" t="str">
        <f>IF('Renewal Tool'!F18="","",B18*(1+'Renewal Tool'!F18))</f>
        <v/>
      </c>
      <c r="C19" s="159"/>
      <c r="D19" s="301" t="str">
        <f t="shared" si="3"/>
        <v/>
      </c>
      <c r="E19" s="302" t="str">
        <f t="shared" si="0"/>
        <v/>
      </c>
      <c r="F19" s="281" t="str">
        <f t="shared" si="4"/>
        <v/>
      </c>
      <c r="H19" s="298"/>
      <c r="I19" s="298"/>
      <c r="J19" s="295" t="str">
        <f t="shared" si="1"/>
        <v/>
      </c>
      <c r="K19" s="295" t="str">
        <f t="shared" si="5"/>
        <v/>
      </c>
      <c r="L19" s="295" t="str">
        <f t="shared" si="6"/>
        <v/>
      </c>
      <c r="M19" s="295" t="str">
        <f t="shared" si="7"/>
        <v/>
      </c>
      <c r="N19" s="295" t="str">
        <f t="shared" si="2"/>
        <v/>
      </c>
      <c r="O19" s="298"/>
      <c r="P19" s="298"/>
    </row>
    <row r="20" spans="1:16" x14ac:dyDescent="0.25">
      <c r="A20" s="279">
        <v>9</v>
      </c>
      <c r="B20" s="280" t="str">
        <f>IF('Renewal Tool'!F19="","",B19*(1+'Renewal Tool'!F19))</f>
        <v/>
      </c>
      <c r="C20" s="159"/>
      <c r="D20" s="301" t="str">
        <f t="shared" si="3"/>
        <v/>
      </c>
      <c r="E20" s="302" t="str">
        <f t="shared" si="0"/>
        <v/>
      </c>
      <c r="F20" s="281" t="str">
        <f t="shared" si="4"/>
        <v/>
      </c>
      <c r="H20" s="298"/>
      <c r="I20" s="298"/>
      <c r="J20" s="295" t="str">
        <f t="shared" si="1"/>
        <v/>
      </c>
      <c r="K20" s="295" t="str">
        <f t="shared" si="5"/>
        <v/>
      </c>
      <c r="L20" s="295" t="str">
        <f t="shared" si="6"/>
        <v/>
      </c>
      <c r="M20" s="295" t="str">
        <f t="shared" si="7"/>
        <v/>
      </c>
      <c r="N20" s="295" t="str">
        <f t="shared" si="2"/>
        <v/>
      </c>
      <c r="O20" s="298"/>
      <c r="P20" s="298"/>
    </row>
    <row r="21" spans="1:16" x14ac:dyDescent="0.25">
      <c r="A21" s="279">
        <v>10</v>
      </c>
      <c r="B21" s="280" t="str">
        <f>IF('Renewal Tool'!F20="","",B20*(1+'Renewal Tool'!F20))</f>
        <v/>
      </c>
      <c r="C21" s="159"/>
      <c r="D21" s="301" t="str">
        <f t="shared" si="3"/>
        <v/>
      </c>
      <c r="E21" s="302" t="str">
        <f t="shared" si="0"/>
        <v/>
      </c>
      <c r="F21" s="281" t="str">
        <f t="shared" si="4"/>
        <v/>
      </c>
      <c r="H21" s="298"/>
      <c r="I21" s="298"/>
      <c r="J21" s="295" t="str">
        <f t="shared" si="1"/>
        <v/>
      </c>
      <c r="K21" s="295" t="str">
        <f t="shared" si="5"/>
        <v/>
      </c>
      <c r="L21" s="295" t="str">
        <f t="shared" si="6"/>
        <v/>
      </c>
      <c r="M21" s="295" t="str">
        <f t="shared" si="7"/>
        <v/>
      </c>
      <c r="N21" s="295" t="str">
        <f t="shared" si="2"/>
        <v/>
      </c>
      <c r="O21" s="298"/>
      <c r="P21" s="298"/>
    </row>
    <row r="22" spans="1:16" x14ac:dyDescent="0.25">
      <c r="A22" s="279">
        <v>11</v>
      </c>
      <c r="B22" s="280" t="str">
        <f>IF('Renewal Tool'!F21="","",B21*(1+'Renewal Tool'!F21))</f>
        <v/>
      </c>
      <c r="C22" s="159"/>
      <c r="D22" s="301" t="str">
        <f t="shared" si="3"/>
        <v/>
      </c>
      <c r="E22" s="302" t="str">
        <f t="shared" si="0"/>
        <v/>
      </c>
      <c r="F22" s="281" t="str">
        <f t="shared" si="4"/>
        <v/>
      </c>
      <c r="H22" s="298"/>
      <c r="I22" s="298"/>
      <c r="J22" s="295" t="str">
        <f t="shared" si="1"/>
        <v/>
      </c>
      <c r="K22" s="295" t="str">
        <f t="shared" si="5"/>
        <v/>
      </c>
      <c r="L22" s="295" t="str">
        <f t="shared" si="6"/>
        <v/>
      </c>
      <c r="M22" s="295" t="str">
        <f t="shared" si="7"/>
        <v/>
      </c>
      <c r="N22" s="295" t="str">
        <f t="shared" si="2"/>
        <v/>
      </c>
      <c r="O22" s="298"/>
      <c r="P22" s="298"/>
    </row>
    <row r="23" spans="1:16" x14ac:dyDescent="0.25">
      <c r="A23" s="279">
        <v>12</v>
      </c>
      <c r="B23" s="280" t="str">
        <f>IF('Renewal Tool'!F22="","",B22*(1+'Renewal Tool'!F22))</f>
        <v/>
      </c>
      <c r="C23" s="159"/>
      <c r="D23" s="301" t="str">
        <f t="shared" si="3"/>
        <v/>
      </c>
      <c r="E23" s="302" t="str">
        <f t="shared" si="0"/>
        <v/>
      </c>
      <c r="F23" s="281" t="str">
        <f t="shared" si="4"/>
        <v/>
      </c>
      <c r="H23" s="298"/>
      <c r="I23" s="298"/>
      <c r="J23" s="295" t="str">
        <f t="shared" si="1"/>
        <v/>
      </c>
      <c r="K23" s="295" t="str">
        <f t="shared" si="5"/>
        <v/>
      </c>
      <c r="L23" s="295" t="str">
        <f t="shared" si="6"/>
        <v/>
      </c>
      <c r="M23" s="295" t="str">
        <f t="shared" si="7"/>
        <v/>
      </c>
      <c r="N23" s="295" t="str">
        <f t="shared" si="2"/>
        <v/>
      </c>
      <c r="O23" s="298"/>
      <c r="P23" s="298"/>
    </row>
    <row r="24" spans="1:16" x14ac:dyDescent="0.25">
      <c r="A24" s="279">
        <v>13</v>
      </c>
      <c r="B24" s="280" t="str">
        <f>IF('Renewal Tool'!F23="","",B23*(1+'Renewal Tool'!F23))</f>
        <v/>
      </c>
      <c r="C24" s="159"/>
      <c r="D24" s="301" t="str">
        <f t="shared" si="3"/>
        <v/>
      </c>
      <c r="E24" s="302" t="str">
        <f t="shared" si="0"/>
        <v/>
      </c>
      <c r="F24" s="281" t="str">
        <f t="shared" si="4"/>
        <v/>
      </c>
      <c r="H24" s="298"/>
      <c r="I24" s="298"/>
      <c r="J24" s="295" t="str">
        <f t="shared" si="1"/>
        <v/>
      </c>
      <c r="K24" s="295" t="str">
        <f t="shared" si="5"/>
        <v/>
      </c>
      <c r="L24" s="295" t="str">
        <f t="shared" si="6"/>
        <v/>
      </c>
      <c r="M24" s="295" t="str">
        <f t="shared" si="7"/>
        <v/>
      </c>
      <c r="N24" s="295" t="str">
        <f t="shared" si="2"/>
        <v/>
      </c>
      <c r="O24" s="298"/>
      <c r="P24" s="298"/>
    </row>
    <row r="25" spans="1:16" x14ac:dyDescent="0.25">
      <c r="A25" s="279">
        <v>14</v>
      </c>
      <c r="B25" s="280" t="str">
        <f>IF('Renewal Tool'!F24="","",B24*(1+'Renewal Tool'!F24))</f>
        <v/>
      </c>
      <c r="C25" s="159"/>
      <c r="D25" s="301" t="str">
        <f t="shared" si="3"/>
        <v/>
      </c>
      <c r="E25" s="302" t="str">
        <f t="shared" si="0"/>
        <v/>
      </c>
      <c r="F25" s="281" t="str">
        <f t="shared" si="4"/>
        <v/>
      </c>
      <c r="H25" s="298"/>
      <c r="I25" s="298"/>
      <c r="J25" s="295" t="str">
        <f t="shared" si="1"/>
        <v/>
      </c>
      <c r="K25" s="295" t="str">
        <f t="shared" si="5"/>
        <v/>
      </c>
      <c r="L25" s="295" t="str">
        <f t="shared" si="6"/>
        <v/>
      </c>
      <c r="M25" s="295" t="str">
        <f t="shared" si="7"/>
        <v/>
      </c>
      <c r="N25" s="295" t="str">
        <f t="shared" si="2"/>
        <v/>
      </c>
      <c r="O25" s="298"/>
      <c r="P25" s="298"/>
    </row>
    <row r="26" spans="1:16" x14ac:dyDescent="0.25">
      <c r="A26" s="279">
        <v>15</v>
      </c>
      <c r="B26" s="280" t="str">
        <f>IF('Renewal Tool'!F25="","",B25*(1+'Renewal Tool'!F25))</f>
        <v/>
      </c>
      <c r="C26" s="159"/>
      <c r="D26" s="301" t="str">
        <f t="shared" si="3"/>
        <v/>
      </c>
      <c r="E26" s="302" t="str">
        <f t="shared" si="0"/>
        <v/>
      </c>
      <c r="F26" s="281" t="str">
        <f t="shared" si="4"/>
        <v/>
      </c>
      <c r="H26" s="298"/>
      <c r="I26" s="298"/>
      <c r="J26" s="295" t="str">
        <f t="shared" si="1"/>
        <v/>
      </c>
      <c r="K26" s="295" t="str">
        <f t="shared" si="5"/>
        <v/>
      </c>
      <c r="L26" s="295" t="str">
        <f t="shared" si="6"/>
        <v/>
      </c>
      <c r="M26" s="295" t="str">
        <f t="shared" si="7"/>
        <v/>
      </c>
      <c r="N26" s="295" t="str">
        <f t="shared" si="2"/>
        <v/>
      </c>
      <c r="O26" s="298"/>
      <c r="P26" s="298"/>
    </row>
    <row r="27" spans="1:16" x14ac:dyDescent="0.25">
      <c r="A27" s="279">
        <v>16</v>
      </c>
      <c r="B27" s="280" t="str">
        <f>IF('Renewal Tool'!F26="","",B26*(1+'Renewal Tool'!F26))</f>
        <v/>
      </c>
      <c r="C27" s="159"/>
      <c r="D27" s="301" t="str">
        <f t="shared" si="3"/>
        <v/>
      </c>
      <c r="E27" s="302" t="str">
        <f t="shared" si="0"/>
        <v/>
      </c>
      <c r="F27" s="281" t="str">
        <f t="shared" si="4"/>
        <v/>
      </c>
      <c r="H27" s="298"/>
      <c r="I27" s="298"/>
      <c r="J27" s="295" t="str">
        <f t="shared" si="1"/>
        <v/>
      </c>
      <c r="K27" s="295" t="str">
        <f t="shared" si="5"/>
        <v/>
      </c>
      <c r="L27" s="295" t="str">
        <f t="shared" si="6"/>
        <v/>
      </c>
      <c r="M27" s="295" t="str">
        <f t="shared" si="7"/>
        <v/>
      </c>
      <c r="N27" s="295" t="str">
        <f t="shared" si="2"/>
        <v/>
      </c>
      <c r="O27" s="298"/>
      <c r="P27" s="298"/>
    </row>
    <row r="28" spans="1:16" x14ac:dyDescent="0.25">
      <c r="A28" s="279">
        <v>17</v>
      </c>
      <c r="B28" s="280" t="str">
        <f>IF('Renewal Tool'!F27="","",B27*(1+'Renewal Tool'!F27))</f>
        <v/>
      </c>
      <c r="C28" s="159"/>
      <c r="D28" s="301" t="str">
        <f t="shared" si="3"/>
        <v/>
      </c>
      <c r="E28" s="302" t="str">
        <f t="shared" si="0"/>
        <v/>
      </c>
      <c r="F28" s="281" t="str">
        <f t="shared" si="4"/>
        <v/>
      </c>
      <c r="H28" s="298"/>
      <c r="I28" s="298"/>
      <c r="J28" s="295" t="str">
        <f t="shared" si="1"/>
        <v/>
      </c>
      <c r="K28" s="295" t="str">
        <f t="shared" si="5"/>
        <v/>
      </c>
      <c r="L28" s="295" t="str">
        <f t="shared" si="6"/>
        <v/>
      </c>
      <c r="M28" s="295" t="str">
        <f t="shared" si="7"/>
        <v/>
      </c>
      <c r="N28" s="295" t="str">
        <f t="shared" si="2"/>
        <v/>
      </c>
      <c r="O28" s="298"/>
      <c r="P28" s="298"/>
    </row>
    <row r="29" spans="1:16" x14ac:dyDescent="0.25">
      <c r="A29" s="279">
        <v>18</v>
      </c>
      <c r="B29" s="280" t="str">
        <f>IF('Renewal Tool'!F28="","",B28*(1+'Renewal Tool'!F28))</f>
        <v/>
      </c>
      <c r="C29" s="159"/>
      <c r="D29" s="301" t="str">
        <f t="shared" si="3"/>
        <v/>
      </c>
      <c r="E29" s="302" t="str">
        <f t="shared" si="0"/>
        <v/>
      </c>
      <c r="F29" s="281" t="str">
        <f>IF(B29="","",IF(B29=0,"",IF(E29="","",E29/B29)))</f>
        <v/>
      </c>
      <c r="H29" s="298"/>
      <c r="I29" s="298"/>
      <c r="J29" s="295" t="str">
        <f t="shared" si="1"/>
        <v/>
      </c>
      <c r="K29" s="295" t="str">
        <f t="shared" si="5"/>
        <v/>
      </c>
      <c r="L29" s="295" t="str">
        <f t="shared" si="6"/>
        <v/>
      </c>
      <c r="M29" s="295" t="str">
        <f t="shared" si="7"/>
        <v/>
      </c>
      <c r="N29" s="295" t="str">
        <f t="shared" si="2"/>
        <v/>
      </c>
      <c r="O29" s="298"/>
      <c r="P29" s="298"/>
    </row>
    <row r="30" spans="1:16" x14ac:dyDescent="0.25">
      <c r="A30" s="279">
        <v>19</v>
      </c>
      <c r="B30" s="280" t="str">
        <f>IF('Renewal Tool'!F29="","",B29*(1+'Renewal Tool'!F29))</f>
        <v/>
      </c>
      <c r="C30" s="159"/>
      <c r="D30" s="301" t="str">
        <f t="shared" si="3"/>
        <v/>
      </c>
      <c r="E30" s="302" t="str">
        <f t="shared" si="0"/>
        <v/>
      </c>
      <c r="F30" s="281" t="str">
        <f t="shared" si="4"/>
        <v/>
      </c>
      <c r="H30" s="301"/>
      <c r="I30" s="301"/>
      <c r="J30" s="293" t="str">
        <f t="shared" si="1"/>
        <v/>
      </c>
      <c r="K30" s="293" t="str">
        <f t="shared" si="5"/>
        <v/>
      </c>
      <c r="L30" s="293" t="str">
        <f t="shared" si="6"/>
        <v/>
      </c>
      <c r="M30" s="293" t="str">
        <f t="shared" si="7"/>
        <v/>
      </c>
      <c r="N30" s="293" t="str">
        <f t="shared" si="2"/>
        <v/>
      </c>
    </row>
    <row r="31" spans="1:16" x14ac:dyDescent="0.25">
      <c r="A31" s="279">
        <v>20</v>
      </c>
      <c r="B31" s="280" t="str">
        <f>IF('Renewal Tool'!F30="","",B30*(1+'Renewal Tool'!F30))</f>
        <v/>
      </c>
      <c r="C31" s="159"/>
      <c r="D31" s="301" t="str">
        <f t="shared" si="3"/>
        <v/>
      </c>
      <c r="E31" s="302" t="str">
        <f>IF($C$5="","",IF(B31="","",IF($C$33=0,IF(SUM(J31:N31)&gt;C31,SUM(J31:N31)-C31,0),$C$34+IF(SUM(J31:N31)&gt;C31,SUM(J31:N31)-C31,0))))</f>
        <v/>
      </c>
      <c r="F31" s="281" t="str">
        <f t="shared" si="4"/>
        <v/>
      </c>
      <c r="H31" s="301"/>
      <c r="I31" s="301"/>
      <c r="J31" s="293" t="str">
        <f t="shared" si="1"/>
        <v/>
      </c>
      <c r="K31" s="293" t="str">
        <f t="shared" si="5"/>
        <v/>
      </c>
      <c r="L31" s="293" t="str">
        <f t="shared" si="6"/>
        <v/>
      </c>
      <c r="M31" s="293" t="str">
        <f t="shared" si="7"/>
        <v/>
      </c>
      <c r="N31" s="293" t="str">
        <f t="shared" si="2"/>
        <v/>
      </c>
    </row>
    <row r="32" spans="1:16" ht="15.75" x14ac:dyDescent="0.25">
      <c r="A32" s="303"/>
      <c r="B32" s="279"/>
      <c r="D32" s="294"/>
      <c r="E32" s="279"/>
      <c r="H32" s="291"/>
      <c r="I32" s="304"/>
      <c r="J32" s="293" t="str">
        <f t="shared" si="1"/>
        <v/>
      </c>
      <c r="K32" s="293" t="str">
        <f t="shared" si="5"/>
        <v/>
      </c>
      <c r="L32" s="293" t="str">
        <f t="shared" si="6"/>
        <v/>
      </c>
      <c r="M32" s="293" t="str">
        <f t="shared" si="7"/>
        <v/>
      </c>
      <c r="N32" s="293" t="str">
        <f t="shared" si="2"/>
        <v/>
      </c>
    </row>
    <row r="33" spans="1:9" ht="15.75" x14ac:dyDescent="0.25">
      <c r="A33" s="283" t="s">
        <v>62</v>
      </c>
      <c r="B33" s="284" t="e">
        <f>IF(SUM(B12:B31)=0,"",SUM(B12:B31))</f>
        <v>#VALUE!</v>
      </c>
      <c r="C33" s="284" t="str">
        <f>IF(SUM(C12:C31)=0,"",SUM(C12:C31))</f>
        <v/>
      </c>
      <c r="D33" s="284" t="e">
        <f>IF(SUM(D12:D31)=0,"",SUM(D12:D31))</f>
        <v>#VALUE!</v>
      </c>
      <c r="E33" s="284" t="str">
        <f>IF(SUM(E12:E31)=0,"",SUM(E12:E31))</f>
        <v/>
      </c>
      <c r="F33" s="285" t="str">
        <f>IF(E33="","",IF(B33="","",E33/B33))</f>
        <v/>
      </c>
      <c r="H33" s="291"/>
      <c r="I33" s="304"/>
    </row>
    <row r="34" spans="1:9" ht="15.75" x14ac:dyDescent="0.25">
      <c r="A34" s="287" t="s">
        <v>88</v>
      </c>
      <c r="B34" s="288" t="e">
        <f>IF(B33="","",AVERAGE(B12:B31))</f>
        <v>#VALUE!</v>
      </c>
      <c r="C34" s="288" t="str">
        <f>IF(C33="","",AVERAGE(C12:C31))</f>
        <v/>
      </c>
      <c r="D34" s="288" t="e">
        <f>IF(D33="","",AVERAGE(D12:D31))</f>
        <v>#VALUE!</v>
      </c>
      <c r="E34" s="288" t="str">
        <f>IF(E33="","",AVERAGE(E12:E31))</f>
        <v/>
      </c>
      <c r="F34" s="285" t="str">
        <f>IF(E34="","",IF(B34="","",E34/B34))</f>
        <v/>
      </c>
      <c r="H34" s="291"/>
      <c r="I34" s="304"/>
    </row>
    <row r="35" spans="1:9" ht="15.75" x14ac:dyDescent="0.25">
      <c r="A35" s="289" t="s">
        <v>89</v>
      </c>
      <c r="B35" s="305"/>
      <c r="C35" s="306"/>
      <c r="D35" s="290" t="e">
        <f>IF(D33="","",NPV(8%,D12:D31))</f>
        <v>#VALUE!</v>
      </c>
      <c r="E35" s="307"/>
      <c r="F35" s="308"/>
      <c r="H35" s="291"/>
      <c r="I35" s="304"/>
    </row>
    <row r="36" spans="1:9" ht="15.75" x14ac:dyDescent="0.25">
      <c r="B36" s="309"/>
      <c r="C36" s="309"/>
      <c r="D36" s="291"/>
      <c r="F36" s="291"/>
      <c r="G36" s="310"/>
      <c r="H36" s="291"/>
      <c r="I36" s="304"/>
    </row>
    <row r="37" spans="1:9" ht="15.75" x14ac:dyDescent="0.25">
      <c r="B37" s="309"/>
      <c r="C37" s="309"/>
      <c r="D37" s="309"/>
      <c r="E37" s="309"/>
      <c r="F37" s="309"/>
      <c r="G37" s="310"/>
      <c r="H37" s="291"/>
      <c r="I37" s="304"/>
    </row>
    <row r="38" spans="1:9" ht="15.75" x14ac:dyDescent="0.25">
      <c r="B38" s="309"/>
      <c r="C38" s="309"/>
      <c r="D38" s="291"/>
      <c r="F38" s="291"/>
      <c r="G38" s="310"/>
      <c r="H38" s="291"/>
      <c r="I38" s="304"/>
    </row>
    <row r="39" spans="1:9" ht="15.75" x14ac:dyDescent="0.25">
      <c r="B39" s="309"/>
      <c r="C39" s="309"/>
      <c r="D39" s="291"/>
      <c r="F39" s="291"/>
      <c r="G39" s="310"/>
      <c r="H39" s="291"/>
      <c r="I39" s="304"/>
    </row>
    <row r="40" spans="1:9" ht="15.75" x14ac:dyDescent="0.25">
      <c r="B40" s="309"/>
      <c r="C40" s="309"/>
      <c r="D40" s="291"/>
      <c r="F40" s="291"/>
      <c r="G40" s="310"/>
      <c r="H40" s="291"/>
      <c r="I40" s="304"/>
    </row>
    <row r="41" spans="1:9" ht="15.75" x14ac:dyDescent="0.25">
      <c r="B41" s="309"/>
      <c r="C41" s="309"/>
      <c r="D41" s="291"/>
      <c r="F41" s="291"/>
      <c r="G41" s="310"/>
      <c r="H41" s="291"/>
      <c r="I41" s="304"/>
    </row>
    <row r="42" spans="1:9" ht="15.75" x14ac:dyDescent="0.25">
      <c r="B42" s="309"/>
      <c r="C42" s="309"/>
      <c r="D42" s="291"/>
      <c r="F42" s="291"/>
      <c r="G42" s="310"/>
      <c r="H42" s="291"/>
      <c r="I42" s="304"/>
    </row>
    <row r="43" spans="1:9" ht="15.75" x14ac:dyDescent="0.25">
      <c r="B43" s="309"/>
      <c r="C43" s="309"/>
      <c r="D43" s="291"/>
      <c r="F43" s="291"/>
      <c r="G43" s="310"/>
      <c r="H43" s="291"/>
      <c r="I43" s="304"/>
    </row>
    <row r="44" spans="1:9" ht="15.75" x14ac:dyDescent="0.25">
      <c r="B44" s="309"/>
      <c r="C44" s="309"/>
      <c r="D44" s="291"/>
      <c r="F44" s="291"/>
      <c r="G44" s="310"/>
      <c r="H44" s="291"/>
      <c r="I44" s="304"/>
    </row>
    <row r="45" spans="1:9" ht="15.75" x14ac:dyDescent="0.25">
      <c r="B45" s="309"/>
      <c r="C45" s="309"/>
      <c r="D45" s="291"/>
      <c r="F45" s="291"/>
      <c r="G45" s="310"/>
      <c r="H45" s="291"/>
      <c r="I45" s="304"/>
    </row>
    <row r="46" spans="1:9" ht="15.75" x14ac:dyDescent="0.25">
      <c r="B46" s="309"/>
      <c r="C46" s="309"/>
      <c r="D46" s="291"/>
      <c r="F46" s="291"/>
      <c r="G46" s="310"/>
      <c r="H46" s="291"/>
      <c r="I46" s="304"/>
    </row>
    <row r="47" spans="1:9" ht="15.75" x14ac:dyDescent="0.25">
      <c r="B47" s="309"/>
      <c r="C47" s="309"/>
      <c r="D47" s="291"/>
      <c r="F47" s="291"/>
      <c r="G47" s="310"/>
      <c r="H47" s="291"/>
      <c r="I47" s="304"/>
    </row>
    <row r="48" spans="1:9" ht="15.75" x14ac:dyDescent="0.25">
      <c r="B48" s="309"/>
      <c r="C48" s="309"/>
      <c r="D48" s="291"/>
      <c r="F48" s="291"/>
      <c r="G48" s="310"/>
      <c r="H48" s="291"/>
      <c r="I48" s="304"/>
    </row>
    <row r="49" spans="2:9" ht="15.75" x14ac:dyDescent="0.25">
      <c r="B49" s="309"/>
      <c r="C49" s="309"/>
      <c r="D49" s="291"/>
      <c r="F49" s="291"/>
      <c r="G49" s="310"/>
      <c r="H49" s="291"/>
      <c r="I49" s="304"/>
    </row>
    <row r="50" spans="2:9" ht="15.75" x14ac:dyDescent="0.25">
      <c r="B50" s="309"/>
      <c r="C50" s="309"/>
      <c r="D50" s="291"/>
      <c r="F50" s="291"/>
      <c r="G50" s="310"/>
      <c r="H50" s="291"/>
      <c r="I50" s="304"/>
    </row>
    <row r="51" spans="2:9" ht="15.75" x14ac:dyDescent="0.25">
      <c r="B51" s="309"/>
      <c r="C51" s="309"/>
      <c r="D51" s="291"/>
      <c r="F51" s="291"/>
      <c r="G51" s="310"/>
      <c r="H51" s="291"/>
      <c r="I51" s="304"/>
    </row>
    <row r="52" spans="2:9" ht="15.75" x14ac:dyDescent="0.25">
      <c r="B52" s="309"/>
      <c r="C52" s="309"/>
      <c r="D52" s="291"/>
      <c r="F52" s="291"/>
      <c r="G52" s="310"/>
      <c r="H52" s="291"/>
      <c r="I52" s="304"/>
    </row>
  </sheetData>
  <sheetProtection algorithmName="SHA-512" hashValue="39cKNY4LtLx3/x2XG4GUv3Jiqb51JQP/Wa3hrSoDy4KCqwyDGQ+w0a7PP/9juvTdRQnu41Ind3JJzlHznBRjEA==" saltValue="Od9Uo8dC77dJR54v4cv4OQ==" spinCount="100000" sheet="1" objects="1" scenarios="1"/>
  <phoneticPr fontId="13" type="noConversion"/>
  <conditionalFormatting sqref="C12:C31">
    <cfRule type="expression" dxfId="21" priority="6">
      <formula>$C$3-A12&lt;0</formula>
    </cfRule>
    <cfRule type="expression" dxfId="20" priority="1">
      <formula>$D$3&lt;&gt;$E$3</formula>
    </cfRule>
  </conditionalFormatting>
  <conditionalFormatting sqref="B5:D9">
    <cfRule type="expression" dxfId="19" priority="3">
      <formula>$D$3&lt;&gt;$E$3</formula>
    </cfRule>
  </conditionalFormatting>
  <pageMargins left="0.5" right="0.5" top="0.5" bottom="0.25" header="0.3" footer="0.3"/>
  <pageSetup paperSize="9" scale="70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5" zoomScaleNormal="85" workbookViewId="0">
      <pane ySplit="4" topLeftCell="A5" activePane="bottomLeft" state="frozen"/>
      <selection activeCell="F20" sqref="F20"/>
      <selection pane="bottomLeft" activeCell="D5" sqref="D5"/>
    </sheetView>
  </sheetViews>
  <sheetFormatPr defaultRowHeight="15" x14ac:dyDescent="0.25"/>
  <cols>
    <col min="1" max="5" width="12" style="273" customWidth="1"/>
    <col min="6" max="7" width="9" style="273" customWidth="1"/>
    <col min="8" max="16384" width="9" style="273"/>
  </cols>
  <sheetData>
    <row r="1" spans="1:5" ht="8.25" customHeight="1" x14ac:dyDescent="0.25"/>
    <row r="2" spans="1:5" ht="18.75" x14ac:dyDescent="0.3">
      <c r="A2" s="274" t="s">
        <v>101</v>
      </c>
      <c r="D2" s="317"/>
    </row>
    <row r="3" spans="1:5" ht="15.75" x14ac:dyDescent="0.25">
      <c r="A3" s="275" t="s">
        <v>2</v>
      </c>
      <c r="C3" s="276" t="str">
        <f>'Renewal Tool'!B10</f>
        <v/>
      </c>
      <c r="D3" s="317" t="str">
        <f>'Renewal Tool'!G5</f>
        <v/>
      </c>
      <c r="E3" s="317">
        <v>6</v>
      </c>
    </row>
    <row r="4" spans="1:5" ht="45" x14ac:dyDescent="0.25">
      <c r="A4" s="277" t="s">
        <v>16</v>
      </c>
      <c r="B4" s="278" t="s">
        <v>83</v>
      </c>
      <c r="C4" s="278" t="s">
        <v>85</v>
      </c>
      <c r="D4" s="278" t="s">
        <v>86</v>
      </c>
      <c r="E4" s="278" t="s">
        <v>87</v>
      </c>
    </row>
    <row r="5" spans="1:5" x14ac:dyDescent="0.25">
      <c r="A5" s="279">
        <v>1</v>
      </c>
      <c r="B5" s="280" t="e">
        <f>'Renewal Tool'!B14*(1+'Renewal Tool'!F11)</f>
        <v>#VALUE!</v>
      </c>
      <c r="C5" s="159"/>
      <c r="D5" s="160"/>
      <c r="E5" s="281" t="e">
        <f>IF(B5="","",IF(C5="","",D5/B5))</f>
        <v>#VALUE!</v>
      </c>
    </row>
    <row r="6" spans="1:5" x14ac:dyDescent="0.25">
      <c r="A6" s="279">
        <v>2</v>
      </c>
      <c r="B6" s="280" t="str">
        <f>IF('Renewal Tool'!F12="","",B5*(1+'Renewal Tool'!F12))</f>
        <v/>
      </c>
      <c r="C6" s="159"/>
      <c r="D6" s="160"/>
      <c r="E6" s="281" t="str">
        <f t="shared" ref="E6:E24" si="0">IF(B6="","",IF(C6="","",D6/B6))</f>
        <v/>
      </c>
    </row>
    <row r="7" spans="1:5" x14ac:dyDescent="0.25">
      <c r="A7" s="279">
        <v>3</v>
      </c>
      <c r="B7" s="280" t="str">
        <f>IF('Renewal Tool'!F13="","",B6*(1+'Renewal Tool'!F13))</f>
        <v/>
      </c>
      <c r="C7" s="159"/>
      <c r="D7" s="160"/>
      <c r="E7" s="281" t="str">
        <f t="shared" si="0"/>
        <v/>
      </c>
    </row>
    <row r="8" spans="1:5" x14ac:dyDescent="0.25">
      <c r="A8" s="279">
        <v>4</v>
      </c>
      <c r="B8" s="280" t="str">
        <f>IF('Renewal Tool'!F14="","",B7*(1+'Renewal Tool'!F14))</f>
        <v/>
      </c>
      <c r="C8" s="159"/>
      <c r="D8" s="160"/>
      <c r="E8" s="281" t="str">
        <f t="shared" si="0"/>
        <v/>
      </c>
    </row>
    <row r="9" spans="1:5" x14ac:dyDescent="0.25">
      <c r="A9" s="279">
        <v>5</v>
      </c>
      <c r="B9" s="280" t="str">
        <f>IF('Renewal Tool'!F15="","",B8*(1+'Renewal Tool'!F15))</f>
        <v/>
      </c>
      <c r="C9" s="159"/>
      <c r="D9" s="160"/>
      <c r="E9" s="281" t="str">
        <f t="shared" si="0"/>
        <v/>
      </c>
    </row>
    <row r="10" spans="1:5" x14ac:dyDescent="0.25">
      <c r="A10" s="279">
        <v>6</v>
      </c>
      <c r="B10" s="280" t="str">
        <f>IF('Renewal Tool'!F16="","",B9*(1+'Renewal Tool'!F16))</f>
        <v/>
      </c>
      <c r="C10" s="159"/>
      <c r="D10" s="160"/>
      <c r="E10" s="281" t="str">
        <f t="shared" si="0"/>
        <v/>
      </c>
    </row>
    <row r="11" spans="1:5" x14ac:dyDescent="0.25">
      <c r="A11" s="279">
        <v>7</v>
      </c>
      <c r="B11" s="280" t="str">
        <f>IF('Renewal Tool'!F17="","",B10*(1+'Renewal Tool'!F17))</f>
        <v/>
      </c>
      <c r="C11" s="159"/>
      <c r="D11" s="160"/>
      <c r="E11" s="281" t="str">
        <f t="shared" si="0"/>
        <v/>
      </c>
    </row>
    <row r="12" spans="1:5" x14ac:dyDescent="0.25">
      <c r="A12" s="279">
        <v>8</v>
      </c>
      <c r="B12" s="280" t="str">
        <f>IF('Renewal Tool'!F18="","",B11*(1+'Renewal Tool'!F18))</f>
        <v/>
      </c>
      <c r="C12" s="159"/>
      <c r="D12" s="160"/>
      <c r="E12" s="281" t="str">
        <f t="shared" si="0"/>
        <v/>
      </c>
    </row>
    <row r="13" spans="1:5" x14ac:dyDescent="0.25">
      <c r="A13" s="279">
        <v>9</v>
      </c>
      <c r="B13" s="280" t="str">
        <f>IF('Renewal Tool'!F19="","",B12*(1+'Renewal Tool'!F19))</f>
        <v/>
      </c>
      <c r="C13" s="159"/>
      <c r="D13" s="160"/>
      <c r="E13" s="281" t="str">
        <f t="shared" si="0"/>
        <v/>
      </c>
    </row>
    <row r="14" spans="1:5" x14ac:dyDescent="0.25">
      <c r="A14" s="279">
        <v>10</v>
      </c>
      <c r="B14" s="280" t="str">
        <f>IF('Renewal Tool'!F20="","",B13*(1+'Renewal Tool'!F20))</f>
        <v/>
      </c>
      <c r="C14" s="159"/>
      <c r="D14" s="160"/>
      <c r="E14" s="281" t="str">
        <f t="shared" si="0"/>
        <v/>
      </c>
    </row>
    <row r="15" spans="1:5" x14ac:dyDescent="0.25">
      <c r="A15" s="279">
        <v>11</v>
      </c>
      <c r="B15" s="280" t="str">
        <f>IF('Renewal Tool'!F21="","",B14*(1+'Renewal Tool'!F21))</f>
        <v/>
      </c>
      <c r="C15" s="159"/>
      <c r="D15" s="160"/>
      <c r="E15" s="281" t="str">
        <f t="shared" si="0"/>
        <v/>
      </c>
    </row>
    <row r="16" spans="1:5" x14ac:dyDescent="0.25">
      <c r="A16" s="279">
        <v>12</v>
      </c>
      <c r="B16" s="280" t="str">
        <f>IF('Renewal Tool'!F22="","",B15*(1+'Renewal Tool'!F22))</f>
        <v/>
      </c>
      <c r="C16" s="159"/>
      <c r="D16" s="160"/>
      <c r="E16" s="281" t="str">
        <f t="shared" si="0"/>
        <v/>
      </c>
    </row>
    <row r="17" spans="1:7" x14ac:dyDescent="0.25">
      <c r="A17" s="279">
        <v>13</v>
      </c>
      <c r="B17" s="280" t="str">
        <f>IF('Renewal Tool'!F23="","",B16*(1+'Renewal Tool'!F23))</f>
        <v/>
      </c>
      <c r="C17" s="159"/>
      <c r="D17" s="160"/>
      <c r="E17" s="281" t="str">
        <f t="shared" si="0"/>
        <v/>
      </c>
    </row>
    <row r="18" spans="1:7" x14ac:dyDescent="0.25">
      <c r="A18" s="279">
        <v>14</v>
      </c>
      <c r="B18" s="280" t="str">
        <f>IF('Renewal Tool'!F24="","",B17*(1+'Renewal Tool'!F24))</f>
        <v/>
      </c>
      <c r="C18" s="159"/>
      <c r="D18" s="160"/>
      <c r="E18" s="281" t="str">
        <f t="shared" si="0"/>
        <v/>
      </c>
    </row>
    <row r="19" spans="1:7" x14ac:dyDescent="0.25">
      <c r="A19" s="279">
        <v>15</v>
      </c>
      <c r="B19" s="280" t="str">
        <f>IF('Renewal Tool'!F25="","",B18*(1+'Renewal Tool'!F25))</f>
        <v/>
      </c>
      <c r="C19" s="159"/>
      <c r="D19" s="160"/>
      <c r="E19" s="281" t="str">
        <f t="shared" si="0"/>
        <v/>
      </c>
    </row>
    <row r="20" spans="1:7" x14ac:dyDescent="0.25">
      <c r="A20" s="279">
        <v>16</v>
      </c>
      <c r="B20" s="280" t="str">
        <f>IF('Renewal Tool'!F26="","",B19*(1+'Renewal Tool'!F26))</f>
        <v/>
      </c>
      <c r="C20" s="159"/>
      <c r="D20" s="160"/>
      <c r="E20" s="281" t="str">
        <f t="shared" si="0"/>
        <v/>
      </c>
    </row>
    <row r="21" spans="1:7" x14ac:dyDescent="0.25">
      <c r="A21" s="279">
        <v>17</v>
      </c>
      <c r="B21" s="280" t="str">
        <f>IF('Renewal Tool'!F27="","",B20*(1+'Renewal Tool'!F27))</f>
        <v/>
      </c>
      <c r="C21" s="159"/>
      <c r="D21" s="160"/>
      <c r="E21" s="281" t="str">
        <f t="shared" si="0"/>
        <v/>
      </c>
    </row>
    <row r="22" spans="1:7" x14ac:dyDescent="0.25">
      <c r="A22" s="279">
        <v>18</v>
      </c>
      <c r="B22" s="280" t="str">
        <f>IF('Renewal Tool'!F28="","",B21*(1+'Renewal Tool'!F28))</f>
        <v/>
      </c>
      <c r="C22" s="159"/>
      <c r="D22" s="160"/>
      <c r="E22" s="281" t="str">
        <f t="shared" si="0"/>
        <v/>
      </c>
    </row>
    <row r="23" spans="1:7" x14ac:dyDescent="0.25">
      <c r="A23" s="279">
        <v>19</v>
      </c>
      <c r="B23" s="280" t="str">
        <f>IF('Renewal Tool'!F29="","",B22*(1+'Renewal Tool'!F29))</f>
        <v/>
      </c>
      <c r="C23" s="159"/>
      <c r="D23" s="160"/>
      <c r="E23" s="281" t="str">
        <f>IF(B23="","",IF(C23="","",D23/B23))</f>
        <v/>
      </c>
    </row>
    <row r="24" spans="1:7" x14ac:dyDescent="0.25">
      <c r="A24" s="279">
        <v>20</v>
      </c>
      <c r="B24" s="280" t="str">
        <f>IF('Renewal Tool'!F30="","",B23*(1+'Renewal Tool'!F30))</f>
        <v/>
      </c>
      <c r="C24" s="159"/>
      <c r="D24" s="160"/>
      <c r="E24" s="281" t="str">
        <f t="shared" si="0"/>
        <v/>
      </c>
    </row>
    <row r="25" spans="1:7" x14ac:dyDescent="0.25">
      <c r="A25" s="282"/>
      <c r="B25" s="279"/>
      <c r="C25" s="279"/>
      <c r="D25" s="279"/>
    </row>
    <row r="26" spans="1:7" x14ac:dyDescent="0.25">
      <c r="A26" s="283" t="s">
        <v>62</v>
      </c>
      <c r="B26" s="284" t="e">
        <f>IF(SUM(B5:B24)=0,"",SUM(B5:B24))</f>
        <v>#VALUE!</v>
      </c>
      <c r="C26" s="284" t="str">
        <f>IF(SUM(C5:C24)=0,"",SUM(C5:C24))</f>
        <v/>
      </c>
      <c r="D26" s="284" t="str">
        <f>IF(SUM(D5:D24)=0,"",SUM(D5:D24))</f>
        <v/>
      </c>
      <c r="E26" s="285" t="e">
        <f>IF(B26="","",IF(C26="","",D26/B26))</f>
        <v>#VALUE!</v>
      </c>
      <c r="G26" s="286"/>
    </row>
    <row r="27" spans="1:7" x14ac:dyDescent="0.25">
      <c r="A27" s="287" t="s">
        <v>88</v>
      </c>
      <c r="B27" s="288" t="e">
        <f>IF(B26="","",AVERAGE(B5:B24))</f>
        <v>#VALUE!</v>
      </c>
      <c r="C27" s="288" t="str">
        <f>IF(C26="","",AVERAGE(C5:C24))</f>
        <v/>
      </c>
      <c r="D27" s="288" t="str">
        <f>IF(D26="","",AVERAGE(D5:D24))</f>
        <v/>
      </c>
      <c r="E27" s="285" t="e">
        <f>IF(B27="","",IF(C27="","",D27/B27))</f>
        <v>#VALUE!</v>
      </c>
    </row>
    <row r="28" spans="1:7" x14ac:dyDescent="0.25">
      <c r="A28" s="289" t="s">
        <v>89</v>
      </c>
      <c r="B28" s="290"/>
      <c r="C28" s="290" t="str">
        <f>IF(C26="","",NPV(8%,C5:C24))</f>
        <v/>
      </c>
      <c r="D28" s="290"/>
      <c r="E28" s="290"/>
    </row>
  </sheetData>
  <sheetProtection algorithmName="SHA-512" hashValue="8RiPxA3d4uzePsm0WLS/QKhiBX3uolnllGbNhkFV2dLzntBknf5K9vh79ZPMBC0vEsw3AbwtwqNQj/nMgL5VsQ==" saltValue="n9UvY7CJNc517L/rb2PIaw==" spinCount="100000" sheet="1" objects="1" scenarios="1" autoFilter="0"/>
  <phoneticPr fontId="13" type="noConversion"/>
  <conditionalFormatting sqref="D5:D24">
    <cfRule type="expression" dxfId="18" priority="5">
      <formula>$C$3-A5&lt;0</formula>
    </cfRule>
  </conditionalFormatting>
  <conditionalFormatting sqref="C5:C24">
    <cfRule type="expression" dxfId="17" priority="3">
      <formula>$C$3-A5&lt;0</formula>
    </cfRule>
  </conditionalFormatting>
  <conditionalFormatting sqref="C5:D24">
    <cfRule type="expression" dxfId="16" priority="1">
      <formula>$D$3&lt;&gt;$E$3</formula>
    </cfRule>
  </conditionalFormatting>
  <pageMargins left="0.5" right="0.5" top="0.5" bottom="0.25" header="0.3" footer="0.3"/>
  <pageSetup paperSize="9" scale="70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83"/>
  <sheetViews>
    <sheetView showGridLines="0" zoomScale="85" zoomScaleNormal="85" workbookViewId="0">
      <pane xSplit="2" ySplit="6" topLeftCell="C7" activePane="bottomRight" state="frozen"/>
      <selection activeCell="F18" sqref="F18"/>
      <selection pane="topRight" activeCell="F18" sqref="F18"/>
      <selection pane="bottomLeft" activeCell="F18" sqref="F18"/>
      <selection pane="bottomRight" activeCell="E12" sqref="E12"/>
    </sheetView>
  </sheetViews>
  <sheetFormatPr defaultColWidth="23.625" defaultRowHeight="15" outlineLevelRow="1" x14ac:dyDescent="0.25"/>
  <cols>
    <col min="1" max="1" width="25.125" style="111" customWidth="1"/>
    <col min="2" max="24" width="8.875" style="111" customWidth="1"/>
    <col min="25" max="26" width="23.625" style="111" customWidth="1"/>
    <col min="27" max="16384" width="23.625" style="111"/>
  </cols>
  <sheetData>
    <row r="1" spans="1:27" x14ac:dyDescent="0.25">
      <c r="A1" s="331" t="s">
        <v>102</v>
      </c>
      <c r="B1" s="331"/>
      <c r="C1" s="331"/>
      <c r="D1" s="331"/>
      <c r="E1" s="331"/>
      <c r="F1" s="331"/>
      <c r="G1" s="331"/>
      <c r="H1" s="331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</row>
    <row r="2" spans="1:27" x14ac:dyDescent="0.25">
      <c r="A2" s="112" t="s">
        <v>103</v>
      </c>
      <c r="B2" s="113" t="str">
        <f>IF('Renewal Tool'!B5=0,"",'Renewal Tool'!B5)</f>
        <v/>
      </c>
      <c r="C2" s="113"/>
      <c r="D2" s="111" t="s">
        <v>104</v>
      </c>
      <c r="G2" s="114" t="str">
        <f>'Renewal Tool'!G6</f>
        <v/>
      </c>
      <c r="J2" s="327"/>
      <c r="K2" s="115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7"/>
    </row>
    <row r="3" spans="1:27" x14ac:dyDescent="0.25">
      <c r="A3" s="112" t="s">
        <v>105</v>
      </c>
      <c r="B3" s="113" t="str">
        <f>IF('Renewal Tool'!B6=0,"",'Renewal Tool'!B6)</f>
        <v/>
      </c>
      <c r="C3" s="113"/>
      <c r="J3" s="327"/>
      <c r="K3" s="115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7"/>
    </row>
    <row r="4" spans="1:27" x14ac:dyDescent="0.25">
      <c r="A4" s="112" t="s">
        <v>106</v>
      </c>
      <c r="B4" s="113" t="str">
        <f>IF('Renewal Tool'!B10=0,"",'Renewal Tool'!B10)</f>
        <v/>
      </c>
      <c r="C4" s="113"/>
      <c r="D4" s="115"/>
      <c r="E4" s="118"/>
      <c r="F4" s="119"/>
      <c r="G4" s="330"/>
      <c r="H4" s="330"/>
      <c r="J4" s="328"/>
      <c r="K4" s="115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7"/>
    </row>
    <row r="5" spans="1:27" x14ac:dyDescent="0.25">
      <c r="C5" s="113"/>
      <c r="D5" s="120"/>
      <c r="E5" s="120"/>
      <c r="F5" s="119"/>
      <c r="G5" s="119"/>
      <c r="H5" s="119"/>
      <c r="J5" s="328"/>
      <c r="K5" s="115"/>
      <c r="L5" s="116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17"/>
      <c r="Y5" s="113"/>
    </row>
    <row r="6" spans="1:27" s="122" customFormat="1" x14ac:dyDescent="0.25">
      <c r="B6" s="123" t="s">
        <v>107</v>
      </c>
      <c r="C6" s="113"/>
      <c r="D6" s="124">
        <v>1</v>
      </c>
      <c r="E6" s="124">
        <f t="shared" ref="E6:L6" si="0">D6+1</f>
        <v>2</v>
      </c>
      <c r="F6" s="124">
        <f t="shared" si="0"/>
        <v>3</v>
      </c>
      <c r="G6" s="124">
        <f t="shared" si="0"/>
        <v>4</v>
      </c>
      <c r="H6" s="124">
        <f t="shared" si="0"/>
        <v>5</v>
      </c>
      <c r="I6" s="124">
        <f t="shared" si="0"/>
        <v>6</v>
      </c>
      <c r="J6" s="124">
        <f t="shared" si="0"/>
        <v>7</v>
      </c>
      <c r="K6" s="124">
        <f t="shared" si="0"/>
        <v>8</v>
      </c>
      <c r="L6" s="124">
        <f t="shared" si="0"/>
        <v>9</v>
      </c>
      <c r="M6" s="124">
        <f>L6+1</f>
        <v>10</v>
      </c>
      <c r="N6" s="124">
        <f t="shared" ref="N6:W6" si="1">M6+1</f>
        <v>11</v>
      </c>
      <c r="O6" s="124">
        <f t="shared" si="1"/>
        <v>12</v>
      </c>
      <c r="P6" s="124">
        <f t="shared" si="1"/>
        <v>13</v>
      </c>
      <c r="Q6" s="124">
        <f t="shared" si="1"/>
        <v>14</v>
      </c>
      <c r="R6" s="124">
        <f t="shared" si="1"/>
        <v>15</v>
      </c>
      <c r="S6" s="124">
        <f t="shared" si="1"/>
        <v>16</v>
      </c>
      <c r="T6" s="124">
        <f t="shared" si="1"/>
        <v>17</v>
      </c>
      <c r="U6" s="124">
        <f t="shared" si="1"/>
        <v>18</v>
      </c>
      <c r="V6" s="124">
        <f t="shared" si="1"/>
        <v>19</v>
      </c>
      <c r="W6" s="124">
        <f t="shared" si="1"/>
        <v>20</v>
      </c>
      <c r="X6" s="125" t="str">
        <f>B4&amp;" Year Total"</f>
        <v xml:space="preserve"> Year Total</v>
      </c>
      <c r="Y6" s="126"/>
    </row>
    <row r="7" spans="1:27" x14ac:dyDescent="0.25">
      <c r="A7" s="111" t="s">
        <v>108</v>
      </c>
      <c r="B7" s="127" t="str">
        <f>'Renewal Tool'!B14</f>
        <v/>
      </c>
      <c r="C7" s="113"/>
      <c r="D7" s="128" t="e">
        <f>IF(D6&lt;=$B$4,B7*(1+D8),"")</f>
        <v>#VALUE!</v>
      </c>
      <c r="E7" s="128" t="e">
        <f t="shared" ref="E7:W7" si="2">IF(E6&lt;=$B$4,D7*(1+E8),"")</f>
        <v>#VALUE!</v>
      </c>
      <c r="F7" s="128" t="e">
        <f t="shared" si="2"/>
        <v>#VALUE!</v>
      </c>
      <c r="G7" s="128" t="e">
        <f t="shared" si="2"/>
        <v>#VALUE!</v>
      </c>
      <c r="H7" s="128" t="e">
        <f t="shared" si="2"/>
        <v>#VALUE!</v>
      </c>
      <c r="I7" s="128" t="e">
        <f t="shared" si="2"/>
        <v>#VALUE!</v>
      </c>
      <c r="J7" s="128" t="e">
        <f t="shared" si="2"/>
        <v>#VALUE!</v>
      </c>
      <c r="K7" s="128" t="e">
        <f t="shared" si="2"/>
        <v>#VALUE!</v>
      </c>
      <c r="L7" s="128" t="e">
        <f t="shared" si="2"/>
        <v>#VALUE!</v>
      </c>
      <c r="M7" s="128" t="e">
        <f t="shared" si="2"/>
        <v>#VALUE!</v>
      </c>
      <c r="N7" s="128" t="e">
        <f t="shared" si="2"/>
        <v>#VALUE!</v>
      </c>
      <c r="O7" s="128" t="e">
        <f t="shared" si="2"/>
        <v>#VALUE!</v>
      </c>
      <c r="P7" s="128" t="e">
        <f t="shared" si="2"/>
        <v>#VALUE!</v>
      </c>
      <c r="Q7" s="128" t="e">
        <f t="shared" si="2"/>
        <v>#VALUE!</v>
      </c>
      <c r="R7" s="128" t="e">
        <f t="shared" si="2"/>
        <v>#VALUE!</v>
      </c>
      <c r="S7" s="128" t="e">
        <f t="shared" si="2"/>
        <v>#VALUE!</v>
      </c>
      <c r="T7" s="128" t="e">
        <f t="shared" si="2"/>
        <v>#VALUE!</v>
      </c>
      <c r="U7" s="128" t="e">
        <f t="shared" si="2"/>
        <v>#VALUE!</v>
      </c>
      <c r="V7" s="128" t="e">
        <f t="shared" si="2"/>
        <v>#VALUE!</v>
      </c>
      <c r="W7" s="128" t="e">
        <f t="shared" si="2"/>
        <v>#VALUE!</v>
      </c>
      <c r="X7" s="129" t="e">
        <f>SUM(D7:W7)</f>
        <v>#VALUE!</v>
      </c>
      <c r="Y7" s="130"/>
      <c r="Z7" s="130"/>
      <c r="AA7" s="131"/>
    </row>
    <row r="8" spans="1:27" x14ac:dyDescent="0.25">
      <c r="A8" s="111" t="s">
        <v>26</v>
      </c>
      <c r="B8" s="132">
        <f>'Renewal Tool'!C15</f>
        <v>0</v>
      </c>
      <c r="C8" s="113"/>
      <c r="D8" s="133" t="str">
        <f>IF(D6&lt;=$B$4,'Renewal Tool'!$F11,"")</f>
        <v/>
      </c>
      <c r="E8" s="133" t="str">
        <f>IF(E6&lt;=$B$4,'Renewal Tool'!$F12,"")</f>
        <v/>
      </c>
      <c r="F8" s="133" t="str">
        <f>IF(F6&lt;=$B$4,'Renewal Tool'!$F13,"")</f>
        <v/>
      </c>
      <c r="G8" s="133" t="str">
        <f>IF(G6&lt;=$B$4,'Renewal Tool'!$F14,"")</f>
        <v/>
      </c>
      <c r="H8" s="133" t="str">
        <f>IF(H6&lt;=$B$4,'Renewal Tool'!$F15,"")</f>
        <v/>
      </c>
      <c r="I8" s="133" t="str">
        <f>IF(I6&lt;=$B$4,'Renewal Tool'!$F16,"")</f>
        <v/>
      </c>
      <c r="J8" s="133" t="str">
        <f>IF(J6&lt;=$B$4,'Renewal Tool'!$F17,"")</f>
        <v/>
      </c>
      <c r="K8" s="133" t="str">
        <f>IF(K6&lt;=$B$4,'Renewal Tool'!$F18,"")</f>
        <v/>
      </c>
      <c r="L8" s="133" t="str">
        <f>IF(L6&lt;=$B$4,'Renewal Tool'!$F19,"")</f>
        <v/>
      </c>
      <c r="M8" s="133" t="str">
        <f>IF(M6&lt;=$B$4,'Renewal Tool'!$F20,"")</f>
        <v/>
      </c>
      <c r="N8" s="133" t="str">
        <f>IF(N6&lt;=$B$4,'Renewal Tool'!$F21,"")</f>
        <v/>
      </c>
      <c r="O8" s="133" t="str">
        <f>IF(O6&lt;=$B$4,'Renewal Tool'!$F22,"")</f>
        <v/>
      </c>
      <c r="P8" s="133" t="str">
        <f>IF(P6&lt;=$B$4,'Renewal Tool'!$F23,"")</f>
        <v/>
      </c>
      <c r="Q8" s="133" t="str">
        <f>IF(Q6&lt;=$B$4,'Renewal Tool'!$F24,"")</f>
        <v/>
      </c>
      <c r="R8" s="133" t="str">
        <f>IF(R6&lt;=$B$4,'Renewal Tool'!$F25,"")</f>
        <v/>
      </c>
      <c r="S8" s="133" t="str">
        <f>IF(S6&lt;=$B$4,'Renewal Tool'!$F26,"")</f>
        <v/>
      </c>
      <c r="T8" s="133" t="str">
        <f>IF(T6&lt;=$B$4,'Renewal Tool'!$F27,"")</f>
        <v/>
      </c>
      <c r="U8" s="133" t="str">
        <f>IF(U6&lt;=$B$4,'Renewal Tool'!$F28,"")</f>
        <v/>
      </c>
      <c r="V8" s="133" t="str">
        <f>IF(V6&lt;=$B$4,'Renewal Tool'!$F29,"")</f>
        <v/>
      </c>
      <c r="W8" s="133" t="str">
        <f>IF(W6&lt;=$B$4,'Renewal Tool'!$F30,"")</f>
        <v/>
      </c>
      <c r="X8" s="134"/>
      <c r="Y8" s="112"/>
      <c r="Z8" s="112"/>
    </row>
    <row r="9" spans="1:27" x14ac:dyDescent="0.25">
      <c r="B9" s="135"/>
      <c r="C9" s="113"/>
      <c r="D9" s="136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4"/>
      <c r="Y9" s="112"/>
      <c r="Z9" s="112"/>
    </row>
    <row r="10" spans="1:27" x14ac:dyDescent="0.25">
      <c r="A10" s="111" t="s">
        <v>109</v>
      </c>
      <c r="B10" s="138" t="e">
        <f>'Renewal Tool'!C16</f>
        <v>#VALUE!</v>
      </c>
      <c r="C10" s="113"/>
      <c r="D10" s="139" t="e">
        <f>IF(D6&lt;=$B$4,(B10*B7+(D7-B7)*$G$2)/D7,"")</f>
        <v>#VALUE!</v>
      </c>
      <c r="E10" s="139" t="e">
        <f>IF(E6&lt;=$B$4,(D10*D7+(E7-D7)*$G$2)/E7,"")</f>
        <v>#VALUE!</v>
      </c>
      <c r="F10" s="139" t="e">
        <f t="shared" ref="F10:W10" si="3">IF(F6&lt;=$B$4,(E10*E7+(F7-E7)*$G$2)/F7,"")</f>
        <v>#VALUE!</v>
      </c>
      <c r="G10" s="139" t="e">
        <f t="shared" si="3"/>
        <v>#VALUE!</v>
      </c>
      <c r="H10" s="139" t="e">
        <f t="shared" si="3"/>
        <v>#VALUE!</v>
      </c>
      <c r="I10" s="139" t="e">
        <f t="shared" si="3"/>
        <v>#VALUE!</v>
      </c>
      <c r="J10" s="139" t="e">
        <f t="shared" si="3"/>
        <v>#VALUE!</v>
      </c>
      <c r="K10" s="139" t="e">
        <f t="shared" si="3"/>
        <v>#VALUE!</v>
      </c>
      <c r="L10" s="139" t="e">
        <f t="shared" si="3"/>
        <v>#VALUE!</v>
      </c>
      <c r="M10" s="139" t="e">
        <f t="shared" si="3"/>
        <v>#VALUE!</v>
      </c>
      <c r="N10" s="139" t="e">
        <f t="shared" si="3"/>
        <v>#VALUE!</v>
      </c>
      <c r="O10" s="139" t="e">
        <f t="shared" si="3"/>
        <v>#VALUE!</v>
      </c>
      <c r="P10" s="139" t="e">
        <f t="shared" si="3"/>
        <v>#VALUE!</v>
      </c>
      <c r="Q10" s="139" t="e">
        <f t="shared" si="3"/>
        <v>#VALUE!</v>
      </c>
      <c r="R10" s="139" t="e">
        <f t="shared" si="3"/>
        <v>#VALUE!</v>
      </c>
      <c r="S10" s="139" t="e">
        <f t="shared" si="3"/>
        <v>#VALUE!</v>
      </c>
      <c r="T10" s="139" t="e">
        <f t="shared" si="3"/>
        <v>#VALUE!</v>
      </c>
      <c r="U10" s="139" t="e">
        <f t="shared" si="3"/>
        <v>#VALUE!</v>
      </c>
      <c r="V10" s="139" t="e">
        <f t="shared" si="3"/>
        <v>#VALUE!</v>
      </c>
      <c r="W10" s="139" t="e">
        <f t="shared" si="3"/>
        <v>#VALUE!</v>
      </c>
      <c r="X10" s="140" t="e">
        <f>SUMPRODUCT(D10:W10,D7:W7)/X7</f>
        <v>#VALUE!</v>
      </c>
      <c r="Y10" s="141"/>
      <c r="Z10" s="141"/>
    </row>
    <row r="11" spans="1:27" x14ac:dyDescent="0.25">
      <c r="B11" s="135"/>
      <c r="C11" s="113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4"/>
      <c r="Y11" s="112"/>
      <c r="Z11" s="112"/>
    </row>
    <row r="12" spans="1:27" x14ac:dyDescent="0.25">
      <c r="A12" s="111" t="s">
        <v>110</v>
      </c>
      <c r="B12" s="127" t="str">
        <f>'Renewal Tool'!B17</f>
        <v/>
      </c>
      <c r="C12" s="113"/>
      <c r="D12" s="142" t="str">
        <f>VLOOKUP(D6,'Renewal Tool'!$E$11:$G$30,3,FALSE)</f>
        <v/>
      </c>
      <c r="E12" s="142" t="str">
        <f>VLOOKUP(E6,'Renewal Tool'!$E$11:$G$30,3,FALSE)</f>
        <v/>
      </c>
      <c r="F12" s="142" t="str">
        <f>VLOOKUP(F6,'Renewal Tool'!$E$11:$G$30,3,FALSE)</f>
        <v/>
      </c>
      <c r="G12" s="142" t="str">
        <f>VLOOKUP(G6,'Renewal Tool'!$E$11:$G$30,3,FALSE)</f>
        <v/>
      </c>
      <c r="H12" s="142" t="str">
        <f>VLOOKUP(H6,'Renewal Tool'!$E$11:$G$30,3,FALSE)</f>
        <v/>
      </c>
      <c r="I12" s="142" t="str">
        <f>VLOOKUP(I6,'Renewal Tool'!$E$11:$G$30,3,FALSE)</f>
        <v/>
      </c>
      <c r="J12" s="142" t="str">
        <f>VLOOKUP(J6,'Renewal Tool'!$E$11:$G$30,3,FALSE)</f>
        <v/>
      </c>
      <c r="K12" s="142" t="str">
        <f>VLOOKUP(K6,'Renewal Tool'!$E$11:$G$30,3,FALSE)</f>
        <v/>
      </c>
      <c r="L12" s="142" t="str">
        <f>VLOOKUP(L6,'Renewal Tool'!$E$11:$G$30,3,FALSE)</f>
        <v/>
      </c>
      <c r="M12" s="142" t="str">
        <f>VLOOKUP(M6,'Renewal Tool'!$E$11:$G$30,3,FALSE)</f>
        <v/>
      </c>
      <c r="N12" s="142" t="str">
        <f>VLOOKUP(N6,'Renewal Tool'!$E$11:$G$30,3,FALSE)</f>
        <v/>
      </c>
      <c r="O12" s="142" t="str">
        <f>VLOOKUP(O6,'Renewal Tool'!$E$11:$G$30,3,FALSE)</f>
        <v/>
      </c>
      <c r="P12" s="142" t="str">
        <f>VLOOKUP(P6,'Renewal Tool'!$E$11:$G$30,3,FALSE)</f>
        <v/>
      </c>
      <c r="Q12" s="142" t="str">
        <f>VLOOKUP(Q6,'Renewal Tool'!$E$11:$G$30,3,FALSE)</f>
        <v/>
      </c>
      <c r="R12" s="142" t="str">
        <f>VLOOKUP(R6,'Renewal Tool'!$E$11:$G$30,3,FALSE)</f>
        <v/>
      </c>
      <c r="S12" s="142" t="str">
        <f>VLOOKUP(S6,'Renewal Tool'!$E$11:$G$30,3,FALSE)</f>
        <v/>
      </c>
      <c r="T12" s="142" t="str">
        <f>VLOOKUP(T6,'Renewal Tool'!$E$11:$G$30,3,FALSE)</f>
        <v/>
      </c>
      <c r="U12" s="142" t="str">
        <f>VLOOKUP(U6,'Renewal Tool'!$E$11:$G$30,3,FALSE)</f>
        <v/>
      </c>
      <c r="V12" s="142" t="str">
        <f>VLOOKUP(V6,'Renewal Tool'!$E$11:$G$30,3,FALSE)</f>
        <v/>
      </c>
      <c r="W12" s="142" t="str">
        <f>VLOOKUP(W6,'Renewal Tool'!$E$11:$G$30,3,FALSE)</f>
        <v/>
      </c>
      <c r="X12" s="129">
        <f t="shared" ref="X12:X23" si="4">SUM(D12:W12)</f>
        <v>0</v>
      </c>
      <c r="Y12" s="130"/>
      <c r="Z12" s="130"/>
    </row>
    <row r="13" spans="1:27" x14ac:dyDescent="0.25">
      <c r="B13" s="143"/>
      <c r="C13" s="113"/>
      <c r="D13" s="144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6"/>
      <c r="Y13" s="130"/>
      <c r="Z13" s="130"/>
    </row>
    <row r="14" spans="1:27" x14ac:dyDescent="0.25">
      <c r="A14" s="111" t="s">
        <v>111</v>
      </c>
      <c r="B14" s="127" t="str">
        <f>'Renewal Tool'!B20</f>
        <v/>
      </c>
      <c r="C14" s="113"/>
      <c r="D14" s="142" t="e">
        <f t="shared" ref="D14:W14" si="5">IF(D6&lt;=$B$4,ROUND(SUM(D7,D20)*5%,0),"")</f>
        <v>#VALUE!</v>
      </c>
      <c r="E14" s="142" t="e">
        <f t="shared" si="5"/>
        <v>#VALUE!</v>
      </c>
      <c r="F14" s="142" t="e">
        <f t="shared" si="5"/>
        <v>#VALUE!</v>
      </c>
      <c r="G14" s="142" t="e">
        <f t="shared" si="5"/>
        <v>#VALUE!</v>
      </c>
      <c r="H14" s="142" t="e">
        <f t="shared" si="5"/>
        <v>#VALUE!</v>
      </c>
      <c r="I14" s="142" t="e">
        <f t="shared" si="5"/>
        <v>#VALUE!</v>
      </c>
      <c r="J14" s="142" t="e">
        <f t="shared" si="5"/>
        <v>#VALUE!</v>
      </c>
      <c r="K14" s="142" t="e">
        <f t="shared" si="5"/>
        <v>#VALUE!</v>
      </c>
      <c r="L14" s="142" t="e">
        <f t="shared" si="5"/>
        <v>#VALUE!</v>
      </c>
      <c r="M14" s="142" t="e">
        <f t="shared" si="5"/>
        <v>#VALUE!</v>
      </c>
      <c r="N14" s="142" t="e">
        <f t="shared" si="5"/>
        <v>#VALUE!</v>
      </c>
      <c r="O14" s="142" t="e">
        <f t="shared" si="5"/>
        <v>#VALUE!</v>
      </c>
      <c r="P14" s="142" t="e">
        <f t="shared" si="5"/>
        <v>#VALUE!</v>
      </c>
      <c r="Q14" s="142" t="e">
        <f t="shared" si="5"/>
        <v>#VALUE!</v>
      </c>
      <c r="R14" s="142" t="e">
        <f t="shared" si="5"/>
        <v>#VALUE!</v>
      </c>
      <c r="S14" s="142" t="e">
        <f t="shared" si="5"/>
        <v>#VALUE!</v>
      </c>
      <c r="T14" s="142" t="e">
        <f t="shared" si="5"/>
        <v>#VALUE!</v>
      </c>
      <c r="U14" s="142" t="e">
        <f t="shared" si="5"/>
        <v>#VALUE!</v>
      </c>
      <c r="V14" s="142" t="e">
        <f t="shared" si="5"/>
        <v>#VALUE!</v>
      </c>
      <c r="W14" s="142" t="e">
        <f t="shared" si="5"/>
        <v>#VALUE!</v>
      </c>
      <c r="X14" s="129" t="e">
        <f t="shared" si="4"/>
        <v>#VALUE!</v>
      </c>
      <c r="Y14" s="130"/>
      <c r="Z14" s="130"/>
    </row>
    <row r="15" spans="1:27" x14ac:dyDescent="0.25">
      <c r="A15" s="111" t="s">
        <v>112</v>
      </c>
      <c r="B15" s="127">
        <f>SUM('Renewal Tool'!B21:B23)</f>
        <v>0</v>
      </c>
      <c r="C15" s="113"/>
      <c r="D15" s="142">
        <f>IF(D$6&lt;=$B$4,$B$15,"")</f>
        <v>0</v>
      </c>
      <c r="E15" s="128">
        <f t="shared" ref="E15:W15" si="6">IF(E6&lt;=$B$4,$B$15,"")</f>
        <v>0</v>
      </c>
      <c r="F15" s="128">
        <f t="shared" si="6"/>
        <v>0</v>
      </c>
      <c r="G15" s="128">
        <f t="shared" si="6"/>
        <v>0</v>
      </c>
      <c r="H15" s="128">
        <f t="shared" si="6"/>
        <v>0</v>
      </c>
      <c r="I15" s="128">
        <f t="shared" si="6"/>
        <v>0</v>
      </c>
      <c r="J15" s="128">
        <f t="shared" si="6"/>
        <v>0</v>
      </c>
      <c r="K15" s="128">
        <f t="shared" si="6"/>
        <v>0</v>
      </c>
      <c r="L15" s="128">
        <f t="shared" si="6"/>
        <v>0</v>
      </c>
      <c r="M15" s="128">
        <f t="shared" si="6"/>
        <v>0</v>
      </c>
      <c r="N15" s="128">
        <f t="shared" si="6"/>
        <v>0</v>
      </c>
      <c r="O15" s="128">
        <f t="shared" si="6"/>
        <v>0</v>
      </c>
      <c r="P15" s="128">
        <f t="shared" si="6"/>
        <v>0</v>
      </c>
      <c r="Q15" s="128">
        <f t="shared" si="6"/>
        <v>0</v>
      </c>
      <c r="R15" s="128">
        <f t="shared" si="6"/>
        <v>0</v>
      </c>
      <c r="S15" s="128">
        <f t="shared" si="6"/>
        <v>0</v>
      </c>
      <c r="T15" s="128">
        <f t="shared" si="6"/>
        <v>0</v>
      </c>
      <c r="U15" s="128">
        <f t="shared" si="6"/>
        <v>0</v>
      </c>
      <c r="V15" s="128">
        <f t="shared" si="6"/>
        <v>0</v>
      </c>
      <c r="W15" s="128">
        <f t="shared" si="6"/>
        <v>0</v>
      </c>
      <c r="X15" s="129">
        <f t="shared" si="4"/>
        <v>0</v>
      </c>
      <c r="Y15" s="130"/>
      <c r="Z15" s="130"/>
    </row>
    <row r="16" spans="1:27" x14ac:dyDescent="0.25">
      <c r="A16" s="111" t="s">
        <v>113</v>
      </c>
      <c r="B16" s="127" t="e">
        <f>'Renewal Tool'!B24+'Renewal Tool'!B18</f>
        <v>#VALUE!</v>
      </c>
      <c r="C16" s="113"/>
      <c r="D16" s="142" t="e">
        <f>IF(D6&lt;=$B$4,SUM(D59:D61,D54:D56),"")</f>
        <v>#VALUE!</v>
      </c>
      <c r="E16" s="142" t="e">
        <f t="shared" ref="E16:W16" si="7">IF(E6&lt;=$B$4,SUM(E59:E61,E54:E56),"")</f>
        <v>#VALUE!</v>
      </c>
      <c r="F16" s="142" t="e">
        <f t="shared" si="7"/>
        <v>#VALUE!</v>
      </c>
      <c r="G16" s="142" t="e">
        <f t="shared" si="7"/>
        <v>#VALUE!</v>
      </c>
      <c r="H16" s="142" t="e">
        <f t="shared" si="7"/>
        <v>#VALUE!</v>
      </c>
      <c r="I16" s="142" t="e">
        <f t="shared" si="7"/>
        <v>#VALUE!</v>
      </c>
      <c r="J16" s="142" t="e">
        <f t="shared" si="7"/>
        <v>#VALUE!</v>
      </c>
      <c r="K16" s="142" t="e">
        <f t="shared" si="7"/>
        <v>#VALUE!</v>
      </c>
      <c r="L16" s="142" t="e">
        <f t="shared" si="7"/>
        <v>#VALUE!</v>
      </c>
      <c r="M16" s="142" t="e">
        <f t="shared" si="7"/>
        <v>#VALUE!</v>
      </c>
      <c r="N16" s="142" t="e">
        <f t="shared" si="7"/>
        <v>#VALUE!</v>
      </c>
      <c r="O16" s="142" t="e">
        <f t="shared" si="7"/>
        <v>#VALUE!</v>
      </c>
      <c r="P16" s="142" t="e">
        <f t="shared" si="7"/>
        <v>#VALUE!</v>
      </c>
      <c r="Q16" s="142" t="e">
        <f t="shared" si="7"/>
        <v>#VALUE!</v>
      </c>
      <c r="R16" s="142" t="e">
        <f t="shared" si="7"/>
        <v>#VALUE!</v>
      </c>
      <c r="S16" s="142" t="e">
        <f t="shared" si="7"/>
        <v>#VALUE!</v>
      </c>
      <c r="T16" s="142" t="e">
        <f t="shared" si="7"/>
        <v>#VALUE!</v>
      </c>
      <c r="U16" s="142" t="e">
        <f t="shared" si="7"/>
        <v>#VALUE!</v>
      </c>
      <c r="V16" s="142" t="e">
        <f t="shared" si="7"/>
        <v>#VALUE!</v>
      </c>
      <c r="W16" s="142" t="e">
        <f t="shared" si="7"/>
        <v>#VALUE!</v>
      </c>
      <c r="X16" s="129" t="e">
        <f t="shared" si="4"/>
        <v>#VALUE!</v>
      </c>
      <c r="Y16" s="130"/>
      <c r="Z16" s="130"/>
    </row>
    <row r="17" spans="1:27" x14ac:dyDescent="0.25">
      <c r="A17" s="111" t="s">
        <v>114</v>
      </c>
      <c r="B17" s="127" t="e">
        <f>'Renewal Tool'!B19+'Renewal Tool'!B25</f>
        <v>#VALUE!</v>
      </c>
      <c r="C17" s="113"/>
      <c r="D17" s="142" t="e">
        <f t="shared" ref="D17:W17" si="8">IF(D6&lt;=$B$4,SUM(D64:D66),"")</f>
        <v>#VALUE!</v>
      </c>
      <c r="E17" s="142" t="e">
        <f t="shared" si="8"/>
        <v>#VALUE!</v>
      </c>
      <c r="F17" s="142" t="e">
        <f t="shared" si="8"/>
        <v>#VALUE!</v>
      </c>
      <c r="G17" s="142" t="e">
        <f t="shared" si="8"/>
        <v>#VALUE!</v>
      </c>
      <c r="H17" s="142" t="e">
        <f t="shared" si="8"/>
        <v>#VALUE!</v>
      </c>
      <c r="I17" s="142" t="e">
        <f t="shared" si="8"/>
        <v>#VALUE!</v>
      </c>
      <c r="J17" s="142" t="e">
        <f t="shared" si="8"/>
        <v>#VALUE!</v>
      </c>
      <c r="K17" s="142" t="e">
        <f t="shared" si="8"/>
        <v>#VALUE!</v>
      </c>
      <c r="L17" s="142" t="e">
        <f t="shared" si="8"/>
        <v>#VALUE!</v>
      </c>
      <c r="M17" s="142" t="e">
        <f t="shared" si="8"/>
        <v>#VALUE!</v>
      </c>
      <c r="N17" s="142" t="e">
        <f t="shared" si="8"/>
        <v>#VALUE!</v>
      </c>
      <c r="O17" s="142" t="e">
        <f t="shared" si="8"/>
        <v>#VALUE!</v>
      </c>
      <c r="P17" s="142" t="e">
        <f t="shared" si="8"/>
        <v>#VALUE!</v>
      </c>
      <c r="Q17" s="142" t="e">
        <f t="shared" si="8"/>
        <v>#VALUE!</v>
      </c>
      <c r="R17" s="142" t="e">
        <f t="shared" si="8"/>
        <v>#VALUE!</v>
      </c>
      <c r="S17" s="142" t="e">
        <f t="shared" si="8"/>
        <v>#VALUE!</v>
      </c>
      <c r="T17" s="142" t="e">
        <f t="shared" si="8"/>
        <v>#VALUE!</v>
      </c>
      <c r="U17" s="142" t="e">
        <f t="shared" si="8"/>
        <v>#VALUE!</v>
      </c>
      <c r="V17" s="142" t="e">
        <f t="shared" si="8"/>
        <v>#VALUE!</v>
      </c>
      <c r="W17" s="142" t="e">
        <f t="shared" si="8"/>
        <v>#VALUE!</v>
      </c>
      <c r="X17" s="129" t="e">
        <f t="shared" si="4"/>
        <v>#VALUE!</v>
      </c>
      <c r="Y17" s="130"/>
      <c r="Z17" s="130"/>
    </row>
    <row r="18" spans="1:27" x14ac:dyDescent="0.25">
      <c r="A18" s="111" t="s">
        <v>115</v>
      </c>
      <c r="B18" s="127" t="str">
        <f>'Renewal Tool'!B26</f>
        <v/>
      </c>
      <c r="C18" s="113"/>
      <c r="D18" s="142" t="str">
        <f>IF(D$6&lt;=$B$4,$B$18,"")</f>
        <v/>
      </c>
      <c r="E18" s="142" t="str">
        <f t="shared" ref="E18:W18" si="9">IF(E$6&lt;=$B$4,$B$18,"")</f>
        <v/>
      </c>
      <c r="F18" s="142" t="str">
        <f t="shared" si="9"/>
        <v/>
      </c>
      <c r="G18" s="142" t="str">
        <f t="shared" si="9"/>
        <v/>
      </c>
      <c r="H18" s="142" t="str">
        <f t="shared" si="9"/>
        <v/>
      </c>
      <c r="I18" s="142" t="str">
        <f t="shared" si="9"/>
        <v/>
      </c>
      <c r="J18" s="142" t="str">
        <f t="shared" si="9"/>
        <v/>
      </c>
      <c r="K18" s="142" t="str">
        <f t="shared" si="9"/>
        <v/>
      </c>
      <c r="L18" s="142" t="str">
        <f t="shared" si="9"/>
        <v/>
      </c>
      <c r="M18" s="142" t="str">
        <f t="shared" si="9"/>
        <v/>
      </c>
      <c r="N18" s="142" t="str">
        <f t="shared" si="9"/>
        <v/>
      </c>
      <c r="O18" s="142" t="str">
        <f t="shared" si="9"/>
        <v/>
      </c>
      <c r="P18" s="142" t="str">
        <f t="shared" si="9"/>
        <v/>
      </c>
      <c r="Q18" s="142" t="str">
        <f t="shared" si="9"/>
        <v/>
      </c>
      <c r="R18" s="142" t="str">
        <f t="shared" si="9"/>
        <v/>
      </c>
      <c r="S18" s="142" t="str">
        <f t="shared" si="9"/>
        <v/>
      </c>
      <c r="T18" s="142" t="str">
        <f t="shared" si="9"/>
        <v/>
      </c>
      <c r="U18" s="142" t="str">
        <f t="shared" si="9"/>
        <v/>
      </c>
      <c r="V18" s="142" t="str">
        <f t="shared" si="9"/>
        <v/>
      </c>
      <c r="W18" s="142" t="str">
        <f t="shared" si="9"/>
        <v/>
      </c>
      <c r="X18" s="129">
        <f t="shared" si="4"/>
        <v>0</v>
      </c>
      <c r="Y18" s="130"/>
      <c r="Z18" s="130"/>
    </row>
    <row r="19" spans="1:27" x14ac:dyDescent="0.25">
      <c r="B19" s="127"/>
      <c r="C19" s="113"/>
      <c r="D19" s="142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9"/>
      <c r="Y19" s="112"/>
      <c r="Z19" s="112"/>
    </row>
    <row r="20" spans="1:27" x14ac:dyDescent="0.25">
      <c r="A20" s="111" t="s">
        <v>116</v>
      </c>
      <c r="B20" s="127" t="str">
        <f>'Renewal Tool'!B27</f>
        <v/>
      </c>
      <c r="C20" s="113"/>
      <c r="D20" s="128" t="e">
        <f>IF(D6&lt;=$B$4,B20*(1+D8),"")</f>
        <v>#VALUE!</v>
      </c>
      <c r="E20" s="128" t="e">
        <f t="shared" ref="E20:W20" si="10">IF(E6&lt;=$B$4,D20*(1+E8),"")</f>
        <v>#VALUE!</v>
      </c>
      <c r="F20" s="128" t="e">
        <f t="shared" si="10"/>
        <v>#VALUE!</v>
      </c>
      <c r="G20" s="128" t="e">
        <f t="shared" si="10"/>
        <v>#VALUE!</v>
      </c>
      <c r="H20" s="128" t="e">
        <f t="shared" si="10"/>
        <v>#VALUE!</v>
      </c>
      <c r="I20" s="128" t="e">
        <f t="shared" si="10"/>
        <v>#VALUE!</v>
      </c>
      <c r="J20" s="128" t="e">
        <f t="shared" si="10"/>
        <v>#VALUE!</v>
      </c>
      <c r="K20" s="128" t="e">
        <f t="shared" si="10"/>
        <v>#VALUE!</v>
      </c>
      <c r="L20" s="128" t="e">
        <f t="shared" si="10"/>
        <v>#VALUE!</v>
      </c>
      <c r="M20" s="128" t="e">
        <f t="shared" si="10"/>
        <v>#VALUE!</v>
      </c>
      <c r="N20" s="128" t="e">
        <f t="shared" si="10"/>
        <v>#VALUE!</v>
      </c>
      <c r="O20" s="128" t="e">
        <f t="shared" si="10"/>
        <v>#VALUE!</v>
      </c>
      <c r="P20" s="128" t="e">
        <f t="shared" si="10"/>
        <v>#VALUE!</v>
      </c>
      <c r="Q20" s="128" t="e">
        <f t="shared" si="10"/>
        <v>#VALUE!</v>
      </c>
      <c r="R20" s="128" t="e">
        <f t="shared" si="10"/>
        <v>#VALUE!</v>
      </c>
      <c r="S20" s="128" t="e">
        <f t="shared" si="10"/>
        <v>#VALUE!</v>
      </c>
      <c r="T20" s="128" t="e">
        <f t="shared" si="10"/>
        <v>#VALUE!</v>
      </c>
      <c r="U20" s="128" t="e">
        <f t="shared" si="10"/>
        <v>#VALUE!</v>
      </c>
      <c r="V20" s="128" t="e">
        <f t="shared" si="10"/>
        <v>#VALUE!</v>
      </c>
      <c r="W20" s="128" t="e">
        <f t="shared" si="10"/>
        <v>#VALUE!</v>
      </c>
      <c r="X20" s="129" t="e">
        <f>SUM(D20:W20)</f>
        <v>#VALUE!</v>
      </c>
      <c r="Y20" s="130"/>
      <c r="Z20" s="130"/>
      <c r="AA20" s="131"/>
    </row>
    <row r="21" spans="1:27" x14ac:dyDescent="0.25">
      <c r="A21" s="111" t="s">
        <v>117</v>
      </c>
      <c r="B21" s="127" t="str">
        <f>'Renewal Tool'!B28</f>
        <v/>
      </c>
      <c r="C21" s="113"/>
      <c r="D21" s="142" t="e">
        <f>IF(D6&lt;=$B$4,ROUND(D7*($B$21/$B$7),0),"")</f>
        <v>#VALUE!</v>
      </c>
      <c r="E21" s="142" t="e">
        <f>IF(E6&lt;=$B$4,ROUND(E7*($B$21/$B$7),0),"")</f>
        <v>#VALUE!</v>
      </c>
      <c r="F21" s="142" t="e">
        <f t="shared" ref="F21:W21" si="11">IF(F6&lt;=$B$4,ROUND(F7*($B$21/$B$7),0),"")</f>
        <v>#VALUE!</v>
      </c>
      <c r="G21" s="142" t="e">
        <f t="shared" si="11"/>
        <v>#VALUE!</v>
      </c>
      <c r="H21" s="142" t="e">
        <f t="shared" si="11"/>
        <v>#VALUE!</v>
      </c>
      <c r="I21" s="142" t="e">
        <f t="shared" si="11"/>
        <v>#VALUE!</v>
      </c>
      <c r="J21" s="142" t="e">
        <f t="shared" si="11"/>
        <v>#VALUE!</v>
      </c>
      <c r="K21" s="142" t="e">
        <f t="shared" si="11"/>
        <v>#VALUE!</v>
      </c>
      <c r="L21" s="142" t="e">
        <f t="shared" si="11"/>
        <v>#VALUE!</v>
      </c>
      <c r="M21" s="142" t="e">
        <f t="shared" si="11"/>
        <v>#VALUE!</v>
      </c>
      <c r="N21" s="142" t="e">
        <f t="shared" si="11"/>
        <v>#VALUE!</v>
      </c>
      <c r="O21" s="142" t="e">
        <f t="shared" si="11"/>
        <v>#VALUE!</v>
      </c>
      <c r="P21" s="142" t="e">
        <f t="shared" si="11"/>
        <v>#VALUE!</v>
      </c>
      <c r="Q21" s="142" t="e">
        <f t="shared" si="11"/>
        <v>#VALUE!</v>
      </c>
      <c r="R21" s="142" t="e">
        <f t="shared" si="11"/>
        <v>#VALUE!</v>
      </c>
      <c r="S21" s="142" t="e">
        <f t="shared" si="11"/>
        <v>#VALUE!</v>
      </c>
      <c r="T21" s="142" t="e">
        <f t="shared" si="11"/>
        <v>#VALUE!</v>
      </c>
      <c r="U21" s="142" t="e">
        <f t="shared" si="11"/>
        <v>#VALUE!</v>
      </c>
      <c r="V21" s="142" t="e">
        <f t="shared" si="11"/>
        <v>#VALUE!</v>
      </c>
      <c r="W21" s="142" t="e">
        <f t="shared" si="11"/>
        <v>#VALUE!</v>
      </c>
      <c r="X21" s="129" t="e">
        <f>SUM(D21:W21)</f>
        <v>#VALUE!</v>
      </c>
      <c r="Y21" s="112"/>
      <c r="Z21" s="112"/>
    </row>
    <row r="22" spans="1:27" x14ac:dyDescent="0.25">
      <c r="B22" s="127"/>
      <c r="C22" s="113"/>
      <c r="D22" s="142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9"/>
      <c r="Y22" s="112"/>
      <c r="Z22" s="112"/>
    </row>
    <row r="23" spans="1:27" x14ac:dyDescent="0.25">
      <c r="A23" s="112" t="s">
        <v>39</v>
      </c>
      <c r="B23" s="127" t="e">
        <f>B7*B10-SUM(B12:B18)+B20-B21</f>
        <v>#VALUE!</v>
      </c>
      <c r="C23" s="113"/>
      <c r="D23" s="129" t="e">
        <f>IF(D6&lt;=$B$4,D7*D10-SUM(D12:D18)+D20-D21,"")</f>
        <v>#VALUE!</v>
      </c>
      <c r="E23" s="129" t="e">
        <f t="shared" ref="E23:W23" si="12">IF(E6&lt;=$B$4,E7*E10-SUM(E12:E18)+E20-E21,"")</f>
        <v>#VALUE!</v>
      </c>
      <c r="F23" s="129" t="e">
        <f t="shared" si="12"/>
        <v>#VALUE!</v>
      </c>
      <c r="G23" s="129" t="e">
        <f t="shared" si="12"/>
        <v>#VALUE!</v>
      </c>
      <c r="H23" s="129" t="e">
        <f t="shared" si="12"/>
        <v>#VALUE!</v>
      </c>
      <c r="I23" s="129" t="e">
        <f t="shared" si="12"/>
        <v>#VALUE!</v>
      </c>
      <c r="J23" s="129" t="e">
        <f t="shared" si="12"/>
        <v>#VALUE!</v>
      </c>
      <c r="K23" s="129" t="e">
        <f t="shared" si="12"/>
        <v>#VALUE!</v>
      </c>
      <c r="L23" s="129" t="e">
        <f t="shared" si="12"/>
        <v>#VALUE!</v>
      </c>
      <c r="M23" s="129" t="e">
        <f t="shared" si="12"/>
        <v>#VALUE!</v>
      </c>
      <c r="N23" s="129" t="e">
        <f t="shared" si="12"/>
        <v>#VALUE!</v>
      </c>
      <c r="O23" s="129" t="e">
        <f t="shared" si="12"/>
        <v>#VALUE!</v>
      </c>
      <c r="P23" s="129" t="e">
        <f t="shared" si="12"/>
        <v>#VALUE!</v>
      </c>
      <c r="Q23" s="129" t="e">
        <f t="shared" si="12"/>
        <v>#VALUE!</v>
      </c>
      <c r="R23" s="129" t="e">
        <f>IF(R6&lt;=$B$4,R7*R10-SUM(R12:R18)+R20-R21,"")</f>
        <v>#VALUE!</v>
      </c>
      <c r="S23" s="129" t="e">
        <f t="shared" si="12"/>
        <v>#VALUE!</v>
      </c>
      <c r="T23" s="129" t="e">
        <f t="shared" si="12"/>
        <v>#VALUE!</v>
      </c>
      <c r="U23" s="129" t="e">
        <f t="shared" si="12"/>
        <v>#VALUE!</v>
      </c>
      <c r="V23" s="129" t="e">
        <f t="shared" si="12"/>
        <v>#VALUE!</v>
      </c>
      <c r="W23" s="129" t="e">
        <f t="shared" si="12"/>
        <v>#VALUE!</v>
      </c>
      <c r="X23" s="129" t="e">
        <f t="shared" si="4"/>
        <v>#VALUE!</v>
      </c>
      <c r="Y23" s="130"/>
      <c r="Z23" s="130"/>
    </row>
    <row r="24" spans="1:27" x14ac:dyDescent="0.25">
      <c r="B24" s="138" t="e">
        <f>B23/B7</f>
        <v>#VALUE!</v>
      </c>
      <c r="C24" s="113"/>
      <c r="D24" s="140" t="e">
        <f>IF(D6&lt;=$B$4,D23/D7,"")</f>
        <v>#VALUE!</v>
      </c>
      <c r="E24" s="147" t="e">
        <f t="shared" ref="E24:W24" si="13">IF(E6&lt;=$B$4,E23/E7,"")</f>
        <v>#VALUE!</v>
      </c>
      <c r="F24" s="147" t="e">
        <f t="shared" si="13"/>
        <v>#VALUE!</v>
      </c>
      <c r="G24" s="147" t="e">
        <f t="shared" si="13"/>
        <v>#VALUE!</v>
      </c>
      <c r="H24" s="147" t="e">
        <f t="shared" si="13"/>
        <v>#VALUE!</v>
      </c>
      <c r="I24" s="147" t="e">
        <f t="shared" si="13"/>
        <v>#VALUE!</v>
      </c>
      <c r="J24" s="147" t="e">
        <f t="shared" si="13"/>
        <v>#VALUE!</v>
      </c>
      <c r="K24" s="147" t="e">
        <f t="shared" si="13"/>
        <v>#VALUE!</v>
      </c>
      <c r="L24" s="147" t="e">
        <f t="shared" si="13"/>
        <v>#VALUE!</v>
      </c>
      <c r="M24" s="147" t="e">
        <f t="shared" si="13"/>
        <v>#VALUE!</v>
      </c>
      <c r="N24" s="147" t="e">
        <f t="shared" si="13"/>
        <v>#VALUE!</v>
      </c>
      <c r="O24" s="147" t="e">
        <f t="shared" si="13"/>
        <v>#VALUE!</v>
      </c>
      <c r="P24" s="147" t="e">
        <f t="shared" si="13"/>
        <v>#VALUE!</v>
      </c>
      <c r="Q24" s="147" t="e">
        <f t="shared" si="13"/>
        <v>#VALUE!</v>
      </c>
      <c r="R24" s="147" t="e">
        <f>IF(R6&lt;=$B$4,R23/R7,"")</f>
        <v>#VALUE!</v>
      </c>
      <c r="S24" s="147" t="e">
        <f t="shared" si="13"/>
        <v>#VALUE!</v>
      </c>
      <c r="T24" s="147" t="e">
        <f t="shared" si="13"/>
        <v>#VALUE!</v>
      </c>
      <c r="U24" s="147" t="e">
        <f t="shared" si="13"/>
        <v>#VALUE!</v>
      </c>
      <c r="V24" s="147" t="e">
        <f t="shared" si="13"/>
        <v>#VALUE!</v>
      </c>
      <c r="W24" s="147" t="e">
        <f t="shared" si="13"/>
        <v>#VALUE!</v>
      </c>
      <c r="X24" s="140" t="e">
        <f>X23/X7</f>
        <v>#VALUE!</v>
      </c>
      <c r="Y24" s="141"/>
      <c r="Z24" s="141"/>
    </row>
    <row r="25" spans="1:27" x14ac:dyDescent="0.25">
      <c r="B25" s="135"/>
      <c r="C25" s="113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34"/>
      <c r="Y25" s="112"/>
      <c r="Z25" s="112"/>
    </row>
    <row r="26" spans="1:27" x14ac:dyDescent="0.25">
      <c r="A26" s="111" t="s">
        <v>118</v>
      </c>
      <c r="B26" s="127" t="e">
        <f>'Renewal Tool'!B30</f>
        <v>#VALUE!</v>
      </c>
      <c r="C26" s="113"/>
      <c r="D26" s="149" t="e">
        <f t="shared" ref="D26:W26" si="14">IF(D6&lt;=$B$4,SUM(D23,D16:D17),"")</f>
        <v>#VALUE!</v>
      </c>
      <c r="E26" s="149" t="e">
        <f t="shared" si="14"/>
        <v>#VALUE!</v>
      </c>
      <c r="F26" s="149" t="e">
        <f t="shared" si="14"/>
        <v>#VALUE!</v>
      </c>
      <c r="G26" s="149" t="e">
        <f t="shared" si="14"/>
        <v>#VALUE!</v>
      </c>
      <c r="H26" s="149" t="e">
        <f t="shared" si="14"/>
        <v>#VALUE!</v>
      </c>
      <c r="I26" s="149" t="e">
        <f t="shared" si="14"/>
        <v>#VALUE!</v>
      </c>
      <c r="J26" s="149" t="e">
        <f t="shared" si="14"/>
        <v>#VALUE!</v>
      </c>
      <c r="K26" s="149" t="e">
        <f t="shared" si="14"/>
        <v>#VALUE!</v>
      </c>
      <c r="L26" s="149" t="e">
        <f t="shared" si="14"/>
        <v>#VALUE!</v>
      </c>
      <c r="M26" s="149" t="e">
        <f t="shared" si="14"/>
        <v>#VALUE!</v>
      </c>
      <c r="N26" s="149" t="e">
        <f t="shared" si="14"/>
        <v>#VALUE!</v>
      </c>
      <c r="O26" s="149" t="e">
        <f t="shared" si="14"/>
        <v>#VALUE!</v>
      </c>
      <c r="P26" s="149" t="e">
        <f t="shared" si="14"/>
        <v>#VALUE!</v>
      </c>
      <c r="Q26" s="149" t="e">
        <f t="shared" si="14"/>
        <v>#VALUE!</v>
      </c>
      <c r="R26" s="149" t="e">
        <f t="shared" si="14"/>
        <v>#VALUE!</v>
      </c>
      <c r="S26" s="149" t="e">
        <f t="shared" si="14"/>
        <v>#VALUE!</v>
      </c>
      <c r="T26" s="149" t="e">
        <f t="shared" si="14"/>
        <v>#VALUE!</v>
      </c>
      <c r="U26" s="149" t="e">
        <f t="shared" si="14"/>
        <v>#VALUE!</v>
      </c>
      <c r="V26" s="149" t="e">
        <f t="shared" si="14"/>
        <v>#VALUE!</v>
      </c>
      <c r="W26" s="149" t="e">
        <f t="shared" si="14"/>
        <v>#VALUE!</v>
      </c>
      <c r="X26" s="129" t="e">
        <f>SUM(D26:W26)</f>
        <v>#VALUE!</v>
      </c>
      <c r="Y26" s="130"/>
      <c r="Z26" s="130"/>
    </row>
    <row r="27" spans="1:27" x14ac:dyDescent="0.25">
      <c r="B27" s="143"/>
      <c r="C27" s="113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46"/>
      <c r="Y27" s="130"/>
      <c r="Z27" s="130"/>
    </row>
    <row r="28" spans="1:27" x14ac:dyDescent="0.25">
      <c r="A28" s="111" t="s">
        <v>119</v>
      </c>
      <c r="B28" s="151" t="e">
        <f>'Renewal Tool'!C32</f>
        <v>#VALUE!</v>
      </c>
      <c r="C28" s="113"/>
      <c r="D28" s="152" t="e">
        <f>IF(D6&lt;=$B$4,SUM(D23,D14:D15,D64)/SUM(D7,D20),"")</f>
        <v>#VALUE!</v>
      </c>
      <c r="E28" s="152" t="e">
        <f t="shared" ref="E28:W28" si="15">IF(E6&lt;=$B$4,SUM(E23,E14:E15,E17)/SUM(E7,E20),"")</f>
        <v>#VALUE!</v>
      </c>
      <c r="F28" s="152" t="e">
        <f t="shared" si="15"/>
        <v>#VALUE!</v>
      </c>
      <c r="G28" s="152" t="e">
        <f t="shared" si="15"/>
        <v>#VALUE!</v>
      </c>
      <c r="H28" s="152" t="e">
        <f t="shared" si="15"/>
        <v>#VALUE!</v>
      </c>
      <c r="I28" s="152" t="e">
        <f t="shared" si="15"/>
        <v>#VALUE!</v>
      </c>
      <c r="J28" s="152" t="e">
        <f t="shared" si="15"/>
        <v>#VALUE!</v>
      </c>
      <c r="K28" s="152" t="e">
        <f t="shared" si="15"/>
        <v>#VALUE!</v>
      </c>
      <c r="L28" s="152" t="e">
        <f t="shared" si="15"/>
        <v>#VALUE!</v>
      </c>
      <c r="M28" s="152" t="e">
        <f t="shared" si="15"/>
        <v>#VALUE!</v>
      </c>
      <c r="N28" s="152" t="e">
        <f t="shared" si="15"/>
        <v>#VALUE!</v>
      </c>
      <c r="O28" s="152" t="e">
        <f t="shared" si="15"/>
        <v>#VALUE!</v>
      </c>
      <c r="P28" s="152" t="e">
        <f t="shared" si="15"/>
        <v>#VALUE!</v>
      </c>
      <c r="Q28" s="152" t="e">
        <f t="shared" si="15"/>
        <v>#VALUE!</v>
      </c>
      <c r="R28" s="152" t="e">
        <f t="shared" si="15"/>
        <v>#VALUE!</v>
      </c>
      <c r="S28" s="152" t="e">
        <f t="shared" si="15"/>
        <v>#VALUE!</v>
      </c>
      <c r="T28" s="152" t="e">
        <f t="shared" si="15"/>
        <v>#VALUE!</v>
      </c>
      <c r="U28" s="152" t="e">
        <f t="shared" si="15"/>
        <v>#VALUE!</v>
      </c>
      <c r="V28" s="152" t="e">
        <f t="shared" si="15"/>
        <v>#VALUE!</v>
      </c>
      <c r="W28" s="152" t="e">
        <f t="shared" si="15"/>
        <v>#VALUE!</v>
      </c>
      <c r="X28" s="140" t="e">
        <f>SUM(X23,X14:X15,X17)/SUM(X7,X20)</f>
        <v>#VALUE!</v>
      </c>
      <c r="Y28" s="130"/>
      <c r="Z28" s="130"/>
    </row>
    <row r="29" spans="1:27" x14ac:dyDescent="0.25">
      <c r="B29" s="153"/>
      <c r="C29" s="113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39"/>
      <c r="Y29" s="154"/>
      <c r="Z29" s="154"/>
    </row>
    <row r="30" spans="1:27" x14ac:dyDescent="0.25">
      <c r="A30" s="111" t="s">
        <v>120</v>
      </c>
      <c r="B30" s="153" t="e">
        <f>B26/'Renewal Tool'!B40</f>
        <v>#VALUE!</v>
      </c>
      <c r="C30" s="113"/>
      <c r="D30" s="139" t="e">
        <f>IF(D6&lt;=$B$4,D$26/SUM('Renewal Tool'!$B$40,'Renewal Tool'!$C$49),"")</f>
        <v>#VALUE!</v>
      </c>
      <c r="E30" s="139" t="e">
        <f>IF(E6&lt;=$B$4,E$26/SUM('Renewal Tool'!$B$40,'Renewal Tool'!$C$49),"")</f>
        <v>#VALUE!</v>
      </c>
      <c r="F30" s="139" t="e">
        <f>IF(F6&lt;=$B$4,F$26/SUM('Renewal Tool'!$B$40,'Renewal Tool'!$C$49),"")</f>
        <v>#VALUE!</v>
      </c>
      <c r="G30" s="139" t="e">
        <f>IF(G6&lt;=$B$4,G$26/SUM('Renewal Tool'!$B$40,'Renewal Tool'!$C$49),"")</f>
        <v>#VALUE!</v>
      </c>
      <c r="H30" s="139" t="e">
        <f>IF(H6&lt;=$B$4,H$26/SUM('Renewal Tool'!$B$40,'Renewal Tool'!$C$49),"")</f>
        <v>#VALUE!</v>
      </c>
      <c r="I30" s="139" t="e">
        <f>IF(I6&lt;=$B$4,I$26/SUM('Renewal Tool'!$B$40,'Renewal Tool'!$C$49),"")</f>
        <v>#VALUE!</v>
      </c>
      <c r="J30" s="139" t="e">
        <f>IF(J6&lt;=$B$4,J$26/SUM('Renewal Tool'!$B$40,'Renewal Tool'!$C$49),"")</f>
        <v>#VALUE!</v>
      </c>
      <c r="K30" s="139" t="e">
        <f>IF(K6&lt;=$B$4,K$26/SUM('Renewal Tool'!$B$40,'Renewal Tool'!$C$49),"")</f>
        <v>#VALUE!</v>
      </c>
      <c r="L30" s="139" t="e">
        <f>IF(L6&lt;=$B$4,L$26/SUM('Renewal Tool'!$B$40,'Renewal Tool'!$C$49),"")</f>
        <v>#VALUE!</v>
      </c>
      <c r="M30" s="139" t="e">
        <f>IF(M6&lt;=$B$4,M$26/SUM('Renewal Tool'!$B$40,'Renewal Tool'!$C$49),"")</f>
        <v>#VALUE!</v>
      </c>
      <c r="N30" s="139" t="e">
        <f>IF(N6&lt;=$B$4,N$26/SUM('Renewal Tool'!$B$40,'Renewal Tool'!$C$49),"")</f>
        <v>#VALUE!</v>
      </c>
      <c r="O30" s="139" t="e">
        <f>IF(O6&lt;=$B$4,O$26/SUM('Renewal Tool'!$B$40,'Renewal Tool'!$C$49),"")</f>
        <v>#VALUE!</v>
      </c>
      <c r="P30" s="139" t="e">
        <f>IF(P6&lt;=$B$4,P$26/SUM('Renewal Tool'!$B$40,'Renewal Tool'!$C$49),"")</f>
        <v>#VALUE!</v>
      </c>
      <c r="Q30" s="139" t="e">
        <f>IF(Q6&lt;=$B$4,Q$26/SUM('Renewal Tool'!$B$40,'Renewal Tool'!$C$49),"")</f>
        <v>#VALUE!</v>
      </c>
      <c r="R30" s="139" t="e">
        <f>IF(R6&lt;=$B$4,R$26/SUM('Renewal Tool'!$B$40,'Renewal Tool'!$C$49),"")</f>
        <v>#VALUE!</v>
      </c>
      <c r="S30" s="139" t="e">
        <f>IF(S6&lt;=$B$4,S$26/SUM('Renewal Tool'!$B$40,'Renewal Tool'!$C$49),"")</f>
        <v>#VALUE!</v>
      </c>
      <c r="T30" s="139" t="e">
        <f>IF(T6&lt;=$B$4,T$26/SUM('Renewal Tool'!$B$40,'Renewal Tool'!$C$49),"")</f>
        <v>#VALUE!</v>
      </c>
      <c r="U30" s="139" t="e">
        <f>IF(U6&lt;=$B$4,U$26/SUM('Renewal Tool'!$B$40,'Renewal Tool'!$C$49),"")</f>
        <v>#VALUE!</v>
      </c>
      <c r="V30" s="139" t="e">
        <f>IF(V6&lt;=$B$4,V$26/SUM('Renewal Tool'!$B$40,'Renewal Tool'!$C$49),"")</f>
        <v>#VALUE!</v>
      </c>
      <c r="W30" s="139" t="e">
        <f>IF(W6&lt;=$B$4,W$26/SUM('Renewal Tool'!$B$40,'Renewal Tool'!$C$49),"")</f>
        <v>#VALUE!</v>
      </c>
      <c r="X30" s="140" t="e">
        <f>($X$26/$B$4)/SUM('Renewal Tool'!B40,'Renewal Tool'!C49)</f>
        <v>#VALUE!</v>
      </c>
      <c r="Y30" s="154"/>
      <c r="Z30" s="154"/>
    </row>
    <row r="31" spans="1:27" s="119" customFormat="1" x14ac:dyDescent="0.25">
      <c r="B31" s="115"/>
      <c r="C31" s="113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</row>
    <row r="32" spans="1:27" s="119" customFormat="1" x14ac:dyDescent="0.25">
      <c r="A32" s="155" t="s">
        <v>49</v>
      </c>
      <c r="B32" s="115"/>
      <c r="C32" s="113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</row>
    <row r="33" spans="1:24" s="119" customFormat="1" outlineLevel="1" x14ac:dyDescent="0.25">
      <c r="A33" s="156" t="s">
        <v>121</v>
      </c>
      <c r="B33" s="115"/>
      <c r="C33" s="113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</row>
    <row r="34" spans="1:24" s="119" customFormat="1" outlineLevel="1" x14ac:dyDescent="0.25">
      <c r="A34" s="119" t="s">
        <v>122</v>
      </c>
      <c r="B34" s="115"/>
      <c r="C34" s="149" t="str">
        <f>'Renewal Tool'!C37</f>
        <v/>
      </c>
      <c r="D34" s="157" t="e">
        <f t="shared" ref="D34:F36" si="16">C34-D54</f>
        <v>#VALUE!</v>
      </c>
      <c r="E34" s="157" t="e">
        <f t="shared" si="16"/>
        <v>#VALUE!</v>
      </c>
      <c r="F34" s="157" t="e">
        <f t="shared" si="16"/>
        <v>#VALUE!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</row>
    <row r="35" spans="1:24" s="119" customFormat="1" outlineLevel="1" x14ac:dyDescent="0.25">
      <c r="A35" s="111" t="s">
        <v>58</v>
      </c>
      <c r="B35" s="115"/>
      <c r="C35" s="149" t="str">
        <f>'Renewal Tool'!C38</f>
        <v/>
      </c>
      <c r="D35" s="157" t="e">
        <f t="shared" si="16"/>
        <v>#VALUE!</v>
      </c>
      <c r="E35" s="157" t="e">
        <f t="shared" si="16"/>
        <v>#VALUE!</v>
      </c>
      <c r="F35" s="157" t="e">
        <f t="shared" si="16"/>
        <v>#VALUE!</v>
      </c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</row>
    <row r="36" spans="1:24" s="119" customFormat="1" outlineLevel="1" x14ac:dyDescent="0.25">
      <c r="A36" s="111" t="s">
        <v>60</v>
      </c>
      <c r="B36" s="115"/>
      <c r="C36" s="149" t="str">
        <f>'Renewal Tool'!C39</f>
        <v/>
      </c>
      <c r="D36" s="157" t="e">
        <f t="shared" si="16"/>
        <v>#VALUE!</v>
      </c>
      <c r="E36" s="157" t="e">
        <f t="shared" si="16"/>
        <v>#VALUE!</v>
      </c>
      <c r="F36" s="157" t="e">
        <f t="shared" si="16"/>
        <v>#VALUE!</v>
      </c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</row>
    <row r="37" spans="1:24" s="119" customFormat="1" outlineLevel="1" x14ac:dyDescent="0.25">
      <c r="A37" s="111" t="s">
        <v>123</v>
      </c>
      <c r="B37" s="115"/>
      <c r="C37" s="149">
        <f>SUM(C34:C36)</f>
        <v>0</v>
      </c>
      <c r="D37" s="157" t="e">
        <f>SUM(D34:D36)</f>
        <v>#VALUE!</v>
      </c>
      <c r="E37" s="157" t="e">
        <f>SUM(E34:E36)</f>
        <v>#VALUE!</v>
      </c>
      <c r="F37" s="157" t="e">
        <f>SUM(F34:F36)</f>
        <v>#VALUE!</v>
      </c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</row>
    <row r="38" spans="1:24" s="119" customFormat="1" outlineLevel="1" x14ac:dyDescent="0.25">
      <c r="A38" s="158" t="s">
        <v>124</v>
      </c>
      <c r="B38" s="115"/>
      <c r="C38" s="149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</row>
    <row r="39" spans="1:24" s="119" customFormat="1" outlineLevel="1" x14ac:dyDescent="0.25">
      <c r="B39" s="115"/>
      <c r="C39" s="113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</row>
    <row r="40" spans="1:24" s="119" customFormat="1" outlineLevel="1" x14ac:dyDescent="0.25">
      <c r="A40" s="156" t="s">
        <v>125</v>
      </c>
      <c r="B40" s="115"/>
      <c r="C40" s="113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</row>
    <row r="41" spans="1:24" s="119" customFormat="1" outlineLevel="1" x14ac:dyDescent="0.25">
      <c r="A41" s="119" t="s">
        <v>122</v>
      </c>
      <c r="B41" s="115"/>
      <c r="C41" s="149" t="str">
        <f>'Renewal Tool'!C46</f>
        <v/>
      </c>
      <c r="D41" s="128" t="e">
        <f>IF(D6&lt;=$B$4,ROUND(C41-D59,0),"")</f>
        <v>#VALUE!</v>
      </c>
      <c r="E41" s="128" t="e">
        <f t="shared" ref="E41:W41" si="17">IF(E6&lt;=$B$4,ROUND(D41-E59,0),"")</f>
        <v>#VALUE!</v>
      </c>
      <c r="F41" s="128" t="e">
        <f t="shared" si="17"/>
        <v>#VALUE!</v>
      </c>
      <c r="G41" s="128" t="e">
        <f t="shared" si="17"/>
        <v>#VALUE!</v>
      </c>
      <c r="H41" s="128" t="e">
        <f t="shared" si="17"/>
        <v>#VALUE!</v>
      </c>
      <c r="I41" s="128" t="e">
        <f t="shared" si="17"/>
        <v>#VALUE!</v>
      </c>
      <c r="J41" s="128" t="e">
        <f t="shared" si="17"/>
        <v>#VALUE!</v>
      </c>
      <c r="K41" s="128" t="e">
        <f t="shared" si="17"/>
        <v>#VALUE!</v>
      </c>
      <c r="L41" s="128" t="e">
        <f t="shared" si="17"/>
        <v>#VALUE!</v>
      </c>
      <c r="M41" s="128" t="e">
        <f t="shared" si="17"/>
        <v>#VALUE!</v>
      </c>
      <c r="N41" s="128" t="e">
        <f t="shared" si="17"/>
        <v>#VALUE!</v>
      </c>
      <c r="O41" s="128" t="e">
        <f t="shared" si="17"/>
        <v>#VALUE!</v>
      </c>
      <c r="P41" s="128" t="e">
        <f t="shared" si="17"/>
        <v>#VALUE!</v>
      </c>
      <c r="Q41" s="128" t="e">
        <f t="shared" si="17"/>
        <v>#VALUE!</v>
      </c>
      <c r="R41" s="128" t="e">
        <f t="shared" si="17"/>
        <v>#VALUE!</v>
      </c>
      <c r="S41" s="128" t="e">
        <f t="shared" si="17"/>
        <v>#VALUE!</v>
      </c>
      <c r="T41" s="128" t="e">
        <f t="shared" si="17"/>
        <v>#VALUE!</v>
      </c>
      <c r="U41" s="128" t="e">
        <f t="shared" si="17"/>
        <v>#VALUE!</v>
      </c>
      <c r="V41" s="128" t="e">
        <f t="shared" si="17"/>
        <v>#VALUE!</v>
      </c>
      <c r="W41" s="128" t="e">
        <f t="shared" si="17"/>
        <v>#VALUE!</v>
      </c>
      <c r="X41" s="115"/>
    </row>
    <row r="42" spans="1:24" s="119" customFormat="1" outlineLevel="1" x14ac:dyDescent="0.25">
      <c r="A42" s="111" t="s">
        <v>58</v>
      </c>
      <c r="B42" s="115"/>
      <c r="C42" s="149" t="str">
        <f>'Renewal Tool'!C47</f>
        <v/>
      </c>
      <c r="D42" s="128" t="e">
        <f>IF(D6&lt;=$B$4,ROUND(C42-D60,0),"")</f>
        <v>#VALUE!</v>
      </c>
      <c r="E42" s="128" t="e">
        <f t="shared" ref="E42:W42" si="18">IF(E6&lt;=$B$4,ROUND(D42-E60,0),"")</f>
        <v>#VALUE!</v>
      </c>
      <c r="F42" s="128" t="e">
        <f t="shared" si="18"/>
        <v>#VALUE!</v>
      </c>
      <c r="G42" s="128" t="e">
        <f t="shared" si="18"/>
        <v>#VALUE!</v>
      </c>
      <c r="H42" s="128" t="e">
        <f t="shared" si="18"/>
        <v>#VALUE!</v>
      </c>
      <c r="I42" s="128" t="e">
        <f t="shared" si="18"/>
        <v>#VALUE!</v>
      </c>
      <c r="J42" s="128" t="e">
        <f t="shared" si="18"/>
        <v>#VALUE!</v>
      </c>
      <c r="K42" s="128" t="e">
        <f t="shared" si="18"/>
        <v>#VALUE!</v>
      </c>
      <c r="L42" s="128" t="e">
        <f t="shared" si="18"/>
        <v>#VALUE!</v>
      </c>
      <c r="M42" s="128" t="e">
        <f t="shared" si="18"/>
        <v>#VALUE!</v>
      </c>
      <c r="N42" s="128" t="e">
        <f t="shared" si="18"/>
        <v>#VALUE!</v>
      </c>
      <c r="O42" s="128" t="e">
        <f t="shared" si="18"/>
        <v>#VALUE!</v>
      </c>
      <c r="P42" s="128" t="e">
        <f t="shared" si="18"/>
        <v>#VALUE!</v>
      </c>
      <c r="Q42" s="128" t="e">
        <f t="shared" si="18"/>
        <v>#VALUE!</v>
      </c>
      <c r="R42" s="128" t="e">
        <f t="shared" si="18"/>
        <v>#VALUE!</v>
      </c>
      <c r="S42" s="128" t="e">
        <f t="shared" si="18"/>
        <v>#VALUE!</v>
      </c>
      <c r="T42" s="128" t="e">
        <f t="shared" si="18"/>
        <v>#VALUE!</v>
      </c>
      <c r="U42" s="128" t="e">
        <f t="shared" si="18"/>
        <v>#VALUE!</v>
      </c>
      <c r="V42" s="128" t="e">
        <f t="shared" si="18"/>
        <v>#VALUE!</v>
      </c>
      <c r="W42" s="128" t="e">
        <f t="shared" si="18"/>
        <v>#VALUE!</v>
      </c>
      <c r="X42" s="115"/>
    </row>
    <row r="43" spans="1:24" s="119" customFormat="1" outlineLevel="1" x14ac:dyDescent="0.25">
      <c r="A43" s="111" t="s">
        <v>60</v>
      </c>
      <c r="B43" s="115"/>
      <c r="C43" s="149" t="str">
        <f>'Renewal Tool'!C48</f>
        <v/>
      </c>
      <c r="D43" s="128" t="e">
        <f>IF(D6&lt;=$B$4,ROUND(C43-D61,0),"")</f>
        <v>#VALUE!</v>
      </c>
      <c r="E43" s="128" t="e">
        <f t="shared" ref="E43:W43" si="19">IF(E6&lt;=$B$4,ROUND(D43-E61,0),"")</f>
        <v>#VALUE!</v>
      </c>
      <c r="F43" s="128" t="e">
        <f t="shared" si="19"/>
        <v>#VALUE!</v>
      </c>
      <c r="G43" s="128" t="e">
        <f t="shared" si="19"/>
        <v>#VALUE!</v>
      </c>
      <c r="H43" s="128" t="e">
        <f t="shared" si="19"/>
        <v>#VALUE!</v>
      </c>
      <c r="I43" s="128" t="e">
        <f t="shared" si="19"/>
        <v>#VALUE!</v>
      </c>
      <c r="J43" s="128" t="e">
        <f t="shared" si="19"/>
        <v>#VALUE!</v>
      </c>
      <c r="K43" s="128" t="e">
        <f t="shared" si="19"/>
        <v>#VALUE!</v>
      </c>
      <c r="L43" s="128" t="e">
        <f t="shared" si="19"/>
        <v>#VALUE!</v>
      </c>
      <c r="M43" s="128" t="e">
        <f t="shared" si="19"/>
        <v>#VALUE!</v>
      </c>
      <c r="N43" s="128" t="e">
        <f t="shared" si="19"/>
        <v>#VALUE!</v>
      </c>
      <c r="O43" s="128" t="e">
        <f t="shared" si="19"/>
        <v>#VALUE!</v>
      </c>
      <c r="P43" s="128" t="e">
        <f t="shared" si="19"/>
        <v>#VALUE!</v>
      </c>
      <c r="Q43" s="128" t="e">
        <f t="shared" si="19"/>
        <v>#VALUE!</v>
      </c>
      <c r="R43" s="128" t="e">
        <f t="shared" si="19"/>
        <v>#VALUE!</v>
      </c>
      <c r="S43" s="128" t="e">
        <f t="shared" si="19"/>
        <v>#VALUE!</v>
      </c>
      <c r="T43" s="128" t="e">
        <f t="shared" si="19"/>
        <v>#VALUE!</v>
      </c>
      <c r="U43" s="128" t="e">
        <f t="shared" si="19"/>
        <v>#VALUE!</v>
      </c>
      <c r="V43" s="128" t="e">
        <f t="shared" si="19"/>
        <v>#VALUE!</v>
      </c>
      <c r="W43" s="128" t="e">
        <f t="shared" si="19"/>
        <v>#VALUE!</v>
      </c>
      <c r="X43" s="115"/>
    </row>
    <row r="44" spans="1:24" s="119" customFormat="1" outlineLevel="1" x14ac:dyDescent="0.25">
      <c r="A44" s="111" t="s">
        <v>123</v>
      </c>
      <c r="B44" s="115"/>
      <c r="C44" s="149">
        <f>SUM(C41:C43)</f>
        <v>0</v>
      </c>
      <c r="D44" s="128" t="e">
        <f>IF(D6&lt;=$B$4,SUM(D41:D43),"")</f>
        <v>#VALUE!</v>
      </c>
      <c r="E44" s="128" t="e">
        <f t="shared" ref="E44:W44" si="20">IF(E6&lt;=$B$4,SUM(E41:E43),"")</f>
        <v>#VALUE!</v>
      </c>
      <c r="F44" s="128" t="e">
        <f t="shared" si="20"/>
        <v>#VALUE!</v>
      </c>
      <c r="G44" s="128" t="e">
        <f t="shared" si="20"/>
        <v>#VALUE!</v>
      </c>
      <c r="H44" s="128" t="e">
        <f t="shared" si="20"/>
        <v>#VALUE!</v>
      </c>
      <c r="I44" s="128" t="e">
        <f t="shared" si="20"/>
        <v>#VALUE!</v>
      </c>
      <c r="J44" s="128" t="e">
        <f t="shared" si="20"/>
        <v>#VALUE!</v>
      </c>
      <c r="K44" s="128" t="e">
        <f t="shared" si="20"/>
        <v>#VALUE!</v>
      </c>
      <c r="L44" s="128" t="e">
        <f t="shared" si="20"/>
        <v>#VALUE!</v>
      </c>
      <c r="M44" s="128" t="e">
        <f t="shared" si="20"/>
        <v>#VALUE!</v>
      </c>
      <c r="N44" s="128" t="e">
        <f t="shared" si="20"/>
        <v>#VALUE!</v>
      </c>
      <c r="O44" s="128" t="e">
        <f t="shared" si="20"/>
        <v>#VALUE!</v>
      </c>
      <c r="P44" s="128" t="e">
        <f t="shared" si="20"/>
        <v>#VALUE!</v>
      </c>
      <c r="Q44" s="128" t="e">
        <f t="shared" si="20"/>
        <v>#VALUE!</v>
      </c>
      <c r="R44" s="128" t="e">
        <f t="shared" si="20"/>
        <v>#VALUE!</v>
      </c>
      <c r="S44" s="128" t="e">
        <f t="shared" si="20"/>
        <v>#VALUE!</v>
      </c>
      <c r="T44" s="128" t="e">
        <f t="shared" si="20"/>
        <v>#VALUE!</v>
      </c>
      <c r="U44" s="128" t="e">
        <f t="shared" si="20"/>
        <v>#VALUE!</v>
      </c>
      <c r="V44" s="128" t="e">
        <f t="shared" si="20"/>
        <v>#VALUE!</v>
      </c>
      <c r="W44" s="128" t="e">
        <f t="shared" si="20"/>
        <v>#VALUE!</v>
      </c>
      <c r="X44" s="115"/>
    </row>
    <row r="45" spans="1:24" s="119" customFormat="1" outlineLevel="1" x14ac:dyDescent="0.25">
      <c r="B45" s="115"/>
      <c r="C45" s="113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</row>
    <row r="46" spans="1:24" s="119" customFormat="1" outlineLevel="1" x14ac:dyDescent="0.25">
      <c r="A46" s="156" t="s">
        <v>123</v>
      </c>
      <c r="B46" s="115"/>
      <c r="C46" s="113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</row>
    <row r="47" spans="1:24" s="119" customFormat="1" x14ac:dyDescent="0.25">
      <c r="A47" s="119" t="s">
        <v>122</v>
      </c>
      <c r="B47" s="115"/>
      <c r="C47" s="129">
        <f>SUM(C34,C41)</f>
        <v>0</v>
      </c>
      <c r="D47" s="128" t="e">
        <f t="shared" ref="D47:W47" si="21">SUM(D34,D41)</f>
        <v>#VALUE!</v>
      </c>
      <c r="E47" s="128" t="e">
        <f t="shared" si="21"/>
        <v>#VALUE!</v>
      </c>
      <c r="F47" s="128" t="e">
        <f t="shared" si="21"/>
        <v>#VALUE!</v>
      </c>
      <c r="G47" s="128" t="e">
        <f t="shared" si="21"/>
        <v>#VALUE!</v>
      </c>
      <c r="H47" s="128" t="e">
        <f t="shared" si="21"/>
        <v>#VALUE!</v>
      </c>
      <c r="I47" s="128" t="e">
        <f t="shared" si="21"/>
        <v>#VALUE!</v>
      </c>
      <c r="J47" s="128" t="e">
        <f t="shared" si="21"/>
        <v>#VALUE!</v>
      </c>
      <c r="K47" s="128" t="e">
        <f t="shared" si="21"/>
        <v>#VALUE!</v>
      </c>
      <c r="L47" s="128" t="e">
        <f t="shared" si="21"/>
        <v>#VALUE!</v>
      </c>
      <c r="M47" s="128" t="e">
        <f t="shared" si="21"/>
        <v>#VALUE!</v>
      </c>
      <c r="N47" s="128" t="e">
        <f t="shared" si="21"/>
        <v>#VALUE!</v>
      </c>
      <c r="O47" s="128" t="e">
        <f t="shared" si="21"/>
        <v>#VALUE!</v>
      </c>
      <c r="P47" s="128" t="e">
        <f t="shared" si="21"/>
        <v>#VALUE!</v>
      </c>
      <c r="Q47" s="128" t="e">
        <f t="shared" si="21"/>
        <v>#VALUE!</v>
      </c>
      <c r="R47" s="128" t="e">
        <f t="shared" si="21"/>
        <v>#VALUE!</v>
      </c>
      <c r="S47" s="128" t="e">
        <f t="shared" si="21"/>
        <v>#VALUE!</v>
      </c>
      <c r="T47" s="128" t="e">
        <f t="shared" si="21"/>
        <v>#VALUE!</v>
      </c>
      <c r="U47" s="128" t="e">
        <f t="shared" si="21"/>
        <v>#VALUE!</v>
      </c>
      <c r="V47" s="128" t="e">
        <f t="shared" si="21"/>
        <v>#VALUE!</v>
      </c>
      <c r="W47" s="128" t="e">
        <f t="shared" si="21"/>
        <v>#VALUE!</v>
      </c>
      <c r="X47" s="115"/>
    </row>
    <row r="48" spans="1:24" x14ac:dyDescent="0.25">
      <c r="A48" s="111" t="s">
        <v>58</v>
      </c>
      <c r="C48" s="129">
        <f>SUM(C35,C42)</f>
        <v>0</v>
      </c>
      <c r="D48" s="128" t="e">
        <f t="shared" ref="D48:W48" si="22">SUM(D35,D42)</f>
        <v>#VALUE!</v>
      </c>
      <c r="E48" s="128" t="e">
        <f t="shared" si="22"/>
        <v>#VALUE!</v>
      </c>
      <c r="F48" s="128" t="e">
        <f t="shared" si="22"/>
        <v>#VALUE!</v>
      </c>
      <c r="G48" s="128" t="e">
        <f t="shared" si="22"/>
        <v>#VALUE!</v>
      </c>
      <c r="H48" s="128" t="e">
        <f t="shared" si="22"/>
        <v>#VALUE!</v>
      </c>
      <c r="I48" s="128" t="e">
        <f t="shared" si="22"/>
        <v>#VALUE!</v>
      </c>
      <c r="J48" s="128" t="e">
        <f t="shared" si="22"/>
        <v>#VALUE!</v>
      </c>
      <c r="K48" s="128" t="e">
        <f t="shared" si="22"/>
        <v>#VALUE!</v>
      </c>
      <c r="L48" s="128" t="e">
        <f t="shared" si="22"/>
        <v>#VALUE!</v>
      </c>
      <c r="M48" s="128" t="e">
        <f t="shared" si="22"/>
        <v>#VALUE!</v>
      </c>
      <c r="N48" s="128" t="e">
        <f t="shared" si="22"/>
        <v>#VALUE!</v>
      </c>
      <c r="O48" s="128" t="e">
        <f t="shared" si="22"/>
        <v>#VALUE!</v>
      </c>
      <c r="P48" s="128" t="e">
        <f t="shared" si="22"/>
        <v>#VALUE!</v>
      </c>
      <c r="Q48" s="128" t="e">
        <f t="shared" si="22"/>
        <v>#VALUE!</v>
      </c>
      <c r="R48" s="128" t="e">
        <f t="shared" si="22"/>
        <v>#VALUE!</v>
      </c>
      <c r="S48" s="128" t="e">
        <f t="shared" si="22"/>
        <v>#VALUE!</v>
      </c>
      <c r="T48" s="128" t="e">
        <f t="shared" si="22"/>
        <v>#VALUE!</v>
      </c>
      <c r="U48" s="128" t="e">
        <f t="shared" si="22"/>
        <v>#VALUE!</v>
      </c>
      <c r="V48" s="128" t="e">
        <f t="shared" si="22"/>
        <v>#VALUE!</v>
      </c>
      <c r="W48" s="128" t="e">
        <f t="shared" si="22"/>
        <v>#VALUE!</v>
      </c>
      <c r="X48" s="142"/>
    </row>
    <row r="49" spans="1:24" x14ac:dyDescent="0.25">
      <c r="A49" s="111" t="s">
        <v>60</v>
      </c>
      <c r="C49" s="129">
        <f>SUM(C36,C43)</f>
        <v>0</v>
      </c>
      <c r="D49" s="128" t="e">
        <f t="shared" ref="D49:W49" si="23">SUM(D36,D43)</f>
        <v>#VALUE!</v>
      </c>
      <c r="E49" s="128" t="e">
        <f t="shared" si="23"/>
        <v>#VALUE!</v>
      </c>
      <c r="F49" s="128" t="e">
        <f t="shared" si="23"/>
        <v>#VALUE!</v>
      </c>
      <c r="G49" s="128" t="e">
        <f t="shared" si="23"/>
        <v>#VALUE!</v>
      </c>
      <c r="H49" s="128" t="e">
        <f t="shared" si="23"/>
        <v>#VALUE!</v>
      </c>
      <c r="I49" s="128" t="e">
        <f t="shared" si="23"/>
        <v>#VALUE!</v>
      </c>
      <c r="J49" s="128" t="e">
        <f t="shared" si="23"/>
        <v>#VALUE!</v>
      </c>
      <c r="K49" s="128" t="e">
        <f t="shared" si="23"/>
        <v>#VALUE!</v>
      </c>
      <c r="L49" s="128" t="e">
        <f t="shared" si="23"/>
        <v>#VALUE!</v>
      </c>
      <c r="M49" s="128" t="e">
        <f t="shared" si="23"/>
        <v>#VALUE!</v>
      </c>
      <c r="N49" s="128" t="e">
        <f t="shared" si="23"/>
        <v>#VALUE!</v>
      </c>
      <c r="O49" s="128" t="e">
        <f t="shared" si="23"/>
        <v>#VALUE!</v>
      </c>
      <c r="P49" s="128" t="e">
        <f t="shared" si="23"/>
        <v>#VALUE!</v>
      </c>
      <c r="Q49" s="128" t="e">
        <f t="shared" si="23"/>
        <v>#VALUE!</v>
      </c>
      <c r="R49" s="128" t="e">
        <f t="shared" si="23"/>
        <v>#VALUE!</v>
      </c>
      <c r="S49" s="128" t="e">
        <f t="shared" si="23"/>
        <v>#VALUE!</v>
      </c>
      <c r="T49" s="128" t="e">
        <f t="shared" si="23"/>
        <v>#VALUE!</v>
      </c>
      <c r="U49" s="128" t="e">
        <f t="shared" si="23"/>
        <v>#VALUE!</v>
      </c>
      <c r="V49" s="128" t="e">
        <f t="shared" si="23"/>
        <v>#VALUE!</v>
      </c>
      <c r="W49" s="128" t="e">
        <f t="shared" si="23"/>
        <v>#VALUE!</v>
      </c>
      <c r="X49" s="129"/>
    </row>
    <row r="50" spans="1:24" x14ac:dyDescent="0.25">
      <c r="A50" s="111" t="s">
        <v>123</v>
      </c>
      <c r="C50" s="149">
        <f>SUM(C47:C49)</f>
        <v>0</v>
      </c>
      <c r="D50" s="128" t="e">
        <f t="shared" ref="D50:W50" si="24">SUM(D47:D49)</f>
        <v>#VALUE!</v>
      </c>
      <c r="E50" s="128" t="e">
        <f t="shared" si="24"/>
        <v>#VALUE!</v>
      </c>
      <c r="F50" s="128" t="e">
        <f t="shared" si="24"/>
        <v>#VALUE!</v>
      </c>
      <c r="G50" s="128" t="e">
        <f t="shared" si="24"/>
        <v>#VALUE!</v>
      </c>
      <c r="H50" s="128" t="e">
        <f t="shared" si="24"/>
        <v>#VALUE!</v>
      </c>
      <c r="I50" s="128" t="e">
        <f t="shared" si="24"/>
        <v>#VALUE!</v>
      </c>
      <c r="J50" s="128" t="e">
        <f t="shared" si="24"/>
        <v>#VALUE!</v>
      </c>
      <c r="K50" s="128" t="e">
        <f t="shared" si="24"/>
        <v>#VALUE!</v>
      </c>
      <c r="L50" s="128" t="e">
        <f t="shared" si="24"/>
        <v>#VALUE!</v>
      </c>
      <c r="M50" s="128" t="e">
        <f t="shared" si="24"/>
        <v>#VALUE!</v>
      </c>
      <c r="N50" s="128" t="e">
        <f t="shared" si="24"/>
        <v>#VALUE!</v>
      </c>
      <c r="O50" s="128" t="e">
        <f t="shared" si="24"/>
        <v>#VALUE!</v>
      </c>
      <c r="P50" s="128" t="e">
        <f t="shared" si="24"/>
        <v>#VALUE!</v>
      </c>
      <c r="Q50" s="128" t="e">
        <f t="shared" si="24"/>
        <v>#VALUE!</v>
      </c>
      <c r="R50" s="128" t="e">
        <f t="shared" si="24"/>
        <v>#VALUE!</v>
      </c>
      <c r="S50" s="128" t="e">
        <f t="shared" si="24"/>
        <v>#VALUE!</v>
      </c>
      <c r="T50" s="128" t="e">
        <f t="shared" si="24"/>
        <v>#VALUE!</v>
      </c>
      <c r="U50" s="128" t="e">
        <f t="shared" si="24"/>
        <v>#VALUE!</v>
      </c>
      <c r="V50" s="128" t="e">
        <f t="shared" si="24"/>
        <v>#VALUE!</v>
      </c>
      <c r="W50" s="128" t="e">
        <f t="shared" si="24"/>
        <v>#VALUE!</v>
      </c>
      <c r="X50" s="129"/>
    </row>
    <row r="51" spans="1:24" x14ac:dyDescent="0.25">
      <c r="C51" s="113"/>
      <c r="X51" s="129"/>
    </row>
    <row r="52" spans="1:24" x14ac:dyDescent="0.25">
      <c r="A52" s="155" t="s">
        <v>126</v>
      </c>
      <c r="X52" s="129"/>
    </row>
    <row r="53" spans="1:24" x14ac:dyDescent="0.25">
      <c r="A53" s="156" t="s">
        <v>121</v>
      </c>
      <c r="X53" s="129"/>
    </row>
    <row r="54" spans="1:24" x14ac:dyDescent="0.25">
      <c r="A54" s="119" t="s">
        <v>122</v>
      </c>
      <c r="D54" s="142" t="e">
        <f>$C$34/3</f>
        <v>#VALUE!</v>
      </c>
      <c r="E54" s="142" t="e">
        <f>$C$34/3</f>
        <v>#VALUE!</v>
      </c>
      <c r="F54" s="142" t="e">
        <f>$C$34/3</f>
        <v>#VALUE!</v>
      </c>
      <c r="X54" s="129"/>
    </row>
    <row r="55" spans="1:24" x14ac:dyDescent="0.25">
      <c r="A55" s="111" t="s">
        <v>58</v>
      </c>
      <c r="D55" s="142" t="e">
        <f>$C$35/3</f>
        <v>#VALUE!</v>
      </c>
      <c r="E55" s="142" t="e">
        <f>$C$35/3</f>
        <v>#VALUE!</v>
      </c>
      <c r="F55" s="142" t="e">
        <f>$C$35/3</f>
        <v>#VALUE!</v>
      </c>
      <c r="X55" s="129"/>
    </row>
    <row r="56" spans="1:24" x14ac:dyDescent="0.25">
      <c r="A56" s="111" t="s">
        <v>60</v>
      </c>
      <c r="D56" s="142" t="e">
        <f>$C$36/3</f>
        <v>#VALUE!</v>
      </c>
      <c r="E56" s="142" t="e">
        <f>$C$36/3</f>
        <v>#VALUE!</v>
      </c>
      <c r="F56" s="142" t="e">
        <f>$C$36/3</f>
        <v>#VALUE!</v>
      </c>
      <c r="X56" s="129"/>
    </row>
    <row r="57" spans="1:24" x14ac:dyDescent="0.25">
      <c r="A57" s="119"/>
      <c r="X57" s="129"/>
    </row>
    <row r="58" spans="1:24" x14ac:dyDescent="0.25">
      <c r="A58" s="156" t="s">
        <v>125</v>
      </c>
      <c r="X58" s="129"/>
    </row>
    <row r="59" spans="1:24" x14ac:dyDescent="0.25">
      <c r="A59" s="119" t="s">
        <v>122</v>
      </c>
      <c r="D59" s="142" t="e">
        <f>IF(D6&lt;=$B$4,IF(ROUND($C$47/'Renewal Tool'!$B$10,0)&gt;C47,C47,ROUND($C$47/'Renewal Tool'!$B$10,0)),"")</f>
        <v>#VALUE!</v>
      </c>
      <c r="E59" s="142" t="e">
        <f>IF(E6&lt;=$B$4,IF(ROUND($C$47/'Renewal Tool'!$B$10,0)&gt;D41,D41,ROUND($C$47/'Renewal Tool'!$B$10,0)),"")</f>
        <v>#VALUE!</v>
      </c>
      <c r="F59" s="142" t="e">
        <f>IF(F6&lt;=$B$4,IF(ROUND($C$47/'Renewal Tool'!$B$10,0)&gt;E41,E41,ROUND($C$47/'Renewal Tool'!$B$10,0)),"")</f>
        <v>#VALUE!</v>
      </c>
      <c r="G59" s="142" t="e">
        <f>IF(G6&lt;=$B$4,IF(ROUND($C$47/'Renewal Tool'!$B$10,0)&gt;F41,F41,ROUND($C$47/'Renewal Tool'!$B$10,0)),"")</f>
        <v>#VALUE!</v>
      </c>
      <c r="H59" s="142" t="e">
        <f>IF(H6&lt;=$B$4,IF(ROUND($C$47/'Renewal Tool'!$B$10,0)&gt;G41,G41,ROUND($C$47/'Renewal Tool'!$B$10,0)),"")</f>
        <v>#VALUE!</v>
      </c>
      <c r="I59" s="142" t="e">
        <f>IF(I6&lt;=$B$4,IF(ROUND($C$47/'Renewal Tool'!$B$10,0)&gt;H41,H41,ROUND($C$47/'Renewal Tool'!$B$10,0)),"")</f>
        <v>#VALUE!</v>
      </c>
      <c r="J59" s="142" t="e">
        <f>IF(J6&lt;=$B$4,IF(ROUND($C$47/'Renewal Tool'!$B$10,0)&gt;I41,I41,ROUND($C$47/'Renewal Tool'!$B$10,0)),"")</f>
        <v>#VALUE!</v>
      </c>
      <c r="K59" s="142" t="e">
        <f>IF(K6&lt;=$B$4,IF(ROUND($C$47/'Renewal Tool'!$B$10,0)&gt;J41,J41,ROUND($C$47/'Renewal Tool'!$B$10,0)),"")</f>
        <v>#VALUE!</v>
      </c>
      <c r="L59" s="142" t="e">
        <f>IF(L6&lt;=$B$4,IF(ROUND($C$47/'Renewal Tool'!$B$10,0)&gt;K41,K41,ROUND($C$47/'Renewal Tool'!$B$10,0)),"")</f>
        <v>#VALUE!</v>
      </c>
      <c r="M59" s="142" t="e">
        <f>IF(M6&lt;=$B$4,IF(ROUND($C$47/'Renewal Tool'!$B$10,0)&gt;L41,L41,ROUND($C$47/'Renewal Tool'!$B$10,0)),"")</f>
        <v>#VALUE!</v>
      </c>
      <c r="N59" s="142" t="e">
        <f>IF(N6&lt;=$B$4,IF(ROUND($C$47/'Renewal Tool'!$B$10,0)&gt;M41,M41,ROUND($C$47/'Renewal Tool'!$B$10,0)),"")</f>
        <v>#VALUE!</v>
      </c>
      <c r="O59" s="142" t="e">
        <f>IF(O6&lt;=$B$4,IF(ROUND($C$47/'Renewal Tool'!$B$10,0)&gt;N41,N41,ROUND($C$47/'Renewal Tool'!$B$10,0)),"")</f>
        <v>#VALUE!</v>
      </c>
      <c r="P59" s="142" t="e">
        <f>IF(P6&lt;=$B$4,IF(ROUND($C$47/'Renewal Tool'!$B$10,0)&gt;O41,O41,ROUND($C$47/'Renewal Tool'!$B$10,0)),"")</f>
        <v>#VALUE!</v>
      </c>
      <c r="Q59" s="142" t="e">
        <f>IF(Q6&lt;=$B$4,IF(ROUND($C$47/'Renewal Tool'!$B$10,0)&gt;P41,P41,ROUND($C$47/'Renewal Tool'!$B$10,0)),"")</f>
        <v>#VALUE!</v>
      </c>
      <c r="R59" s="142" t="e">
        <f>IF(R6&lt;=$B$4,IF(ROUND($C$47/'Renewal Tool'!$B$10,0)&gt;Q41,Q41,ROUND($C$47/'Renewal Tool'!$B$10,0)),"")</f>
        <v>#VALUE!</v>
      </c>
      <c r="S59" s="142" t="e">
        <f>IF(S6&lt;=$B$4,IF(ROUND($C$47/'Renewal Tool'!$B$10,0)&gt;R41,R41,ROUND($C$47/'Renewal Tool'!$B$10,0)),"")</f>
        <v>#VALUE!</v>
      </c>
      <c r="T59" s="142" t="e">
        <f>IF(T6&lt;=$B$4,IF(ROUND($C$47/'Renewal Tool'!$B$10,0)&gt;S41,S41,ROUND($C$47/'Renewal Tool'!$B$10,0)),"")</f>
        <v>#VALUE!</v>
      </c>
      <c r="U59" s="142" t="e">
        <f>IF(U6&lt;=$B$4,IF(ROUND($C$47/'Renewal Tool'!$B$10,0)&gt;T41,T41,ROUND($C$47/'Renewal Tool'!$B$10,0)),"")</f>
        <v>#VALUE!</v>
      </c>
      <c r="V59" s="142" t="e">
        <f>IF(V6&lt;=$B$4,IF(ROUND($C$47/'Renewal Tool'!$B$10,0)&gt;U41,U41,ROUND($C$47/'Renewal Tool'!$B$10,0)),"")</f>
        <v>#VALUE!</v>
      </c>
      <c r="W59" s="142" t="e">
        <f>IF(W6&lt;=$B$4,IF(ROUND($C$47/'Renewal Tool'!$B$10,0)&gt;V41,V41,ROUND($C$47/'Renewal Tool'!$B$10,0)),"")</f>
        <v>#VALUE!</v>
      </c>
      <c r="X59" s="129" t="e">
        <f>SUM(D59:W59)</f>
        <v>#VALUE!</v>
      </c>
    </row>
    <row r="60" spans="1:24" x14ac:dyDescent="0.25">
      <c r="A60" s="111" t="s">
        <v>58</v>
      </c>
      <c r="D60" s="142" t="e">
        <f>IF(D6&lt;=$B$4,IF(ROUND($C$48/'Renewal Tool'!$B$10,0)&gt;C48,C48,ROUND($C$48/'Renewal Tool'!$B$10,0)),"")</f>
        <v>#VALUE!</v>
      </c>
      <c r="E60" s="142" t="e">
        <f>IF(E6&lt;=$B$4,IF(ROUND($C$48/'Renewal Tool'!$B$10,0)&gt;D42,D42,ROUND($C$48/'Renewal Tool'!$B$10,0)),"")</f>
        <v>#VALUE!</v>
      </c>
      <c r="F60" s="142" t="e">
        <f>IF(F6&lt;=$B$4,IF(ROUND($C$48/'Renewal Tool'!$B$10,0)&gt;E42,E42,ROUND($C$48/'Renewal Tool'!$B$10,0)),"")</f>
        <v>#VALUE!</v>
      </c>
      <c r="G60" s="142" t="e">
        <f>IF(G6&lt;=$B$4,IF(ROUND($C$48/'Renewal Tool'!$B$10,0)&gt;F42,F42,ROUND($C$48/'Renewal Tool'!$B$10,0)),"")</f>
        <v>#VALUE!</v>
      </c>
      <c r="H60" s="142" t="e">
        <f>IF(H6&lt;=$B$4,IF(ROUND($C$48/'Renewal Tool'!$B$10,0)&gt;G42,G42,ROUND($C$48/'Renewal Tool'!$B$10,0)),"")</f>
        <v>#VALUE!</v>
      </c>
      <c r="I60" s="142" t="e">
        <f>IF(I6&lt;=$B$4,IF(ROUND($C$48/'Renewal Tool'!$B$10,0)&gt;H42,H42,ROUND($C$48/'Renewal Tool'!$B$10,0)),"")</f>
        <v>#VALUE!</v>
      </c>
      <c r="J60" s="142" t="e">
        <f>IF(J6&lt;=$B$4,IF(ROUND($C$48/'Renewal Tool'!$B$10,0)&gt;I42,I42,ROUND($C$48/'Renewal Tool'!$B$10,0)),"")</f>
        <v>#VALUE!</v>
      </c>
      <c r="K60" s="142" t="e">
        <f>IF(K6&lt;=$B$4,IF(ROUND($C$48/'Renewal Tool'!$B$10,0)&gt;J42,J42,ROUND($C$48/'Renewal Tool'!$B$10,0)),"")</f>
        <v>#VALUE!</v>
      </c>
      <c r="L60" s="142" t="e">
        <f>IF(L6&lt;=$B$4,IF(ROUND($C$48/'Renewal Tool'!$B$10,0)&gt;K42,K42,ROUND($C$48/'Renewal Tool'!$B$10,0)),"")</f>
        <v>#VALUE!</v>
      </c>
      <c r="M60" s="142" t="e">
        <f>IF(M6&lt;=$B$4,IF(ROUND($C$48/'Renewal Tool'!$B$10,0)&gt;L42,L42,ROUND($C$48/'Renewal Tool'!$B$10,0)),"")</f>
        <v>#VALUE!</v>
      </c>
      <c r="N60" s="142" t="e">
        <f>IF(N6&lt;=$B$4,IF(ROUND($C$48/'Renewal Tool'!$B$10,0)&gt;M42,M42,ROUND($C$48/'Renewal Tool'!$B$10,0)),"")</f>
        <v>#VALUE!</v>
      </c>
      <c r="O60" s="142" t="e">
        <f>IF(O6&lt;=$B$4,IF(ROUND($C$48/'Renewal Tool'!$B$10,0)&gt;N42,N42,ROUND($C$48/'Renewal Tool'!$B$10,0)),"")</f>
        <v>#VALUE!</v>
      </c>
      <c r="P60" s="142" t="e">
        <f>IF(P6&lt;=$B$4,IF(ROUND($C$48/'Renewal Tool'!$B$10,0)&gt;O42,O42,ROUND($C$48/'Renewal Tool'!$B$10,0)),"")</f>
        <v>#VALUE!</v>
      </c>
      <c r="Q60" s="142" t="e">
        <f>IF(Q6&lt;=$B$4,IF(ROUND($C$48/'Renewal Tool'!$B$10,0)&gt;P42,P42,ROUND($C$48/'Renewal Tool'!$B$10,0)),"")</f>
        <v>#VALUE!</v>
      </c>
      <c r="R60" s="142" t="e">
        <f>IF(R6&lt;=$B$4,IF(ROUND($C$48/'Renewal Tool'!$B$10,0)&gt;Q42,Q42,ROUND($C$48/'Renewal Tool'!$B$10,0)),"")</f>
        <v>#VALUE!</v>
      </c>
      <c r="S60" s="142" t="e">
        <f>IF(S6&lt;=$B$4,IF(ROUND($C$48/'Renewal Tool'!$B$10,0)&gt;R42,R42,ROUND($C$48/'Renewal Tool'!$B$10,0)),"")</f>
        <v>#VALUE!</v>
      </c>
      <c r="T60" s="142" t="e">
        <f>IF(T6&lt;=$B$4,IF(ROUND($C$48/'Renewal Tool'!$B$10,0)&gt;S42,S42,ROUND($C$48/'Renewal Tool'!$B$10,0)),"")</f>
        <v>#VALUE!</v>
      </c>
      <c r="U60" s="142" t="e">
        <f>IF(U6&lt;=$B$4,IF(ROUND($C$48/'Renewal Tool'!$B$10,0)&gt;T42,T42,ROUND($C$48/'Renewal Tool'!$B$10,0)),"")</f>
        <v>#VALUE!</v>
      </c>
      <c r="V60" s="142" t="e">
        <f>IF(V6&lt;=$B$4,IF(ROUND($C$48/'Renewal Tool'!$B$10,0)&gt;U42,U42,ROUND($C$48/'Renewal Tool'!$B$10,0)),"")</f>
        <v>#VALUE!</v>
      </c>
      <c r="W60" s="142" t="e">
        <f>IF(W6&lt;=$B$4,IF(ROUND($C$48/'Renewal Tool'!$B$10,0)&gt;V42,V42,ROUND($C$48/'Renewal Tool'!$B$10,0)),"")</f>
        <v>#VALUE!</v>
      </c>
      <c r="X60" s="129" t="e">
        <f>SUM(D60:W60)</f>
        <v>#VALUE!</v>
      </c>
    </row>
    <row r="61" spans="1:24" x14ac:dyDescent="0.25">
      <c r="A61" s="111" t="s">
        <v>60</v>
      </c>
      <c r="D61" s="142">
        <f>IF(D6&lt;=$B$4,IF(ROUND($C$49/10,0)&gt;C49,C49,ROUND($C$49/10,0)),"")</f>
        <v>0</v>
      </c>
      <c r="E61" s="142" t="e">
        <f t="shared" ref="E61:W61" si="25">IF(E6&lt;=$B$4,IF(ROUND($C$49/10,0)&gt;D43,D43,ROUND($C$49/10,0)),"")</f>
        <v>#VALUE!</v>
      </c>
      <c r="F61" s="142" t="e">
        <f t="shared" si="25"/>
        <v>#VALUE!</v>
      </c>
      <c r="G61" s="142" t="e">
        <f t="shared" si="25"/>
        <v>#VALUE!</v>
      </c>
      <c r="H61" s="142" t="e">
        <f t="shared" si="25"/>
        <v>#VALUE!</v>
      </c>
      <c r="I61" s="142" t="e">
        <f t="shared" si="25"/>
        <v>#VALUE!</v>
      </c>
      <c r="J61" s="142" t="e">
        <f t="shared" si="25"/>
        <v>#VALUE!</v>
      </c>
      <c r="K61" s="142" t="e">
        <f t="shared" si="25"/>
        <v>#VALUE!</v>
      </c>
      <c r="L61" s="142" t="e">
        <f t="shared" si="25"/>
        <v>#VALUE!</v>
      </c>
      <c r="M61" s="142" t="e">
        <f t="shared" si="25"/>
        <v>#VALUE!</v>
      </c>
      <c r="N61" s="142" t="e">
        <f t="shared" si="25"/>
        <v>#VALUE!</v>
      </c>
      <c r="O61" s="142" t="e">
        <f t="shared" si="25"/>
        <v>#VALUE!</v>
      </c>
      <c r="P61" s="142" t="e">
        <f t="shared" si="25"/>
        <v>#VALUE!</v>
      </c>
      <c r="Q61" s="142" t="e">
        <f t="shared" si="25"/>
        <v>#VALUE!</v>
      </c>
      <c r="R61" s="142" t="e">
        <f t="shared" si="25"/>
        <v>#VALUE!</v>
      </c>
      <c r="S61" s="142" t="e">
        <f t="shared" si="25"/>
        <v>#VALUE!</v>
      </c>
      <c r="T61" s="142" t="e">
        <f t="shared" si="25"/>
        <v>#VALUE!</v>
      </c>
      <c r="U61" s="142" t="e">
        <f t="shared" si="25"/>
        <v>#VALUE!</v>
      </c>
      <c r="V61" s="142" t="e">
        <f t="shared" si="25"/>
        <v>#VALUE!</v>
      </c>
      <c r="W61" s="142" t="e">
        <f t="shared" si="25"/>
        <v>#VALUE!</v>
      </c>
      <c r="X61" s="129" t="e">
        <f>SUM(D61:W61)</f>
        <v>#VALUE!</v>
      </c>
    </row>
    <row r="62" spans="1:24" x14ac:dyDescent="0.25">
      <c r="X62" s="129"/>
    </row>
    <row r="63" spans="1:24" x14ac:dyDescent="0.25">
      <c r="A63" s="119" t="s">
        <v>127</v>
      </c>
      <c r="X63" s="129"/>
    </row>
    <row r="64" spans="1:24" x14ac:dyDescent="0.25">
      <c r="A64" s="119" t="s">
        <v>122</v>
      </c>
      <c r="D64" s="142" t="e">
        <f>IF(D6&lt;=$B$4,ROUND(AVERAGE(C47:D47)*8%,0),"")</f>
        <v>#VALUE!</v>
      </c>
      <c r="E64" s="142" t="e">
        <f t="shared" ref="E64:W64" si="26">IF(E6&lt;=$B$4,ROUND(AVERAGE(D41:E41)*8%,0),"")</f>
        <v>#VALUE!</v>
      </c>
      <c r="F64" s="142" t="e">
        <f t="shared" si="26"/>
        <v>#VALUE!</v>
      </c>
      <c r="G64" s="142" t="e">
        <f t="shared" si="26"/>
        <v>#VALUE!</v>
      </c>
      <c r="H64" s="142" t="e">
        <f t="shared" si="26"/>
        <v>#VALUE!</v>
      </c>
      <c r="I64" s="142" t="e">
        <f t="shared" si="26"/>
        <v>#VALUE!</v>
      </c>
      <c r="J64" s="142" t="e">
        <f t="shared" si="26"/>
        <v>#VALUE!</v>
      </c>
      <c r="K64" s="142" t="e">
        <f t="shared" si="26"/>
        <v>#VALUE!</v>
      </c>
      <c r="L64" s="142" t="e">
        <f t="shared" si="26"/>
        <v>#VALUE!</v>
      </c>
      <c r="M64" s="142" t="e">
        <f t="shared" si="26"/>
        <v>#VALUE!</v>
      </c>
      <c r="N64" s="142" t="e">
        <f t="shared" si="26"/>
        <v>#VALUE!</v>
      </c>
      <c r="O64" s="142" t="e">
        <f t="shared" si="26"/>
        <v>#VALUE!</v>
      </c>
      <c r="P64" s="142" t="e">
        <f t="shared" si="26"/>
        <v>#VALUE!</v>
      </c>
      <c r="Q64" s="142" t="e">
        <f t="shared" si="26"/>
        <v>#VALUE!</v>
      </c>
      <c r="R64" s="142" t="e">
        <f t="shared" si="26"/>
        <v>#VALUE!</v>
      </c>
      <c r="S64" s="142" t="e">
        <f t="shared" si="26"/>
        <v>#VALUE!</v>
      </c>
      <c r="T64" s="142" t="e">
        <f t="shared" si="26"/>
        <v>#VALUE!</v>
      </c>
      <c r="U64" s="142" t="e">
        <f t="shared" si="26"/>
        <v>#VALUE!</v>
      </c>
      <c r="V64" s="142" t="e">
        <f t="shared" si="26"/>
        <v>#VALUE!</v>
      </c>
      <c r="W64" s="142" t="e">
        <f t="shared" si="26"/>
        <v>#VALUE!</v>
      </c>
      <c r="X64" s="129" t="e">
        <f>SUM(D64:W64)</f>
        <v>#VALUE!</v>
      </c>
    </row>
    <row r="65" spans="1:24" x14ac:dyDescent="0.25">
      <c r="A65" s="111" t="s">
        <v>58</v>
      </c>
      <c r="D65" s="142" t="e">
        <f>IF(D6&lt;=$B$4,ROUND(AVERAGE(C48:D48)*8%,0),"")</f>
        <v>#VALUE!</v>
      </c>
      <c r="E65" s="142" t="e">
        <f t="shared" ref="E65:W65" si="27">IF(E6&lt;=$B$4,ROUND(AVERAGE(D42:E42)*8%,0),"")</f>
        <v>#VALUE!</v>
      </c>
      <c r="F65" s="142" t="e">
        <f t="shared" si="27"/>
        <v>#VALUE!</v>
      </c>
      <c r="G65" s="142" t="e">
        <f t="shared" si="27"/>
        <v>#VALUE!</v>
      </c>
      <c r="H65" s="142" t="e">
        <f t="shared" si="27"/>
        <v>#VALUE!</v>
      </c>
      <c r="I65" s="142" t="e">
        <f t="shared" si="27"/>
        <v>#VALUE!</v>
      </c>
      <c r="J65" s="142" t="e">
        <f t="shared" si="27"/>
        <v>#VALUE!</v>
      </c>
      <c r="K65" s="142" t="e">
        <f t="shared" si="27"/>
        <v>#VALUE!</v>
      </c>
      <c r="L65" s="142" t="e">
        <f t="shared" si="27"/>
        <v>#VALUE!</v>
      </c>
      <c r="M65" s="142" t="e">
        <f t="shared" si="27"/>
        <v>#VALUE!</v>
      </c>
      <c r="N65" s="142" t="e">
        <f t="shared" si="27"/>
        <v>#VALUE!</v>
      </c>
      <c r="O65" s="142" t="e">
        <f t="shared" si="27"/>
        <v>#VALUE!</v>
      </c>
      <c r="P65" s="142" t="e">
        <f t="shared" si="27"/>
        <v>#VALUE!</v>
      </c>
      <c r="Q65" s="142" t="e">
        <f t="shared" si="27"/>
        <v>#VALUE!</v>
      </c>
      <c r="R65" s="142" t="e">
        <f t="shared" si="27"/>
        <v>#VALUE!</v>
      </c>
      <c r="S65" s="142" t="e">
        <f t="shared" si="27"/>
        <v>#VALUE!</v>
      </c>
      <c r="T65" s="142" t="e">
        <f t="shared" si="27"/>
        <v>#VALUE!</v>
      </c>
      <c r="U65" s="142" t="e">
        <f t="shared" si="27"/>
        <v>#VALUE!</v>
      </c>
      <c r="V65" s="142" t="e">
        <f t="shared" si="27"/>
        <v>#VALUE!</v>
      </c>
      <c r="W65" s="142" t="e">
        <f t="shared" si="27"/>
        <v>#VALUE!</v>
      </c>
      <c r="X65" s="129" t="e">
        <f>SUM(D65:W65)</f>
        <v>#VALUE!</v>
      </c>
    </row>
    <row r="66" spans="1:24" x14ac:dyDescent="0.25">
      <c r="A66" s="111" t="s">
        <v>60</v>
      </c>
      <c r="D66" s="142" t="e">
        <f>IF(D6&lt;=$B$4,ROUND(AVERAGE(C49:D49)*8%,0),"")</f>
        <v>#VALUE!</v>
      </c>
      <c r="E66" s="142" t="e">
        <f t="shared" ref="E66:W66" si="28">IF(E6&lt;=$B$4,ROUND(AVERAGE(D43:E43)*8%,0),"")</f>
        <v>#VALUE!</v>
      </c>
      <c r="F66" s="142" t="e">
        <f t="shared" si="28"/>
        <v>#VALUE!</v>
      </c>
      <c r="G66" s="142" t="e">
        <f t="shared" si="28"/>
        <v>#VALUE!</v>
      </c>
      <c r="H66" s="142" t="e">
        <f t="shared" si="28"/>
        <v>#VALUE!</v>
      </c>
      <c r="I66" s="142" t="e">
        <f t="shared" si="28"/>
        <v>#VALUE!</v>
      </c>
      <c r="J66" s="142" t="e">
        <f t="shared" si="28"/>
        <v>#VALUE!</v>
      </c>
      <c r="K66" s="142" t="e">
        <f t="shared" si="28"/>
        <v>#VALUE!</v>
      </c>
      <c r="L66" s="142" t="e">
        <f t="shared" si="28"/>
        <v>#VALUE!</v>
      </c>
      <c r="M66" s="142" t="e">
        <f t="shared" si="28"/>
        <v>#VALUE!</v>
      </c>
      <c r="N66" s="142" t="e">
        <f t="shared" si="28"/>
        <v>#VALUE!</v>
      </c>
      <c r="O66" s="142" t="e">
        <f t="shared" si="28"/>
        <v>#VALUE!</v>
      </c>
      <c r="P66" s="142" t="e">
        <f t="shared" si="28"/>
        <v>#VALUE!</v>
      </c>
      <c r="Q66" s="142" t="e">
        <f t="shared" si="28"/>
        <v>#VALUE!</v>
      </c>
      <c r="R66" s="142" t="e">
        <f t="shared" si="28"/>
        <v>#VALUE!</v>
      </c>
      <c r="S66" s="142" t="e">
        <f t="shared" si="28"/>
        <v>#VALUE!</v>
      </c>
      <c r="T66" s="142" t="e">
        <f t="shared" si="28"/>
        <v>#VALUE!</v>
      </c>
      <c r="U66" s="142" t="e">
        <f t="shared" si="28"/>
        <v>#VALUE!</v>
      </c>
      <c r="V66" s="142" t="e">
        <f t="shared" si="28"/>
        <v>#VALUE!</v>
      </c>
      <c r="W66" s="142" t="e">
        <f t="shared" si="28"/>
        <v>#VALUE!</v>
      </c>
      <c r="X66" s="129" t="e">
        <f>SUM(D66:W66)</f>
        <v>#VALUE!</v>
      </c>
    </row>
    <row r="67" spans="1:24" x14ac:dyDescent="0.25">
      <c r="X67" s="129"/>
    </row>
    <row r="69" spans="1:24" x14ac:dyDescent="0.25">
      <c r="A69" s="111" t="s">
        <v>109</v>
      </c>
      <c r="B69" s="148"/>
      <c r="C69" s="148"/>
      <c r="D69" s="148" t="e">
        <f>D10</f>
        <v>#VALUE!</v>
      </c>
    </row>
    <row r="70" spans="1:24" x14ac:dyDescent="0.25">
      <c r="A70" s="111" t="s">
        <v>110</v>
      </c>
      <c r="B70" s="148"/>
      <c r="C70" s="148"/>
      <c r="D70" s="148" t="e">
        <f>D12/D7</f>
        <v>#VALUE!</v>
      </c>
    </row>
    <row r="71" spans="1:24" x14ac:dyDescent="0.25">
      <c r="A71" s="111" t="s">
        <v>128</v>
      </c>
      <c r="B71" s="148"/>
      <c r="C71" s="148"/>
      <c r="D71" s="148" t="e">
        <f>D14/$D$7</f>
        <v>#VALUE!</v>
      </c>
    </row>
    <row r="72" spans="1:24" x14ac:dyDescent="0.25">
      <c r="A72" s="111" t="s">
        <v>129</v>
      </c>
      <c r="B72" s="148"/>
      <c r="C72" s="148"/>
      <c r="D72" s="148" t="e">
        <f>D15/$D$7</f>
        <v>#VALUE!</v>
      </c>
    </row>
    <row r="73" spans="1:24" x14ac:dyDescent="0.25">
      <c r="A73" s="111" t="s">
        <v>126</v>
      </c>
      <c r="B73" s="148"/>
      <c r="C73" s="148"/>
      <c r="D73" s="148" t="e">
        <f>D16/$D$7</f>
        <v>#VALUE!</v>
      </c>
    </row>
    <row r="74" spans="1:24" x14ac:dyDescent="0.25">
      <c r="A74" s="111" t="s">
        <v>127</v>
      </c>
      <c r="B74" s="148"/>
      <c r="C74" s="148"/>
      <c r="D74" s="148" t="e">
        <f>D17/$D$7</f>
        <v>#VALUE!</v>
      </c>
    </row>
    <row r="75" spans="1:24" x14ac:dyDescent="0.25">
      <c r="A75" s="111" t="s">
        <v>130</v>
      </c>
      <c r="B75" s="148"/>
      <c r="D75" s="148" t="e">
        <f>D18/$D$7</f>
        <v>#VALUE!</v>
      </c>
    </row>
    <row r="76" spans="1:24" x14ac:dyDescent="0.25">
      <c r="A76" s="111" t="s">
        <v>116</v>
      </c>
      <c r="B76" s="148"/>
      <c r="C76" s="148"/>
      <c r="D76" s="148" t="e">
        <f>D20/$D$7</f>
        <v>#VALUE!</v>
      </c>
    </row>
    <row r="77" spans="1:24" x14ac:dyDescent="0.25">
      <c r="A77" s="111" t="s">
        <v>117</v>
      </c>
      <c r="B77" s="148"/>
      <c r="C77" s="148"/>
      <c r="D77" s="148" t="e">
        <f>D21/$D$7</f>
        <v>#VALUE!</v>
      </c>
    </row>
    <row r="78" spans="1:24" x14ac:dyDescent="0.25">
      <c r="A78" s="111" t="s">
        <v>39</v>
      </c>
      <c r="B78" s="148"/>
      <c r="C78" s="148"/>
      <c r="D78" s="148" t="e">
        <f>D69-SUM(D70:D75)+D76-D77</f>
        <v>#VALUE!</v>
      </c>
    </row>
    <row r="80" spans="1:24" x14ac:dyDescent="0.25">
      <c r="A80" s="111" t="s">
        <v>131</v>
      </c>
      <c r="C80" s="148">
        <f>'Renewal Tool'!H42</f>
        <v>0</v>
      </c>
      <c r="D80" s="142" t="e">
        <f>($D$69-SUM($D$71:$D$75)+$D$76-$D$77-C80)*$D$7</f>
        <v>#VALUE!</v>
      </c>
    </row>
    <row r="81" spans="3:4" x14ac:dyDescent="0.25">
      <c r="C81" s="148"/>
      <c r="D81" s="142"/>
    </row>
    <row r="82" spans="3:4" x14ac:dyDescent="0.25">
      <c r="C82" s="148"/>
      <c r="D82" s="142"/>
    </row>
    <row r="83" spans="3:4" x14ac:dyDescent="0.25">
      <c r="C83" s="148"/>
      <c r="D83" s="142"/>
    </row>
  </sheetData>
  <sheetProtection algorithmName="SHA-512" hashValue="/7ECYP9JKw1LkuaWfeu0dHjSV5S00BSXVNi+/IDFVQ9hra2A+oVsVBafUfEO75/ANJlFrcwr1Y6IManceDe5mg==" saltValue="dd65mL6kOumoh1s+Tlb78g==" spinCount="100000" sheet="1" objects="1" scenarios="1" formatColumns="0" formatRows="0"/>
  <mergeCells count="5">
    <mergeCell ref="J2:J3"/>
    <mergeCell ref="J4:J5"/>
    <mergeCell ref="J1:X1"/>
    <mergeCell ref="G4:H4"/>
    <mergeCell ref="A1:H1"/>
  </mergeCells>
  <phoneticPr fontId="2" type="noConversion"/>
  <conditionalFormatting sqref="D59:W61 D64:W66 D19:W30 D41:W43 D6:W15">
    <cfRule type="expression" dxfId="15" priority="16" stopIfTrue="1">
      <formula>D$6&gt;$B$4</formula>
    </cfRule>
  </conditionalFormatting>
  <conditionalFormatting sqref="D16:W17">
    <cfRule type="expression" dxfId="14" priority="6" stopIfTrue="1">
      <formula>D$6&gt;$B$4</formula>
    </cfRule>
  </conditionalFormatting>
  <conditionalFormatting sqref="D18:W18">
    <cfRule type="expression" dxfId="13" priority="3" stopIfTrue="1">
      <formula>D$6&gt;$B$4</formula>
    </cfRule>
  </conditionalFormatting>
  <conditionalFormatting sqref="D54:F56">
    <cfRule type="expression" dxfId="12" priority="2" stopIfTrue="1">
      <formula>D$6&gt;$B$4</formula>
    </cfRule>
  </conditionalFormatting>
  <conditionalFormatting sqref="D47:W50">
    <cfRule type="expression" dxfId="11" priority="1" stopIfTrue="1">
      <formula>D$6&gt;$B$4</formula>
    </cfRule>
  </conditionalFormatting>
  <printOptions horizontalCentered="1" verticalCentered="1"/>
  <pageMargins left="0.48" right="0.56000000000000005" top="0.42" bottom="0.5" header="0.23" footer="0.38"/>
  <pageSetup paperSize="9" scale="66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AA61"/>
  <sheetViews>
    <sheetView topLeftCell="C1" zoomScale="85" zoomScaleNormal="85" workbookViewId="0">
      <pane ySplit="3" topLeftCell="A4" activePane="bottomLeft" state="frozen"/>
      <selection activeCell="F18" sqref="F18"/>
      <selection pane="bottomLeft" activeCell="F18" sqref="F18"/>
    </sheetView>
  </sheetViews>
  <sheetFormatPr defaultRowHeight="15" outlineLevelRow="1" outlineLevelCol="1" x14ac:dyDescent="0.25"/>
  <cols>
    <col min="1" max="1" width="22" style="32" hidden="1" customWidth="1"/>
    <col min="2" max="2" width="20.75" style="32" hidden="1" customWidth="1"/>
    <col min="3" max="3" width="4.125" style="38" customWidth="1"/>
    <col min="4" max="5" width="8.375" style="32" customWidth="1"/>
    <col min="6" max="6" width="6.125" style="33" customWidth="1"/>
    <col min="7" max="7" width="18.25" style="32" customWidth="1"/>
    <col min="8" max="8" width="12.375" style="32" hidden="1" customWidth="1" outlineLevel="1"/>
    <col min="9" max="18" width="9.375" style="32" hidden="1" customWidth="1" outlineLevel="1"/>
    <col min="19" max="19" width="9" style="32" customWidth="1"/>
    <col min="20" max="27" width="8" style="32" hidden="1" customWidth="1" outlineLevel="1"/>
    <col min="28" max="30" width="9" style="32" customWidth="1"/>
    <col min="31" max="16384" width="9" style="32"/>
  </cols>
  <sheetData>
    <row r="1" spans="1:25" hidden="1" outlineLevel="1" x14ac:dyDescent="0.25">
      <c r="C1" s="33"/>
      <c r="D1" s="33"/>
      <c r="E1" s="33"/>
    </row>
    <row r="2" spans="1:25" hidden="1" outlineLevel="1" x14ac:dyDescent="0.25">
      <c r="C2" s="33"/>
      <c r="D2" s="34" t="s">
        <v>132</v>
      </c>
      <c r="E2" s="335"/>
      <c r="F2" s="336"/>
      <c r="G2" s="336"/>
      <c r="H2" s="336"/>
      <c r="K2" s="35" t="e">
        <f>VLOOKUP(E2,T3:U7,2,FALSE)</f>
        <v>#N/A</v>
      </c>
    </row>
    <row r="3" spans="1:25" hidden="1" outlineLevel="1" x14ac:dyDescent="0.25">
      <c r="C3" s="33"/>
      <c r="D3" s="34" t="s">
        <v>133</v>
      </c>
      <c r="E3" s="337"/>
      <c r="F3" s="338"/>
      <c r="G3" s="338"/>
      <c r="H3" s="338"/>
      <c r="K3" s="35" t="e">
        <f>VLOOKUP(E2&amp;E3,A:F,6,FALSE)</f>
        <v>#N/A</v>
      </c>
      <c r="T3" s="32" t="s">
        <v>84</v>
      </c>
      <c r="U3" s="32">
        <v>1</v>
      </c>
      <c r="Y3" s="36" t="str">
        <f>IF(E2=T6,"",IF(E2=T7,"","without increase"))</f>
        <v>without increase</v>
      </c>
    </row>
    <row r="4" spans="1:25" x14ac:dyDescent="0.25">
      <c r="C4" s="33"/>
      <c r="D4" s="33"/>
      <c r="E4" s="33"/>
      <c r="T4" s="32" t="s">
        <v>134</v>
      </c>
      <c r="U4" s="32">
        <v>3</v>
      </c>
      <c r="Y4" s="32" t="str">
        <f>IF($E$2=$T$4,"with increase in Base","")</f>
        <v/>
      </c>
    </row>
    <row r="5" spans="1:25" x14ac:dyDescent="0.25">
      <c r="C5" s="37" t="s">
        <v>135</v>
      </c>
      <c r="D5" s="33"/>
      <c r="E5" s="33"/>
      <c r="H5" s="37" t="s">
        <v>136</v>
      </c>
      <c r="T5" s="32" t="s">
        <v>137</v>
      </c>
      <c r="U5" s="32">
        <v>4</v>
      </c>
    </row>
    <row r="6" spans="1:25" x14ac:dyDescent="0.25">
      <c r="D6" s="37"/>
      <c r="E6" s="39" t="s">
        <v>138</v>
      </c>
      <c r="T6" s="32" t="s">
        <v>139</v>
      </c>
      <c r="U6" s="32">
        <v>5</v>
      </c>
      <c r="Y6" s="32" t="str">
        <f>IF($E$2=$T$4,"with increase in %",IF($E$2=$T$5,"with increase in %",""))</f>
        <v/>
      </c>
    </row>
    <row r="7" spans="1:25" x14ac:dyDescent="0.25">
      <c r="C7" s="37"/>
      <c r="I7" s="40" t="s">
        <v>46</v>
      </c>
      <c r="J7" s="40" t="s">
        <v>140</v>
      </c>
      <c r="K7" s="40" t="s">
        <v>141</v>
      </c>
      <c r="L7" s="40" t="s">
        <v>142</v>
      </c>
      <c r="M7" s="40" t="s">
        <v>143</v>
      </c>
      <c r="N7" s="40" t="s">
        <v>144</v>
      </c>
      <c r="O7" s="40" t="s">
        <v>145</v>
      </c>
      <c r="P7" s="40" t="s">
        <v>146</v>
      </c>
      <c r="Q7" s="40" t="s">
        <v>147</v>
      </c>
      <c r="R7" s="40" t="s">
        <v>148</v>
      </c>
      <c r="T7" s="32" t="s">
        <v>76</v>
      </c>
      <c r="U7" s="32" t="s">
        <v>149</v>
      </c>
      <c r="Y7" s="32" t="str">
        <f>IF($E$2=$T$4,"with increase in Base and %","")</f>
        <v/>
      </c>
    </row>
    <row r="8" spans="1:25" x14ac:dyDescent="0.25">
      <c r="A8" s="32" t="str">
        <f>D8&amp;G8</f>
        <v>Fixed Rentwithout increase</v>
      </c>
      <c r="C8" s="41">
        <v>1</v>
      </c>
      <c r="D8" s="42" t="s">
        <v>84</v>
      </c>
      <c r="E8" s="43"/>
      <c r="F8" s="44" t="s">
        <v>150</v>
      </c>
      <c r="G8" s="45" t="s">
        <v>151</v>
      </c>
      <c r="H8" s="46" t="s">
        <v>72</v>
      </c>
      <c r="I8" s="47">
        <v>800</v>
      </c>
      <c r="J8" s="47">
        <v>800</v>
      </c>
      <c r="K8" s="47">
        <v>800</v>
      </c>
      <c r="L8" s="47">
        <v>800</v>
      </c>
      <c r="M8" s="47">
        <v>800</v>
      </c>
      <c r="N8" s="47">
        <v>800</v>
      </c>
      <c r="O8" s="47">
        <v>800</v>
      </c>
      <c r="P8" s="47">
        <v>800</v>
      </c>
      <c r="Q8" s="47">
        <v>800</v>
      </c>
      <c r="R8" s="48">
        <v>800</v>
      </c>
      <c r="Y8" s="32" t="str">
        <f>IF($E$2=$T$5,"with increase in Fixed","")</f>
        <v/>
      </c>
    </row>
    <row r="9" spans="1:25" x14ac:dyDescent="0.25">
      <c r="A9" s="32" t="str">
        <f>D8&amp;G9</f>
        <v>Fixed Rentwith increase</v>
      </c>
      <c r="C9" s="49"/>
      <c r="D9" s="50"/>
      <c r="E9" s="51"/>
      <c r="F9" s="52" t="s">
        <v>152</v>
      </c>
      <c r="G9" s="53" t="s">
        <v>153</v>
      </c>
      <c r="H9" s="46" t="s">
        <v>72</v>
      </c>
      <c r="I9" s="47">
        <v>800</v>
      </c>
      <c r="J9" s="47">
        <v>800</v>
      </c>
      <c r="K9" s="47">
        <v>800</v>
      </c>
      <c r="L9" s="47">
        <v>800</v>
      </c>
      <c r="M9" s="47">
        <v>800</v>
      </c>
      <c r="N9" s="54">
        <v>1200</v>
      </c>
      <c r="O9" s="54">
        <v>1200</v>
      </c>
      <c r="P9" s="54">
        <v>1200</v>
      </c>
      <c r="Q9" s="54">
        <v>1200</v>
      </c>
      <c r="R9" s="55">
        <v>1200</v>
      </c>
      <c r="Y9" s="32" t="str">
        <f>IF($E$2=$T$5,"with increase in Fixed and %","")</f>
        <v/>
      </c>
    </row>
    <row r="10" spans="1:25" ht="24" customHeight="1" x14ac:dyDescent="0.25">
      <c r="C10" s="40"/>
      <c r="D10" s="56"/>
      <c r="E10" s="56"/>
      <c r="F10" s="57"/>
    </row>
    <row r="11" spans="1:25" x14ac:dyDescent="0.25">
      <c r="A11" s="32" t="str">
        <f>D11&amp;G11</f>
        <v>% Rentwithout increase</v>
      </c>
      <c r="C11" s="41">
        <v>2</v>
      </c>
      <c r="D11" s="42" t="s">
        <v>74</v>
      </c>
      <c r="E11" s="43"/>
      <c r="F11" s="58" t="s">
        <v>154</v>
      </c>
      <c r="G11" s="59" t="s">
        <v>151</v>
      </c>
      <c r="H11" s="60" t="s">
        <v>68</v>
      </c>
      <c r="I11" s="61">
        <v>0.08</v>
      </c>
      <c r="J11" s="61">
        <v>0.08</v>
      </c>
      <c r="K11" s="61">
        <v>0.08</v>
      </c>
      <c r="L11" s="61">
        <v>0.08</v>
      </c>
      <c r="M11" s="61">
        <v>0.08</v>
      </c>
      <c r="N11" s="61">
        <v>0.08</v>
      </c>
      <c r="O11" s="61">
        <v>0.08</v>
      </c>
      <c r="P11" s="61">
        <v>0.08</v>
      </c>
      <c r="Q11" s="61">
        <v>0.08</v>
      </c>
      <c r="R11" s="62">
        <v>0.08</v>
      </c>
    </row>
    <row r="12" spans="1:25" x14ac:dyDescent="0.25">
      <c r="C12" s="63"/>
      <c r="D12" s="64"/>
      <c r="E12" s="65"/>
      <c r="F12" s="52"/>
      <c r="G12" s="53"/>
      <c r="H12" s="66" t="s">
        <v>72</v>
      </c>
      <c r="I12" s="67">
        <f t="shared" ref="I12:R12" si="0">I52*I11</f>
        <v>600</v>
      </c>
      <c r="J12" s="67">
        <f t="shared" si="0"/>
        <v>642.00000000000011</v>
      </c>
      <c r="K12" s="67">
        <f t="shared" si="0"/>
        <v>686.94000000000017</v>
      </c>
      <c r="L12" s="67">
        <f t="shared" si="0"/>
        <v>735.02580000000023</v>
      </c>
      <c r="M12" s="67">
        <f t="shared" si="0"/>
        <v>786.47760600000026</v>
      </c>
      <c r="N12" s="67">
        <f t="shared" si="0"/>
        <v>841.5310384200003</v>
      </c>
      <c r="O12" s="67">
        <f t="shared" si="0"/>
        <v>900.4382111094003</v>
      </c>
      <c r="P12" s="67">
        <f t="shared" si="0"/>
        <v>963.46888588705849</v>
      </c>
      <c r="Q12" s="67">
        <f t="shared" si="0"/>
        <v>1030.9117078991526</v>
      </c>
      <c r="R12" s="68">
        <f t="shared" si="0"/>
        <v>1103.0755274520932</v>
      </c>
    </row>
    <row r="13" spans="1:25" x14ac:dyDescent="0.25">
      <c r="A13" s="32" t="str">
        <f>D11&amp;G13</f>
        <v>% Rentwith increase</v>
      </c>
      <c r="C13" s="63"/>
      <c r="D13" s="64"/>
      <c r="E13" s="65"/>
      <c r="F13" s="58" t="s">
        <v>155</v>
      </c>
      <c r="G13" s="59" t="s">
        <v>153</v>
      </c>
      <c r="H13" s="60" t="s">
        <v>68</v>
      </c>
      <c r="I13" s="61">
        <v>0.08</v>
      </c>
      <c r="J13" s="61">
        <v>0.08</v>
      </c>
      <c r="K13" s="69">
        <v>0.09</v>
      </c>
      <c r="L13" s="69">
        <v>0.09</v>
      </c>
      <c r="M13" s="69">
        <v>0.09</v>
      </c>
      <c r="N13" s="69">
        <v>0.09</v>
      </c>
      <c r="O13" s="69">
        <v>0.1</v>
      </c>
      <c r="P13" s="69">
        <v>0.1</v>
      </c>
      <c r="Q13" s="69">
        <v>0.1</v>
      </c>
      <c r="R13" s="70">
        <v>0.1</v>
      </c>
    </row>
    <row r="14" spans="1:25" x14ac:dyDescent="0.25">
      <c r="C14" s="49"/>
      <c r="D14" s="50"/>
      <c r="E14" s="51"/>
      <c r="F14" s="52"/>
      <c r="G14" s="53"/>
      <c r="H14" s="66" t="s">
        <v>72</v>
      </c>
      <c r="I14" s="67">
        <f t="shared" ref="I14:R14" si="1">I52*I13</f>
        <v>600</v>
      </c>
      <c r="J14" s="67">
        <f t="shared" si="1"/>
        <v>642.00000000000011</v>
      </c>
      <c r="K14" s="67">
        <f t="shared" si="1"/>
        <v>772.80750000000012</v>
      </c>
      <c r="L14" s="67">
        <f t="shared" si="1"/>
        <v>826.90402500000016</v>
      </c>
      <c r="M14" s="67">
        <f t="shared" si="1"/>
        <v>884.7873067500002</v>
      </c>
      <c r="N14" s="67">
        <f t="shared" si="1"/>
        <v>946.72241822250021</v>
      </c>
      <c r="O14" s="67">
        <f t="shared" si="1"/>
        <v>1125.5477638867503</v>
      </c>
      <c r="P14" s="67">
        <f t="shared" si="1"/>
        <v>1204.336107358823</v>
      </c>
      <c r="Q14" s="67">
        <f t="shared" si="1"/>
        <v>1288.6396348739408</v>
      </c>
      <c r="R14" s="68">
        <f t="shared" si="1"/>
        <v>1378.8444093151165</v>
      </c>
    </row>
    <row r="15" spans="1:25" x14ac:dyDescent="0.25">
      <c r="C15" s="71"/>
      <c r="D15" s="56"/>
      <c r="E15" s="56"/>
      <c r="F15" s="57"/>
    </row>
    <row r="16" spans="1:25" x14ac:dyDescent="0.25">
      <c r="A16" s="32" t="str">
        <f>$D$16&amp;G16</f>
        <v>The higher of Base Rent or % Rent without increase</v>
      </c>
      <c r="C16" s="41">
        <v>3</v>
      </c>
      <c r="D16" s="339" t="s">
        <v>134</v>
      </c>
      <c r="E16" s="340"/>
      <c r="F16" s="58" t="s">
        <v>156</v>
      </c>
      <c r="G16" s="332" t="s">
        <v>151</v>
      </c>
      <c r="H16" s="60" t="s">
        <v>93</v>
      </c>
      <c r="I16" s="72">
        <v>800</v>
      </c>
      <c r="J16" s="72">
        <v>800</v>
      </c>
      <c r="K16" s="72">
        <v>800</v>
      </c>
      <c r="L16" s="72">
        <v>800</v>
      </c>
      <c r="M16" s="72">
        <v>800</v>
      </c>
      <c r="N16" s="72">
        <v>800</v>
      </c>
      <c r="O16" s="72">
        <v>800</v>
      </c>
      <c r="P16" s="72">
        <v>800</v>
      </c>
      <c r="Q16" s="72">
        <v>800</v>
      </c>
      <c r="R16" s="73">
        <v>800</v>
      </c>
    </row>
    <row r="17" spans="1:18" x14ac:dyDescent="0.25">
      <c r="C17" s="63"/>
      <c r="D17" s="341"/>
      <c r="E17" s="342"/>
      <c r="F17" s="74"/>
      <c r="G17" s="334"/>
      <c r="H17" s="75" t="s">
        <v>68</v>
      </c>
      <c r="I17" s="76">
        <v>0.08</v>
      </c>
      <c r="J17" s="76">
        <v>0.08</v>
      </c>
      <c r="K17" s="76">
        <v>0.08</v>
      </c>
      <c r="L17" s="76">
        <v>0.08</v>
      </c>
      <c r="M17" s="76">
        <v>0.08</v>
      </c>
      <c r="N17" s="76">
        <v>0.08</v>
      </c>
      <c r="O17" s="76">
        <v>0.08</v>
      </c>
      <c r="P17" s="76">
        <v>0.08</v>
      </c>
      <c r="Q17" s="76">
        <v>0.08</v>
      </c>
      <c r="R17" s="77">
        <v>0.08</v>
      </c>
    </row>
    <row r="18" spans="1:18" x14ac:dyDescent="0.25">
      <c r="C18" s="63"/>
      <c r="D18" s="341"/>
      <c r="E18" s="342"/>
      <c r="F18" s="52"/>
      <c r="G18" s="343"/>
      <c r="H18" s="66" t="s">
        <v>72</v>
      </c>
      <c r="I18" s="78">
        <f t="shared" ref="I18:R18" si="2">IF(I52*I17&gt;I16,I52*I17,I16)</f>
        <v>800</v>
      </c>
      <c r="J18" s="78">
        <f t="shared" si="2"/>
        <v>800</v>
      </c>
      <c r="K18" s="78">
        <f t="shared" si="2"/>
        <v>800</v>
      </c>
      <c r="L18" s="78">
        <f t="shared" si="2"/>
        <v>800</v>
      </c>
      <c r="M18" s="78">
        <f t="shared" si="2"/>
        <v>800</v>
      </c>
      <c r="N18" s="78">
        <f t="shared" si="2"/>
        <v>841.5310384200003</v>
      </c>
      <c r="O18" s="78">
        <f t="shared" si="2"/>
        <v>900.4382111094003</v>
      </c>
      <c r="P18" s="78">
        <f t="shared" si="2"/>
        <v>963.46888588705849</v>
      </c>
      <c r="Q18" s="78">
        <f t="shared" si="2"/>
        <v>1030.9117078991526</v>
      </c>
      <c r="R18" s="79">
        <f t="shared" si="2"/>
        <v>1103.0755274520932</v>
      </c>
    </row>
    <row r="19" spans="1:18" x14ac:dyDescent="0.25">
      <c r="A19" s="32" t="str">
        <f>$D$16&amp;G19</f>
        <v>The higher of Base Rent or % Rent with increase in Base</v>
      </c>
      <c r="C19" s="63"/>
      <c r="D19" s="80"/>
      <c r="E19" s="81"/>
      <c r="F19" s="58" t="s">
        <v>157</v>
      </c>
      <c r="G19" s="332" t="s">
        <v>158</v>
      </c>
      <c r="H19" s="60" t="s">
        <v>93</v>
      </c>
      <c r="I19" s="72">
        <v>800</v>
      </c>
      <c r="J19" s="72">
        <v>800</v>
      </c>
      <c r="K19" s="72">
        <v>800</v>
      </c>
      <c r="L19" s="72">
        <v>800</v>
      </c>
      <c r="M19" s="72">
        <v>800</v>
      </c>
      <c r="N19" s="82">
        <v>1200</v>
      </c>
      <c r="O19" s="82">
        <v>1200</v>
      </c>
      <c r="P19" s="82">
        <v>1200</v>
      </c>
      <c r="Q19" s="82">
        <v>1200</v>
      </c>
      <c r="R19" s="83">
        <v>1200</v>
      </c>
    </row>
    <row r="20" spans="1:18" x14ac:dyDescent="0.25">
      <c r="C20" s="63"/>
      <c r="D20" s="80"/>
      <c r="E20" s="81"/>
      <c r="F20" s="74"/>
      <c r="G20" s="333"/>
      <c r="H20" s="75" t="s">
        <v>68</v>
      </c>
      <c r="I20" s="76">
        <v>0.08</v>
      </c>
      <c r="J20" s="76">
        <v>0.08</v>
      </c>
      <c r="K20" s="76">
        <v>0.08</v>
      </c>
      <c r="L20" s="76">
        <v>0.08</v>
      </c>
      <c r="M20" s="76">
        <v>0.08</v>
      </c>
      <c r="N20" s="76">
        <v>0.08</v>
      </c>
      <c r="O20" s="76">
        <v>0.08</v>
      </c>
      <c r="P20" s="76">
        <v>0.08</v>
      </c>
      <c r="Q20" s="76">
        <v>0.08</v>
      </c>
      <c r="R20" s="77">
        <v>0.08</v>
      </c>
    </row>
    <row r="21" spans="1:18" x14ac:dyDescent="0.25">
      <c r="C21" s="63"/>
      <c r="D21" s="80"/>
      <c r="E21" s="81"/>
      <c r="F21" s="52"/>
      <c r="G21" s="334"/>
      <c r="H21" s="66" t="s">
        <v>72</v>
      </c>
      <c r="I21" s="78">
        <f t="shared" ref="I21:R21" si="3">IF(I52*I20&gt;I19,I52*I20,I19)</f>
        <v>800</v>
      </c>
      <c r="J21" s="78">
        <f t="shared" si="3"/>
        <v>800</v>
      </c>
      <c r="K21" s="78">
        <f t="shared" si="3"/>
        <v>800</v>
      </c>
      <c r="L21" s="78">
        <f t="shared" si="3"/>
        <v>800</v>
      </c>
      <c r="M21" s="78">
        <f t="shared" si="3"/>
        <v>800</v>
      </c>
      <c r="N21" s="78">
        <f t="shared" si="3"/>
        <v>1200</v>
      </c>
      <c r="O21" s="78">
        <f t="shared" si="3"/>
        <v>1200</v>
      </c>
      <c r="P21" s="78">
        <f t="shared" si="3"/>
        <v>1200</v>
      </c>
      <c r="Q21" s="78">
        <f t="shared" si="3"/>
        <v>1200</v>
      </c>
      <c r="R21" s="79">
        <f t="shared" si="3"/>
        <v>1200</v>
      </c>
    </row>
    <row r="22" spans="1:18" x14ac:dyDescent="0.25">
      <c r="A22" s="32" t="str">
        <f>$D$16&amp;G22</f>
        <v>The higher of Base Rent or % Rent with increase in %</v>
      </c>
      <c r="C22" s="63"/>
      <c r="D22" s="80"/>
      <c r="E22" s="81"/>
      <c r="F22" s="58" t="s">
        <v>159</v>
      </c>
      <c r="G22" s="332" t="s">
        <v>160</v>
      </c>
      <c r="H22" s="60" t="s">
        <v>93</v>
      </c>
      <c r="I22" s="72">
        <v>800</v>
      </c>
      <c r="J22" s="72">
        <v>800</v>
      </c>
      <c r="K22" s="72">
        <v>800</v>
      </c>
      <c r="L22" s="72">
        <v>800</v>
      </c>
      <c r="M22" s="72">
        <v>800</v>
      </c>
      <c r="N22" s="72">
        <v>800</v>
      </c>
      <c r="O22" s="72">
        <v>800</v>
      </c>
      <c r="P22" s="72">
        <v>800</v>
      </c>
      <c r="Q22" s="72">
        <v>800</v>
      </c>
      <c r="R22" s="73">
        <v>800</v>
      </c>
    </row>
    <row r="23" spans="1:18" x14ac:dyDescent="0.25">
      <c r="C23" s="63"/>
      <c r="D23" s="80"/>
      <c r="E23" s="81"/>
      <c r="F23" s="74"/>
      <c r="G23" s="333"/>
      <c r="H23" s="75" t="s">
        <v>68</v>
      </c>
      <c r="I23" s="76">
        <v>0.08</v>
      </c>
      <c r="J23" s="76">
        <v>0.08</v>
      </c>
      <c r="K23" s="84">
        <v>0.09</v>
      </c>
      <c r="L23" s="84">
        <v>0.09</v>
      </c>
      <c r="M23" s="84">
        <v>0.09</v>
      </c>
      <c r="N23" s="84">
        <v>0.09</v>
      </c>
      <c r="O23" s="84">
        <v>0.1</v>
      </c>
      <c r="P23" s="84">
        <v>0.1</v>
      </c>
      <c r="Q23" s="84">
        <v>0.1</v>
      </c>
      <c r="R23" s="85">
        <v>0.1</v>
      </c>
    </row>
    <row r="24" spans="1:18" x14ac:dyDescent="0.25">
      <c r="C24" s="63"/>
      <c r="D24" s="80"/>
      <c r="E24" s="81"/>
      <c r="F24" s="52"/>
      <c r="G24" s="334"/>
      <c r="H24" s="66" t="s">
        <v>72</v>
      </c>
      <c r="I24" s="78">
        <f t="shared" ref="I24:R24" si="4">IF(I52*I23&gt;I22,I52*I23,I22)</f>
        <v>800</v>
      </c>
      <c r="J24" s="78">
        <f t="shared" si="4"/>
        <v>800</v>
      </c>
      <c r="K24" s="78">
        <f t="shared" si="4"/>
        <v>800</v>
      </c>
      <c r="L24" s="78">
        <f t="shared" si="4"/>
        <v>826.90402500000016</v>
      </c>
      <c r="M24" s="78">
        <f t="shared" si="4"/>
        <v>884.7873067500002</v>
      </c>
      <c r="N24" s="78">
        <f t="shared" si="4"/>
        <v>946.72241822250021</v>
      </c>
      <c r="O24" s="78">
        <f t="shared" si="4"/>
        <v>1125.5477638867503</v>
      </c>
      <c r="P24" s="78">
        <f t="shared" si="4"/>
        <v>1204.336107358823</v>
      </c>
      <c r="Q24" s="78">
        <f t="shared" si="4"/>
        <v>1288.6396348739408</v>
      </c>
      <c r="R24" s="79">
        <f t="shared" si="4"/>
        <v>1378.8444093151165</v>
      </c>
    </row>
    <row r="25" spans="1:18" x14ac:dyDescent="0.25">
      <c r="A25" s="32" t="str">
        <f>$D$16&amp;G25</f>
        <v>The higher of Base Rent or % Rent with increase in Base and %</v>
      </c>
      <c r="C25" s="63"/>
      <c r="D25" s="80"/>
      <c r="E25" s="81"/>
      <c r="F25" s="58" t="s">
        <v>161</v>
      </c>
      <c r="G25" s="332" t="s">
        <v>162</v>
      </c>
      <c r="H25" s="60" t="s">
        <v>93</v>
      </c>
      <c r="I25" s="72">
        <v>800</v>
      </c>
      <c r="J25" s="72">
        <v>800</v>
      </c>
      <c r="K25" s="72">
        <v>800</v>
      </c>
      <c r="L25" s="72">
        <v>800</v>
      </c>
      <c r="M25" s="72">
        <v>800</v>
      </c>
      <c r="N25" s="82">
        <v>1200</v>
      </c>
      <c r="O25" s="82">
        <v>1200</v>
      </c>
      <c r="P25" s="82">
        <v>1200</v>
      </c>
      <c r="Q25" s="82">
        <v>1200</v>
      </c>
      <c r="R25" s="83">
        <v>1200</v>
      </c>
    </row>
    <row r="26" spans="1:18" x14ac:dyDescent="0.25">
      <c r="C26" s="63"/>
      <c r="D26" s="80"/>
      <c r="E26" s="81"/>
      <c r="F26" s="74"/>
      <c r="G26" s="333"/>
      <c r="H26" s="75" t="s">
        <v>68</v>
      </c>
      <c r="I26" s="76">
        <v>0.08</v>
      </c>
      <c r="J26" s="76">
        <v>0.08</v>
      </c>
      <c r="K26" s="84">
        <v>0.09</v>
      </c>
      <c r="L26" s="84">
        <v>0.09</v>
      </c>
      <c r="M26" s="84">
        <v>0.09</v>
      </c>
      <c r="N26" s="84">
        <v>0.09</v>
      </c>
      <c r="O26" s="84">
        <v>0.1</v>
      </c>
      <c r="P26" s="84">
        <v>0.1</v>
      </c>
      <c r="Q26" s="84">
        <v>0.1</v>
      </c>
      <c r="R26" s="85">
        <v>0.1</v>
      </c>
    </row>
    <row r="27" spans="1:18" x14ac:dyDescent="0.25">
      <c r="C27" s="49"/>
      <c r="D27" s="86"/>
      <c r="E27" s="87"/>
      <c r="F27" s="52"/>
      <c r="G27" s="334"/>
      <c r="H27" s="66" t="s">
        <v>72</v>
      </c>
      <c r="I27" s="78">
        <f t="shared" ref="I27:R27" si="5">IF(I52*I26&gt;I25,I52*I26,I25)</f>
        <v>800</v>
      </c>
      <c r="J27" s="78">
        <f t="shared" si="5"/>
        <v>800</v>
      </c>
      <c r="K27" s="78">
        <f t="shared" si="5"/>
        <v>800</v>
      </c>
      <c r="L27" s="78">
        <f t="shared" si="5"/>
        <v>826.90402500000016</v>
      </c>
      <c r="M27" s="78">
        <f t="shared" si="5"/>
        <v>884.7873067500002</v>
      </c>
      <c r="N27" s="78">
        <f t="shared" si="5"/>
        <v>1200</v>
      </c>
      <c r="O27" s="78">
        <f t="shared" si="5"/>
        <v>1200</v>
      </c>
      <c r="P27" s="78">
        <f t="shared" si="5"/>
        <v>1204.336107358823</v>
      </c>
      <c r="Q27" s="78">
        <f t="shared" si="5"/>
        <v>1288.6396348739408</v>
      </c>
      <c r="R27" s="79">
        <f t="shared" si="5"/>
        <v>1378.8444093151165</v>
      </c>
    </row>
    <row r="28" spans="1:18" x14ac:dyDescent="0.25">
      <c r="C28" s="40"/>
      <c r="D28" s="37"/>
      <c r="E28" s="37"/>
      <c r="F28" s="57"/>
      <c r="G28" s="37"/>
      <c r="H28" s="37"/>
    </row>
    <row r="29" spans="1:18" x14ac:dyDescent="0.25">
      <c r="A29" s="32" t="str">
        <f>$D$29&amp;G29</f>
        <v>Fixed Rent + % Rentwithout increase</v>
      </c>
      <c r="C29" s="41">
        <v>4</v>
      </c>
      <c r="D29" s="339" t="s">
        <v>137</v>
      </c>
      <c r="E29" s="340"/>
      <c r="F29" s="58" t="s">
        <v>163</v>
      </c>
      <c r="G29" s="332" t="s">
        <v>151</v>
      </c>
      <c r="H29" s="60" t="s">
        <v>84</v>
      </c>
      <c r="I29" s="72">
        <v>800</v>
      </c>
      <c r="J29" s="72">
        <v>800</v>
      </c>
      <c r="K29" s="72">
        <v>800</v>
      </c>
      <c r="L29" s="72">
        <v>800</v>
      </c>
      <c r="M29" s="72">
        <v>800</v>
      </c>
      <c r="N29" s="72">
        <v>800</v>
      </c>
      <c r="O29" s="72">
        <v>800</v>
      </c>
      <c r="P29" s="72">
        <v>800</v>
      </c>
      <c r="Q29" s="72">
        <v>800</v>
      </c>
      <c r="R29" s="73">
        <v>800</v>
      </c>
    </row>
    <row r="30" spans="1:18" x14ac:dyDescent="0.25">
      <c r="C30" s="63"/>
      <c r="D30" s="341"/>
      <c r="E30" s="342"/>
      <c r="F30" s="74"/>
      <c r="G30" s="333"/>
      <c r="H30" s="75" t="s">
        <v>68</v>
      </c>
      <c r="I30" s="76">
        <v>0.08</v>
      </c>
      <c r="J30" s="76">
        <v>0.08</v>
      </c>
      <c r="K30" s="76">
        <v>0.08</v>
      </c>
      <c r="L30" s="76">
        <v>0.08</v>
      </c>
      <c r="M30" s="76">
        <v>0.08</v>
      </c>
      <c r="N30" s="76">
        <v>0.08</v>
      </c>
      <c r="O30" s="76">
        <v>0.08</v>
      </c>
      <c r="P30" s="76">
        <v>0.08</v>
      </c>
      <c r="Q30" s="76">
        <v>0.08</v>
      </c>
      <c r="R30" s="77">
        <v>0.08</v>
      </c>
    </row>
    <row r="31" spans="1:18" x14ac:dyDescent="0.25">
      <c r="C31" s="63"/>
      <c r="D31" s="341"/>
      <c r="E31" s="342"/>
      <c r="F31" s="52"/>
      <c r="G31" s="334"/>
      <c r="H31" s="66" t="s">
        <v>72</v>
      </c>
      <c r="I31" s="78">
        <f t="shared" ref="I31:R31" si="6">I29+I$52*I30</f>
        <v>1400</v>
      </c>
      <c r="J31" s="78">
        <f t="shared" si="6"/>
        <v>1442</v>
      </c>
      <c r="K31" s="78">
        <f t="shared" si="6"/>
        <v>1486.94</v>
      </c>
      <c r="L31" s="78">
        <f t="shared" si="6"/>
        <v>1535.0258000000003</v>
      </c>
      <c r="M31" s="78">
        <f t="shared" si="6"/>
        <v>1586.4776060000004</v>
      </c>
      <c r="N31" s="78">
        <f t="shared" si="6"/>
        <v>1641.5310384200002</v>
      </c>
      <c r="O31" s="78">
        <f t="shared" si="6"/>
        <v>1700.4382111094003</v>
      </c>
      <c r="P31" s="78">
        <f t="shared" si="6"/>
        <v>1763.4688858870586</v>
      </c>
      <c r="Q31" s="78">
        <f t="shared" si="6"/>
        <v>1830.9117078991526</v>
      </c>
      <c r="R31" s="79">
        <f t="shared" si="6"/>
        <v>1903.0755274520932</v>
      </c>
    </row>
    <row r="32" spans="1:18" x14ac:dyDescent="0.25">
      <c r="A32" s="32" t="str">
        <f>$D$29&amp;G32</f>
        <v>Fixed Rent + % Rentwith increase in Fixed</v>
      </c>
      <c r="C32" s="63"/>
      <c r="D32" s="80"/>
      <c r="E32" s="81"/>
      <c r="F32" s="58" t="s">
        <v>164</v>
      </c>
      <c r="G32" s="332" t="s">
        <v>165</v>
      </c>
      <c r="H32" s="60" t="s">
        <v>84</v>
      </c>
      <c r="I32" s="72">
        <v>800</v>
      </c>
      <c r="J32" s="72">
        <v>800</v>
      </c>
      <c r="K32" s="72">
        <v>800</v>
      </c>
      <c r="L32" s="72">
        <v>800</v>
      </c>
      <c r="M32" s="72">
        <v>800</v>
      </c>
      <c r="N32" s="82">
        <v>1200</v>
      </c>
      <c r="O32" s="82">
        <v>1200</v>
      </c>
      <c r="P32" s="82">
        <v>1200</v>
      </c>
      <c r="Q32" s="82">
        <v>1200</v>
      </c>
      <c r="R32" s="83">
        <v>1200</v>
      </c>
    </row>
    <row r="33" spans="1:21" x14ac:dyDescent="0.25">
      <c r="C33" s="63"/>
      <c r="D33" s="80"/>
      <c r="E33" s="81"/>
      <c r="F33" s="74"/>
      <c r="G33" s="333"/>
      <c r="H33" s="75" t="s">
        <v>68</v>
      </c>
      <c r="I33" s="76">
        <v>0.08</v>
      </c>
      <c r="J33" s="76">
        <v>0.08</v>
      </c>
      <c r="K33" s="76">
        <v>0.08</v>
      </c>
      <c r="L33" s="76">
        <v>0.08</v>
      </c>
      <c r="M33" s="76">
        <v>0.08</v>
      </c>
      <c r="N33" s="76">
        <v>0.08</v>
      </c>
      <c r="O33" s="76">
        <v>0.08</v>
      </c>
      <c r="P33" s="76">
        <v>0.08</v>
      </c>
      <c r="Q33" s="76">
        <v>0.08</v>
      </c>
      <c r="R33" s="77">
        <v>0.08</v>
      </c>
    </row>
    <row r="34" spans="1:21" x14ac:dyDescent="0.25">
      <c r="C34" s="63"/>
      <c r="D34" s="80"/>
      <c r="E34" s="81"/>
      <c r="F34" s="52"/>
      <c r="G34" s="334"/>
      <c r="H34" s="66" t="s">
        <v>72</v>
      </c>
      <c r="I34" s="78">
        <f t="shared" ref="I34:R34" si="7">I32+I$52*I33</f>
        <v>1400</v>
      </c>
      <c r="J34" s="78">
        <f t="shared" si="7"/>
        <v>1442</v>
      </c>
      <c r="K34" s="78">
        <f t="shared" si="7"/>
        <v>1486.94</v>
      </c>
      <c r="L34" s="78">
        <f t="shared" si="7"/>
        <v>1535.0258000000003</v>
      </c>
      <c r="M34" s="78">
        <f t="shared" si="7"/>
        <v>1586.4776060000004</v>
      </c>
      <c r="N34" s="78">
        <f t="shared" si="7"/>
        <v>2041.5310384200002</v>
      </c>
      <c r="O34" s="78">
        <f t="shared" si="7"/>
        <v>2100.4382111094001</v>
      </c>
      <c r="P34" s="78">
        <f t="shared" si="7"/>
        <v>2163.4688858870586</v>
      </c>
      <c r="Q34" s="78">
        <f t="shared" si="7"/>
        <v>2230.9117078991526</v>
      </c>
      <c r="R34" s="79">
        <f t="shared" si="7"/>
        <v>2303.0755274520934</v>
      </c>
    </row>
    <row r="35" spans="1:21" x14ac:dyDescent="0.25">
      <c r="A35" s="32" t="str">
        <f>$D$29&amp;G35</f>
        <v>Fixed Rent + % Rentwith increase in %</v>
      </c>
      <c r="C35" s="63"/>
      <c r="D35" s="80"/>
      <c r="E35" s="81"/>
      <c r="F35" s="58" t="s">
        <v>166</v>
      </c>
      <c r="G35" s="332" t="s">
        <v>160</v>
      </c>
      <c r="H35" s="60" t="s">
        <v>84</v>
      </c>
      <c r="I35" s="72">
        <v>800</v>
      </c>
      <c r="J35" s="72">
        <v>800</v>
      </c>
      <c r="K35" s="72">
        <v>800</v>
      </c>
      <c r="L35" s="72">
        <v>800</v>
      </c>
      <c r="M35" s="72">
        <v>800</v>
      </c>
      <c r="N35" s="72">
        <v>800</v>
      </c>
      <c r="O35" s="72">
        <v>800</v>
      </c>
      <c r="P35" s="72">
        <v>800</v>
      </c>
      <c r="Q35" s="72">
        <v>800</v>
      </c>
      <c r="R35" s="73">
        <v>800</v>
      </c>
    </row>
    <row r="36" spans="1:21" x14ac:dyDescent="0.25">
      <c r="C36" s="63"/>
      <c r="D36" s="80"/>
      <c r="E36" s="81"/>
      <c r="F36" s="74"/>
      <c r="G36" s="333"/>
      <c r="H36" s="75" t="s">
        <v>68</v>
      </c>
      <c r="I36" s="76">
        <v>0.08</v>
      </c>
      <c r="J36" s="76">
        <v>0.08</v>
      </c>
      <c r="K36" s="84">
        <v>0.09</v>
      </c>
      <c r="L36" s="84">
        <v>0.09</v>
      </c>
      <c r="M36" s="84">
        <v>0.09</v>
      </c>
      <c r="N36" s="84">
        <v>0.09</v>
      </c>
      <c r="O36" s="84">
        <v>0.1</v>
      </c>
      <c r="P36" s="84">
        <v>0.1</v>
      </c>
      <c r="Q36" s="84">
        <v>0.1</v>
      </c>
      <c r="R36" s="85">
        <v>0.1</v>
      </c>
    </row>
    <row r="37" spans="1:21" x14ac:dyDescent="0.25">
      <c r="C37" s="63"/>
      <c r="D37" s="80"/>
      <c r="E37" s="81"/>
      <c r="F37" s="52"/>
      <c r="G37" s="334"/>
      <c r="H37" s="66" t="s">
        <v>72</v>
      </c>
      <c r="I37" s="78">
        <f t="shared" ref="I37:R37" si="8">I35+I$52*I36</f>
        <v>1400</v>
      </c>
      <c r="J37" s="78">
        <f t="shared" si="8"/>
        <v>1442</v>
      </c>
      <c r="K37" s="78">
        <f t="shared" si="8"/>
        <v>1572.8075000000001</v>
      </c>
      <c r="L37" s="78">
        <f t="shared" si="8"/>
        <v>1626.9040250000003</v>
      </c>
      <c r="M37" s="78">
        <f t="shared" si="8"/>
        <v>1684.7873067500002</v>
      </c>
      <c r="N37" s="78">
        <f t="shared" si="8"/>
        <v>1746.7224182225002</v>
      </c>
      <c r="O37" s="78">
        <f t="shared" si="8"/>
        <v>1925.5477638867503</v>
      </c>
      <c r="P37" s="78">
        <f t="shared" si="8"/>
        <v>2004.336107358823</v>
      </c>
      <c r="Q37" s="78">
        <f t="shared" si="8"/>
        <v>2088.6396348739408</v>
      </c>
      <c r="R37" s="79">
        <f t="shared" si="8"/>
        <v>2178.8444093151165</v>
      </c>
    </row>
    <row r="38" spans="1:21" x14ac:dyDescent="0.25">
      <c r="A38" s="32" t="str">
        <f>$D$29&amp;G38</f>
        <v>Fixed Rent + % Rentwith increase in Fixed and %</v>
      </c>
      <c r="C38" s="63"/>
      <c r="D38" s="80"/>
      <c r="E38" s="81"/>
      <c r="F38" s="58" t="s">
        <v>167</v>
      </c>
      <c r="G38" s="332" t="s">
        <v>168</v>
      </c>
      <c r="H38" s="60" t="s">
        <v>84</v>
      </c>
      <c r="I38" s="72">
        <v>800</v>
      </c>
      <c r="J38" s="72">
        <v>800</v>
      </c>
      <c r="K38" s="72">
        <v>800</v>
      </c>
      <c r="L38" s="72">
        <v>800</v>
      </c>
      <c r="M38" s="72">
        <v>800</v>
      </c>
      <c r="N38" s="82">
        <v>1200</v>
      </c>
      <c r="O38" s="82">
        <v>1200</v>
      </c>
      <c r="P38" s="82">
        <v>1200</v>
      </c>
      <c r="Q38" s="82">
        <v>1200</v>
      </c>
      <c r="R38" s="83">
        <v>1200</v>
      </c>
    </row>
    <row r="39" spans="1:21" x14ac:dyDescent="0.25">
      <c r="C39" s="63"/>
      <c r="D39" s="80"/>
      <c r="E39" s="81"/>
      <c r="F39" s="74"/>
      <c r="G39" s="333"/>
      <c r="H39" s="75" t="s">
        <v>68</v>
      </c>
      <c r="I39" s="76">
        <v>0.08</v>
      </c>
      <c r="J39" s="76">
        <v>0.08</v>
      </c>
      <c r="K39" s="84">
        <v>0.09</v>
      </c>
      <c r="L39" s="84">
        <v>0.09</v>
      </c>
      <c r="M39" s="84">
        <v>0.09</v>
      </c>
      <c r="N39" s="84">
        <v>0.09</v>
      </c>
      <c r="O39" s="84">
        <v>0.1</v>
      </c>
      <c r="P39" s="84">
        <v>0.1</v>
      </c>
      <c r="Q39" s="84">
        <v>0.1</v>
      </c>
      <c r="R39" s="85">
        <v>0.1</v>
      </c>
    </row>
    <row r="40" spans="1:21" x14ac:dyDescent="0.25">
      <c r="C40" s="49"/>
      <c r="D40" s="86"/>
      <c r="E40" s="87"/>
      <c r="F40" s="52"/>
      <c r="G40" s="334"/>
      <c r="H40" s="66" t="s">
        <v>72</v>
      </c>
      <c r="I40" s="78">
        <f t="shared" ref="I40:R40" si="9">I38+I$52*I39</f>
        <v>1400</v>
      </c>
      <c r="J40" s="78">
        <f t="shared" si="9"/>
        <v>1442</v>
      </c>
      <c r="K40" s="78">
        <f t="shared" si="9"/>
        <v>1572.8075000000001</v>
      </c>
      <c r="L40" s="78">
        <f t="shared" si="9"/>
        <v>1626.9040250000003</v>
      </c>
      <c r="M40" s="78">
        <f t="shared" si="9"/>
        <v>1684.7873067500002</v>
      </c>
      <c r="N40" s="78">
        <f t="shared" si="9"/>
        <v>2146.7224182225</v>
      </c>
      <c r="O40" s="78">
        <f t="shared" si="9"/>
        <v>2325.5477638867505</v>
      </c>
      <c r="P40" s="78">
        <f t="shared" si="9"/>
        <v>2404.336107358823</v>
      </c>
      <c r="Q40" s="78">
        <f t="shared" si="9"/>
        <v>2488.6396348739408</v>
      </c>
      <c r="R40" s="79">
        <f t="shared" si="9"/>
        <v>2578.8444093151165</v>
      </c>
    </row>
    <row r="41" spans="1:21" x14ac:dyDescent="0.25">
      <c r="C41" s="40"/>
      <c r="D41" s="37"/>
      <c r="E41" s="37"/>
      <c r="F41" s="57"/>
      <c r="G41" s="37"/>
      <c r="H41" s="37"/>
    </row>
    <row r="42" spans="1:21" x14ac:dyDescent="0.25">
      <c r="C42" s="41">
        <v>5</v>
      </c>
      <c r="D42" s="339" t="s">
        <v>139</v>
      </c>
      <c r="E42" s="340"/>
      <c r="F42" s="58" t="s">
        <v>169</v>
      </c>
      <c r="G42" s="88" t="s">
        <v>170</v>
      </c>
      <c r="H42" s="89" t="s">
        <v>72</v>
      </c>
      <c r="I42" s="90">
        <f>I$52*$E$46</f>
        <v>525</v>
      </c>
      <c r="J42" s="90">
        <f>$U$45*$E$46+(J$52-$T$46)*$E$47</f>
        <v>562.00000000000011</v>
      </c>
      <c r="K42" s="90">
        <f>$U$45*$E$46+(K$52-$T$46)*$E$47</f>
        <v>606.94000000000017</v>
      </c>
      <c r="L42" s="90">
        <f>$U$45*$E$46+($U$46-$T$46)*$E$47+(L$52-$T$47)*$E$48</f>
        <v>656.90402500000016</v>
      </c>
      <c r="M42" s="90">
        <f>$U$45*$E$46+($U$46-$T$46)*$E$47+(M$52-$T$47)*$E$48</f>
        <v>714.7873067500002</v>
      </c>
      <c r="N42" s="90">
        <f>$U$45*$E$46+($U$46-$T$46)*$E$47+($U$47-$T$47)*$E$48+(N$52-$T$48)*$E$49</f>
        <v>781.91379802500035</v>
      </c>
      <c r="O42" s="90">
        <f>$U$45*$E$46+($U$46-$T$46)*$E$47+($U$47-$T$47)*$E$48+(O$52-$T$48)*$E$49</f>
        <v>855.54776388675032</v>
      </c>
      <c r="P42" s="90">
        <f>$U$45*$E$46+($U$46-$T$46)*$E$47+($U$47-$T$47)*$E$48+(P$52-$T$48)*$E$49</f>
        <v>934.33610735882303</v>
      </c>
      <c r="Q42" s="90">
        <f>$U$45*$E$46+($U$46-$T$46)*$E$47+($U$47-$T$47)*$E$48+(Q$52-$T$48)*$E$49</f>
        <v>1018.6396348739406</v>
      </c>
      <c r="R42" s="91">
        <f>$U$45*$E$46+($U$46-$T$46)*$E$47+($U$47-$T$47)*$E$48+(R$52-$T$48)*$E$49</f>
        <v>1108.8444093151165</v>
      </c>
    </row>
    <row r="43" spans="1:21" x14ac:dyDescent="0.25">
      <c r="C43" s="63"/>
      <c r="D43" s="341"/>
      <c r="E43" s="342"/>
      <c r="F43" s="92"/>
      <c r="G43" s="93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93"/>
    </row>
    <row r="44" spans="1:21" x14ac:dyDescent="0.25">
      <c r="C44" s="74"/>
      <c r="D44" s="94" t="s">
        <v>171</v>
      </c>
      <c r="E44" s="95"/>
      <c r="F44" s="92"/>
      <c r="G44" s="93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93"/>
    </row>
    <row r="45" spans="1:21" x14ac:dyDescent="0.25">
      <c r="C45" s="74"/>
      <c r="D45" s="94" t="s">
        <v>172</v>
      </c>
      <c r="E45" s="95" t="s">
        <v>74</v>
      </c>
      <c r="F45" s="96"/>
      <c r="G45" s="97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7"/>
      <c r="U45" s="32">
        <v>8000</v>
      </c>
    </row>
    <row r="46" spans="1:21" x14ac:dyDescent="0.25">
      <c r="C46" s="74"/>
      <c r="D46" s="94" t="s">
        <v>173</v>
      </c>
      <c r="E46" s="99">
        <v>7.0000000000000007E-2</v>
      </c>
      <c r="F46" s="58" t="s">
        <v>174</v>
      </c>
      <c r="G46" s="344" t="s">
        <v>175</v>
      </c>
      <c r="H46" s="60" t="s">
        <v>93</v>
      </c>
      <c r="I46" s="100">
        <v>800</v>
      </c>
      <c r="J46" s="100">
        <v>800</v>
      </c>
      <c r="K46" s="100">
        <v>800</v>
      </c>
      <c r="L46" s="100">
        <v>800</v>
      </c>
      <c r="M46" s="100">
        <v>800</v>
      </c>
      <c r="N46" s="100">
        <v>800</v>
      </c>
      <c r="O46" s="100">
        <v>800</v>
      </c>
      <c r="P46" s="100">
        <v>800</v>
      </c>
      <c r="Q46" s="100">
        <v>800</v>
      </c>
      <c r="R46" s="101">
        <v>800</v>
      </c>
      <c r="T46" s="32">
        <v>8000</v>
      </c>
      <c r="U46" s="32">
        <v>9000</v>
      </c>
    </row>
    <row r="47" spans="1:21" x14ac:dyDescent="0.25">
      <c r="C47" s="74"/>
      <c r="D47" s="94" t="s">
        <v>176</v>
      </c>
      <c r="E47" s="99">
        <v>0.08</v>
      </c>
      <c r="F47" s="74"/>
      <c r="G47" s="345"/>
      <c r="H47" s="102" t="s">
        <v>72</v>
      </c>
      <c r="I47" s="103">
        <f>IF(I$52*$E$46&gt;I46,I$52*$E$46,I46)</f>
        <v>800</v>
      </c>
      <c r="J47" s="103">
        <f>IF($U$45*$E$46+(J$52-$T$46)*$E$47&gt;J46,$U$45*$E$46+(J$52-$T$46)*$E$47,J46)</f>
        <v>800</v>
      </c>
      <c r="K47" s="103">
        <f>IF($U$45*$E$46+(K$52-$T$46)*$E$47&gt;K46,$U$45*$E$46+(K$52-$T$46)*$E$47,K46)</f>
        <v>800</v>
      </c>
      <c r="L47" s="103">
        <f>IF($U$45*$E$46+($U$46-$T$46)*$E$47+(L$52-$T$47)*$E$48&gt;L46,$U$45*$E$46+($U$46-$T$46)*$E$47+(L$52-$T$47)*$E$48,L46)</f>
        <v>800</v>
      </c>
      <c r="M47" s="103">
        <f>IF($U$45*$E$46+($U$46-$T$46)*$E$47+(M$52-$T$47)*$E$48&gt;M46,$U$45*$E$46+($U$46-$T$46)*$E$47+(M$52-$T$47)*$E$48,M46)</f>
        <v>800</v>
      </c>
      <c r="N47" s="103">
        <f>IF($U$45*$E$46+($U$46-$T$46)*$E$47+($U$47-$T$47)*$E$48+(N$52-$T$48)*$E$49&gt;N46,$U$45*$E$46+($U$46-$T$46)*$E$47+($U$47-$T$47)*$E$48+(N$52-$T$48)*$E$49,N46)</f>
        <v>800</v>
      </c>
      <c r="O47" s="103">
        <f>IF($U$45*$E$46+($U$46-$T$46)*$E$47+($U$47-$T$47)*$E$48+(O$52-$T$48)*$E$49&gt;O46,$U$45*$E$46+($U$46-$T$46)*$E$47+($U$47-$T$47)*$E$48+(O$52-$T$48)*$E$49,O46)</f>
        <v>855.54776388675032</v>
      </c>
      <c r="P47" s="103">
        <f>IF($U$45*$E$46+($U$46-$T$46)*$E$47+($U$47-$T$47)*$E$48+(P$52-$T$48)*$E$49&gt;P46,$U$45*$E$46+($U$46-$T$46)*$E$47+($U$47-$T$47)*$E$48+(P$52-$T$48)*$E$49,P46)</f>
        <v>934.33610735882303</v>
      </c>
      <c r="Q47" s="103">
        <f>IF($U$45*$E$46+($U$46-$T$46)*$E$47+($U$47-$T$47)*$E$48+(Q$52-$T$48)*$E$49&gt;Q46,$U$45*$E$46+($U$46-$T$46)*$E$47+($U$47-$T$47)*$E$48+(Q$52-$T$48)*$E$49,Q46)</f>
        <v>1018.6396348739406</v>
      </c>
      <c r="R47" s="104">
        <f>IF($U$45*$E$46+($U$46-$T$46)*$E$47+($U$47-$T$47)*$E$48+(R$52-$T$48)*$E$49&gt;R46,$U$45*$E$46+($U$46-$T$46)*$E$47+($U$47-$T$47)*$E$48+(R$52-$T$48)*$E$49,R46)</f>
        <v>1108.8444093151165</v>
      </c>
      <c r="T47" s="32">
        <v>9000</v>
      </c>
      <c r="U47" s="32">
        <v>10000</v>
      </c>
    </row>
    <row r="48" spans="1:21" x14ac:dyDescent="0.25">
      <c r="C48" s="74"/>
      <c r="D48" s="94" t="s">
        <v>177</v>
      </c>
      <c r="E48" s="99">
        <v>0.09</v>
      </c>
      <c r="F48" s="92"/>
      <c r="G48" s="93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93"/>
      <c r="T48" s="32">
        <v>10000</v>
      </c>
    </row>
    <row r="49" spans="3:18" x14ac:dyDescent="0.25">
      <c r="C49" s="52"/>
      <c r="D49" s="105" t="s">
        <v>178</v>
      </c>
      <c r="E49" s="106">
        <v>0.1</v>
      </c>
      <c r="F49" s="96"/>
      <c r="G49" s="97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7"/>
    </row>
    <row r="50" spans="3:18" x14ac:dyDescent="0.25">
      <c r="C50" s="94"/>
      <c r="D50" s="94"/>
      <c r="E50" s="102"/>
    </row>
    <row r="51" spans="3:18" x14ac:dyDescent="0.25">
      <c r="C51" s="37"/>
      <c r="F51" s="32"/>
      <c r="H51" s="107" t="s">
        <v>179</v>
      </c>
      <c r="I51" s="108" t="s">
        <v>46</v>
      </c>
      <c r="J51" s="108" t="s">
        <v>140</v>
      </c>
      <c r="K51" s="108" t="s">
        <v>141</v>
      </c>
      <c r="L51" s="108" t="s">
        <v>142</v>
      </c>
      <c r="M51" s="108" t="s">
        <v>143</v>
      </c>
      <c r="N51" s="108" t="s">
        <v>144</v>
      </c>
      <c r="O51" s="108" t="s">
        <v>145</v>
      </c>
      <c r="P51" s="108" t="s">
        <v>146</v>
      </c>
      <c r="Q51" s="108" t="s">
        <v>147</v>
      </c>
      <c r="R51" s="108" t="s">
        <v>148</v>
      </c>
    </row>
    <row r="52" spans="3:18" x14ac:dyDescent="0.25">
      <c r="C52" s="37"/>
      <c r="F52" s="32"/>
      <c r="H52" s="109" t="s">
        <v>180</v>
      </c>
      <c r="I52" s="110">
        <v>7500</v>
      </c>
      <c r="J52" s="110">
        <f>I52*1.07</f>
        <v>8025.0000000000009</v>
      </c>
      <c r="K52" s="110">
        <f>J52*1.07</f>
        <v>8586.7500000000018</v>
      </c>
      <c r="L52" s="110">
        <f t="shared" ref="L52:R52" si="10">K52*1.07</f>
        <v>9187.822500000002</v>
      </c>
      <c r="M52" s="110">
        <f t="shared" si="10"/>
        <v>9830.9700750000029</v>
      </c>
      <c r="N52" s="110">
        <f t="shared" si="10"/>
        <v>10519.137980250003</v>
      </c>
      <c r="O52" s="110">
        <f t="shared" si="10"/>
        <v>11255.477638867504</v>
      </c>
      <c r="P52" s="110">
        <f t="shared" si="10"/>
        <v>12043.36107358823</v>
      </c>
      <c r="Q52" s="110">
        <f t="shared" si="10"/>
        <v>12886.396348739407</v>
      </c>
      <c r="R52" s="110">
        <f t="shared" si="10"/>
        <v>13788.444093151165</v>
      </c>
    </row>
    <row r="53" spans="3:18" x14ac:dyDescent="0.25">
      <c r="C53" s="37"/>
    </row>
    <row r="54" spans="3:18" x14ac:dyDescent="0.25">
      <c r="C54" s="37"/>
      <c r="F54" s="32"/>
    </row>
    <row r="55" spans="3:18" x14ac:dyDescent="0.25">
      <c r="C55" s="37"/>
      <c r="F55" s="32"/>
    </row>
    <row r="56" spans="3:18" x14ac:dyDescent="0.25">
      <c r="C56" s="37"/>
      <c r="F56" s="32"/>
    </row>
    <row r="57" spans="3:18" x14ac:dyDescent="0.25">
      <c r="C57" s="37"/>
      <c r="F57" s="32"/>
    </row>
    <row r="58" spans="3:18" x14ac:dyDescent="0.25">
      <c r="C58" s="37"/>
      <c r="F58" s="32"/>
    </row>
    <row r="59" spans="3:18" x14ac:dyDescent="0.25">
      <c r="C59" s="37"/>
    </row>
    <row r="60" spans="3:18" x14ac:dyDescent="0.25">
      <c r="C60" s="37"/>
    </row>
    <row r="61" spans="3:18" x14ac:dyDescent="0.25">
      <c r="C61" s="37"/>
    </row>
  </sheetData>
  <mergeCells count="14">
    <mergeCell ref="D42:E43"/>
    <mergeCell ref="G46:G47"/>
    <mergeCell ref="G25:G27"/>
    <mergeCell ref="D29:E31"/>
    <mergeCell ref="G29:G31"/>
    <mergeCell ref="G32:G34"/>
    <mergeCell ref="G35:G37"/>
    <mergeCell ref="G38:G40"/>
    <mergeCell ref="G22:G24"/>
    <mergeCell ref="E2:H2"/>
    <mergeCell ref="E3:H3"/>
    <mergeCell ref="D16:E18"/>
    <mergeCell ref="G16:G18"/>
    <mergeCell ref="G19:G21"/>
  </mergeCells>
  <phoneticPr fontId="13" type="noConversion"/>
  <conditionalFormatting sqref="C8:E9">
    <cfRule type="expression" dxfId="10" priority="1">
      <formula>$K$2=$C$8</formula>
    </cfRule>
  </conditionalFormatting>
  <conditionalFormatting sqref="C11:E14">
    <cfRule type="expression" dxfId="9" priority="2">
      <formula>$K$2=$C$11</formula>
    </cfRule>
  </conditionalFormatting>
  <conditionalFormatting sqref="C19:E27 C16:D16 C17:C18">
    <cfRule type="expression" dxfId="8" priority="3">
      <formula>$K$2=$C$16</formula>
    </cfRule>
  </conditionalFormatting>
  <conditionalFormatting sqref="C32:E40 C29:D29 C30:C31">
    <cfRule type="expression" dxfId="7" priority="4">
      <formula>$K$2=$C$29</formula>
    </cfRule>
  </conditionalFormatting>
  <conditionalFormatting sqref="C42:D42 C43:C49 D44:E49">
    <cfRule type="expression" dxfId="6" priority="5">
      <formula>$K$2=$C$42</formula>
    </cfRule>
  </conditionalFormatting>
  <conditionalFormatting sqref="K2">
    <cfRule type="expression" dxfId="5" priority="6">
      <formula>$K$2=$U$7</formula>
    </cfRule>
  </conditionalFormatting>
  <dataValidations count="2">
    <dataValidation type="list" allowBlank="1" showInputMessage="1" showErrorMessage="1" sqref="E2">
      <formula1>$T$3:$T$7</formula1>
    </dataValidation>
    <dataValidation type="list" allowBlank="1" showInputMessage="1" showErrorMessage="1" sqref="E3:H3">
      <formula1>$Y$3:$Y$9</formula1>
    </dataValidation>
  </dataValidations>
  <hyperlinks>
    <hyperlink ref="C8:E9" location="'1'!A1" display="'1'!A1"/>
    <hyperlink ref="C11:E13" location="'2'!A1" display="'2'!A1"/>
    <hyperlink ref="C16:E27" location="'3'!A1" display="'3'!A1"/>
    <hyperlink ref="C29:E38" location="'4'!A1" display="'4'!A1"/>
    <hyperlink ref="C42:E43" location="'5'!A1" display="'5'!A1"/>
  </hyperlinks>
  <pageMargins left="0.2" right="0.2" top="0.25" bottom="0.25" header="0.3" footer="0.3"/>
  <pageSetup scale="6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opLeftCell="A2" zoomScale="85" zoomScaleNormal="85" workbookViewId="0">
      <pane xSplit="1" ySplit="3" topLeftCell="B14" activePane="bottomRight" state="frozen"/>
      <selection activeCell="F18" sqref="F18"/>
      <selection pane="topRight" activeCell="F18" sqref="F18"/>
      <selection pane="bottomLeft" activeCell="F18" sqref="F18"/>
      <selection pane="bottomRight" activeCell="E26" sqref="E26"/>
    </sheetView>
  </sheetViews>
  <sheetFormatPr defaultRowHeight="15" x14ac:dyDescent="0.25"/>
  <cols>
    <col min="1" max="1" width="11.125" style="18" customWidth="1"/>
    <col min="2" max="3" width="11.125" style="23" customWidth="1"/>
    <col min="4" max="9" width="12.875" style="23" customWidth="1"/>
    <col min="10" max="11" width="9" style="23" customWidth="1"/>
    <col min="12" max="16384" width="9" style="23"/>
  </cols>
  <sheetData>
    <row r="2" spans="1:11" s="7" customFormat="1" ht="18.75" x14ac:dyDescent="0.3">
      <c r="A2" s="6" t="s">
        <v>181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9">
        <v>6</v>
      </c>
    </row>
    <row r="3" spans="1:11" s="15" customFormat="1" ht="45" x14ac:dyDescent="0.25">
      <c r="A3" s="10" t="s">
        <v>16</v>
      </c>
      <c r="B3" s="11" t="s">
        <v>182</v>
      </c>
      <c r="C3" s="12"/>
      <c r="D3" s="13" t="s">
        <v>84</v>
      </c>
      <c r="E3" s="13" t="s">
        <v>74</v>
      </c>
      <c r="F3" s="13" t="s">
        <v>134</v>
      </c>
      <c r="G3" s="13" t="s">
        <v>137</v>
      </c>
      <c r="H3" s="13" t="s">
        <v>139</v>
      </c>
      <c r="I3" s="14" t="s">
        <v>76</v>
      </c>
      <c r="J3" s="7"/>
      <c r="K3" s="7"/>
    </row>
    <row r="4" spans="1:11" s="15" customFormat="1" ht="30" x14ac:dyDescent="0.25">
      <c r="A4" s="16"/>
      <c r="B4" s="15" t="s">
        <v>183</v>
      </c>
      <c r="C4" s="15" t="s">
        <v>184</v>
      </c>
      <c r="D4" s="17" t="s">
        <v>185</v>
      </c>
      <c r="E4" s="17" t="s">
        <v>185</v>
      </c>
      <c r="F4" s="17" t="s">
        <v>185</v>
      </c>
      <c r="G4" s="17" t="s">
        <v>185</v>
      </c>
      <c r="H4" s="17" t="s">
        <v>185</v>
      </c>
      <c r="I4" s="17" t="s">
        <v>185</v>
      </c>
      <c r="J4" s="7"/>
      <c r="K4" s="7"/>
    </row>
    <row r="5" spans="1:11" x14ac:dyDescent="0.25">
      <c r="A5" s="18">
        <v>1</v>
      </c>
      <c r="B5" s="19" t="e">
        <f>('Renewal Tool'!B14+'Renewal Tool'!B27)*(1+'Renewal Tool'!F11)</f>
        <v>#VALUE!</v>
      </c>
      <c r="C5" s="20" t="str">
        <f>IF('Renewal Tool'!F11&lt;&gt;"",'Renewal Tool'!F11,"")</f>
        <v/>
      </c>
      <c r="D5" s="21" t="str">
        <f>'1'!F5</f>
        <v/>
      </c>
      <c r="E5" s="22" t="e">
        <f>'2'!F5</f>
        <v>#VALUE!</v>
      </c>
      <c r="F5" s="22" t="e">
        <f>'3'!G5</f>
        <v>#VALUE!</v>
      </c>
      <c r="G5" s="22" t="e">
        <f>'4'!H5</f>
        <v>#VALUE!</v>
      </c>
      <c r="H5" s="22" t="e">
        <f>'5'!F12</f>
        <v>#VALUE!</v>
      </c>
      <c r="I5" s="22" t="e">
        <f>'6'!E5</f>
        <v>#VALUE!</v>
      </c>
      <c r="J5" s="7"/>
      <c r="K5" s="7"/>
    </row>
    <row r="6" spans="1:11" x14ac:dyDescent="0.25">
      <c r="A6" s="18">
        <v>2</v>
      </c>
      <c r="B6" s="19" t="str">
        <f t="shared" ref="B6:B19" si="0">IF(C6="","",B5*(1+C6))</f>
        <v/>
      </c>
      <c r="C6" s="20" t="str">
        <f>IF('Renewal Tool'!F12&lt;&gt;"",'Renewal Tool'!F12,"")</f>
        <v/>
      </c>
      <c r="D6" s="21" t="str">
        <f>'1'!F6</f>
        <v/>
      </c>
      <c r="E6" s="22" t="str">
        <f>'2'!F6</f>
        <v/>
      </c>
      <c r="F6" s="22" t="str">
        <f>'3'!G6</f>
        <v/>
      </c>
      <c r="G6" s="22" t="str">
        <f>'4'!H6</f>
        <v/>
      </c>
      <c r="H6" s="22" t="str">
        <f>'5'!F13</f>
        <v/>
      </c>
      <c r="I6" s="22" t="str">
        <f>'6'!E6</f>
        <v/>
      </c>
      <c r="J6" s="7"/>
      <c r="K6" s="7"/>
    </row>
    <row r="7" spans="1:11" x14ac:dyDescent="0.25">
      <c r="A7" s="18">
        <v>3</v>
      </c>
      <c r="B7" s="19" t="str">
        <f t="shared" si="0"/>
        <v/>
      </c>
      <c r="C7" s="20" t="str">
        <f>IF('Renewal Tool'!F13&lt;&gt;"",'Renewal Tool'!F13,"")</f>
        <v/>
      </c>
      <c r="D7" s="21" t="str">
        <f>'1'!F7</f>
        <v/>
      </c>
      <c r="E7" s="22" t="str">
        <f>'2'!F7</f>
        <v/>
      </c>
      <c r="F7" s="22" t="str">
        <f>'3'!G7</f>
        <v/>
      </c>
      <c r="G7" s="22" t="str">
        <f>'4'!H7</f>
        <v/>
      </c>
      <c r="H7" s="22" t="str">
        <f>'5'!F14</f>
        <v/>
      </c>
      <c r="I7" s="22" t="str">
        <f>'6'!E7</f>
        <v/>
      </c>
    </row>
    <row r="8" spans="1:11" x14ac:dyDescent="0.25">
      <c r="A8" s="18">
        <v>4</v>
      </c>
      <c r="B8" s="19" t="str">
        <f t="shared" si="0"/>
        <v/>
      </c>
      <c r="C8" s="20" t="str">
        <f>IF('Renewal Tool'!F14&lt;&gt;"",'Renewal Tool'!F14,"")</f>
        <v/>
      </c>
      <c r="D8" s="21" t="str">
        <f>'1'!F8</f>
        <v/>
      </c>
      <c r="E8" s="22" t="str">
        <f>'2'!F8</f>
        <v/>
      </c>
      <c r="F8" s="22" t="str">
        <f>'3'!G8</f>
        <v/>
      </c>
      <c r="G8" s="22" t="str">
        <f>'4'!H8</f>
        <v/>
      </c>
      <c r="H8" s="22" t="str">
        <f>'5'!F15</f>
        <v/>
      </c>
      <c r="I8" s="22" t="str">
        <f>'6'!E8</f>
        <v/>
      </c>
    </row>
    <row r="9" spans="1:11" x14ac:dyDescent="0.25">
      <c r="A9" s="18">
        <v>5</v>
      </c>
      <c r="B9" s="19" t="str">
        <f t="shared" si="0"/>
        <v/>
      </c>
      <c r="C9" s="20" t="str">
        <f>IF('Renewal Tool'!F15&lt;&gt;"",'Renewal Tool'!F15,"")</f>
        <v/>
      </c>
      <c r="D9" s="21" t="str">
        <f>'1'!F9</f>
        <v/>
      </c>
      <c r="E9" s="22" t="str">
        <f>'2'!F9</f>
        <v/>
      </c>
      <c r="F9" s="22" t="str">
        <f>'3'!G9</f>
        <v/>
      </c>
      <c r="G9" s="22" t="str">
        <f>'4'!H9</f>
        <v/>
      </c>
      <c r="H9" s="22" t="str">
        <f>'5'!F16</f>
        <v/>
      </c>
      <c r="I9" s="22" t="str">
        <f>'6'!E9</f>
        <v/>
      </c>
    </row>
    <row r="10" spans="1:11" x14ac:dyDescent="0.25">
      <c r="A10" s="18">
        <v>6</v>
      </c>
      <c r="B10" s="19" t="str">
        <f t="shared" si="0"/>
        <v/>
      </c>
      <c r="C10" s="20" t="str">
        <f>IF('Renewal Tool'!F16&lt;&gt;"",'Renewal Tool'!F16,"")</f>
        <v/>
      </c>
      <c r="D10" s="21" t="str">
        <f>'1'!F10</f>
        <v/>
      </c>
      <c r="E10" s="22" t="str">
        <f>'2'!F10</f>
        <v/>
      </c>
      <c r="F10" s="22" t="str">
        <f>'3'!G10</f>
        <v/>
      </c>
      <c r="G10" s="22" t="str">
        <f>'4'!H10</f>
        <v/>
      </c>
      <c r="H10" s="22" t="str">
        <f>'5'!F17</f>
        <v/>
      </c>
      <c r="I10" s="22" t="str">
        <f>'6'!E10</f>
        <v/>
      </c>
    </row>
    <row r="11" spans="1:11" x14ac:dyDescent="0.25">
      <c r="A11" s="18">
        <v>7</v>
      </c>
      <c r="B11" s="19" t="str">
        <f t="shared" si="0"/>
        <v/>
      </c>
      <c r="C11" s="20" t="str">
        <f>IF('Renewal Tool'!F17&lt;&gt;"",'Renewal Tool'!F17,"")</f>
        <v/>
      </c>
      <c r="D11" s="21" t="str">
        <f>'1'!F11</f>
        <v/>
      </c>
      <c r="E11" s="22" t="str">
        <f>'2'!F11</f>
        <v/>
      </c>
      <c r="F11" s="22" t="str">
        <f>'3'!G11</f>
        <v/>
      </c>
      <c r="G11" s="22" t="str">
        <f>'4'!H11</f>
        <v/>
      </c>
      <c r="H11" s="22" t="str">
        <f>'5'!F18</f>
        <v/>
      </c>
      <c r="I11" s="22" t="str">
        <f>'6'!E11</f>
        <v/>
      </c>
    </row>
    <row r="12" spans="1:11" x14ac:dyDescent="0.25">
      <c r="A12" s="18">
        <v>8</v>
      </c>
      <c r="B12" s="19" t="str">
        <f t="shared" si="0"/>
        <v/>
      </c>
      <c r="C12" s="20" t="str">
        <f>IF('Renewal Tool'!F18&lt;&gt;"",'Renewal Tool'!F18,"")</f>
        <v/>
      </c>
      <c r="D12" s="21" t="str">
        <f>'1'!F12</f>
        <v/>
      </c>
      <c r="E12" s="22" t="str">
        <f>'2'!F12</f>
        <v/>
      </c>
      <c r="F12" s="22" t="str">
        <f>'3'!G12</f>
        <v/>
      </c>
      <c r="G12" s="22" t="str">
        <f>'4'!H12</f>
        <v/>
      </c>
      <c r="H12" s="22" t="str">
        <f>'5'!F19</f>
        <v/>
      </c>
      <c r="I12" s="22" t="str">
        <f>'6'!E12</f>
        <v/>
      </c>
    </row>
    <row r="13" spans="1:11" x14ac:dyDescent="0.25">
      <c r="A13" s="18">
        <v>9</v>
      </c>
      <c r="B13" s="19" t="str">
        <f t="shared" si="0"/>
        <v/>
      </c>
      <c r="C13" s="20" t="str">
        <f>IF('Renewal Tool'!F19&lt;&gt;"",'Renewal Tool'!F19,"")</f>
        <v/>
      </c>
      <c r="D13" s="21" t="str">
        <f>'1'!F13</f>
        <v/>
      </c>
      <c r="E13" s="22" t="str">
        <f>'2'!F13</f>
        <v/>
      </c>
      <c r="F13" s="22" t="str">
        <f>'3'!G13</f>
        <v/>
      </c>
      <c r="G13" s="22" t="str">
        <f>'4'!H13</f>
        <v/>
      </c>
      <c r="H13" s="22" t="str">
        <f>'5'!F20</f>
        <v/>
      </c>
      <c r="I13" s="22" t="str">
        <f>'6'!E13</f>
        <v/>
      </c>
    </row>
    <row r="14" spans="1:11" x14ac:dyDescent="0.25">
      <c r="A14" s="18">
        <v>10</v>
      </c>
      <c r="B14" s="19" t="str">
        <f t="shared" si="0"/>
        <v/>
      </c>
      <c r="C14" s="20" t="str">
        <f>IF('Renewal Tool'!F20&lt;&gt;"",'Renewal Tool'!F20,"")</f>
        <v/>
      </c>
      <c r="D14" s="21" t="str">
        <f>'1'!F14</f>
        <v/>
      </c>
      <c r="E14" s="22" t="str">
        <f>'2'!F14</f>
        <v/>
      </c>
      <c r="F14" s="22" t="str">
        <f>'3'!G14</f>
        <v/>
      </c>
      <c r="G14" s="22" t="str">
        <f>'4'!H14</f>
        <v/>
      </c>
      <c r="H14" s="22" t="str">
        <f>'5'!F21</f>
        <v/>
      </c>
      <c r="I14" s="22" t="str">
        <f>'6'!E14</f>
        <v/>
      </c>
    </row>
    <row r="15" spans="1:11" x14ac:dyDescent="0.25">
      <c r="A15" s="18">
        <v>11</v>
      </c>
      <c r="B15" s="19" t="str">
        <f t="shared" si="0"/>
        <v/>
      </c>
      <c r="C15" s="20" t="str">
        <f>IF('Renewal Tool'!F21&lt;&gt;"",'Renewal Tool'!F21,"")</f>
        <v/>
      </c>
      <c r="D15" s="21" t="str">
        <f>'1'!F15</f>
        <v/>
      </c>
      <c r="E15" s="22" t="str">
        <f>'2'!F15</f>
        <v/>
      </c>
      <c r="F15" s="22" t="str">
        <f>'3'!G15</f>
        <v/>
      </c>
      <c r="G15" s="22" t="str">
        <f>'4'!H15</f>
        <v/>
      </c>
      <c r="H15" s="22" t="str">
        <f>'5'!F22</f>
        <v/>
      </c>
      <c r="I15" s="22" t="str">
        <f>'6'!E15</f>
        <v/>
      </c>
    </row>
    <row r="16" spans="1:11" x14ac:dyDescent="0.25">
      <c r="A16" s="18">
        <v>12</v>
      </c>
      <c r="B16" s="19" t="str">
        <f t="shared" si="0"/>
        <v/>
      </c>
      <c r="C16" s="20" t="str">
        <f>IF('Renewal Tool'!F22&lt;&gt;"",'Renewal Tool'!F22,"")</f>
        <v/>
      </c>
      <c r="D16" s="21" t="str">
        <f>'1'!F16</f>
        <v/>
      </c>
      <c r="E16" s="22" t="str">
        <f>'2'!F16</f>
        <v/>
      </c>
      <c r="F16" s="22" t="str">
        <f>'3'!G16</f>
        <v/>
      </c>
      <c r="G16" s="22" t="str">
        <f>'4'!H16</f>
        <v/>
      </c>
      <c r="H16" s="22" t="str">
        <f>'5'!F23</f>
        <v/>
      </c>
      <c r="I16" s="22" t="str">
        <f>'6'!E16</f>
        <v/>
      </c>
    </row>
    <row r="17" spans="1:9" x14ac:dyDescent="0.25">
      <c r="A17" s="18">
        <v>13</v>
      </c>
      <c r="B17" s="19" t="str">
        <f t="shared" si="0"/>
        <v/>
      </c>
      <c r="C17" s="20" t="str">
        <f>IF('Renewal Tool'!F23&lt;&gt;"",'Renewal Tool'!F23,"")</f>
        <v/>
      </c>
      <c r="D17" s="21" t="str">
        <f>'1'!F17</f>
        <v/>
      </c>
      <c r="E17" s="22" t="str">
        <f>'2'!F17</f>
        <v/>
      </c>
      <c r="F17" s="22" t="str">
        <f>'3'!G17</f>
        <v/>
      </c>
      <c r="G17" s="22" t="str">
        <f>'4'!H17</f>
        <v/>
      </c>
      <c r="H17" s="22" t="str">
        <f>'5'!F24</f>
        <v/>
      </c>
      <c r="I17" s="22" t="str">
        <f>'6'!E17</f>
        <v/>
      </c>
    </row>
    <row r="18" spans="1:9" x14ac:dyDescent="0.25">
      <c r="A18" s="18">
        <v>14</v>
      </c>
      <c r="B18" s="19" t="str">
        <f t="shared" si="0"/>
        <v/>
      </c>
      <c r="C18" s="20" t="str">
        <f>IF('Renewal Tool'!F24&lt;&gt;"",'Renewal Tool'!F24,"")</f>
        <v/>
      </c>
      <c r="D18" s="21" t="str">
        <f>'1'!F18</f>
        <v/>
      </c>
      <c r="E18" s="22" t="str">
        <f>'2'!F18</f>
        <v/>
      </c>
      <c r="F18" s="22" t="str">
        <f>'3'!G18</f>
        <v/>
      </c>
      <c r="G18" s="22" t="str">
        <f>'4'!H18</f>
        <v/>
      </c>
      <c r="H18" s="22" t="str">
        <f>'5'!F25</f>
        <v/>
      </c>
      <c r="I18" s="22" t="str">
        <f>'6'!E18</f>
        <v/>
      </c>
    </row>
    <row r="19" spans="1:9" x14ac:dyDescent="0.25">
      <c r="A19" s="18">
        <v>15</v>
      </c>
      <c r="B19" s="19" t="str">
        <f t="shared" si="0"/>
        <v/>
      </c>
      <c r="C19" s="20" t="str">
        <f>IF('Renewal Tool'!F25&lt;&gt;"",'Renewal Tool'!F25,"")</f>
        <v/>
      </c>
      <c r="D19" s="21" t="str">
        <f>'1'!F19</f>
        <v/>
      </c>
      <c r="E19" s="22" t="str">
        <f>'2'!F19</f>
        <v/>
      </c>
      <c r="F19" s="22" t="str">
        <f>'3'!G19</f>
        <v/>
      </c>
      <c r="G19" s="22" t="str">
        <f>'4'!H19</f>
        <v/>
      </c>
      <c r="H19" s="22" t="str">
        <f>'5'!F26</f>
        <v/>
      </c>
      <c r="I19" s="22" t="str">
        <f>'6'!E19</f>
        <v/>
      </c>
    </row>
    <row r="20" spans="1:9" x14ac:dyDescent="0.25">
      <c r="A20" s="18">
        <v>16</v>
      </c>
      <c r="B20" s="19" t="str">
        <f>IF(C20="","",B19*(1+C20))</f>
        <v/>
      </c>
      <c r="C20" s="20" t="str">
        <f>IF('Renewal Tool'!F26&lt;&gt;"",'Renewal Tool'!F26,"")</f>
        <v/>
      </c>
      <c r="D20" s="21" t="str">
        <f>'1'!F20</f>
        <v/>
      </c>
      <c r="E20" s="22" t="str">
        <f>'2'!F20</f>
        <v/>
      </c>
      <c r="F20" s="22" t="str">
        <f>'3'!G20</f>
        <v/>
      </c>
      <c r="G20" s="22" t="str">
        <f>'4'!H20</f>
        <v/>
      </c>
      <c r="H20" s="22" t="str">
        <f>'5'!F27</f>
        <v/>
      </c>
      <c r="I20" s="22" t="str">
        <f>'6'!E20</f>
        <v/>
      </c>
    </row>
    <row r="21" spans="1:9" x14ac:dyDescent="0.25">
      <c r="A21" s="18">
        <v>17</v>
      </c>
      <c r="B21" s="19" t="str">
        <f>IF(C21="","",B20*(1+C21))</f>
        <v/>
      </c>
      <c r="C21" s="20" t="str">
        <f>IF('Renewal Tool'!F26&lt;&gt;"",'Renewal Tool'!F26,"")</f>
        <v/>
      </c>
      <c r="D21" s="21" t="str">
        <f>'1'!F21</f>
        <v/>
      </c>
      <c r="E21" s="22" t="str">
        <f>'2'!F21</f>
        <v/>
      </c>
      <c r="F21" s="22" t="str">
        <f>'3'!G21</f>
        <v/>
      </c>
      <c r="G21" s="22" t="str">
        <f>'4'!H21</f>
        <v/>
      </c>
      <c r="H21" s="22" t="str">
        <f>'5'!F28</f>
        <v/>
      </c>
      <c r="I21" s="22" t="str">
        <f>'6'!E21</f>
        <v/>
      </c>
    </row>
    <row r="22" spans="1:9" x14ac:dyDescent="0.25">
      <c r="A22" s="18">
        <v>18</v>
      </c>
      <c r="B22" s="19" t="str">
        <f>IF(C22="","",B21*(1+C22))</f>
        <v/>
      </c>
      <c r="C22" s="20" t="str">
        <f>IF('Renewal Tool'!F27&lt;&gt;"",'Renewal Tool'!F27,"")</f>
        <v/>
      </c>
      <c r="D22" s="21" t="str">
        <f>'1'!F22</f>
        <v/>
      </c>
      <c r="E22" s="22" t="str">
        <f>'2'!F22</f>
        <v/>
      </c>
      <c r="F22" s="22" t="str">
        <f>'3'!G22</f>
        <v/>
      </c>
      <c r="G22" s="22" t="str">
        <f>'4'!H22</f>
        <v/>
      </c>
      <c r="H22" s="22" t="str">
        <f>'5'!F29</f>
        <v/>
      </c>
      <c r="I22" s="22" t="str">
        <f>'6'!E22</f>
        <v/>
      </c>
    </row>
    <row r="23" spans="1:9" x14ac:dyDescent="0.25">
      <c r="A23" s="18">
        <v>19</v>
      </c>
      <c r="B23" s="19" t="str">
        <f>IF(C23="","",B22*(1+C23))</f>
        <v/>
      </c>
      <c r="C23" s="20" t="str">
        <f>IF('Renewal Tool'!F28&lt;&gt;"",'Renewal Tool'!F28,"")</f>
        <v/>
      </c>
      <c r="D23" s="21" t="str">
        <f>'1'!F23</f>
        <v/>
      </c>
      <c r="E23" s="22" t="str">
        <f>'2'!F23</f>
        <v/>
      </c>
      <c r="F23" s="22" t="str">
        <f>'3'!G23</f>
        <v/>
      </c>
      <c r="G23" s="22" t="str">
        <f>'4'!H23</f>
        <v/>
      </c>
      <c r="H23" s="22" t="str">
        <f>'5'!F30</f>
        <v/>
      </c>
      <c r="I23" s="22" t="str">
        <f>'6'!E23</f>
        <v/>
      </c>
    </row>
    <row r="24" spans="1:9" x14ac:dyDescent="0.25">
      <c r="A24" s="18">
        <v>20</v>
      </c>
      <c r="B24" s="19" t="str">
        <f>IF(C24="","",B23*(1+C24))</f>
        <v/>
      </c>
      <c r="C24" s="20" t="str">
        <f>IF('Renewal Tool'!F29&lt;&gt;"",'Renewal Tool'!F29,"")</f>
        <v/>
      </c>
      <c r="D24" s="21" t="str">
        <f>'1'!F24</f>
        <v/>
      </c>
      <c r="E24" s="22" t="str">
        <f>'2'!F24</f>
        <v/>
      </c>
      <c r="F24" s="22" t="str">
        <f>'3'!G24</f>
        <v/>
      </c>
      <c r="G24" s="22" t="str">
        <f>'4'!H24</f>
        <v/>
      </c>
      <c r="H24" s="22" t="str">
        <f>'5'!F31</f>
        <v/>
      </c>
      <c r="I24" s="22" t="str">
        <f>'6'!E24</f>
        <v/>
      </c>
    </row>
    <row r="25" spans="1:9" x14ac:dyDescent="0.25">
      <c r="A25" s="24"/>
      <c r="D25" s="25"/>
      <c r="E25" s="26"/>
      <c r="F25" s="26"/>
      <c r="G25" s="26"/>
      <c r="H25" s="26"/>
      <c r="I25" s="26"/>
    </row>
    <row r="26" spans="1:9" x14ac:dyDescent="0.25">
      <c r="A26" s="24"/>
      <c r="B26" s="346" t="s">
        <v>186</v>
      </c>
      <c r="C26" s="347"/>
      <c r="D26" s="27" t="str">
        <f>'1'!E5</f>
        <v/>
      </c>
      <c r="E26" s="28" t="e">
        <f>'2'!E5</f>
        <v>#VALUE!</v>
      </c>
      <c r="F26" s="28" t="e">
        <f>'3'!F5</f>
        <v>#VALUE!</v>
      </c>
      <c r="G26" s="28" t="e">
        <f>'4'!G5</f>
        <v>#VALUE!</v>
      </c>
      <c r="H26" s="28" t="str">
        <f>'5'!E12</f>
        <v/>
      </c>
      <c r="I26" s="28">
        <f>'6'!C5</f>
        <v>0</v>
      </c>
    </row>
    <row r="27" spans="1:9" ht="15.75" x14ac:dyDescent="0.25">
      <c r="A27" s="24"/>
      <c r="B27" s="348" t="s">
        <v>78</v>
      </c>
      <c r="C27" s="349"/>
      <c r="D27" s="29" t="str">
        <f>IF('1'!D26="","",Trend!$D$24+Trend!$D$12/Trend!$D$7-'Rent Structure Comparison'!D26/Trend!$D$7)</f>
        <v/>
      </c>
      <c r="E27" s="29" t="e">
        <f>IF('2'!D26="","",Trend!$D$24+Trend!$D$12/Trend!$D$7-'Rent Structure Comparison'!E26/Trend!$D$7)</f>
        <v>#VALUE!</v>
      </c>
      <c r="F27" s="29" t="e">
        <f>IF('3'!E26="","",Trend!$D$24+Trend!$D$12/Trend!$D$7-'Rent Structure Comparison'!F26/Trend!$D$7)</f>
        <v>#VALUE!</v>
      </c>
      <c r="G27" s="29" t="e">
        <f>IF('4'!F26="","",Trend!$D$24+Trend!$D$12/Trend!$D$7-'Rent Structure Comparison'!G26/Trend!$D$7)</f>
        <v>#VALUE!</v>
      </c>
      <c r="H27" s="29" t="e">
        <f>IF('5'!D33="","",Trend!$D$24+Trend!$D$12/Trend!$D$7-'Rent Structure Comparison'!H26/Trend!$D$7)</f>
        <v>#VALUE!</v>
      </c>
      <c r="I27" s="29" t="e">
        <f>IF('6'!E26="","",Trend!$D$24+Trend!$D$12/Trend!$D$7-'Rent Structure Comparison'!I26/Trend!$D$7)</f>
        <v>#VALUE!</v>
      </c>
    </row>
    <row r="28" spans="1:9" x14ac:dyDescent="0.25">
      <c r="B28" s="346" t="s">
        <v>187</v>
      </c>
      <c r="C28" s="347"/>
      <c r="D28" s="30" t="str">
        <f>IF(D26="","",'1'!F26)</f>
        <v/>
      </c>
      <c r="E28" s="30" t="e">
        <f>IF(E26="","",'2'!F26)</f>
        <v>#VALUE!</v>
      </c>
      <c r="F28" s="31" t="e">
        <f>IF(F26="","",'3'!G26)</f>
        <v>#VALUE!</v>
      </c>
      <c r="G28" s="31" t="e">
        <f>IF(G26="","",'4'!H26)</f>
        <v>#VALUE!</v>
      </c>
      <c r="H28" s="31" t="str">
        <f>IF(H26="","",'5'!F33)</f>
        <v/>
      </c>
      <c r="I28" s="31" t="e">
        <f>IF(I26="","",'6'!E26)</f>
        <v>#VALUE!</v>
      </c>
    </row>
    <row r="29" spans="1:9" x14ac:dyDescent="0.25">
      <c r="A29" s="23"/>
      <c r="B29" s="346" t="s">
        <v>188</v>
      </c>
      <c r="C29" s="347"/>
      <c r="D29" s="27" t="str">
        <f>IF(D26="","",'1'!D28)</f>
        <v/>
      </c>
      <c r="E29" s="27" t="e">
        <f>IF(E26="","",'2'!D28)</f>
        <v>#VALUE!</v>
      </c>
      <c r="F29" s="28" t="e">
        <f>IF(F26="","",'3'!E28)</f>
        <v>#VALUE!</v>
      </c>
      <c r="G29" s="28" t="e">
        <f>IF(G26="","",'4'!F28)</f>
        <v>#VALUE!</v>
      </c>
      <c r="H29" s="28" t="str">
        <f>IF(H26="","",'5'!D35)</f>
        <v/>
      </c>
      <c r="I29" s="28" t="str">
        <f>IF(I26="","",'6'!C28)</f>
        <v/>
      </c>
    </row>
  </sheetData>
  <mergeCells count="4">
    <mergeCell ref="B26:C26"/>
    <mergeCell ref="B28:C28"/>
    <mergeCell ref="B29:C29"/>
    <mergeCell ref="B27:C27"/>
  </mergeCells>
  <phoneticPr fontId="13" type="noConversion"/>
  <conditionalFormatting sqref="D27:H27">
    <cfRule type="cellIs" dxfId="4" priority="6" operator="lessThan">
      <formula>0</formula>
    </cfRule>
  </conditionalFormatting>
  <conditionalFormatting sqref="I27">
    <cfRule type="cellIs" dxfId="3" priority="1" operator="lessThan">
      <formula>0</formula>
    </cfRule>
  </conditionalFormatting>
  <pageMargins left="0.5" right="0.5" top="0.5" bottom="0.25" header="0.3" footer="0.3"/>
  <pageSetup paperSize="9" scale="70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zoomScale="85" zoomScaleNormal="85" workbookViewId="0">
      <selection activeCell="F18" sqref="F18"/>
    </sheetView>
  </sheetViews>
  <sheetFormatPr defaultRowHeight="15" x14ac:dyDescent="0.25"/>
  <cols>
    <col min="1" max="1" width="9" style="1" customWidth="1"/>
    <col min="2" max="13" width="10.25" style="1" customWidth="1"/>
    <col min="14" max="15" width="9" style="1" customWidth="1"/>
    <col min="16" max="16384" width="9" style="1"/>
  </cols>
  <sheetData>
    <row r="2" spans="1:15" x14ac:dyDescent="0.25">
      <c r="A2" s="1" t="s">
        <v>186</v>
      </c>
    </row>
    <row r="3" spans="1:15" x14ac:dyDescent="0.25">
      <c r="A3" s="1" t="s">
        <v>189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</row>
    <row r="4" spans="1:15" ht="45" x14ac:dyDescent="0.25">
      <c r="B4" s="3" t="s">
        <v>84</v>
      </c>
      <c r="C4" s="3" t="s">
        <v>74</v>
      </c>
      <c r="D4" s="3" t="s">
        <v>134</v>
      </c>
      <c r="E4" s="3" t="s">
        <v>137</v>
      </c>
      <c r="F4" s="3" t="s">
        <v>139</v>
      </c>
      <c r="G4" s="3" t="s">
        <v>76</v>
      </c>
      <c r="H4" s="3" t="s">
        <v>84</v>
      </c>
      <c r="I4" s="3" t="s">
        <v>74</v>
      </c>
      <c r="J4" s="3" t="s">
        <v>134</v>
      </c>
      <c r="K4" s="3" t="s">
        <v>137</v>
      </c>
      <c r="L4" s="3" t="s">
        <v>139</v>
      </c>
      <c r="M4" s="3" t="s">
        <v>76</v>
      </c>
    </row>
    <row r="5" spans="1:15" x14ac:dyDescent="0.25">
      <c r="A5" s="1">
        <v>1</v>
      </c>
      <c r="B5" s="4" t="str">
        <f>'1'!E5</f>
        <v/>
      </c>
      <c r="C5" s="4" t="e">
        <f>'2'!E5</f>
        <v>#VALUE!</v>
      </c>
      <c r="D5" s="4" t="e">
        <f>'3'!F5</f>
        <v>#VALUE!</v>
      </c>
      <c r="E5" s="4" t="e">
        <f>'4'!G5</f>
        <v>#VALUE!</v>
      </c>
      <c r="F5" s="4" t="str">
        <f>'5'!E12</f>
        <v/>
      </c>
      <c r="G5" s="4" t="str">
        <f>IF('6'!D5="","",'6'!D5)</f>
        <v/>
      </c>
      <c r="H5" s="5" t="str">
        <f>'1'!F5</f>
        <v/>
      </c>
      <c r="I5" s="5" t="e">
        <f>'2'!F5</f>
        <v>#VALUE!</v>
      </c>
      <c r="J5" s="5" t="e">
        <f>'3'!G5</f>
        <v>#VALUE!</v>
      </c>
      <c r="K5" s="5" t="e">
        <f>'4'!H5</f>
        <v>#VALUE!</v>
      </c>
      <c r="L5" s="5" t="e">
        <f>'5'!F12</f>
        <v>#VALUE!</v>
      </c>
      <c r="M5" s="5" t="e">
        <f>'6'!E5</f>
        <v>#VALUE!</v>
      </c>
      <c r="O5" s="1">
        <v>3</v>
      </c>
    </row>
    <row r="6" spans="1:15" x14ac:dyDescent="0.25">
      <c r="A6" s="1">
        <v>2</v>
      </c>
      <c r="B6" s="4" t="str">
        <f>'1'!E6</f>
        <v/>
      </c>
      <c r="C6" s="4" t="str">
        <f>'2'!E6</f>
        <v/>
      </c>
      <c r="D6" s="4" t="str">
        <f>'3'!F6</f>
        <v/>
      </c>
      <c r="E6" s="4" t="str">
        <f>'4'!G6</f>
        <v/>
      </c>
      <c r="F6" s="4" t="str">
        <f>'5'!E13</f>
        <v/>
      </c>
      <c r="G6" s="4" t="str">
        <f>IF('6'!D6="","",'6'!D6)</f>
        <v/>
      </c>
      <c r="H6" s="5" t="str">
        <f>'1'!F6</f>
        <v/>
      </c>
      <c r="I6" s="5" t="str">
        <f>'2'!F6</f>
        <v/>
      </c>
      <c r="J6" s="5" t="str">
        <f>'3'!G6</f>
        <v/>
      </c>
      <c r="K6" s="5" t="str">
        <f>'4'!H6</f>
        <v/>
      </c>
      <c r="L6" s="5" t="str">
        <f>'5'!F13</f>
        <v/>
      </c>
      <c r="M6" s="5" t="str">
        <f>'6'!E6</f>
        <v/>
      </c>
      <c r="O6" s="1">
        <v>4</v>
      </c>
    </row>
    <row r="7" spans="1:15" x14ac:dyDescent="0.25">
      <c r="A7" s="1">
        <v>3</v>
      </c>
      <c r="B7" s="4" t="str">
        <f>'1'!E7</f>
        <v/>
      </c>
      <c r="C7" s="4" t="str">
        <f>'2'!E7</f>
        <v/>
      </c>
      <c r="D7" s="4" t="str">
        <f>'3'!F7</f>
        <v/>
      </c>
      <c r="E7" s="4" t="str">
        <f>'4'!G7</f>
        <v/>
      </c>
      <c r="F7" s="4" t="str">
        <f>'5'!E14</f>
        <v/>
      </c>
      <c r="G7" s="4" t="str">
        <f>IF('6'!D7="","",'6'!D7)</f>
        <v/>
      </c>
      <c r="H7" s="5" t="str">
        <f>'1'!F7</f>
        <v/>
      </c>
      <c r="I7" s="5" t="str">
        <f>'2'!F7</f>
        <v/>
      </c>
      <c r="J7" s="5" t="str">
        <f>'3'!G7</f>
        <v/>
      </c>
      <c r="K7" s="5" t="str">
        <f>'4'!H7</f>
        <v/>
      </c>
      <c r="L7" s="5" t="str">
        <f>'5'!F14</f>
        <v/>
      </c>
      <c r="M7" s="5" t="str">
        <f>'6'!E7</f>
        <v/>
      </c>
      <c r="O7" s="1">
        <v>5</v>
      </c>
    </row>
    <row r="8" spans="1:15" x14ac:dyDescent="0.25">
      <c r="A8" s="1">
        <v>4</v>
      </c>
      <c r="B8" s="4" t="str">
        <f>'1'!E8</f>
        <v/>
      </c>
      <c r="C8" s="4" t="str">
        <f>'2'!E8</f>
        <v/>
      </c>
      <c r="D8" s="4" t="str">
        <f>'3'!F8</f>
        <v/>
      </c>
      <c r="E8" s="4" t="str">
        <f>'4'!G8</f>
        <v/>
      </c>
      <c r="F8" s="4" t="str">
        <f>'5'!E15</f>
        <v/>
      </c>
      <c r="G8" s="4" t="str">
        <f>IF('6'!D8="","",'6'!D8)</f>
        <v/>
      </c>
      <c r="H8" s="5" t="str">
        <f>'1'!F8</f>
        <v/>
      </c>
      <c r="I8" s="5" t="str">
        <f>'2'!F8</f>
        <v/>
      </c>
      <c r="J8" s="5" t="str">
        <f>'3'!G8</f>
        <v/>
      </c>
      <c r="K8" s="5" t="str">
        <f>'4'!H8</f>
        <v/>
      </c>
      <c r="L8" s="5" t="str">
        <f>'5'!F15</f>
        <v/>
      </c>
      <c r="M8" s="5" t="str">
        <f>'6'!E8</f>
        <v/>
      </c>
      <c r="O8" s="1">
        <v>6</v>
      </c>
    </row>
    <row r="9" spans="1:15" x14ac:dyDescent="0.25">
      <c r="A9" s="1">
        <v>5</v>
      </c>
      <c r="B9" s="4" t="str">
        <f>'1'!E9</f>
        <v/>
      </c>
      <c r="C9" s="4" t="str">
        <f>'2'!E9</f>
        <v/>
      </c>
      <c r="D9" s="4" t="str">
        <f>'3'!F9</f>
        <v/>
      </c>
      <c r="E9" s="4" t="str">
        <f>'4'!G9</f>
        <v/>
      </c>
      <c r="F9" s="4" t="str">
        <f>'5'!E16</f>
        <v/>
      </c>
      <c r="G9" s="4" t="str">
        <f>IF('6'!D9="","",'6'!D9)</f>
        <v/>
      </c>
      <c r="H9" s="5" t="str">
        <f>'1'!F9</f>
        <v/>
      </c>
      <c r="I9" s="5" t="str">
        <f>'2'!F9</f>
        <v/>
      </c>
      <c r="J9" s="5" t="str">
        <f>'3'!G9</f>
        <v/>
      </c>
      <c r="K9" s="5" t="str">
        <f>'4'!H9</f>
        <v/>
      </c>
      <c r="L9" s="5" t="str">
        <f>'5'!F16</f>
        <v/>
      </c>
      <c r="M9" s="5" t="str">
        <f>'6'!E9</f>
        <v/>
      </c>
      <c r="O9" s="1">
        <v>7</v>
      </c>
    </row>
    <row r="10" spans="1:15" x14ac:dyDescent="0.25">
      <c r="A10" s="1">
        <v>6</v>
      </c>
      <c r="B10" s="4" t="str">
        <f>'1'!E10</f>
        <v/>
      </c>
      <c r="C10" s="4" t="str">
        <f>'2'!E10</f>
        <v/>
      </c>
      <c r="D10" s="4" t="str">
        <f>'3'!F10</f>
        <v/>
      </c>
      <c r="E10" s="4" t="str">
        <f>'4'!G10</f>
        <v/>
      </c>
      <c r="F10" s="4" t="str">
        <f>'5'!E17</f>
        <v/>
      </c>
      <c r="G10" s="4" t="str">
        <f>IF('6'!D10="","",'6'!D10)</f>
        <v/>
      </c>
      <c r="H10" s="5" t="str">
        <f>'1'!F10</f>
        <v/>
      </c>
      <c r="I10" s="5" t="str">
        <f>'2'!F10</f>
        <v/>
      </c>
      <c r="J10" s="5" t="str">
        <f>'3'!G10</f>
        <v/>
      </c>
      <c r="K10" s="5" t="str">
        <f>'4'!H10</f>
        <v/>
      </c>
      <c r="L10" s="5" t="str">
        <f>'5'!F17</f>
        <v/>
      </c>
      <c r="M10" s="5" t="str">
        <f>'6'!E10</f>
        <v/>
      </c>
      <c r="O10" s="1">
        <v>8</v>
      </c>
    </row>
    <row r="11" spans="1:15" x14ac:dyDescent="0.25">
      <c r="A11" s="1">
        <v>7</v>
      </c>
      <c r="B11" s="4" t="str">
        <f>'1'!E11</f>
        <v/>
      </c>
      <c r="C11" s="4" t="str">
        <f>'2'!E11</f>
        <v/>
      </c>
      <c r="D11" s="4" t="str">
        <f>'3'!F11</f>
        <v/>
      </c>
      <c r="E11" s="4" t="str">
        <f>'4'!G11</f>
        <v/>
      </c>
      <c r="F11" s="4" t="str">
        <f>'5'!E18</f>
        <v/>
      </c>
      <c r="G11" s="4" t="str">
        <f>IF('6'!D11="","",'6'!D11)</f>
        <v/>
      </c>
      <c r="H11" s="5" t="str">
        <f>'1'!F11</f>
        <v/>
      </c>
      <c r="I11" s="5" t="str">
        <f>'2'!F11</f>
        <v/>
      </c>
      <c r="J11" s="5" t="str">
        <f>'3'!G11</f>
        <v/>
      </c>
      <c r="K11" s="5" t="str">
        <f>'4'!H11</f>
        <v/>
      </c>
      <c r="L11" s="5" t="str">
        <f>'5'!F18</f>
        <v/>
      </c>
      <c r="M11" s="5" t="str">
        <f>'6'!E11</f>
        <v/>
      </c>
      <c r="O11" s="1">
        <v>9</v>
      </c>
    </row>
    <row r="12" spans="1:15" x14ac:dyDescent="0.25">
      <c r="A12" s="1">
        <v>8</v>
      </c>
      <c r="B12" s="4" t="str">
        <f>'1'!E12</f>
        <v/>
      </c>
      <c r="C12" s="4" t="str">
        <f>'2'!E12</f>
        <v/>
      </c>
      <c r="D12" s="4" t="str">
        <f>'3'!F12</f>
        <v/>
      </c>
      <c r="E12" s="4" t="str">
        <f>'4'!G12</f>
        <v/>
      </c>
      <c r="F12" s="4" t="str">
        <f>'5'!E19</f>
        <v/>
      </c>
      <c r="G12" s="4" t="str">
        <f>IF('6'!D12="","",'6'!D12)</f>
        <v/>
      </c>
      <c r="H12" s="5" t="str">
        <f>'1'!F12</f>
        <v/>
      </c>
      <c r="I12" s="5" t="str">
        <f>'2'!F12</f>
        <v/>
      </c>
      <c r="J12" s="5" t="str">
        <f>'3'!G12</f>
        <v/>
      </c>
      <c r="K12" s="5" t="str">
        <f>'4'!H12</f>
        <v/>
      </c>
      <c r="L12" s="5" t="str">
        <f>'5'!F19</f>
        <v/>
      </c>
      <c r="M12" s="5" t="str">
        <f>'6'!E12</f>
        <v/>
      </c>
      <c r="O12" s="1">
        <v>10</v>
      </c>
    </row>
    <row r="13" spans="1:15" x14ac:dyDescent="0.25">
      <c r="A13" s="1">
        <v>9</v>
      </c>
      <c r="B13" s="4" t="str">
        <f>'1'!E13</f>
        <v/>
      </c>
      <c r="C13" s="4" t="str">
        <f>'2'!E13</f>
        <v/>
      </c>
      <c r="D13" s="4" t="str">
        <f>'3'!F13</f>
        <v/>
      </c>
      <c r="E13" s="4" t="str">
        <f>'4'!G13</f>
        <v/>
      </c>
      <c r="F13" s="4" t="str">
        <f>'5'!E20</f>
        <v/>
      </c>
      <c r="G13" s="4" t="str">
        <f>IF('6'!D13="","",'6'!D13)</f>
        <v/>
      </c>
      <c r="H13" s="5" t="str">
        <f>'1'!F13</f>
        <v/>
      </c>
      <c r="I13" s="5" t="str">
        <f>'2'!F13</f>
        <v/>
      </c>
      <c r="J13" s="5" t="str">
        <f>'3'!G13</f>
        <v/>
      </c>
      <c r="K13" s="5" t="str">
        <f>'4'!H13</f>
        <v/>
      </c>
      <c r="L13" s="5" t="str">
        <f>'5'!F20</f>
        <v/>
      </c>
      <c r="M13" s="5" t="str">
        <f>'6'!E13</f>
        <v/>
      </c>
      <c r="O13" s="1">
        <v>11</v>
      </c>
    </row>
    <row r="14" spans="1:15" x14ac:dyDescent="0.25">
      <c r="A14" s="1">
        <v>10</v>
      </c>
      <c r="B14" s="4" t="str">
        <f>'1'!E14</f>
        <v/>
      </c>
      <c r="C14" s="4" t="str">
        <f>'2'!E14</f>
        <v/>
      </c>
      <c r="D14" s="4" t="str">
        <f>'3'!F14</f>
        <v/>
      </c>
      <c r="E14" s="4" t="str">
        <f>'4'!G14</f>
        <v/>
      </c>
      <c r="F14" s="4" t="str">
        <f>'5'!E21</f>
        <v/>
      </c>
      <c r="G14" s="4" t="str">
        <f>IF('6'!D14="","",'6'!D14)</f>
        <v/>
      </c>
      <c r="H14" s="5" t="str">
        <f>'1'!F14</f>
        <v/>
      </c>
      <c r="I14" s="5" t="str">
        <f>'2'!F14</f>
        <v/>
      </c>
      <c r="J14" s="5" t="str">
        <f>'3'!G14</f>
        <v/>
      </c>
      <c r="K14" s="5" t="str">
        <f>'4'!H14</f>
        <v/>
      </c>
      <c r="L14" s="5" t="str">
        <f>'5'!F21</f>
        <v/>
      </c>
      <c r="M14" s="5" t="str">
        <f>'6'!E14</f>
        <v/>
      </c>
      <c r="O14" s="1">
        <v>12</v>
      </c>
    </row>
    <row r="15" spans="1:15" x14ac:dyDescent="0.25">
      <c r="A15" s="1">
        <v>11</v>
      </c>
      <c r="B15" s="4" t="str">
        <f>'1'!E15</f>
        <v/>
      </c>
      <c r="C15" s="4" t="str">
        <f>'2'!E15</f>
        <v/>
      </c>
      <c r="D15" s="4" t="str">
        <f>'3'!F15</f>
        <v/>
      </c>
      <c r="E15" s="4" t="str">
        <f>'4'!G15</f>
        <v/>
      </c>
      <c r="F15" s="4" t="str">
        <f>'5'!E22</f>
        <v/>
      </c>
      <c r="G15" s="4" t="str">
        <f>IF('6'!D15="","",'6'!D15)</f>
        <v/>
      </c>
      <c r="H15" s="5" t="str">
        <f>'1'!F15</f>
        <v/>
      </c>
      <c r="I15" s="5" t="str">
        <f>'2'!F15</f>
        <v/>
      </c>
      <c r="J15" s="5" t="str">
        <f>'3'!G15</f>
        <v/>
      </c>
      <c r="K15" s="5" t="str">
        <f>'4'!H15</f>
        <v/>
      </c>
      <c r="L15" s="5" t="str">
        <f>'5'!F22</f>
        <v/>
      </c>
      <c r="M15" s="5" t="str">
        <f>'6'!E15</f>
        <v/>
      </c>
      <c r="O15" s="1">
        <v>13</v>
      </c>
    </row>
    <row r="16" spans="1:15" x14ac:dyDescent="0.25">
      <c r="A16" s="1">
        <v>12</v>
      </c>
      <c r="B16" s="4" t="str">
        <f>'1'!E16</f>
        <v/>
      </c>
      <c r="C16" s="4" t="str">
        <f>'2'!E16</f>
        <v/>
      </c>
      <c r="D16" s="4" t="str">
        <f>'3'!F16</f>
        <v/>
      </c>
      <c r="E16" s="4" t="str">
        <f>'4'!G16</f>
        <v/>
      </c>
      <c r="F16" s="4" t="str">
        <f>'5'!E23</f>
        <v/>
      </c>
      <c r="G16" s="4" t="str">
        <f>IF('6'!D16="","",'6'!D16)</f>
        <v/>
      </c>
      <c r="H16" s="5" t="str">
        <f>'1'!F16</f>
        <v/>
      </c>
      <c r="I16" s="5" t="str">
        <f>'2'!F16</f>
        <v/>
      </c>
      <c r="J16" s="5" t="str">
        <f>'3'!G16</f>
        <v/>
      </c>
      <c r="K16" s="5" t="str">
        <f>'4'!H16</f>
        <v/>
      </c>
      <c r="L16" s="5" t="str">
        <f>'5'!F23</f>
        <v/>
      </c>
      <c r="M16" s="5" t="str">
        <f>'6'!E16</f>
        <v/>
      </c>
      <c r="O16" s="1">
        <v>14</v>
      </c>
    </row>
    <row r="17" spans="1:15" x14ac:dyDescent="0.25">
      <c r="A17" s="1">
        <v>13</v>
      </c>
      <c r="B17" s="4" t="str">
        <f>'1'!E17</f>
        <v/>
      </c>
      <c r="C17" s="4" t="str">
        <f>'2'!E17</f>
        <v/>
      </c>
      <c r="D17" s="4" t="str">
        <f>'3'!F17</f>
        <v/>
      </c>
      <c r="E17" s="4" t="str">
        <f>'4'!G17</f>
        <v/>
      </c>
      <c r="F17" s="4" t="str">
        <f>'5'!E24</f>
        <v/>
      </c>
      <c r="G17" s="4" t="str">
        <f>IF('6'!D17="","",'6'!D17)</f>
        <v/>
      </c>
      <c r="H17" s="5" t="str">
        <f>'1'!F17</f>
        <v/>
      </c>
      <c r="I17" s="5" t="str">
        <f>'2'!F17</f>
        <v/>
      </c>
      <c r="J17" s="5" t="str">
        <f>'3'!G17</f>
        <v/>
      </c>
      <c r="K17" s="5" t="str">
        <f>'4'!H17</f>
        <v/>
      </c>
      <c r="L17" s="5" t="str">
        <f>'5'!F24</f>
        <v/>
      </c>
      <c r="M17" s="5" t="str">
        <f>'6'!E17</f>
        <v/>
      </c>
      <c r="O17" s="1">
        <v>15</v>
      </c>
    </row>
    <row r="18" spans="1:15" x14ac:dyDescent="0.25">
      <c r="A18" s="1">
        <v>14</v>
      </c>
      <c r="B18" s="4" t="str">
        <f>'1'!E18</f>
        <v/>
      </c>
      <c r="C18" s="4" t="str">
        <f>'2'!E18</f>
        <v/>
      </c>
      <c r="D18" s="4" t="str">
        <f>'3'!F18</f>
        <v/>
      </c>
      <c r="E18" s="4" t="str">
        <f>'4'!G18</f>
        <v/>
      </c>
      <c r="F18" s="4" t="str">
        <f>'5'!E25</f>
        <v/>
      </c>
      <c r="G18" s="4" t="str">
        <f>IF('6'!D18="","",'6'!D18)</f>
        <v/>
      </c>
      <c r="H18" s="5" t="str">
        <f>'1'!F18</f>
        <v/>
      </c>
      <c r="I18" s="5" t="str">
        <f>'2'!F18</f>
        <v/>
      </c>
      <c r="J18" s="5" t="str">
        <f>'3'!G18</f>
        <v/>
      </c>
      <c r="K18" s="5" t="str">
        <f>'4'!H18</f>
        <v/>
      </c>
      <c r="L18" s="5" t="str">
        <f>'5'!F25</f>
        <v/>
      </c>
      <c r="M18" s="5" t="str">
        <f>'6'!E18</f>
        <v/>
      </c>
      <c r="O18" s="1">
        <v>16</v>
      </c>
    </row>
    <row r="19" spans="1:15" x14ac:dyDescent="0.25">
      <c r="A19" s="1">
        <v>15</v>
      </c>
      <c r="B19" s="4" t="str">
        <f>'1'!E19</f>
        <v/>
      </c>
      <c r="C19" s="4" t="str">
        <f>'2'!E19</f>
        <v/>
      </c>
      <c r="D19" s="4" t="str">
        <f>'3'!F19</f>
        <v/>
      </c>
      <c r="E19" s="4" t="str">
        <f>'4'!G19</f>
        <v/>
      </c>
      <c r="F19" s="4" t="str">
        <f>'5'!E26</f>
        <v/>
      </c>
      <c r="G19" s="4" t="str">
        <f>IF('6'!D19="","",'6'!D19)</f>
        <v/>
      </c>
      <c r="H19" s="5" t="str">
        <f>'1'!F19</f>
        <v/>
      </c>
      <c r="I19" s="5" t="str">
        <f>'2'!F19</f>
        <v/>
      </c>
      <c r="J19" s="5" t="str">
        <f>'3'!G19</f>
        <v/>
      </c>
      <c r="K19" s="5" t="str">
        <f>'4'!H19</f>
        <v/>
      </c>
      <c r="L19" s="5" t="str">
        <f>'5'!F26</f>
        <v/>
      </c>
      <c r="M19" s="5" t="str">
        <f>'6'!E19</f>
        <v/>
      </c>
      <c r="O19" s="1">
        <v>17</v>
      </c>
    </row>
    <row r="20" spans="1:15" x14ac:dyDescent="0.25">
      <c r="A20" s="1">
        <v>16</v>
      </c>
      <c r="B20" s="4" t="str">
        <f>'1'!E20</f>
        <v/>
      </c>
      <c r="C20" s="4" t="str">
        <f>'2'!E20</f>
        <v/>
      </c>
      <c r="D20" s="4" t="str">
        <f>'3'!F20</f>
        <v/>
      </c>
      <c r="E20" s="4" t="str">
        <f>'4'!G20</f>
        <v/>
      </c>
      <c r="F20" s="4" t="str">
        <f>'5'!E27</f>
        <v/>
      </c>
      <c r="G20" s="4" t="str">
        <f>IF('6'!D20="","",'6'!D20)</f>
        <v/>
      </c>
      <c r="H20" s="5" t="str">
        <f>'1'!F20</f>
        <v/>
      </c>
      <c r="I20" s="5" t="str">
        <f>'2'!F20</f>
        <v/>
      </c>
      <c r="J20" s="5" t="str">
        <f>'3'!G20</f>
        <v/>
      </c>
      <c r="K20" s="5" t="str">
        <f>'4'!H20</f>
        <v/>
      </c>
      <c r="L20" s="5" t="str">
        <f>'5'!F27</f>
        <v/>
      </c>
      <c r="M20" s="5" t="str">
        <f>'6'!E20</f>
        <v/>
      </c>
      <c r="O20" s="1">
        <v>18</v>
      </c>
    </row>
    <row r="21" spans="1:15" x14ac:dyDescent="0.25">
      <c r="A21" s="1">
        <v>17</v>
      </c>
      <c r="B21" s="4" t="str">
        <f>'1'!E21</f>
        <v/>
      </c>
      <c r="C21" s="4" t="str">
        <f>'2'!E21</f>
        <v/>
      </c>
      <c r="D21" s="4" t="str">
        <f>'3'!F21</f>
        <v/>
      </c>
      <c r="E21" s="4" t="str">
        <f>'4'!G21</f>
        <v/>
      </c>
      <c r="F21" s="4" t="str">
        <f>'5'!E28</f>
        <v/>
      </c>
      <c r="G21" s="4" t="str">
        <f>IF('6'!D21="","",'6'!D21)</f>
        <v/>
      </c>
      <c r="H21" s="5" t="str">
        <f>'1'!F21</f>
        <v/>
      </c>
      <c r="I21" s="5" t="str">
        <f>'2'!F21</f>
        <v/>
      </c>
      <c r="J21" s="5" t="str">
        <f>'3'!G21</f>
        <v/>
      </c>
      <c r="K21" s="5" t="str">
        <f>'4'!H21</f>
        <v/>
      </c>
      <c r="L21" s="5" t="str">
        <f>'5'!F28</f>
        <v/>
      </c>
      <c r="M21" s="5" t="str">
        <f>'6'!E21</f>
        <v/>
      </c>
      <c r="O21" s="1">
        <v>19</v>
      </c>
    </row>
    <row r="22" spans="1:15" x14ac:dyDescent="0.25">
      <c r="A22" s="1">
        <v>18</v>
      </c>
      <c r="B22" s="4" t="str">
        <f>'1'!E22</f>
        <v/>
      </c>
      <c r="C22" s="4" t="str">
        <f>'2'!E22</f>
        <v/>
      </c>
      <c r="D22" s="4" t="str">
        <f>'3'!F22</f>
        <v/>
      </c>
      <c r="E22" s="4" t="str">
        <f>'4'!G22</f>
        <v/>
      </c>
      <c r="F22" s="4" t="str">
        <f>'5'!E29</f>
        <v/>
      </c>
      <c r="G22" s="4" t="str">
        <f>IF('6'!D22="","",'6'!D22)</f>
        <v/>
      </c>
      <c r="H22" s="5" t="str">
        <f>'1'!F22</f>
        <v/>
      </c>
      <c r="I22" s="5" t="str">
        <f>'2'!F22</f>
        <v/>
      </c>
      <c r="J22" s="5" t="str">
        <f>'3'!G22</f>
        <v/>
      </c>
      <c r="K22" s="5" t="str">
        <f>'4'!H22</f>
        <v/>
      </c>
      <c r="L22" s="5" t="str">
        <f>'5'!F29</f>
        <v/>
      </c>
      <c r="M22" s="5" t="str">
        <f>'6'!E22</f>
        <v/>
      </c>
      <c r="O22" s="1">
        <v>20</v>
      </c>
    </row>
    <row r="23" spans="1:15" x14ac:dyDescent="0.25">
      <c r="A23" s="1">
        <v>19</v>
      </c>
      <c r="B23" s="4" t="str">
        <f>'1'!E23</f>
        <v/>
      </c>
      <c r="C23" s="4" t="str">
        <f>'2'!E23</f>
        <v/>
      </c>
      <c r="D23" s="4" t="str">
        <f>'3'!F23</f>
        <v/>
      </c>
      <c r="E23" s="4" t="str">
        <f>'4'!G23</f>
        <v/>
      </c>
      <c r="F23" s="4" t="str">
        <f>'5'!E30</f>
        <v/>
      </c>
      <c r="G23" s="4" t="str">
        <f>IF('6'!D23="","",'6'!D23)</f>
        <v/>
      </c>
      <c r="H23" s="5" t="str">
        <f>'1'!F23</f>
        <v/>
      </c>
      <c r="I23" s="5" t="str">
        <f>'2'!F23</f>
        <v/>
      </c>
      <c r="J23" s="5" t="str">
        <f>'3'!G23</f>
        <v/>
      </c>
      <c r="K23" s="5" t="str">
        <f>'4'!H23</f>
        <v/>
      </c>
      <c r="L23" s="5" t="str">
        <f>'5'!F30</f>
        <v/>
      </c>
      <c r="M23" s="5" t="str">
        <f>'6'!E23</f>
        <v/>
      </c>
      <c r="O23" s="1">
        <v>21</v>
      </c>
    </row>
    <row r="24" spans="1:15" x14ac:dyDescent="0.25">
      <c r="A24" s="1">
        <v>20</v>
      </c>
      <c r="B24" s="4" t="str">
        <f>'1'!E24</f>
        <v/>
      </c>
      <c r="C24" s="4" t="str">
        <f>'2'!E24</f>
        <v/>
      </c>
      <c r="D24" s="4" t="str">
        <f>'3'!F24</f>
        <v/>
      </c>
      <c r="E24" s="4" t="str">
        <f>'4'!G24</f>
        <v/>
      </c>
      <c r="F24" s="4" t="str">
        <f>'5'!E31</f>
        <v/>
      </c>
      <c r="G24" s="4" t="str">
        <f>IF('6'!D24="","",'6'!D24)</f>
        <v/>
      </c>
      <c r="H24" s="5" t="str">
        <f>'1'!F24</f>
        <v/>
      </c>
      <c r="I24" s="5" t="str">
        <f>'2'!F24</f>
        <v/>
      </c>
      <c r="J24" s="5" t="str">
        <f>'3'!G24</f>
        <v/>
      </c>
      <c r="K24" s="5" t="str">
        <f>'4'!H24</f>
        <v/>
      </c>
      <c r="L24" s="5" t="str">
        <f>'5'!F31</f>
        <v/>
      </c>
      <c r="M24" s="5" t="str">
        <f>'6'!E24</f>
        <v/>
      </c>
      <c r="O24" s="1">
        <v>22</v>
      </c>
    </row>
  </sheetData>
  <phoneticPr fontId="1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="115" zoomScaleNormal="115" workbookViewId="0">
      <selection activeCell="B9" sqref="B9"/>
    </sheetView>
  </sheetViews>
  <sheetFormatPr defaultRowHeight="12.75" x14ac:dyDescent="0.2"/>
  <cols>
    <col min="1" max="1" width="18.375" style="164" customWidth="1"/>
    <col min="2" max="2" width="12.375" style="164" customWidth="1"/>
    <col min="3" max="3" width="9" style="164" customWidth="1"/>
    <col min="4" max="4" width="45.375" style="164" customWidth="1"/>
    <col min="5" max="5" width="12.875" style="165" customWidth="1"/>
    <col min="6" max="7" width="9" style="164" customWidth="1"/>
    <col min="8" max="16384" width="9" style="164"/>
  </cols>
  <sheetData>
    <row r="1" spans="1:5" x14ac:dyDescent="0.2">
      <c r="A1" s="164" t="s">
        <v>190</v>
      </c>
      <c r="B1" s="165" t="s">
        <v>191</v>
      </c>
      <c r="D1" s="164" t="s">
        <v>190</v>
      </c>
      <c r="E1" s="165" t="s">
        <v>192</v>
      </c>
    </row>
    <row r="2" spans="1:5" ht="15" x14ac:dyDescent="0.25">
      <c r="A2" s="164" t="s">
        <v>5</v>
      </c>
      <c r="B2" s="137"/>
      <c r="D2" s="164" t="s">
        <v>193</v>
      </c>
      <c r="E2" s="166" t="str">
        <f>'Renewal Tool'!H36</f>
        <v/>
      </c>
    </row>
    <row r="3" spans="1:5" ht="15" x14ac:dyDescent="0.25">
      <c r="A3" s="164" t="s">
        <v>194</v>
      </c>
      <c r="B3" s="137"/>
      <c r="D3" s="164" t="s">
        <v>195</v>
      </c>
      <c r="E3" s="165" t="e">
        <f>'Renewal Tool'!H37</f>
        <v>#VALUE!</v>
      </c>
    </row>
    <row r="4" spans="1:5" ht="15" x14ac:dyDescent="0.25">
      <c r="A4" s="164" t="s">
        <v>10</v>
      </c>
      <c r="B4" s="137"/>
      <c r="D4" s="164" t="s">
        <v>196</v>
      </c>
      <c r="E4" s="165" t="e">
        <f>'Renewal Tool'!H38</f>
        <v>#VALUE!</v>
      </c>
    </row>
    <row r="5" spans="1:5" ht="15" x14ac:dyDescent="0.25">
      <c r="A5" s="167" t="s">
        <v>12</v>
      </c>
      <c r="B5" s="315"/>
      <c r="D5" s="164" t="s">
        <v>197</v>
      </c>
      <c r="E5" s="165" t="e">
        <f>'Renewal Tool'!H39</f>
        <v>#VALUE!</v>
      </c>
    </row>
    <row r="6" spans="1:5" ht="15" x14ac:dyDescent="0.25">
      <c r="A6" s="167" t="s">
        <v>198</v>
      </c>
      <c r="B6" s="315"/>
      <c r="D6" s="164" t="s">
        <v>199</v>
      </c>
      <c r="E6" s="165" t="e">
        <f>'Renewal Tool'!H40</f>
        <v>#VALUE!</v>
      </c>
    </row>
    <row r="7" spans="1:5" ht="15" x14ac:dyDescent="0.25">
      <c r="A7" s="167" t="s">
        <v>22</v>
      </c>
      <c r="B7" s="137"/>
      <c r="D7" s="164" t="s">
        <v>200</v>
      </c>
      <c r="E7" s="314" t="str">
        <f>'Renewal Tool'!I36</f>
        <v/>
      </c>
    </row>
    <row r="8" spans="1:5" ht="15" x14ac:dyDescent="0.25">
      <c r="A8" s="168" t="s">
        <v>25</v>
      </c>
      <c r="B8" s="137"/>
      <c r="D8" s="164" t="s">
        <v>201</v>
      </c>
      <c r="E8" s="165" t="str">
        <f>'Renewal Tool'!I37</f>
        <v/>
      </c>
    </row>
    <row r="9" spans="1:5" ht="15" x14ac:dyDescent="0.25">
      <c r="A9" s="168" t="s">
        <v>244</v>
      </c>
      <c r="B9" s="319"/>
      <c r="D9" s="164" t="s">
        <v>202</v>
      </c>
      <c r="E9" s="165" t="e">
        <f>'Renewal Tool'!I38</f>
        <v>#VALUE!</v>
      </c>
    </row>
    <row r="10" spans="1:5" ht="15" x14ac:dyDescent="0.25">
      <c r="A10" s="168" t="s">
        <v>27</v>
      </c>
      <c r="B10" s="137"/>
      <c r="D10" s="164" t="s">
        <v>203</v>
      </c>
      <c r="E10" s="165" t="str">
        <f>'Renewal Tool'!I39</f>
        <v/>
      </c>
    </row>
    <row r="11" spans="1:5" ht="15" x14ac:dyDescent="0.25">
      <c r="A11" s="168" t="s">
        <v>28</v>
      </c>
      <c r="B11" s="137"/>
      <c r="D11" s="164" t="s">
        <v>204</v>
      </c>
      <c r="E11" s="165" t="e">
        <f>'Renewal Tool'!I40</f>
        <v>#VALUE!</v>
      </c>
    </row>
    <row r="12" spans="1:5" ht="15" x14ac:dyDescent="0.25">
      <c r="A12" s="168" t="s">
        <v>29</v>
      </c>
      <c r="B12" s="137"/>
      <c r="D12" s="164" t="s">
        <v>205</v>
      </c>
      <c r="E12" s="165" t="e">
        <f>'Renewal Tool'!J36</f>
        <v>#VALUE!</v>
      </c>
    </row>
    <row r="13" spans="1:5" ht="15" x14ac:dyDescent="0.25">
      <c r="A13" s="168" t="s">
        <v>30</v>
      </c>
      <c r="B13" s="137"/>
      <c r="D13" s="164" t="s">
        <v>206</v>
      </c>
      <c r="E13" s="165" t="e">
        <f>'Renewal Tool'!J37</f>
        <v>#VALUE!</v>
      </c>
    </row>
    <row r="14" spans="1:5" ht="15" x14ac:dyDescent="0.25">
      <c r="A14" s="168" t="s">
        <v>31</v>
      </c>
      <c r="B14" s="137"/>
      <c r="D14" s="164" t="s">
        <v>207</v>
      </c>
      <c r="E14" s="165" t="e">
        <f>'Renewal Tool'!J38</f>
        <v>#VALUE!</v>
      </c>
    </row>
    <row r="15" spans="1:5" ht="15" x14ac:dyDescent="0.25">
      <c r="A15" s="168" t="s">
        <v>32</v>
      </c>
      <c r="B15" s="137"/>
      <c r="D15" s="164" t="s">
        <v>208</v>
      </c>
      <c r="E15" s="165" t="e">
        <f>'Renewal Tool'!J39</f>
        <v>#VALUE!</v>
      </c>
    </row>
    <row r="16" spans="1:5" ht="15" x14ac:dyDescent="0.25">
      <c r="A16" s="168" t="s">
        <v>33</v>
      </c>
      <c r="B16" s="137"/>
      <c r="D16" s="164" t="s">
        <v>209</v>
      </c>
      <c r="E16" s="165" t="e">
        <f>'Renewal Tool'!J40</f>
        <v>#VALUE!</v>
      </c>
    </row>
    <row r="17" spans="1:5" ht="15" x14ac:dyDescent="0.25">
      <c r="A17" s="168" t="s">
        <v>34</v>
      </c>
      <c r="B17" s="137"/>
    </row>
    <row r="18" spans="1:5" ht="15" x14ac:dyDescent="0.25">
      <c r="A18" s="168" t="s">
        <v>35</v>
      </c>
      <c r="B18" s="137"/>
    </row>
    <row r="19" spans="1:5" ht="15" x14ac:dyDescent="0.25">
      <c r="A19" s="168" t="s">
        <v>36</v>
      </c>
      <c r="B19" s="137"/>
      <c r="E19" s="169"/>
    </row>
    <row r="20" spans="1:5" ht="15" x14ac:dyDescent="0.25">
      <c r="A20" s="168" t="s">
        <v>37</v>
      </c>
      <c r="B20" s="137"/>
      <c r="E20" s="169"/>
    </row>
    <row r="21" spans="1:5" ht="15" x14ac:dyDescent="0.25">
      <c r="A21" s="168" t="s">
        <v>38</v>
      </c>
      <c r="B21" s="137"/>
    </row>
    <row r="22" spans="1:5" ht="15" x14ac:dyDescent="0.25">
      <c r="A22" s="170" t="s">
        <v>210</v>
      </c>
      <c r="B22" s="137"/>
    </row>
    <row r="23" spans="1:5" ht="15" x14ac:dyDescent="0.25">
      <c r="A23" s="170" t="s">
        <v>211</v>
      </c>
      <c r="B23" s="137"/>
    </row>
    <row r="24" spans="1:5" ht="15" x14ac:dyDescent="0.25">
      <c r="A24" s="170" t="s">
        <v>212</v>
      </c>
      <c r="B24" s="137"/>
    </row>
    <row r="25" spans="1:5" ht="15" x14ac:dyDescent="0.25">
      <c r="A25" s="170" t="s">
        <v>213</v>
      </c>
      <c r="B25" s="137"/>
    </row>
    <row r="26" spans="1:5" ht="15" x14ac:dyDescent="0.25">
      <c r="A26" s="170" t="s">
        <v>214</v>
      </c>
      <c r="B26" s="137"/>
    </row>
    <row r="27" spans="1:5" ht="15" x14ac:dyDescent="0.25">
      <c r="A27" s="170" t="s">
        <v>215</v>
      </c>
      <c r="B27" s="137"/>
    </row>
    <row r="28" spans="1:5" ht="15" x14ac:dyDescent="0.25">
      <c r="A28" s="170" t="s">
        <v>216</v>
      </c>
      <c r="B28" s="137"/>
    </row>
    <row r="29" spans="1:5" ht="15" x14ac:dyDescent="0.25">
      <c r="A29" s="170" t="s">
        <v>217</v>
      </c>
      <c r="B29" s="137"/>
    </row>
    <row r="30" spans="1:5" ht="15" x14ac:dyDescent="0.25">
      <c r="A30" s="170" t="s">
        <v>218</v>
      </c>
      <c r="B30" s="137"/>
    </row>
    <row r="31" spans="1:5" ht="15" x14ac:dyDescent="0.25">
      <c r="A31" s="171" t="s">
        <v>219</v>
      </c>
      <c r="B31" s="137"/>
    </row>
    <row r="32" spans="1:5" ht="15" x14ac:dyDescent="0.25">
      <c r="A32" s="171" t="s">
        <v>220</v>
      </c>
      <c r="B32" s="137"/>
    </row>
    <row r="33" spans="1:2" ht="15" x14ac:dyDescent="0.25">
      <c r="A33" s="171" t="s">
        <v>8</v>
      </c>
      <c r="B33" s="137"/>
    </row>
    <row r="34" spans="1:2" ht="15" x14ac:dyDescent="0.25">
      <c r="A34" s="171" t="s">
        <v>221</v>
      </c>
      <c r="B34" s="137"/>
    </row>
    <row r="35" spans="1:2" ht="15" x14ac:dyDescent="0.25">
      <c r="A35" s="171" t="s">
        <v>222</v>
      </c>
      <c r="B35" s="137"/>
    </row>
    <row r="36" spans="1:2" ht="15" x14ac:dyDescent="0.25">
      <c r="A36" s="171" t="s">
        <v>223</v>
      </c>
      <c r="B36" s="137"/>
    </row>
    <row r="37" spans="1:2" ht="15" x14ac:dyDescent="0.25">
      <c r="A37" s="171" t="s">
        <v>224</v>
      </c>
      <c r="B37" s="137"/>
    </row>
    <row r="38" spans="1:2" ht="15" x14ac:dyDescent="0.25">
      <c r="A38" s="171" t="s">
        <v>225</v>
      </c>
      <c r="B38" s="137"/>
    </row>
    <row r="39" spans="1:2" ht="15" x14ac:dyDescent="0.25">
      <c r="A39" s="171" t="s">
        <v>226</v>
      </c>
      <c r="B39" s="137"/>
    </row>
    <row r="40" spans="1:2" ht="15" x14ac:dyDescent="0.25">
      <c r="A40" s="171" t="s">
        <v>227</v>
      </c>
      <c r="B40" s="137"/>
    </row>
    <row r="41" spans="1:2" ht="15" x14ac:dyDescent="0.25">
      <c r="A41" s="171" t="s">
        <v>228</v>
      </c>
      <c r="B41" s="137"/>
    </row>
    <row r="42" spans="1:2" ht="15" x14ac:dyDescent="0.25">
      <c r="A42" s="171" t="s">
        <v>229</v>
      </c>
      <c r="B42" s="137"/>
    </row>
    <row r="43" spans="1:2" ht="15" x14ac:dyDescent="0.25">
      <c r="A43" s="171" t="s">
        <v>230</v>
      </c>
      <c r="B43" s="137"/>
    </row>
    <row r="44" spans="1:2" ht="15" x14ac:dyDescent="0.25">
      <c r="A44" s="171" t="s">
        <v>231</v>
      </c>
      <c r="B44" s="137"/>
    </row>
    <row r="45" spans="1:2" ht="15" x14ac:dyDescent="0.25">
      <c r="A45" s="171" t="s">
        <v>232</v>
      </c>
      <c r="B45" s="137"/>
    </row>
    <row r="46" spans="1:2" ht="15" x14ac:dyDescent="0.25">
      <c r="A46" s="171" t="s">
        <v>233</v>
      </c>
      <c r="B46" s="137"/>
    </row>
    <row r="47" spans="1:2" ht="15" x14ac:dyDescent="0.25">
      <c r="A47" s="171" t="s">
        <v>234</v>
      </c>
      <c r="B47" s="137"/>
    </row>
    <row r="48" spans="1:2" ht="15" x14ac:dyDescent="0.25">
      <c r="A48" s="171" t="s">
        <v>235</v>
      </c>
      <c r="B48" s="137"/>
    </row>
    <row r="49" spans="1:2" ht="15" x14ac:dyDescent="0.25">
      <c r="A49" s="171" t="s">
        <v>236</v>
      </c>
      <c r="B49" s="137"/>
    </row>
    <row r="50" spans="1:2" ht="15" x14ac:dyDescent="0.25">
      <c r="A50" s="171" t="s">
        <v>237</v>
      </c>
      <c r="B50" s="137"/>
    </row>
    <row r="51" spans="1:2" ht="15" x14ac:dyDescent="0.25">
      <c r="A51" s="171" t="s">
        <v>238</v>
      </c>
      <c r="B51" s="137"/>
    </row>
    <row r="52" spans="1:2" ht="15" x14ac:dyDescent="0.25">
      <c r="A52" s="171" t="s">
        <v>239</v>
      </c>
      <c r="B52" s="137"/>
    </row>
    <row r="53" spans="1:2" ht="15" x14ac:dyDescent="0.25">
      <c r="A53" s="171" t="s">
        <v>240</v>
      </c>
      <c r="B53" s="137"/>
    </row>
    <row r="54" spans="1:2" ht="15" x14ac:dyDescent="0.25">
      <c r="A54" s="171" t="s">
        <v>81</v>
      </c>
      <c r="B54" s="137"/>
    </row>
    <row r="55" spans="1:2" x14ac:dyDescent="0.2">
      <c r="A55" s="172" t="s">
        <v>241</v>
      </c>
    </row>
    <row r="56" spans="1:2" x14ac:dyDescent="0.2">
      <c r="A56" s="172" t="s">
        <v>242</v>
      </c>
    </row>
  </sheetData>
  <sheetProtection algorithmName="SHA-512" hashValue="OgyR1lvD8HpdLQ8MsoImCXj9iWj88XK4/dBhgr/o6AqY4/t+EGYi/DtvGxTWi6YcUj0E7hjgqCu7Yng3ptGzaA==" saltValue="EJxW31iwh17vqkomn5PlMQ==" spinCount="100000" sheet="1" objects="1" scenarios="1"/>
  <phoneticPr fontId="1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17747" zoomScaleSheetLayoutView="6" workbookViewId="0"/>
  </sheetViews>
  <sheetFormatPr defaultRowHeight="14.25" x14ac:dyDescent="0.1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8</vt:i4>
      </vt:variant>
    </vt:vector>
  </HeadingPairs>
  <TitlesOfParts>
    <vt:vector size="20" baseType="lpstr">
      <vt:lpstr>Renewal Tool</vt:lpstr>
      <vt:lpstr>1</vt:lpstr>
      <vt:lpstr>2</vt:lpstr>
      <vt:lpstr>3</vt:lpstr>
      <vt:lpstr>4</vt:lpstr>
      <vt:lpstr>5</vt:lpstr>
      <vt:lpstr>6</vt:lpstr>
      <vt:lpstr>Trend</vt:lpstr>
      <vt:lpstr>Overview Rent Structures</vt:lpstr>
      <vt:lpstr>Rent Structure Comparison</vt:lpstr>
      <vt:lpstr>Data</vt:lpstr>
      <vt:lpstr>PMT</vt:lpstr>
      <vt:lpstr>'3'!Print_Area</vt:lpstr>
      <vt:lpstr>'4'!Print_Area</vt:lpstr>
      <vt:lpstr>'5'!Print_Area</vt:lpstr>
      <vt:lpstr>'6'!Print_Area</vt:lpstr>
      <vt:lpstr>'Overview Rent Structures'!Print_Area</vt:lpstr>
      <vt:lpstr>'Renewal Tool'!Print_Area</vt:lpstr>
      <vt:lpstr>'Rent Structure Comparison'!Print_Area</vt:lpstr>
      <vt:lpstr>Trend!Print_Area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2011-04-21T06:17:22Z</cp:lastPrinted>
  <dcterms:created xsi:type="dcterms:W3CDTF">1996-12-17T01:32:42Z</dcterms:created>
  <dcterms:modified xsi:type="dcterms:W3CDTF">2015-04-28T06:28:48Z</dcterms:modified>
  <cp:version>v0.1</cp:version>
</cp:coreProperties>
</file>