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755" yWindow="0" windowWidth="9690" windowHeight="8775" tabRatio="630" activeTab="3"/>
  </bookViews>
  <sheets>
    <sheet name="Closing Package" sheetId="9" r:id="rId1"/>
    <sheet name="NPV" sheetId="10" state="hidden" r:id="rId2"/>
    <sheet name="Data" sheetId="11" r:id="rId3"/>
    <sheet name="PMT" sheetId="12" r:id="rId4"/>
  </sheets>
  <definedNames>
    <definedName name="_xlnm.Print_Area" localSheetId="0">'Closing Package'!$A$1:$J$76</definedName>
    <definedName name="_xlnm.Print_Area" localSheetId="1">NPV!$A$3:$B$26</definedName>
  </definedNames>
  <calcPr calcId="145621"/>
</workbook>
</file>

<file path=xl/calcChain.xml><?xml version="1.0" encoding="utf-8"?>
<calcChain xmlns="http://schemas.openxmlformats.org/spreadsheetml/2006/main">
  <c r="I54" i="9" l="1"/>
  <c r="G19" i="9"/>
  <c r="G18" i="9"/>
  <c r="C11" i="9"/>
  <c r="I46" i="9"/>
  <c r="C20" i="9"/>
  <c r="D20" i="9"/>
  <c r="A53" i="9"/>
  <c r="I61" i="9"/>
  <c r="I60" i="9"/>
  <c r="I59" i="9"/>
  <c r="I58" i="9"/>
  <c r="I57" i="9"/>
  <c r="I56" i="9"/>
  <c r="I45" i="9"/>
  <c r="I44" i="9"/>
  <c r="M34" i="9"/>
  <c r="I30" i="9"/>
  <c r="E4" i="12"/>
  <c r="I19" i="9"/>
  <c r="I18" i="9"/>
  <c r="I12" i="9"/>
  <c r="E5" i="12"/>
  <c r="I9" i="9"/>
  <c r="I11" i="9"/>
  <c r="I13" i="9"/>
  <c r="I8" i="9"/>
  <c r="I7" i="9"/>
  <c r="I6" i="9"/>
  <c r="H8" i="9"/>
  <c r="H10" i="9"/>
  <c r="H7" i="9"/>
  <c r="H6" i="9"/>
  <c r="D49" i="9"/>
  <c r="C49" i="9"/>
  <c r="D40" i="9"/>
  <c r="C40" i="9"/>
  <c r="C19" i="9"/>
  <c r="D19" i="9"/>
  <c r="B45" i="9"/>
  <c r="C21" i="9"/>
  <c r="D21" i="9"/>
  <c r="C22" i="9"/>
  <c r="C23" i="9"/>
  <c r="C24" i="9"/>
  <c r="D24" i="9"/>
  <c r="C25" i="9"/>
  <c r="D25" i="9"/>
  <c r="C26" i="9"/>
  <c r="C27" i="9"/>
  <c r="C28" i="9"/>
  <c r="C29" i="9"/>
  <c r="D29" i="9"/>
  <c r="C30" i="9"/>
  <c r="C31" i="9"/>
  <c r="C18" i="9"/>
  <c r="D27" i="9"/>
  <c r="I23" i="9"/>
  <c r="I21" i="9"/>
  <c r="I1" i="9"/>
  <c r="D41" i="9"/>
  <c r="D42" i="9"/>
  <c r="D43" i="9"/>
  <c r="D44" i="9"/>
  <c r="D45" i="9"/>
  <c r="D46" i="9"/>
  <c r="D47" i="9"/>
  <c r="D48" i="9"/>
  <c r="C41" i="9"/>
  <c r="C42" i="9"/>
  <c r="C43" i="9"/>
  <c r="C44" i="9"/>
  <c r="C45" i="9"/>
  <c r="C46" i="9"/>
  <c r="C47" i="9"/>
  <c r="C48" i="9"/>
  <c r="B48" i="9"/>
  <c r="B46" i="9"/>
  <c r="B44" i="9"/>
  <c r="B43" i="9"/>
  <c r="B42" i="9"/>
  <c r="C13" i="9"/>
  <c r="B1" i="10"/>
  <c r="C7" i="9"/>
  <c r="C8" i="9"/>
  <c r="C9" i="9"/>
  <c r="C10" i="9"/>
  <c r="C6" i="9"/>
  <c r="C5" i="9"/>
  <c r="I20" i="9"/>
  <c r="I22" i="9"/>
  <c r="D28" i="9"/>
  <c r="C17" i="9"/>
  <c r="L37" i="9"/>
  <c r="D26" i="9"/>
  <c r="D22" i="9"/>
  <c r="I36" i="9"/>
  <c r="D30" i="9"/>
  <c r="D31" i="9"/>
  <c r="I24" i="9"/>
  <c r="H37" i="9"/>
  <c r="I37" i="9"/>
  <c r="I29" i="9"/>
  <c r="E2" i="12"/>
  <c r="N36" i="9"/>
  <c r="M36" i="9"/>
  <c r="M37" i="9"/>
  <c r="C6" i="10"/>
  <c r="D6" i="10"/>
  <c r="C23" i="10"/>
  <c r="D23" i="10"/>
  <c r="C22" i="10"/>
  <c r="D22" i="10"/>
  <c r="C13" i="10"/>
  <c r="D13" i="10"/>
  <c r="C10" i="10"/>
  <c r="D10" i="10"/>
  <c r="C17" i="10"/>
  <c r="D17" i="10"/>
  <c r="C12" i="10"/>
  <c r="D12" i="10"/>
  <c r="C15" i="10"/>
  <c r="D15" i="10"/>
  <c r="C18" i="10"/>
  <c r="D18" i="10"/>
  <c r="C20" i="10"/>
  <c r="D20" i="10"/>
  <c r="C24" i="10"/>
  <c r="D24" i="10"/>
  <c r="C11" i="10"/>
  <c r="D11" i="10"/>
  <c r="C19" i="10"/>
  <c r="D19" i="10"/>
  <c r="C21" i="10"/>
  <c r="D21" i="10"/>
  <c r="C8" i="10"/>
  <c r="D8" i="10"/>
  <c r="C16" i="10"/>
  <c r="D16" i="10"/>
  <c r="C7" i="10"/>
  <c r="D7" i="10"/>
  <c r="C5" i="10"/>
  <c r="D5" i="10"/>
  <c r="D26" i="10"/>
  <c r="I48" i="9"/>
  <c r="I52" i="9"/>
  <c r="C9" i="10"/>
  <c r="D9" i="10"/>
  <c r="C14" i="10"/>
  <c r="D14" i="10"/>
  <c r="N37" i="9"/>
  <c r="B40" i="9"/>
  <c r="B41" i="9"/>
  <c r="H36" i="9"/>
  <c r="D23" i="9"/>
  <c r="I40" i="9"/>
  <c r="I47" i="9"/>
  <c r="C32" i="9"/>
  <c r="C33" i="9"/>
  <c r="M39" i="9"/>
  <c r="M38" i="9"/>
  <c r="P37" i="9"/>
  <c r="N38" i="9"/>
  <c r="N39" i="9"/>
  <c r="I31" i="9"/>
  <c r="H52" i="9"/>
  <c r="D32" i="9"/>
  <c r="B47" i="9"/>
  <c r="C35" i="9"/>
  <c r="I41" i="9"/>
  <c r="L39" i="9"/>
  <c r="B49" i="9"/>
  <c r="C34" i="9"/>
  <c r="B4" i="10"/>
  <c r="B5" i="10"/>
  <c r="E6" i="12"/>
  <c r="E3" i="12"/>
  <c r="I33" i="9"/>
  <c r="D35" i="9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L38" i="9"/>
  <c r="O38" i="9"/>
  <c r="O39" i="9"/>
  <c r="P39" i="9"/>
  <c r="P40" i="9"/>
  <c r="B26" i="10"/>
  <c r="I49" i="9"/>
  <c r="P38" i="9"/>
</calcChain>
</file>

<file path=xl/sharedStrings.xml><?xml version="1.0" encoding="utf-8"?>
<sst xmlns="http://schemas.openxmlformats.org/spreadsheetml/2006/main" count="222" uniqueCount="173">
  <si>
    <t>Comp. Sales %</t>
  </si>
  <si>
    <t>PAC %</t>
  </si>
  <si>
    <t>Sales</t>
  </si>
  <si>
    <t>SOI %</t>
  </si>
  <si>
    <t>B/E Sales</t>
  </si>
  <si>
    <t>Sales Comp%</t>
  </si>
  <si>
    <t>Open Date</t>
  </si>
  <si>
    <t>A</t>
  </si>
  <si>
    <t>China CEO</t>
    <phoneticPr fontId="2" type="noConversion"/>
  </si>
  <si>
    <t>China CDO</t>
    <phoneticPr fontId="2" type="noConversion"/>
  </si>
  <si>
    <t>China CFO</t>
    <phoneticPr fontId="2" type="noConversion"/>
  </si>
  <si>
    <t>B/E on Operating Income level</t>
    <phoneticPr fontId="2" type="noConversion"/>
  </si>
  <si>
    <t>B/E on Cash Flow level</t>
    <phoneticPr fontId="2" type="noConversion"/>
  </si>
  <si>
    <t xml:space="preserve">            /Date:</t>
  </si>
  <si>
    <t>Cashflow</t>
  </si>
  <si>
    <t>SOI</t>
  </si>
  <si>
    <t>CLOSURE TOOL</t>
  </si>
  <si>
    <t>Market</t>
  </si>
  <si>
    <t>U.S. Siteno</t>
  </si>
  <si>
    <t>Store Name</t>
  </si>
  <si>
    <t>Lease Exp. Date</t>
  </si>
  <si>
    <t>Closure Type</t>
  </si>
  <si>
    <t>Closure Date</t>
  </si>
  <si>
    <t>NBV</t>
  </si>
  <si>
    <t>RE</t>
  </si>
  <si>
    <t>LHI</t>
  </si>
  <si>
    <t>ESSD</t>
  </si>
  <si>
    <t>Total</t>
  </si>
  <si>
    <t>Equipment Transfer (enter negative)</t>
  </si>
  <si>
    <t>Closing Costs</t>
  </si>
  <si>
    <t>Write-off Costs</t>
  </si>
  <si>
    <t>Closure date</t>
  </si>
  <si>
    <t>RESTAURANT CASHFLOW</t>
  </si>
  <si>
    <t>Payback Years</t>
  </si>
  <si>
    <t>DECISION LOGIC</t>
  </si>
  <si>
    <t>B</t>
  </si>
  <si>
    <t>TOTAL SALES</t>
  </si>
  <si>
    <t>C</t>
  </si>
  <si>
    <t>Restaurant name</t>
  </si>
  <si>
    <t>Total sales transfer</t>
  </si>
  <si>
    <t>B1</t>
  </si>
  <si>
    <t>B2</t>
  </si>
  <si>
    <t>C1</t>
  </si>
  <si>
    <t>C2</t>
  </si>
  <si>
    <t xml:space="preserve">Landlord </t>
  </si>
  <si>
    <t>STORE INFORMATION</t>
  </si>
  <si>
    <t>INVESTMENT DATA</t>
  </si>
  <si>
    <t>IMPACT OTHER RESTAURANTS</t>
  </si>
  <si>
    <t>Comp. GC %</t>
  </si>
  <si>
    <t>TTM DATA</t>
  </si>
  <si>
    <t>TTM</t>
  </si>
  <si>
    <t>TTM Yr-1</t>
  </si>
  <si>
    <t>TTM Yr-2</t>
  </si>
  <si>
    <t>STORE HISTORIC FINANCIAL DATA vs MARKET</t>
  </si>
  <si>
    <t>Comp. Sales % Market</t>
  </si>
  <si>
    <t>Comp. GC % Market</t>
  </si>
  <si>
    <t>PAC % Market</t>
  </si>
  <si>
    <t>SOI % Market</t>
  </si>
  <si>
    <t>FORCED</t>
  </si>
  <si>
    <t>PLANNED</t>
  </si>
  <si>
    <t>LEASE EXPIRY</t>
  </si>
  <si>
    <t>Comp assumption following years</t>
  </si>
  <si>
    <t>Cashflow growth% following years</t>
  </si>
  <si>
    <t>Annual inflation</t>
  </si>
  <si>
    <t>Yrs till end lease</t>
  </si>
  <si>
    <t>Operating Income impact current year</t>
  </si>
  <si>
    <t>Operating Income</t>
  </si>
  <si>
    <t>Compensation (payment)/receipt</t>
  </si>
  <si>
    <t>Operating Income impact following year</t>
  </si>
  <si>
    <t>Future Cashflow impact</t>
  </si>
  <si>
    <t>Break-even Analysis</t>
  </si>
  <si>
    <t>COMMENTS/ CONCLUSION</t>
  </si>
  <si>
    <t>Regional Development Director</t>
    <phoneticPr fontId="2" type="noConversion"/>
  </si>
  <si>
    <t>Regional GM</t>
    <phoneticPr fontId="2" type="noConversion"/>
  </si>
  <si>
    <t>Regional Financial Controller</t>
    <phoneticPr fontId="2" type="noConversion"/>
  </si>
  <si>
    <t>Relocation Option offered?</t>
  </si>
  <si>
    <t>YES</t>
  </si>
  <si>
    <t>NO</t>
  </si>
  <si>
    <t>Retrieve information from RE Package - P&amp;L template</t>
  </si>
  <si>
    <t>Lease Term</t>
  </si>
  <si>
    <t>Investment</t>
  </si>
  <si>
    <t>Yr1 SOI%</t>
  </si>
  <si>
    <t>Avg ROI% lease term</t>
  </si>
  <si>
    <t xml:space="preserve">PRODUCT SALES </t>
  </si>
  <si>
    <t xml:space="preserve">RENT </t>
  </si>
  <si>
    <t xml:space="preserve">DEPRECIATION LHI </t>
  </si>
  <si>
    <t xml:space="preserve">INTEREST LHI </t>
  </si>
  <si>
    <t xml:space="preserve">SERVICE FEE </t>
  </si>
  <si>
    <t xml:space="preserve">ACCOUNTING </t>
  </si>
  <si>
    <t xml:space="preserve">INSURANCE </t>
  </si>
  <si>
    <t xml:space="preserve">TAXES &amp; LICENSES </t>
  </si>
  <si>
    <t xml:space="preserve">DEPRECIATION ESSD </t>
  </si>
  <si>
    <t xml:space="preserve">INTEREST ESSD </t>
  </si>
  <si>
    <t xml:space="preserve">OTHER (INC)/EXP </t>
  </si>
  <si>
    <t xml:space="preserve">NON-PRODUCT SALES </t>
  </si>
  <si>
    <t xml:space="preserve">NON-PRODUCT COSTS </t>
  </si>
  <si>
    <t>PAC</t>
  </si>
  <si>
    <t>GC</t>
  </si>
  <si>
    <t>Pricing</t>
  </si>
  <si>
    <t>Inflation</t>
  </si>
  <si>
    <t>Max</t>
  </si>
  <si>
    <t>Minimum</t>
  </si>
  <si>
    <t>Compensation Negotiation Range</t>
  </si>
  <si>
    <t>Investments</t>
  </si>
  <si>
    <t>* to be provided by Finance</t>
  </si>
  <si>
    <t>NPV System Cashflows until end lease</t>
  </si>
  <si>
    <t>NPV System Cashflows 20-yrs horizon</t>
  </si>
  <si>
    <t>Contribution Margin to Cashflow*</t>
  </si>
  <si>
    <t>CASHFLOW TRANSFER</t>
  </si>
  <si>
    <t>* from Finance</t>
  </si>
  <si>
    <t>MCOPCO MARGIN (=OI)</t>
  </si>
  <si>
    <t>MCOPCO MARGIN TRANSFER</t>
  </si>
  <si>
    <t>Contribution Margin to MCOPCO MARGIN*</t>
  </si>
  <si>
    <t>NPV System Cashflows until end lease*</t>
  </si>
  <si>
    <t>SYSTEM CASHFLOW*</t>
  </si>
  <si>
    <t>*System Cashflow = Restaurant Cashflow + Service Fee + Accounting Fee</t>
  </si>
  <si>
    <t>Fields</t>
  </si>
  <si>
    <t>Output</t>
  </si>
  <si>
    <t>Sales(000's)_TTMY1</t>
  </si>
  <si>
    <t>Comp. Sales %_TTMY1</t>
  </si>
  <si>
    <t>Comp. Sales % Market_TTMY1</t>
  </si>
  <si>
    <t>Comp. GC %_TTMY1</t>
  </si>
  <si>
    <t>Comp. GC % Market_TTMY1</t>
  </si>
  <si>
    <t>PAC %_TTMY1</t>
  </si>
  <si>
    <t>PAC % Market_TTMY1</t>
  </si>
  <si>
    <t>SOI %_TTMY1</t>
  </si>
  <si>
    <t>SOI % Market_TTMY1</t>
  </si>
  <si>
    <t>Cash Flow (000's)_TTMY1</t>
  </si>
  <si>
    <t>Sales(000's)_TTMY2</t>
  </si>
  <si>
    <t>Comp. Sales %_TTMY2</t>
  </si>
  <si>
    <t>Comp. Sales % Market_TTMY2</t>
  </si>
  <si>
    <t>Comp. GC %_TTMY2</t>
  </si>
  <si>
    <t>Comp. GC % Market_TTMY2</t>
  </si>
  <si>
    <t>PAC %_TTMY2</t>
  </si>
  <si>
    <t>PAC % Market_TTMY2</t>
  </si>
  <si>
    <t>SOI %_TTMY2</t>
  </si>
  <si>
    <t>SOI % Market_TTMY2</t>
  </si>
  <si>
    <t>Cash Flow (000's)_TTMY2</t>
  </si>
  <si>
    <t>TTM Date</t>
  </si>
  <si>
    <t>RE_TotalInvest</t>
  </si>
  <si>
    <t>LHI_TotalInvest</t>
  </si>
  <si>
    <t>ESSD_TotalInvest</t>
  </si>
  <si>
    <t>RE_NBV</t>
  </si>
  <si>
    <t>LHI_NBV</t>
  </si>
  <si>
    <t>ESSD_NBV</t>
  </si>
  <si>
    <t>Imapct StoreName1</t>
  </si>
  <si>
    <t>Imapct StoreName1_Sales</t>
  </si>
  <si>
    <t>Imapct StoreName2</t>
  </si>
  <si>
    <t>Imapct StoreName2_Sales</t>
  </si>
  <si>
    <t>Equipment Transfer</t>
  </si>
  <si>
    <t>Costing Costs</t>
  </si>
  <si>
    <t>Consclusion</t>
  </si>
  <si>
    <t>Great Asia CFO (net WO above US$250K for force closure or planned closure)</t>
    <phoneticPr fontId="2" type="noConversion"/>
  </si>
  <si>
    <t>Asset Write-off + closing costs</t>
    <phoneticPr fontId="3" type="noConversion"/>
  </si>
  <si>
    <t>LEASE EXPIRY</t>
    <phoneticPr fontId="2" type="noConversion"/>
  </si>
  <si>
    <t>Total one-off Costs</t>
    <phoneticPr fontId="3" type="noConversion"/>
  </si>
  <si>
    <t>FORCED</t>
    <phoneticPr fontId="2" type="noConversion"/>
  </si>
  <si>
    <t>Annualized System Sales impact (B1-/-B2)</t>
    <phoneticPr fontId="3" type="noConversion"/>
  </si>
  <si>
    <t>Annualized System OI impact (C1-/-C2)</t>
    <phoneticPr fontId="3" type="noConversion"/>
  </si>
  <si>
    <t>Input in RMB</t>
    <phoneticPr fontId="3" type="noConversion"/>
  </si>
  <si>
    <t>TTM FINANCIAL DATA (RMB)</t>
    <phoneticPr fontId="3" type="noConversion"/>
  </si>
  <si>
    <t>Sales (RMB)</t>
    <phoneticPr fontId="3" type="noConversion"/>
  </si>
  <si>
    <t>Cash Flow (RMB)</t>
    <phoneticPr fontId="3" type="noConversion"/>
  </si>
  <si>
    <t>Imapct Store US Code1</t>
    <phoneticPr fontId="5" type="noConversion"/>
  </si>
  <si>
    <t>Imapct Store US Code2</t>
    <phoneticPr fontId="5" type="noConversion"/>
  </si>
  <si>
    <t>Compensation (payment)/receipt</t>
    <phoneticPr fontId="3" type="noConversion"/>
  </si>
  <si>
    <t>Operating Income</t>
    <phoneticPr fontId="5" type="noConversion"/>
  </si>
  <si>
    <t>Comp assumption following years</t>
    <phoneticPr fontId="3" type="noConversion"/>
  </si>
  <si>
    <t>Discount Rate</t>
    <phoneticPr fontId="3" type="noConversion"/>
  </si>
  <si>
    <t>IRR% (with lease option)</t>
    <phoneticPr fontId="5" type="noConversion"/>
  </si>
  <si>
    <t>Total one-off Costs</t>
    <phoneticPr fontId="5" type="noConversion"/>
  </si>
  <si>
    <t>Compensation (payment)/receipt</t>
    <phoneticPr fontId="5" type="noConversion"/>
  </si>
  <si>
    <t>Operating Income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</si>
</sst>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_(* #,##0_);_(* \(#,##0\);_(* &quot;-&quot;_);_(@_)"/>
    <numFmt numFmtId="177" formatCode="_(* #,##0.00_);_(* \(#,##0.00\);_(* &quot;-&quot;??_);_(@_)"/>
    <numFmt numFmtId="178" formatCode="0.0%"/>
    <numFmt numFmtId="179" formatCode="0.0"/>
    <numFmt numFmtId="180" formatCode="#,##0.0_);\(#,##0.0\)"/>
    <numFmt numFmtId="181" formatCode="[$-409]mmm\-yy;@"/>
    <numFmt numFmtId="182" formatCode="#,##0.0"/>
    <numFmt numFmtId="183" formatCode="#,##0.0000_);\(#,##0.0000\)"/>
    <numFmt numFmtId="184" formatCode="0.0_);\(0.0\)"/>
    <numFmt numFmtId="185" formatCode="_(* #,##0.0_);_(* \(#,##0.0\);_(* &quot;-&quot;??_);_(@_)"/>
    <numFmt numFmtId="186" formatCode="yyyy\-mm\-dd;@"/>
    <numFmt numFmtId="187" formatCode="0.00_);[Red]\(0.00\)"/>
  </numFmts>
  <fonts count="21">
    <font>
      <sz val="10"/>
      <name val="Arial"/>
      <family val="2"/>
    </font>
    <font>
      <sz val="10"/>
      <name val="Arial"/>
      <family val="2"/>
    </font>
    <font>
      <sz val="9"/>
      <name val="宋体"/>
      <charset val="134"/>
    </font>
    <font>
      <sz val="9"/>
      <name val="宋体"/>
      <charset val="134"/>
    </font>
    <font>
      <sz val="10"/>
      <name val="Calibri"/>
      <family val="2"/>
    </font>
    <font>
      <sz val="9"/>
      <name val="宋体"/>
      <charset val="134"/>
    </font>
    <font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8"/>
      <name val="Calibri"/>
      <family val="2"/>
    </font>
    <font>
      <sz val="18"/>
      <name val="Calibri"/>
      <family val="2"/>
    </font>
    <font>
      <u/>
      <sz val="11"/>
      <name val="Calibri"/>
      <family val="2"/>
    </font>
    <font>
      <sz val="8"/>
      <name val="Calibri"/>
      <family val="2"/>
    </font>
    <font>
      <b/>
      <sz val="14"/>
      <color theme="1"/>
      <name val="Calibri"/>
      <family val="2"/>
    </font>
    <font>
      <b/>
      <sz val="11"/>
      <color rgb="FFC00000"/>
      <name val="Calibri"/>
      <family val="2"/>
    </font>
    <font>
      <b/>
      <i/>
      <u/>
      <sz val="12"/>
      <color rgb="FFFF0000"/>
      <name val="Calibri"/>
      <family val="2"/>
    </font>
    <font>
      <sz val="11"/>
      <color theme="0" tint="-4.9989318521683403E-2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17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177">
    <xf numFmtId="0" fontId="0" fillId="0" borderId="0" xfId="0"/>
    <xf numFmtId="0" fontId="4" fillId="0" borderId="0" xfId="0" applyFont="1"/>
    <xf numFmtId="37" fontId="4" fillId="2" borderId="0" xfId="4" applyNumberFormat="1" applyFont="1" applyFill="1" applyBorder="1" applyAlignment="1" applyProtection="1">
      <alignment horizontal="center"/>
    </xf>
    <xf numFmtId="0" fontId="4" fillId="2" borderId="0" xfId="4" applyFont="1" applyFill="1" applyAlignment="1" applyProtection="1"/>
    <xf numFmtId="0" fontId="4" fillId="0" borderId="0" xfId="0" applyFont="1" applyAlignment="1">
      <alignment horizontal="center"/>
    </xf>
    <xf numFmtId="37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6" fillId="2" borderId="0" xfId="4" applyFont="1" applyFill="1" applyBorder="1" applyAlignment="1" applyProtection="1"/>
    <xf numFmtId="182" fontId="6" fillId="2" borderId="0" xfId="4" applyNumberFormat="1" applyFont="1" applyFill="1" applyBorder="1" applyAlignment="1" applyProtection="1">
      <alignment horizontal="center"/>
    </xf>
    <xf numFmtId="0" fontId="6" fillId="2" borderId="0" xfId="0" applyFont="1" applyFill="1" applyBorder="1"/>
    <xf numFmtId="0" fontId="7" fillId="2" borderId="0" xfId="4" applyFont="1" applyFill="1" applyBorder="1" applyAlignment="1" applyProtection="1">
      <alignment horizontal="left"/>
    </xf>
    <xf numFmtId="0" fontId="6" fillId="2" borderId="0" xfId="4" applyFont="1" applyFill="1" applyBorder="1" applyAlignment="1" applyProtection="1">
      <alignment horizontal="center"/>
    </xf>
    <xf numFmtId="37" fontId="6" fillId="2" borderId="0" xfId="4" applyNumberFormat="1" applyFont="1" applyFill="1" applyBorder="1" applyAlignment="1" applyProtection="1">
      <alignment horizontal="center"/>
    </xf>
    <xf numFmtId="1" fontId="6" fillId="2" borderId="0" xfId="3" applyNumberFormat="1" applyFont="1" applyFill="1" applyBorder="1" applyAlignment="1" applyProtection="1">
      <alignment horizontal="center"/>
    </xf>
    <xf numFmtId="39" fontId="6" fillId="2" borderId="0" xfId="4" applyNumberFormat="1" applyFont="1" applyFill="1" applyBorder="1" applyAlignment="1" applyProtection="1">
      <alignment horizontal="center"/>
    </xf>
    <xf numFmtId="37" fontId="6" fillId="2" borderId="0" xfId="4" applyNumberFormat="1" applyFont="1" applyFill="1" applyBorder="1" applyAlignment="1" applyProtection="1"/>
    <xf numFmtId="183" fontId="6" fillId="2" borderId="0" xfId="4" applyNumberFormat="1" applyFont="1" applyFill="1" applyBorder="1" applyAlignment="1" applyProtection="1">
      <alignment horizontal="center"/>
    </xf>
    <xf numFmtId="9" fontId="6" fillId="2" borderId="0" xfId="3" applyFont="1" applyFill="1" applyBorder="1" applyAlignment="1" applyProtection="1">
      <alignment horizontal="center"/>
    </xf>
    <xf numFmtId="37" fontId="8" fillId="2" borderId="0" xfId="1" applyNumberFormat="1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>
      <alignment vertical="center"/>
    </xf>
    <xf numFmtId="0" fontId="8" fillId="2" borderId="0" xfId="4" applyFont="1" applyFill="1" applyAlignment="1" applyProtection="1">
      <alignment horizontal="left"/>
    </xf>
    <xf numFmtId="49" fontId="14" fillId="2" borderId="0" xfId="4" applyNumberFormat="1" applyFont="1" applyFill="1" applyAlignment="1" applyProtection="1">
      <alignment horizontal="center"/>
    </xf>
    <xf numFmtId="0" fontId="6" fillId="2" borderId="0" xfId="4" applyFont="1" applyFill="1" applyAlignment="1" applyProtection="1"/>
    <xf numFmtId="0" fontId="8" fillId="2" borderId="0" xfId="0" applyFont="1" applyFill="1" applyBorder="1" applyAlignment="1" applyProtection="1">
      <alignment horizontal="right"/>
    </xf>
    <xf numFmtId="181" fontId="8" fillId="3" borderId="0" xfId="0" applyNumberFormat="1" applyFont="1" applyFill="1" applyBorder="1" applyAlignment="1" applyProtection="1">
      <alignment horizontal="center"/>
      <protection locked="0"/>
    </xf>
    <xf numFmtId="0" fontId="15" fillId="2" borderId="0" xfId="0" applyFont="1" applyFill="1" applyBorder="1" applyAlignment="1">
      <alignment vertical="center"/>
    </xf>
    <xf numFmtId="0" fontId="8" fillId="2" borderId="0" xfId="4" applyFont="1" applyFill="1" applyAlignment="1" applyProtection="1"/>
    <xf numFmtId="0" fontId="8" fillId="4" borderId="1" xfId="0" applyFont="1" applyFill="1" applyBorder="1" applyAlignment="1" applyProtection="1">
      <alignment horizontal="left"/>
    </xf>
    <xf numFmtId="0" fontId="8" fillId="4" borderId="2" xfId="0" applyFont="1" applyFill="1" applyBorder="1" applyAlignment="1" applyProtection="1">
      <alignment horizontal="left"/>
    </xf>
    <xf numFmtId="0" fontId="6" fillId="4" borderId="2" xfId="0" applyFont="1" applyFill="1" applyBorder="1" applyAlignment="1" applyProtection="1"/>
    <xf numFmtId="49" fontId="14" fillId="4" borderId="3" xfId="0" applyNumberFormat="1" applyFont="1" applyFill="1" applyBorder="1" applyAlignment="1" applyProtection="1">
      <alignment horizontal="center"/>
    </xf>
    <xf numFmtId="176" fontId="6" fillId="4" borderId="2" xfId="0" applyNumberFormat="1" applyFont="1" applyFill="1" applyBorder="1" applyAlignment="1" applyProtection="1">
      <alignment horizontal="center"/>
    </xf>
    <xf numFmtId="0" fontId="6" fillId="4" borderId="4" xfId="0" applyFont="1" applyFill="1" applyBorder="1" applyAlignment="1" applyProtection="1"/>
    <xf numFmtId="0" fontId="6" fillId="4" borderId="0" xfId="0" applyFont="1" applyFill="1" applyBorder="1" applyAlignment="1" applyProtection="1"/>
    <xf numFmtId="0" fontId="6" fillId="3" borderId="11" xfId="0" applyFont="1" applyFill="1" applyBorder="1" applyAlignment="1" applyProtection="1">
      <alignment horizontal="center"/>
      <protection locked="0"/>
    </xf>
    <xf numFmtId="49" fontId="14" fillId="4" borderId="5" xfId="0" applyNumberFormat="1" applyFont="1" applyFill="1" applyBorder="1" applyAlignment="1" applyProtection="1">
      <alignment horizontal="center"/>
    </xf>
    <xf numFmtId="176" fontId="6" fillId="4" borderId="0" xfId="0" applyNumberFormat="1" applyFont="1" applyFill="1" applyBorder="1" applyAlignment="1" applyProtection="1">
      <alignment horizontal="center"/>
    </xf>
    <xf numFmtId="37" fontId="6" fillId="3" borderId="12" xfId="0" applyNumberFormat="1" applyFont="1" applyFill="1" applyBorder="1" applyAlignment="1" applyProtection="1">
      <alignment horizontal="center"/>
      <protection locked="0"/>
    </xf>
    <xf numFmtId="37" fontId="6" fillId="3" borderId="13" xfId="0" applyNumberFormat="1" applyFont="1" applyFill="1" applyBorder="1" applyAlignment="1" applyProtection="1">
      <alignment horizontal="center"/>
      <protection locked="0"/>
    </xf>
    <xf numFmtId="0" fontId="6" fillId="3" borderId="14" xfId="0" applyFont="1" applyFill="1" applyBorder="1" applyAlignment="1" applyProtection="1">
      <protection locked="0"/>
    </xf>
    <xf numFmtId="0" fontId="6" fillId="4" borderId="4" xfId="0" applyFont="1" applyFill="1" applyBorder="1" applyAlignment="1" applyProtection="1">
      <alignment horizontal="left"/>
    </xf>
    <xf numFmtId="0" fontId="6" fillId="4" borderId="0" xfId="0" applyFont="1" applyFill="1" applyBorder="1" applyAlignment="1" applyProtection="1">
      <alignment horizontal="left"/>
    </xf>
    <xf numFmtId="186" fontId="6" fillId="3" borderId="11" xfId="0" applyNumberFormat="1" applyFont="1" applyFill="1" applyBorder="1" applyAlignment="1" applyProtection="1">
      <alignment horizontal="center"/>
      <protection locked="0"/>
    </xf>
    <xf numFmtId="37" fontId="8" fillId="4" borderId="0" xfId="0" applyNumberFormat="1" applyFont="1" applyFill="1" applyBorder="1" applyAlignment="1" applyProtection="1">
      <alignment horizontal="center"/>
    </xf>
    <xf numFmtId="37" fontId="6" fillId="4" borderId="0" xfId="0" applyNumberFormat="1" applyFont="1" applyFill="1" applyBorder="1" applyAlignment="1" applyProtection="1">
      <alignment horizontal="center"/>
    </xf>
    <xf numFmtId="0" fontId="9" fillId="4" borderId="0" xfId="0" applyFont="1" applyFill="1" applyBorder="1" applyAlignment="1" applyProtection="1">
      <alignment horizontal="left"/>
    </xf>
    <xf numFmtId="0" fontId="6" fillId="4" borderId="4" xfId="0" applyFont="1" applyFill="1" applyBorder="1" applyAlignment="1" applyProtection="1">
      <alignment vertical="center"/>
    </xf>
    <xf numFmtId="37" fontId="6" fillId="4" borderId="0" xfId="0" applyNumberFormat="1" applyFont="1" applyFill="1" applyBorder="1" applyAlignment="1" applyProtection="1">
      <alignment horizontal="center" vertical="center"/>
    </xf>
    <xf numFmtId="0" fontId="10" fillId="4" borderId="0" xfId="4" applyFont="1" applyFill="1" applyBorder="1" applyAlignment="1" applyProtection="1"/>
    <xf numFmtId="0" fontId="6" fillId="4" borderId="5" xfId="4" applyFont="1" applyFill="1" applyBorder="1" applyAlignment="1" applyProtection="1"/>
    <xf numFmtId="37" fontId="8" fillId="4" borderId="0" xfId="0" applyNumberFormat="1" applyFont="1" applyFill="1" applyBorder="1" applyAlignment="1" applyProtection="1">
      <alignment horizontal="center" vertical="center"/>
    </xf>
    <xf numFmtId="37" fontId="6" fillId="3" borderId="13" xfId="0" applyNumberFormat="1" applyFont="1" applyFill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/>
    <xf numFmtId="0" fontId="6" fillId="4" borderId="7" xfId="0" applyFont="1" applyFill="1" applyBorder="1" applyAlignment="1" applyProtection="1"/>
    <xf numFmtId="49" fontId="14" fillId="4" borderId="8" xfId="0" applyNumberFormat="1" applyFont="1" applyFill="1" applyBorder="1" applyAlignment="1" applyProtection="1">
      <alignment horizontal="center"/>
    </xf>
    <xf numFmtId="0" fontId="8" fillId="2" borderId="0" xfId="4" applyFont="1" applyFill="1" applyAlignment="1" applyProtection="1">
      <alignment horizontal="left" vertical="center"/>
    </xf>
    <xf numFmtId="0" fontId="6" fillId="4" borderId="2" xfId="0" applyFont="1" applyFill="1" applyBorder="1" applyAlignment="1" applyProtection="1">
      <alignment horizontal="left"/>
    </xf>
    <xf numFmtId="0" fontId="8" fillId="4" borderId="0" xfId="0" applyFont="1" applyFill="1" applyBorder="1" applyAlignment="1" applyProtection="1">
      <alignment horizontal="left"/>
    </xf>
    <xf numFmtId="0" fontId="6" fillId="4" borderId="0" xfId="4" applyFont="1" applyFill="1" applyBorder="1" applyAlignment="1" applyProtection="1"/>
    <xf numFmtId="0" fontId="6" fillId="4" borderId="4" xfId="0" applyFont="1" applyFill="1" applyBorder="1" applyProtection="1"/>
    <xf numFmtId="0" fontId="6" fillId="4" borderId="0" xfId="0" applyFont="1" applyFill="1" applyBorder="1" applyProtection="1"/>
    <xf numFmtId="37" fontId="6" fillId="3" borderId="11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Alignment="1" applyProtection="1">
      <protection locked="0"/>
    </xf>
    <xf numFmtId="0" fontId="6" fillId="3" borderId="12" xfId="4" applyFont="1" applyFill="1" applyBorder="1" applyAlignment="1" applyProtection="1">
      <protection locked="0"/>
    </xf>
    <xf numFmtId="178" fontId="6" fillId="4" borderId="0" xfId="3" applyNumberFormat="1" applyFont="1" applyFill="1" applyBorder="1" applyAlignment="1" applyProtection="1">
      <alignment horizontal="center"/>
    </xf>
    <xf numFmtId="49" fontId="14" fillId="4" borderId="5" xfId="3" applyNumberFormat="1" applyFont="1" applyFill="1" applyBorder="1" applyAlignment="1" applyProtection="1">
      <alignment horizontal="center"/>
    </xf>
    <xf numFmtId="0" fontId="6" fillId="3" borderId="16" xfId="4" applyFont="1" applyFill="1" applyBorder="1" applyAlignment="1" applyProtection="1">
      <protection locked="0"/>
    </xf>
    <xf numFmtId="0" fontId="6" fillId="4" borderId="4" xfId="4" applyFont="1" applyFill="1" applyBorder="1" applyAlignment="1" applyProtection="1"/>
    <xf numFmtId="178" fontId="6" fillId="3" borderId="17" xfId="3" applyNumberFormat="1" applyFont="1" applyFill="1" applyBorder="1" applyAlignment="1" applyProtection="1">
      <alignment horizontal="center"/>
      <protection locked="0"/>
    </xf>
    <xf numFmtId="0" fontId="7" fillId="4" borderId="6" xfId="0" applyFont="1" applyFill="1" applyBorder="1" applyAlignment="1" applyProtection="1"/>
    <xf numFmtId="37" fontId="8" fillId="4" borderId="7" xfId="0" applyNumberFormat="1" applyFont="1" applyFill="1" applyBorder="1" applyAlignment="1" applyProtection="1">
      <alignment horizontal="center"/>
    </xf>
    <xf numFmtId="0" fontId="8" fillId="4" borderId="1" xfId="4" applyFont="1" applyFill="1" applyBorder="1" applyAlignment="1" applyProtection="1"/>
    <xf numFmtId="0" fontId="8" fillId="4" borderId="2" xfId="4" applyFont="1" applyFill="1" applyBorder="1" applyAlignment="1" applyProtection="1"/>
    <xf numFmtId="0" fontId="8" fillId="4" borderId="3" xfId="4" applyFont="1" applyFill="1" applyBorder="1" applyAlignment="1" applyProtection="1"/>
    <xf numFmtId="10" fontId="6" fillId="2" borderId="0" xfId="3" applyNumberFormat="1" applyFont="1" applyFill="1" applyAlignment="1" applyProtection="1"/>
    <xf numFmtId="0" fontId="11" fillId="4" borderId="4" xfId="2" applyFont="1" applyFill="1" applyBorder="1" applyAlignment="1" applyProtection="1"/>
    <xf numFmtId="0" fontId="8" fillId="4" borderId="0" xfId="2" applyFont="1" applyFill="1" applyBorder="1" applyAlignment="1" applyProtection="1"/>
    <xf numFmtId="49" fontId="14" fillId="4" borderId="5" xfId="4" applyNumberFormat="1" applyFont="1" applyFill="1" applyBorder="1" applyAlignment="1" applyProtection="1">
      <alignment horizontal="center"/>
    </xf>
    <xf numFmtId="0" fontId="6" fillId="4" borderId="4" xfId="2" applyFont="1" applyFill="1" applyBorder="1" applyAlignment="1" applyProtection="1"/>
    <xf numFmtId="0" fontId="6" fillId="4" borderId="0" xfId="2" applyFont="1" applyFill="1" applyBorder="1" applyAlignment="1" applyProtection="1"/>
    <xf numFmtId="37" fontId="6" fillId="4" borderId="0" xfId="4" applyNumberFormat="1" applyFont="1" applyFill="1" applyBorder="1" applyAlignment="1" applyProtection="1">
      <alignment horizontal="center"/>
    </xf>
    <xf numFmtId="37" fontId="6" fillId="3" borderId="0" xfId="4" applyNumberFormat="1" applyFont="1" applyFill="1" applyBorder="1" applyAlignment="1" applyProtection="1">
      <alignment horizontal="center"/>
      <protection locked="0"/>
    </xf>
    <xf numFmtId="0" fontId="8" fillId="4" borderId="4" xfId="0" applyFont="1" applyFill="1" applyBorder="1" applyProtection="1"/>
    <xf numFmtId="0" fontId="8" fillId="4" borderId="0" xfId="0" applyFont="1" applyFill="1" applyBorder="1" applyProtection="1"/>
    <xf numFmtId="37" fontId="8" fillId="4" borderId="18" xfId="0" applyNumberFormat="1" applyFont="1" applyFill="1" applyBorder="1" applyAlignment="1" applyProtection="1">
      <alignment horizontal="center"/>
    </xf>
    <xf numFmtId="178" fontId="8" fillId="4" borderId="0" xfId="3" applyNumberFormat="1" applyFont="1" applyFill="1" applyBorder="1" applyAlignment="1" applyProtection="1">
      <alignment horizontal="center"/>
    </xf>
    <xf numFmtId="0" fontId="8" fillId="4" borderId="0" xfId="0" applyFont="1" applyFill="1" applyBorder="1" applyAlignment="1" applyProtection="1"/>
    <xf numFmtId="0" fontId="14" fillId="4" borderId="4" xfId="4" applyFont="1" applyFill="1" applyBorder="1" applyAlignment="1" applyProtection="1"/>
    <xf numFmtId="0" fontId="14" fillId="4" borderId="0" xfId="4" applyFont="1" applyFill="1" applyBorder="1" applyAlignment="1" applyProtection="1"/>
    <xf numFmtId="179" fontId="14" fillId="4" borderId="0" xfId="4" applyNumberFormat="1" applyFont="1" applyFill="1" applyBorder="1" applyAlignment="1" applyProtection="1">
      <alignment horizontal="center"/>
    </xf>
    <xf numFmtId="0" fontId="14" fillId="4" borderId="5" xfId="4" applyFont="1" applyFill="1" applyBorder="1" applyAlignment="1" applyProtection="1"/>
    <xf numFmtId="9" fontId="6" fillId="2" borderId="0" xfId="3" applyFont="1" applyFill="1" applyAlignment="1" applyProtection="1">
      <alignment horizontal="center"/>
    </xf>
    <xf numFmtId="0" fontId="6" fillId="2" borderId="0" xfId="4" applyFont="1" applyFill="1" applyAlignment="1" applyProtection="1">
      <alignment horizontal="center"/>
    </xf>
    <xf numFmtId="0" fontId="11" fillId="4" borderId="4" xfId="4" applyFont="1" applyFill="1" applyBorder="1" applyAlignment="1" applyProtection="1"/>
    <xf numFmtId="0" fontId="16" fillId="4" borderId="0" xfId="4" applyFont="1" applyFill="1" applyBorder="1" applyAlignment="1" applyProtection="1">
      <alignment horizontal="center"/>
    </xf>
    <xf numFmtId="0" fontId="16" fillId="4" borderId="0" xfId="4" quotePrefix="1" applyFont="1" applyFill="1" applyBorder="1" applyAlignment="1" applyProtection="1">
      <alignment horizontal="center"/>
    </xf>
    <xf numFmtId="0" fontId="16" fillId="4" borderId="5" xfId="4" applyFont="1" applyFill="1" applyBorder="1" applyAlignment="1" applyProtection="1">
      <alignment horizontal="center"/>
    </xf>
    <xf numFmtId="0" fontId="6" fillId="4" borderId="4" xfId="4" applyFont="1" applyFill="1" applyBorder="1" applyAlignment="1" applyProtection="1">
      <alignment horizontal="left"/>
    </xf>
    <xf numFmtId="0" fontId="6" fillId="4" borderId="5" xfId="4" applyFont="1" applyFill="1" applyBorder="1" applyAlignment="1" applyProtection="1">
      <alignment horizontal="center"/>
    </xf>
    <xf numFmtId="178" fontId="6" fillId="2" borderId="0" xfId="3" applyNumberFormat="1" applyFont="1" applyFill="1" applyAlignment="1" applyProtection="1">
      <alignment horizontal="center"/>
    </xf>
    <xf numFmtId="37" fontId="6" fillId="2" borderId="0" xfId="4" applyNumberFormat="1" applyFont="1" applyFill="1" applyAlignment="1" applyProtection="1">
      <alignment horizontal="center"/>
    </xf>
    <xf numFmtId="0" fontId="8" fillId="4" borderId="0" xfId="4" applyFont="1" applyFill="1" applyBorder="1" applyAlignment="1" applyProtection="1">
      <alignment horizontal="center"/>
    </xf>
    <xf numFmtId="176" fontId="8" fillId="4" borderId="0" xfId="0" applyNumberFormat="1" applyFont="1" applyFill="1" applyBorder="1" applyAlignment="1" applyProtection="1">
      <alignment horizontal="center"/>
    </xf>
    <xf numFmtId="49" fontId="8" fillId="4" borderId="0" xfId="0" applyNumberFormat="1" applyFont="1" applyFill="1" applyBorder="1" applyAlignment="1" applyProtection="1">
      <alignment horizontal="center"/>
    </xf>
    <xf numFmtId="177" fontId="6" fillId="2" borderId="0" xfId="1" applyFont="1" applyFill="1" applyAlignment="1" applyProtection="1"/>
    <xf numFmtId="38" fontId="6" fillId="4" borderId="19" xfId="2" applyNumberFormat="1" applyFont="1" applyFill="1" applyBorder="1" applyAlignment="1" applyProtection="1">
      <alignment horizontal="center"/>
    </xf>
    <xf numFmtId="38" fontId="6" fillId="3" borderId="13" xfId="2" applyNumberFormat="1" applyFont="1" applyFill="1" applyBorder="1" applyAlignment="1" applyProtection="1">
      <alignment horizontal="center"/>
      <protection locked="0"/>
    </xf>
    <xf numFmtId="184" fontId="6" fillId="2" borderId="0" xfId="4" applyNumberFormat="1" applyFont="1" applyFill="1" applyAlignment="1" applyProtection="1"/>
    <xf numFmtId="178" fontId="6" fillId="4" borderId="12" xfId="3" applyNumberFormat="1" applyFont="1" applyFill="1" applyBorder="1" applyAlignment="1" applyProtection="1">
      <alignment horizontal="center"/>
    </xf>
    <xf numFmtId="178" fontId="6" fillId="3" borderId="20" xfId="3" applyNumberFormat="1" applyFont="1" applyFill="1" applyBorder="1" applyAlignment="1" applyProtection="1">
      <alignment horizontal="center"/>
      <protection locked="0"/>
    </xf>
    <xf numFmtId="0" fontId="7" fillId="4" borderId="4" xfId="0" applyFont="1" applyFill="1" applyBorder="1" applyAlignment="1" applyProtection="1"/>
    <xf numFmtId="178" fontId="7" fillId="3" borderId="16" xfId="3" applyNumberFormat="1" applyFont="1" applyFill="1" applyBorder="1" applyAlignment="1" applyProtection="1">
      <alignment horizontal="center"/>
      <protection locked="0"/>
    </xf>
    <xf numFmtId="178" fontId="7" fillId="3" borderId="20" xfId="3" applyNumberFormat="1" applyFont="1" applyFill="1" applyBorder="1" applyAlignment="1" applyProtection="1">
      <alignment horizontal="center"/>
      <protection locked="0"/>
    </xf>
    <xf numFmtId="0" fontId="7" fillId="4" borderId="4" xfId="4" applyFont="1" applyFill="1" applyBorder="1" applyAlignment="1" applyProtection="1"/>
    <xf numFmtId="178" fontId="6" fillId="4" borderId="16" xfId="3" applyNumberFormat="1" applyFont="1" applyFill="1" applyBorder="1" applyAlignment="1" applyProtection="1">
      <alignment horizontal="center"/>
    </xf>
    <xf numFmtId="9" fontId="6" fillId="2" borderId="0" xfId="3" applyFont="1" applyFill="1" applyAlignment="1" applyProtection="1"/>
    <xf numFmtId="178" fontId="6" fillId="2" borderId="0" xfId="3" applyNumberFormat="1" applyFont="1" applyFill="1" applyAlignment="1" applyProtection="1"/>
    <xf numFmtId="38" fontId="6" fillId="4" borderId="21" xfId="3" applyNumberFormat="1" applyFont="1" applyFill="1" applyBorder="1" applyAlignment="1" applyProtection="1">
      <alignment horizontal="center"/>
    </xf>
    <xf numFmtId="38" fontId="6" fillId="3" borderId="22" xfId="3" applyNumberFormat="1" applyFont="1" applyFill="1" applyBorder="1" applyAlignment="1" applyProtection="1">
      <alignment horizontal="center"/>
      <protection locked="0"/>
    </xf>
    <xf numFmtId="0" fontId="6" fillId="4" borderId="6" xfId="4" applyFont="1" applyFill="1" applyBorder="1" applyAlignment="1" applyProtection="1"/>
    <xf numFmtId="0" fontId="6" fillId="4" borderId="7" xfId="4" applyFont="1" applyFill="1" applyBorder="1" applyAlignment="1" applyProtection="1"/>
    <xf numFmtId="0" fontId="6" fillId="4" borderId="8" xfId="4" applyFont="1" applyFill="1" applyBorder="1" applyAlignment="1" applyProtection="1">
      <alignment horizontal="center"/>
    </xf>
    <xf numFmtId="185" fontId="6" fillId="2" borderId="0" xfId="1" applyNumberFormat="1" applyFont="1" applyFill="1" applyAlignment="1" applyProtection="1"/>
    <xf numFmtId="0" fontId="8" fillId="4" borderId="1" xfId="0" applyFont="1" applyFill="1" applyBorder="1" applyAlignment="1" applyProtection="1"/>
    <xf numFmtId="0" fontId="6" fillId="4" borderId="3" xfId="0" applyFont="1" applyFill="1" applyBorder="1" applyAlignment="1" applyProtection="1"/>
    <xf numFmtId="49" fontId="14" fillId="2" borderId="0" xfId="4" applyNumberFormat="1" applyFont="1" applyFill="1" applyBorder="1" applyAlignment="1" applyProtection="1">
      <alignment horizontal="center"/>
    </xf>
    <xf numFmtId="0" fontId="6" fillId="2" borderId="0" xfId="4" applyFont="1" applyFill="1" applyProtection="1"/>
    <xf numFmtId="37" fontId="6" fillId="2" borderId="0" xfId="4" applyNumberFormat="1" applyFont="1" applyFill="1" applyAlignment="1" applyProtection="1"/>
    <xf numFmtId="0" fontId="6" fillId="2" borderId="9" xfId="4" applyFont="1" applyFill="1" applyBorder="1" applyAlignment="1" applyProtection="1"/>
    <xf numFmtId="0" fontId="6" fillId="2" borderId="9" xfId="4" applyFont="1" applyFill="1" applyBorder="1" applyProtection="1"/>
    <xf numFmtId="0" fontId="6" fillId="2" borderId="10" xfId="4" applyFont="1" applyFill="1" applyBorder="1" applyAlignment="1" applyProtection="1"/>
    <xf numFmtId="0" fontId="6" fillId="2" borderId="10" xfId="4" applyFont="1" applyFill="1" applyBorder="1" applyProtection="1"/>
    <xf numFmtId="0" fontId="12" fillId="2" borderId="10" xfId="4" applyFont="1" applyFill="1" applyBorder="1" applyAlignment="1" applyProtection="1"/>
    <xf numFmtId="0" fontId="6" fillId="2" borderId="0" xfId="4" applyFont="1" applyFill="1" applyBorder="1" applyProtection="1"/>
    <xf numFmtId="1" fontId="6" fillId="2" borderId="0" xfId="4" applyNumberFormat="1" applyFont="1" applyFill="1" applyAlignment="1" applyProtection="1"/>
    <xf numFmtId="0" fontId="6" fillId="2" borderId="0" xfId="4" quotePrefix="1" applyFont="1" applyFill="1" applyAlignment="1" applyProtection="1">
      <alignment horizontal="left"/>
    </xf>
    <xf numFmtId="0" fontId="8" fillId="5" borderId="1" xfId="0" applyFont="1" applyFill="1" applyBorder="1" applyAlignment="1" applyProtection="1">
      <alignment horizontal="left"/>
    </xf>
    <xf numFmtId="0" fontId="6" fillId="5" borderId="4" xfId="0" applyFont="1" applyFill="1" applyBorder="1" applyAlignment="1" applyProtection="1"/>
    <xf numFmtId="0" fontId="4" fillId="6" borderId="0" xfId="0" applyFont="1" applyFill="1"/>
    <xf numFmtId="0" fontId="17" fillId="4" borderId="4" xfId="4" applyFont="1" applyFill="1" applyBorder="1" applyAlignment="1" applyProtection="1"/>
    <xf numFmtId="0" fontId="18" fillId="4" borderId="0" xfId="4" applyFont="1" applyFill="1" applyBorder="1" applyAlignment="1" applyProtection="1"/>
    <xf numFmtId="0" fontId="18" fillId="4" borderId="5" xfId="4" applyFont="1" applyFill="1" applyBorder="1" applyAlignment="1" applyProtection="1"/>
    <xf numFmtId="0" fontId="18" fillId="4" borderId="4" xfId="4" applyFont="1" applyFill="1" applyBorder="1" applyAlignment="1" applyProtection="1"/>
    <xf numFmtId="178" fontId="18" fillId="3" borderId="11" xfId="3" applyNumberFormat="1" applyFont="1" applyFill="1" applyBorder="1" applyAlignment="1" applyProtection="1">
      <alignment horizontal="center"/>
      <protection locked="0"/>
    </xf>
    <xf numFmtId="0" fontId="19" fillId="4" borderId="5" xfId="4" applyFont="1" applyFill="1" applyBorder="1" applyAlignment="1" applyProtection="1"/>
    <xf numFmtId="178" fontId="18" fillId="4" borderId="0" xfId="3" applyNumberFormat="1" applyFont="1" applyFill="1" applyBorder="1" applyAlignment="1" applyProtection="1">
      <alignment horizontal="center"/>
    </xf>
    <xf numFmtId="37" fontId="18" fillId="4" borderId="0" xfId="4" applyNumberFormat="1" applyFont="1" applyFill="1" applyBorder="1" applyAlignment="1" applyProtection="1">
      <alignment horizontal="center"/>
    </xf>
    <xf numFmtId="0" fontId="19" fillId="4" borderId="5" xfId="4" applyFont="1" applyFill="1" applyBorder="1" applyAlignment="1" applyProtection="1">
      <alignment horizontal="center"/>
    </xf>
    <xf numFmtId="0" fontId="19" fillId="4" borderId="0" xfId="4" applyFont="1" applyFill="1" applyBorder="1" applyAlignment="1" applyProtection="1">
      <alignment horizontal="center"/>
    </xf>
    <xf numFmtId="0" fontId="19" fillId="4" borderId="0" xfId="4" applyFont="1" applyFill="1" applyBorder="1" applyAlignment="1" applyProtection="1">
      <alignment horizontal="center"/>
      <protection locked="0"/>
    </xf>
    <xf numFmtId="0" fontId="19" fillId="4" borderId="4" xfId="4" applyFont="1" applyFill="1" applyBorder="1" applyAlignment="1" applyProtection="1"/>
    <xf numFmtId="37" fontId="19" fillId="4" borderId="0" xfId="4" applyNumberFormat="1" applyFont="1" applyFill="1" applyBorder="1" applyAlignment="1" applyProtection="1">
      <alignment horizontal="center"/>
    </xf>
    <xf numFmtId="0" fontId="18" fillId="7" borderId="0" xfId="4" applyFont="1" applyFill="1" applyBorder="1" applyAlignment="1" applyProtection="1">
      <alignment horizontal="center"/>
      <protection locked="0"/>
    </xf>
    <xf numFmtId="0" fontId="20" fillId="4" borderId="4" xfId="4" applyFont="1" applyFill="1" applyBorder="1" applyAlignment="1" applyProtection="1"/>
    <xf numFmtId="37" fontId="18" fillId="3" borderId="11" xfId="4" applyNumberFormat="1" applyFont="1" applyFill="1" applyBorder="1" applyAlignment="1" applyProtection="1">
      <alignment horizontal="center"/>
      <protection locked="0"/>
    </xf>
    <xf numFmtId="178" fontId="18" fillId="3" borderId="23" xfId="3" applyNumberFormat="1" applyFont="1" applyFill="1" applyBorder="1" applyAlignment="1" applyProtection="1">
      <alignment horizontal="center"/>
      <protection locked="0"/>
    </xf>
    <xf numFmtId="180" fontId="18" fillId="3" borderId="18" xfId="4" applyNumberFormat="1" applyFont="1" applyFill="1" applyBorder="1" applyAlignment="1" applyProtection="1">
      <alignment horizontal="center"/>
      <protection locked="0"/>
    </xf>
    <xf numFmtId="0" fontId="18" fillId="4" borderId="6" xfId="4" applyFont="1" applyFill="1" applyBorder="1" applyAlignment="1" applyProtection="1"/>
    <xf numFmtId="0" fontId="18" fillId="4" borderId="7" xfId="4" applyFont="1" applyFill="1" applyBorder="1" applyAlignment="1" applyProtection="1"/>
    <xf numFmtId="0" fontId="18" fillId="4" borderId="8" xfId="4" applyFont="1" applyFill="1" applyBorder="1" applyAlignment="1" applyProtection="1"/>
    <xf numFmtId="0" fontId="18" fillId="6" borderId="4" xfId="4" applyFont="1" applyFill="1" applyBorder="1" applyAlignment="1" applyProtection="1"/>
    <xf numFmtId="187" fontId="4" fillId="0" borderId="0" xfId="0" applyNumberFormat="1" applyFont="1" applyAlignment="1">
      <alignment horizontal="center"/>
    </xf>
    <xf numFmtId="0" fontId="9" fillId="4" borderId="4" xfId="0" applyFont="1" applyFill="1" applyBorder="1" applyAlignment="1" applyProtection="1">
      <alignment horizontal="left" vertical="center"/>
    </xf>
    <xf numFmtId="0" fontId="10" fillId="0" borderId="4" xfId="0" applyFont="1" applyBorder="1" applyAlignment="1" applyProtection="1">
      <alignment vertical="center"/>
    </xf>
    <xf numFmtId="0" fontId="9" fillId="7" borderId="0" xfId="0" applyFont="1" applyFill="1" applyBorder="1" applyAlignment="1" applyProtection="1">
      <alignment horizontal="left" vertical="center"/>
      <protection locked="0"/>
    </xf>
    <xf numFmtId="0" fontId="10" fillId="7" borderId="0" xfId="0" applyFont="1" applyFill="1" applyBorder="1" applyAlignment="1" applyProtection="1">
      <alignment horizontal="left"/>
      <protection locked="0"/>
    </xf>
    <xf numFmtId="0" fontId="10" fillId="7" borderId="0" xfId="0" applyFont="1" applyFill="1" applyBorder="1" applyAlignment="1" applyProtection="1">
      <alignment horizontal="left" vertical="center"/>
      <protection locked="0"/>
    </xf>
    <xf numFmtId="0" fontId="6" fillId="3" borderId="4" xfId="0" applyFont="1" applyFill="1" applyBorder="1" applyAlignment="1" applyProtection="1">
      <alignment vertical="top" wrapText="1"/>
      <protection locked="0"/>
    </xf>
    <xf numFmtId="0" fontId="4" fillId="0" borderId="0" xfId="0" applyFont="1" applyBorder="1" applyAlignment="1" applyProtection="1">
      <alignment vertical="top" wrapText="1"/>
      <protection locked="0"/>
    </xf>
    <xf numFmtId="0" fontId="4" fillId="0" borderId="5" xfId="0" applyFont="1" applyBorder="1" applyAlignment="1" applyProtection="1">
      <alignment vertical="top" wrapText="1"/>
      <protection locked="0"/>
    </xf>
    <xf numFmtId="0" fontId="4" fillId="0" borderId="4" xfId="0" applyFont="1" applyBorder="1" applyAlignment="1" applyProtection="1">
      <alignment vertical="top" wrapText="1"/>
      <protection locked="0"/>
    </xf>
    <xf numFmtId="0" fontId="4" fillId="0" borderId="4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</cellXfs>
  <cellStyles count="5">
    <cellStyle name="Comma" xfId="1" builtinId="3"/>
    <cellStyle name="Normal" xfId="0" builtinId="0"/>
    <cellStyle name="Normal_FJ 1006 Jintai closing package-V0114" xfId="2"/>
    <cellStyle name="Percent" xfId="3" builtinId="5"/>
    <cellStyle name="常规_GZ1005 CLOSING PACKAGE final" xfId="4"/>
  </cellStyles>
  <dxfs count="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</dxf>
    <dxf>
      <font>
        <color theme="0" tint="-4.9989318521683403E-2"/>
      </font>
      <fill>
        <patternFill>
          <bgColor theme="0" tint="-4.9989318521683403E-2"/>
        </patternFill>
      </fill>
      <border>
        <bottom style="thin">
          <color theme="0" tint="-4.9989318521683403E-2"/>
        </bottom>
      </border>
    </dxf>
    <dxf>
      <font>
        <color theme="0" tint="-4.9989318521683403E-2"/>
      </font>
      <fill>
        <patternFill>
          <bgColor theme="0" tint="-4.9989318521683403E-2"/>
        </patternFill>
      </fill>
      <border>
        <bottom style="thin">
          <color theme="0" tint="-4.9989318521683403E-2"/>
        </bottom>
      </border>
    </dxf>
    <dxf>
      <font>
        <color theme="0" tint="-4.9989318521683403E-2"/>
      </font>
      <fill>
        <patternFill>
          <bgColor theme="0" tint="-4.9989318521683403E-2"/>
        </patternFill>
      </fill>
      <border>
        <bottom style="thin">
          <color theme="0" tint="-4.9989318521683403E-2"/>
        </bottom>
      </border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  <border>
        <bottom style="thin">
          <color theme="0" tint="-4.9989318521683403E-2"/>
        </bottom>
      </border>
    </dxf>
    <dxf>
      <font>
        <color theme="0" tint="-4.9989318521683403E-2"/>
      </font>
      <fill>
        <patternFill>
          <bgColor theme="0" tint="-4.9989318521683403E-2"/>
        </patternFill>
      </fill>
      <border>
        <bottom style="thin">
          <color theme="0" tint="-4.9989318521683403E-2"/>
        </bottom>
      </border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zoomScale="70" zoomScaleNormal="70" workbookViewId="0">
      <pane ySplit="2" topLeftCell="A35" activePane="bottomLeft" state="frozen"/>
      <selection activeCell="D25" sqref="D25"/>
      <selection pane="bottomLeft" activeCell="B49" sqref="B49"/>
    </sheetView>
  </sheetViews>
  <sheetFormatPr defaultColWidth="13.85546875" defaultRowHeight="15" outlineLevelCol="1"/>
  <cols>
    <col min="1" max="1" width="33.28515625" style="22" customWidth="1"/>
    <col min="2" max="4" width="11.7109375" style="22" customWidth="1"/>
    <col min="5" max="5" width="3.7109375" style="21" customWidth="1"/>
    <col min="6" max="6" width="2.28515625" style="22" bestFit="1" customWidth="1"/>
    <col min="7" max="7" width="30.7109375" style="22" customWidth="1"/>
    <col min="8" max="9" width="11.7109375" style="22" customWidth="1"/>
    <col min="10" max="10" width="3.7109375" style="22" customWidth="1"/>
    <col min="11" max="11" width="13.85546875" style="22"/>
    <col min="12" max="16" width="9.85546875" style="22" hidden="1" customWidth="1" outlineLevel="1"/>
    <col min="17" max="17" width="13.85546875" style="22" collapsed="1"/>
    <col min="18" max="16384" width="13.85546875" style="22"/>
  </cols>
  <sheetData>
    <row r="1" spans="1:13" ht="18.75">
      <c r="A1" s="19" t="s">
        <v>16</v>
      </c>
      <c r="B1" s="19"/>
      <c r="C1" s="20"/>
      <c r="D1" s="20"/>
      <c r="H1" s="23" t="s">
        <v>49</v>
      </c>
      <c r="I1" s="24" t="str">
        <f>IF(PMT!B49="","",PMT!B49)</f>
        <v/>
      </c>
    </row>
    <row r="2" spans="1:13" ht="18.75">
      <c r="A2" s="25" t="s">
        <v>159</v>
      </c>
      <c r="B2" s="19"/>
      <c r="C2" s="20"/>
      <c r="D2" s="20"/>
      <c r="H2" s="23"/>
      <c r="I2" s="23"/>
    </row>
    <row r="3" spans="1:13" ht="15" customHeight="1">
      <c r="A3" s="26"/>
      <c r="B3" s="26"/>
      <c r="H3" s="7"/>
    </row>
    <row r="4" spans="1:13" ht="15" customHeight="1">
      <c r="A4" s="27" t="s">
        <v>45</v>
      </c>
      <c r="B4" s="28"/>
      <c r="C4" s="29"/>
      <c r="D4" s="28"/>
      <c r="E4" s="30"/>
      <c r="G4" s="27" t="s">
        <v>46</v>
      </c>
      <c r="H4" s="31" t="s">
        <v>27</v>
      </c>
      <c r="I4" s="31" t="s">
        <v>23</v>
      </c>
      <c r="J4" s="30"/>
      <c r="M4" s="22" t="s">
        <v>58</v>
      </c>
    </row>
    <row r="5" spans="1:13" ht="15" customHeight="1">
      <c r="A5" s="32" t="s">
        <v>17</v>
      </c>
      <c r="B5" s="33"/>
      <c r="C5" s="34" t="str">
        <f>IF(PMT!B2="","",PMT!B2)</f>
        <v/>
      </c>
      <c r="D5" s="33"/>
      <c r="E5" s="35"/>
      <c r="G5" s="32"/>
      <c r="H5" s="36" t="s">
        <v>103</v>
      </c>
      <c r="I5" s="36" t="s">
        <v>31</v>
      </c>
      <c r="J5" s="35"/>
      <c r="M5" s="22" t="s">
        <v>59</v>
      </c>
    </row>
    <row r="6" spans="1:13" ht="15" customHeight="1">
      <c r="A6" s="32" t="s">
        <v>18</v>
      </c>
      <c r="B6" s="33"/>
      <c r="C6" s="34" t="str">
        <f>IF(PMT!B3="","",PMT!B3)</f>
        <v/>
      </c>
      <c r="D6" s="33"/>
      <c r="E6" s="35"/>
      <c r="G6" s="32" t="s">
        <v>24</v>
      </c>
      <c r="H6" s="37">
        <f>IF(PMT!B50="",0,PMT!B50/1000)</f>
        <v>0</v>
      </c>
      <c r="I6" s="38">
        <f>IF(PMT!B53="",0,PMT!B53/1000)</f>
        <v>0</v>
      </c>
      <c r="J6" s="35"/>
      <c r="M6" s="22" t="s">
        <v>60</v>
      </c>
    </row>
    <row r="7" spans="1:13" ht="15" customHeight="1">
      <c r="A7" s="32" t="s">
        <v>19</v>
      </c>
      <c r="B7" s="33"/>
      <c r="C7" s="34" t="str">
        <f>IF(PMT!B4="","",PMT!B4)</f>
        <v/>
      </c>
      <c r="D7" s="39"/>
      <c r="E7" s="35"/>
      <c r="G7" s="32" t="s">
        <v>25</v>
      </c>
      <c r="H7" s="37">
        <f>IF(PMT!B51="",0,PMT!B51/1000)</f>
        <v>0</v>
      </c>
      <c r="I7" s="38">
        <f>IF(PMT!B54="",0,PMT!B54/1000)</f>
        <v>0</v>
      </c>
      <c r="J7" s="35"/>
    </row>
    <row r="8" spans="1:13" ht="15" customHeight="1">
      <c r="A8" s="40" t="s">
        <v>6</v>
      </c>
      <c r="B8" s="41"/>
      <c r="C8" s="42" t="str">
        <f>IF(PMT!B5="","",PMT!B5)</f>
        <v/>
      </c>
      <c r="D8" s="33"/>
      <c r="E8" s="35"/>
      <c r="G8" s="32" t="s">
        <v>26</v>
      </c>
      <c r="H8" s="37">
        <f>IF(PMT!B52="",0,PMT!B52/1000)</f>
        <v>0</v>
      </c>
      <c r="I8" s="38">
        <f>IF(PMT!B55="",0,PMT!B55/1000)</f>
        <v>0</v>
      </c>
      <c r="J8" s="35"/>
      <c r="M8" s="22" t="s">
        <v>76</v>
      </c>
    </row>
    <row r="9" spans="1:13" ht="15" customHeight="1">
      <c r="A9" s="40" t="s">
        <v>44</v>
      </c>
      <c r="B9" s="41"/>
      <c r="C9" s="34" t="str">
        <f>IF(PMT!B6="","",PMT!B6)</f>
        <v/>
      </c>
      <c r="D9" s="33"/>
      <c r="E9" s="35"/>
      <c r="G9" s="32" t="s">
        <v>28</v>
      </c>
      <c r="H9" s="43"/>
      <c r="I9" s="38">
        <f>IF(PMT!B56="",0,PMT!B56/1000)</f>
        <v>0</v>
      </c>
      <c r="J9" s="35"/>
      <c r="M9" s="22" t="s">
        <v>77</v>
      </c>
    </row>
    <row r="10" spans="1:13" ht="15" customHeight="1">
      <c r="A10" s="40" t="s">
        <v>20</v>
      </c>
      <c r="B10" s="41"/>
      <c r="C10" s="42" t="str">
        <f>IF(PMT!B7="","",PMT!B7)</f>
        <v/>
      </c>
      <c r="D10" s="33"/>
      <c r="E10" s="35"/>
      <c r="G10" s="32" t="s">
        <v>27</v>
      </c>
      <c r="H10" s="44">
        <f>SUM(H6:H8)</f>
        <v>0</v>
      </c>
      <c r="I10" s="44"/>
      <c r="J10" s="35"/>
    </row>
    <row r="11" spans="1:13" ht="15" customHeight="1">
      <c r="A11" s="162" t="s">
        <v>21</v>
      </c>
      <c r="B11" s="45"/>
      <c r="C11" s="164" t="str">
        <f>IF(PMT!B8="","",PMT!B8)</f>
        <v/>
      </c>
      <c r="D11" s="165"/>
      <c r="E11" s="35"/>
      <c r="G11" s="46" t="s">
        <v>30</v>
      </c>
      <c r="H11" s="47"/>
      <c r="I11" s="47">
        <f>SUM(I6:I10)</f>
        <v>0</v>
      </c>
      <c r="J11" s="35"/>
    </row>
    <row r="12" spans="1:13" ht="15" customHeight="1">
      <c r="A12" s="163"/>
      <c r="B12" s="48"/>
      <c r="C12" s="166"/>
      <c r="D12" s="165"/>
      <c r="E12" s="49"/>
      <c r="G12" s="46" t="s">
        <v>29</v>
      </c>
      <c r="H12" s="50"/>
      <c r="I12" s="51">
        <f>IF(PMT!B57="",0,PMT!B57/1000)</f>
        <v>0</v>
      </c>
      <c r="J12" s="35"/>
    </row>
    <row r="13" spans="1:13" ht="15" customHeight="1">
      <c r="A13" s="40" t="s">
        <v>22</v>
      </c>
      <c r="B13" s="41"/>
      <c r="C13" s="42" t="str">
        <f>IF(PMT!B9="","",PMT!B9)</f>
        <v/>
      </c>
      <c r="D13" s="33"/>
      <c r="E13" s="35"/>
      <c r="G13" s="32" t="s">
        <v>155</v>
      </c>
      <c r="H13" s="44"/>
      <c r="I13" s="44">
        <f>SUM(I11:I12)</f>
        <v>0</v>
      </c>
      <c r="J13" s="35" t="s">
        <v>7</v>
      </c>
    </row>
    <row r="14" spans="1:13" ht="15" customHeight="1">
      <c r="A14" s="52"/>
      <c r="B14" s="53"/>
      <c r="C14" s="53"/>
      <c r="D14" s="53"/>
      <c r="E14" s="54"/>
      <c r="G14" s="52"/>
      <c r="H14" s="53"/>
      <c r="I14" s="53"/>
      <c r="J14" s="54"/>
    </row>
    <row r="15" spans="1:13" ht="15" customHeight="1">
      <c r="A15" s="26"/>
      <c r="B15" s="26"/>
      <c r="D15" s="3"/>
      <c r="G15" s="55"/>
      <c r="H15" s="55"/>
      <c r="I15" s="20"/>
      <c r="J15" s="21"/>
    </row>
    <row r="16" spans="1:13" ht="15" customHeight="1">
      <c r="A16" s="136" t="s">
        <v>160</v>
      </c>
      <c r="B16" s="28"/>
      <c r="C16" s="29"/>
      <c r="D16" s="56"/>
      <c r="E16" s="30"/>
      <c r="G16" s="27" t="s">
        <v>47</v>
      </c>
      <c r="H16" s="31"/>
      <c r="I16" s="31"/>
      <c r="J16" s="30"/>
    </row>
    <row r="17" spans="1:15" ht="15" customHeight="1">
      <c r="A17" s="40" t="s">
        <v>36</v>
      </c>
      <c r="B17" s="41"/>
      <c r="C17" s="44">
        <f>C18+C30</f>
        <v>0</v>
      </c>
      <c r="D17" s="57"/>
      <c r="E17" s="35" t="s">
        <v>40</v>
      </c>
      <c r="G17" s="32" t="s">
        <v>38</v>
      </c>
      <c r="H17" s="58"/>
      <c r="I17" s="36" t="s">
        <v>2</v>
      </c>
      <c r="J17" s="35"/>
    </row>
    <row r="18" spans="1:15" ht="15" customHeight="1">
      <c r="A18" s="59" t="s">
        <v>83</v>
      </c>
      <c r="B18" s="60"/>
      <c r="C18" s="61">
        <f>IF(PMT!B10="",0,PMT!B10/1000)</f>
        <v>0</v>
      </c>
      <c r="D18" s="33"/>
      <c r="E18" s="35"/>
      <c r="G18" s="62">
        <f>IF(PMT!B59="",0,PMT!B59)</f>
        <v>0</v>
      </c>
      <c r="H18" s="63"/>
      <c r="I18" s="37">
        <f>IF(PMT!B60="",0,PMT!B60/1000)</f>
        <v>0</v>
      </c>
      <c r="J18" s="35"/>
    </row>
    <row r="19" spans="1:15" ht="15" customHeight="1">
      <c r="A19" s="59" t="s">
        <v>96</v>
      </c>
      <c r="B19" s="60"/>
      <c r="C19" s="61">
        <f>IF(PMT!B11="",0,PMT!B11/1000)</f>
        <v>0</v>
      </c>
      <c r="D19" s="64" t="e">
        <f t="shared" ref="D19:D32" si="0">C19/$C$18</f>
        <v>#DIV/0!</v>
      </c>
      <c r="E19" s="65"/>
      <c r="G19" s="62">
        <f>IF(PMT!B62="",0,PMT!B62)</f>
        <v>0</v>
      </c>
      <c r="H19" s="66"/>
      <c r="I19" s="37">
        <f>IF(PMT!B63="",0,PMT!B63/1000)</f>
        <v>0</v>
      </c>
      <c r="J19" s="49"/>
    </row>
    <row r="20" spans="1:15" ht="15" customHeight="1">
      <c r="A20" s="59" t="s">
        <v>84</v>
      </c>
      <c r="B20" s="60"/>
      <c r="C20" s="61">
        <f>IF(PMT!B12="",0,PMT!B12/1000)</f>
        <v>0</v>
      </c>
      <c r="D20" s="64" t="e">
        <f t="shared" si="0"/>
        <v>#DIV/0!</v>
      </c>
      <c r="E20" s="65"/>
      <c r="G20" s="32" t="s">
        <v>39</v>
      </c>
      <c r="H20" s="44"/>
      <c r="I20" s="44">
        <f>SUM(I18:I19)</f>
        <v>0</v>
      </c>
      <c r="J20" s="35" t="s">
        <v>41</v>
      </c>
    </row>
    <row r="21" spans="1:15" ht="15" customHeight="1">
      <c r="A21" s="59" t="s">
        <v>85</v>
      </c>
      <c r="B21" s="60"/>
      <c r="C21" s="61">
        <f>IF(PMT!B13="",0,PMT!B13/1000)</f>
        <v>0</v>
      </c>
      <c r="D21" s="64" t="e">
        <f t="shared" si="0"/>
        <v>#DIV/0!</v>
      </c>
      <c r="E21" s="65"/>
      <c r="G21" s="67" t="s">
        <v>112</v>
      </c>
      <c r="H21" s="58"/>
      <c r="I21" s="68">
        <f>IF(PMT!B64="",0,PMT!B64)</f>
        <v>0</v>
      </c>
      <c r="J21" s="49"/>
    </row>
    <row r="22" spans="1:15" ht="15" customHeight="1">
      <c r="A22" s="59" t="s">
        <v>86</v>
      </c>
      <c r="B22" s="60"/>
      <c r="C22" s="61">
        <f>IF(PMT!B14="",0,PMT!B14/1000)</f>
        <v>0</v>
      </c>
      <c r="D22" s="64" t="e">
        <f t="shared" si="0"/>
        <v>#DIV/0!</v>
      </c>
      <c r="E22" s="65"/>
      <c r="G22" s="32" t="s">
        <v>111</v>
      </c>
      <c r="H22" s="44"/>
      <c r="I22" s="44">
        <f>I20*I21</f>
        <v>0</v>
      </c>
      <c r="J22" s="35" t="s">
        <v>43</v>
      </c>
    </row>
    <row r="23" spans="1:15" ht="15" customHeight="1">
      <c r="A23" s="59" t="s">
        <v>87</v>
      </c>
      <c r="B23" s="60"/>
      <c r="C23" s="61">
        <f>IF(PMT!B15="",0,PMT!B15/1000)</f>
        <v>0</v>
      </c>
      <c r="D23" s="64" t="e">
        <f t="shared" si="0"/>
        <v>#DIV/0!</v>
      </c>
      <c r="E23" s="65"/>
      <c r="G23" s="67" t="s">
        <v>107</v>
      </c>
      <c r="H23" s="58"/>
      <c r="I23" s="68">
        <f>IF(PMT!B65="",0,PMT!B65)</f>
        <v>0</v>
      </c>
      <c r="J23" s="49"/>
    </row>
    <row r="24" spans="1:15" ht="15" customHeight="1">
      <c r="A24" s="59" t="s">
        <v>88</v>
      </c>
      <c r="B24" s="60"/>
      <c r="C24" s="61">
        <f>IF(PMT!B16="",0,PMT!B16/1000)</f>
        <v>0</v>
      </c>
      <c r="D24" s="64" t="e">
        <f t="shared" si="0"/>
        <v>#DIV/0!</v>
      </c>
      <c r="E24" s="65"/>
      <c r="G24" s="32" t="s">
        <v>108</v>
      </c>
      <c r="H24" s="44"/>
      <c r="I24" s="44">
        <f>I20*I23</f>
        <v>0</v>
      </c>
      <c r="J24" s="35"/>
    </row>
    <row r="25" spans="1:15" ht="15" customHeight="1">
      <c r="A25" s="59" t="s">
        <v>89</v>
      </c>
      <c r="B25" s="60"/>
      <c r="C25" s="61">
        <f>IF(PMT!B17="",0,PMT!B17/1000)</f>
        <v>0</v>
      </c>
      <c r="D25" s="64" t="e">
        <f t="shared" si="0"/>
        <v>#DIV/0!</v>
      </c>
      <c r="E25" s="65"/>
      <c r="G25" s="69" t="s">
        <v>109</v>
      </c>
      <c r="H25" s="70"/>
      <c r="I25" s="70"/>
      <c r="J25" s="54"/>
    </row>
    <row r="26" spans="1:15" ht="15" customHeight="1">
      <c r="A26" s="59" t="s">
        <v>90</v>
      </c>
      <c r="B26" s="60"/>
      <c r="C26" s="61">
        <f>IF(PMT!B18="",0,PMT!B18/1000)</f>
        <v>0</v>
      </c>
      <c r="D26" s="64" t="e">
        <f t="shared" si="0"/>
        <v>#DIV/0!</v>
      </c>
      <c r="E26" s="65"/>
    </row>
    <row r="27" spans="1:15" ht="15" customHeight="1">
      <c r="A27" s="59" t="s">
        <v>91</v>
      </c>
      <c r="B27" s="60"/>
      <c r="C27" s="61">
        <f>IF(PMT!B19="",0,PMT!B19/1000)</f>
        <v>0</v>
      </c>
      <c r="D27" s="64" t="e">
        <f t="shared" si="0"/>
        <v>#DIV/0!</v>
      </c>
      <c r="E27" s="65"/>
      <c r="G27" s="71" t="s">
        <v>34</v>
      </c>
      <c r="H27" s="72"/>
      <c r="I27" s="72"/>
      <c r="J27" s="73"/>
      <c r="O27" s="74"/>
    </row>
    <row r="28" spans="1:15" ht="15" customHeight="1">
      <c r="A28" s="59" t="s">
        <v>92</v>
      </c>
      <c r="B28" s="60"/>
      <c r="C28" s="61">
        <f>IF(PMT!B20="",0,PMT!B20/1000)</f>
        <v>0</v>
      </c>
      <c r="D28" s="64" t="e">
        <f t="shared" si="0"/>
        <v>#DIV/0!</v>
      </c>
      <c r="E28" s="65"/>
      <c r="G28" s="75" t="s">
        <v>65</v>
      </c>
      <c r="H28" s="76"/>
      <c r="I28" s="58"/>
      <c r="J28" s="77"/>
      <c r="O28" s="74"/>
    </row>
    <row r="29" spans="1:15" ht="15" customHeight="1">
      <c r="A29" s="59" t="s">
        <v>93</v>
      </c>
      <c r="B29" s="60"/>
      <c r="C29" s="61">
        <f>IF(PMT!B21="",0,PMT!B21/1000)</f>
        <v>0</v>
      </c>
      <c r="D29" s="64" t="e">
        <f t="shared" si="0"/>
        <v>#DIV/0!</v>
      </c>
      <c r="E29" s="65"/>
      <c r="G29" s="78" t="s">
        <v>153</v>
      </c>
      <c r="H29" s="79"/>
      <c r="I29" s="80">
        <f>-I13</f>
        <v>0</v>
      </c>
      <c r="J29" s="77" t="s">
        <v>7</v>
      </c>
    </row>
    <row r="30" spans="1:15" ht="15" customHeight="1">
      <c r="A30" s="59" t="s">
        <v>94</v>
      </c>
      <c r="B30" s="60"/>
      <c r="C30" s="61">
        <f>IF(PMT!B22="",0,PMT!B22/1000)</f>
        <v>0</v>
      </c>
      <c r="D30" s="64" t="e">
        <f t="shared" si="0"/>
        <v>#DIV/0!</v>
      </c>
      <c r="E30" s="35"/>
      <c r="G30" s="67" t="s">
        <v>165</v>
      </c>
      <c r="H30" s="58"/>
      <c r="I30" s="81">
        <f>IF(PMT!B66="",0,PMT!B66/1000)</f>
        <v>0</v>
      </c>
      <c r="J30" s="49"/>
    </row>
    <row r="31" spans="1:15" ht="15" customHeight="1">
      <c r="A31" s="59" t="s">
        <v>95</v>
      </c>
      <c r="B31" s="60"/>
      <c r="C31" s="61">
        <f>IF(PMT!B23="",0,PMT!B23/1000)</f>
        <v>0</v>
      </c>
      <c r="D31" s="64" t="e">
        <f t="shared" si="0"/>
        <v>#DIV/0!</v>
      </c>
      <c r="E31" s="65"/>
      <c r="G31" s="67" t="s">
        <v>66</v>
      </c>
      <c r="H31" s="58"/>
      <c r="I31" s="80">
        <f>SUM(I29:I30)</f>
        <v>0</v>
      </c>
      <c r="J31" s="49"/>
    </row>
    <row r="32" spans="1:15" ht="15" customHeight="1">
      <c r="A32" s="82" t="s">
        <v>15</v>
      </c>
      <c r="B32" s="83"/>
      <c r="C32" s="84">
        <f>C19-SUM(C20:C29)+C30-C31</f>
        <v>0</v>
      </c>
      <c r="D32" s="85" t="e">
        <f t="shared" si="0"/>
        <v>#DIV/0!</v>
      </c>
      <c r="E32" s="65"/>
      <c r="G32" s="67"/>
      <c r="H32" s="58"/>
      <c r="I32" s="58"/>
      <c r="J32" s="49"/>
    </row>
    <row r="33" spans="1:17" ht="15" customHeight="1">
      <c r="A33" s="82" t="s">
        <v>32</v>
      </c>
      <c r="B33" s="83"/>
      <c r="C33" s="43">
        <f>C32+SUM(C21,C22,C27,C28)</f>
        <v>0</v>
      </c>
      <c r="D33" s="86"/>
      <c r="E33" s="35"/>
      <c r="G33" s="87" t="s">
        <v>33</v>
      </c>
      <c r="H33" s="88"/>
      <c r="I33" s="89" t="e">
        <f>I31/(C35-I22)</f>
        <v>#DIV/0!</v>
      </c>
      <c r="J33" s="90"/>
    </row>
    <row r="34" spans="1:17" ht="15" customHeight="1">
      <c r="A34" s="59" t="s">
        <v>114</v>
      </c>
      <c r="B34" s="60"/>
      <c r="C34" s="44">
        <f>C33+C23+C24</f>
        <v>0</v>
      </c>
      <c r="D34" s="33"/>
      <c r="E34" s="35"/>
      <c r="G34" s="67"/>
      <c r="H34" s="58"/>
      <c r="I34" s="58"/>
      <c r="J34" s="49"/>
      <c r="M34" s="91">
        <f>I44</f>
        <v>0</v>
      </c>
      <c r="N34" s="92"/>
      <c r="O34" s="92"/>
    </row>
    <row r="35" spans="1:17" ht="15" customHeight="1">
      <c r="A35" s="32" t="s">
        <v>110</v>
      </c>
      <c r="B35" s="33"/>
      <c r="C35" s="44">
        <f>SUM(C32,C24,C22:C23,C28)</f>
        <v>0</v>
      </c>
      <c r="D35" s="64" t="e">
        <f>C35/(C18+C30)</f>
        <v>#DIV/0!</v>
      </c>
      <c r="E35" s="65" t="s">
        <v>42</v>
      </c>
      <c r="G35" s="93" t="s">
        <v>70</v>
      </c>
      <c r="H35" s="94" t="s">
        <v>4</v>
      </c>
      <c r="I35" s="95" t="s">
        <v>5</v>
      </c>
      <c r="J35" s="96"/>
      <c r="M35" s="92" t="s">
        <v>98</v>
      </c>
      <c r="N35" s="92" t="s">
        <v>97</v>
      </c>
      <c r="O35" s="92" t="s">
        <v>99</v>
      </c>
    </row>
    <row r="36" spans="1:17" ht="15" customHeight="1">
      <c r="A36" s="69" t="s">
        <v>115</v>
      </c>
      <c r="B36" s="53"/>
      <c r="C36" s="53"/>
      <c r="D36" s="53"/>
      <c r="E36" s="54"/>
      <c r="G36" s="97" t="s">
        <v>11</v>
      </c>
      <c r="H36" s="80" t="str">
        <f>IF(C11="Planned",-C35/0.35+C17,"n/a")</f>
        <v>n/a</v>
      </c>
      <c r="I36" s="64" t="str">
        <f>IF(C11="Planned",H36/C17-1,"n/a")</f>
        <v>n/a</v>
      </c>
      <c r="J36" s="98"/>
      <c r="M36" s="99">
        <f>M34/2</f>
        <v>0</v>
      </c>
      <c r="N36" s="99">
        <f>M34/2</f>
        <v>0</v>
      </c>
      <c r="O36" s="99">
        <v>0.03</v>
      </c>
    </row>
    <row r="37" spans="1:17" ht="15" customHeight="1">
      <c r="E37" s="92"/>
      <c r="G37" s="97" t="s">
        <v>12</v>
      </c>
      <c r="H37" s="80" t="str">
        <f>IF(C11="Planned",-C34/0.35+C17,"n/a")</f>
        <v>n/a</v>
      </c>
      <c r="I37" s="64" t="str">
        <f>IF(C11="Planned",H37/C17-1,"n/a")</f>
        <v>n/a</v>
      </c>
      <c r="J37" s="98"/>
      <c r="L37" s="100">
        <f>C17</f>
        <v>0</v>
      </c>
      <c r="M37" s="100">
        <f>L37*M36</f>
        <v>0</v>
      </c>
      <c r="N37" s="100">
        <f>L37*N36</f>
        <v>0</v>
      </c>
      <c r="O37" s="100"/>
      <c r="P37" s="100">
        <f>SUM(L37:O37)</f>
        <v>0</v>
      </c>
    </row>
    <row r="38" spans="1:17" ht="15" customHeight="1">
      <c r="A38" s="27" t="s">
        <v>53</v>
      </c>
      <c r="B38" s="28"/>
      <c r="C38" s="31"/>
      <c r="D38" s="31"/>
      <c r="E38" s="30"/>
      <c r="G38" s="67"/>
      <c r="H38" s="58"/>
      <c r="I38" s="58"/>
      <c r="J38" s="49"/>
      <c r="L38" s="100">
        <f>L37-L39</f>
        <v>0</v>
      </c>
      <c r="M38" s="100">
        <f>0*M37</f>
        <v>0</v>
      </c>
      <c r="N38" s="100">
        <f>0.6*N37</f>
        <v>0</v>
      </c>
      <c r="O38" s="100">
        <f>SUM(L38:N38)*O36</f>
        <v>0</v>
      </c>
      <c r="P38" s="100">
        <f>SUM(L38:O38)</f>
        <v>0</v>
      </c>
    </row>
    <row r="39" spans="1:17" ht="15" customHeight="1">
      <c r="A39" s="32"/>
      <c r="B39" s="101" t="s">
        <v>50</v>
      </c>
      <c r="C39" s="102" t="s">
        <v>51</v>
      </c>
      <c r="D39" s="103" t="s">
        <v>52</v>
      </c>
      <c r="E39" s="98"/>
      <c r="G39" s="93" t="s">
        <v>68</v>
      </c>
      <c r="H39" s="58"/>
      <c r="I39" s="58"/>
      <c r="J39" s="49"/>
      <c r="L39" s="100">
        <f>C33</f>
        <v>0</v>
      </c>
      <c r="M39" s="100">
        <f>M37-M38</f>
        <v>0</v>
      </c>
      <c r="N39" s="100">
        <f>N37-N38</f>
        <v>0</v>
      </c>
      <c r="O39" s="100">
        <f>O37-O38</f>
        <v>0</v>
      </c>
      <c r="P39" s="100">
        <f>SUM(L39:O39)</f>
        <v>0</v>
      </c>
      <c r="Q39" s="104"/>
    </row>
    <row r="40" spans="1:17" ht="15" customHeight="1">
      <c r="A40" s="137" t="s">
        <v>161</v>
      </c>
      <c r="B40" s="105">
        <f>C17</f>
        <v>0</v>
      </c>
      <c r="C40" s="106">
        <f>IF(PMT!B29="",0,PMT!B29/1000)</f>
        <v>0</v>
      </c>
      <c r="D40" s="106">
        <f>IF(PMT!B39="",0,PMT!B39/1000)</f>
        <v>0</v>
      </c>
      <c r="E40" s="98"/>
      <c r="G40" s="67" t="s">
        <v>157</v>
      </c>
      <c r="H40" s="58"/>
      <c r="I40" s="80">
        <f>-C17+I20</f>
        <v>0</v>
      </c>
      <c r="J40" s="77" t="s">
        <v>35</v>
      </c>
      <c r="L40" s="107"/>
      <c r="P40" s="99" t="e">
        <f>P39/L39-1</f>
        <v>#DIV/0!</v>
      </c>
    </row>
    <row r="41" spans="1:17" ht="15" customHeight="1">
      <c r="A41" s="32" t="s">
        <v>0</v>
      </c>
      <c r="B41" s="108" t="e">
        <f>B40/C40-1</f>
        <v>#DIV/0!</v>
      </c>
      <c r="C41" s="109">
        <f>IF(PMT!B30="",0,PMT!B30)</f>
        <v>0</v>
      </c>
      <c r="D41" s="109">
        <f>IF(PMT!B40="",0,PMT!B40)</f>
        <v>0</v>
      </c>
      <c r="E41" s="98"/>
      <c r="G41" s="67" t="s">
        <v>158</v>
      </c>
      <c r="H41" s="58"/>
      <c r="I41" s="80">
        <f>-C35+I22</f>
        <v>0</v>
      </c>
      <c r="J41" s="77" t="s">
        <v>37</v>
      </c>
      <c r="O41" s="107"/>
    </row>
    <row r="42" spans="1:17" ht="15" customHeight="1">
      <c r="A42" s="110" t="s">
        <v>54</v>
      </c>
      <c r="B42" s="111">
        <f>IF(PMT!B24="",0,PMT!B24)</f>
        <v>0</v>
      </c>
      <c r="C42" s="112">
        <f>IF(PMT!B31="",0,PMT!B31)</f>
        <v>0</v>
      </c>
      <c r="D42" s="112">
        <f>IF(PMT!B41="",0,PMT!B41)</f>
        <v>0</v>
      </c>
      <c r="E42" s="98"/>
      <c r="G42" s="67"/>
      <c r="H42" s="58"/>
      <c r="I42" s="58"/>
      <c r="J42" s="49"/>
    </row>
    <row r="43" spans="1:17" ht="15" customHeight="1">
      <c r="A43" s="32" t="s">
        <v>48</v>
      </c>
      <c r="B43" s="111">
        <f>IF(PMT!B25="",0,PMT!B25)</f>
        <v>0</v>
      </c>
      <c r="C43" s="109">
        <f>IF(PMT!B32="",0,PMT!B32)</f>
        <v>0</v>
      </c>
      <c r="D43" s="109">
        <f>IF(PMT!B42="",0,PMT!B42)</f>
        <v>0</v>
      </c>
      <c r="E43" s="98"/>
      <c r="G43" s="139" t="s">
        <v>69</v>
      </c>
      <c r="H43" s="140"/>
      <c r="I43" s="140"/>
      <c r="J43" s="141"/>
    </row>
    <row r="44" spans="1:17" ht="15" customHeight="1">
      <c r="A44" s="113" t="s">
        <v>55</v>
      </c>
      <c r="B44" s="111">
        <f>IF(PMT!B26="",0,PMT!B26)</f>
        <v>0</v>
      </c>
      <c r="C44" s="112">
        <f>IF(PMT!B33="",0,PMT!B33)</f>
        <v>0</v>
      </c>
      <c r="D44" s="112">
        <f>IF(PMT!B43="",0,PMT!B43)</f>
        <v>0</v>
      </c>
      <c r="E44" s="98"/>
      <c r="G44" s="142" t="s">
        <v>167</v>
      </c>
      <c r="H44" s="140"/>
      <c r="I44" s="143">
        <f>IF(PMT!B67="",0,PMT!B67)</f>
        <v>0</v>
      </c>
      <c r="J44" s="144"/>
    </row>
    <row r="45" spans="1:17" ht="15" customHeight="1">
      <c r="A45" s="32" t="s">
        <v>1</v>
      </c>
      <c r="B45" s="114" t="e">
        <f>D19</f>
        <v>#DIV/0!</v>
      </c>
      <c r="C45" s="109">
        <f>IF(PMT!B34="",0,PMT!B34)</f>
        <v>0</v>
      </c>
      <c r="D45" s="109">
        <f>IF(PMT!B44="",0,PMT!B44)</f>
        <v>0</v>
      </c>
      <c r="E45" s="98"/>
      <c r="G45" s="142" t="s">
        <v>62</v>
      </c>
      <c r="H45" s="140"/>
      <c r="I45" s="143">
        <f>IF(PMT!B68="",0,PMT!B68)</f>
        <v>0</v>
      </c>
      <c r="J45" s="144"/>
      <c r="M45" s="115"/>
    </row>
    <row r="46" spans="1:17" ht="15" customHeight="1">
      <c r="A46" s="113" t="s">
        <v>56</v>
      </c>
      <c r="B46" s="111">
        <f>IF(PMT!B27="",0,PMT!B27)</f>
        <v>0</v>
      </c>
      <c r="C46" s="112">
        <f>IF(PMT!B35="",0,PMT!B35)</f>
        <v>0</v>
      </c>
      <c r="D46" s="112">
        <f>IF(PMT!B45="",0,PMT!B45)</f>
        <v>0</v>
      </c>
      <c r="E46" s="98"/>
      <c r="G46" s="142" t="s">
        <v>63</v>
      </c>
      <c r="H46" s="140"/>
      <c r="I46" s="145">
        <f>IF($C$11="Planned","n/a",3%)</f>
        <v>0.03</v>
      </c>
      <c r="J46" s="144"/>
      <c r="M46" s="116"/>
      <c r="N46" s="116"/>
      <c r="O46" s="116"/>
    </row>
    <row r="47" spans="1:17" ht="15" customHeight="1">
      <c r="A47" s="32" t="s">
        <v>3</v>
      </c>
      <c r="B47" s="114" t="e">
        <f>D32</f>
        <v>#DIV/0!</v>
      </c>
      <c r="C47" s="109">
        <f>IF(PMT!B36="",0,PMT!B36)</f>
        <v>0</v>
      </c>
      <c r="D47" s="109">
        <f>IF(PMT!B46="",0,PMT!B46)</f>
        <v>0</v>
      </c>
      <c r="E47" s="98"/>
      <c r="G47" s="142" t="s">
        <v>168</v>
      </c>
      <c r="H47" s="140"/>
      <c r="I47" s="145">
        <f>IF($C$11="Planned","n/a",8%)</f>
        <v>0.08</v>
      </c>
      <c r="J47" s="144"/>
      <c r="L47" s="107"/>
      <c r="M47" s="107"/>
      <c r="N47" s="107"/>
      <c r="O47" s="107"/>
      <c r="P47" s="107"/>
    </row>
    <row r="48" spans="1:17" ht="15" customHeight="1">
      <c r="A48" s="113" t="s">
        <v>57</v>
      </c>
      <c r="B48" s="111">
        <f>IF(PMT!B28="",0,PMT!B28)</f>
        <v>0</v>
      </c>
      <c r="C48" s="112">
        <f>IF(PMT!B37="",0,PMT!B37)</f>
        <v>0</v>
      </c>
      <c r="D48" s="112">
        <f>IF(PMT!B47="",0,PMT!B47)</f>
        <v>0</v>
      </c>
      <c r="E48" s="98"/>
      <c r="G48" s="142" t="s">
        <v>105</v>
      </c>
      <c r="H48" s="140"/>
      <c r="I48" s="146" t="e">
        <f>-IF(C11="Planned","n/a",NPV!D26)</f>
        <v>#VALUE!</v>
      </c>
      <c r="J48" s="147"/>
      <c r="L48" s="107"/>
      <c r="M48" s="107"/>
      <c r="N48" s="107"/>
      <c r="O48" s="107"/>
      <c r="P48" s="107"/>
    </row>
    <row r="49" spans="1:17" ht="15" customHeight="1">
      <c r="A49" s="137" t="s">
        <v>162</v>
      </c>
      <c r="B49" s="117">
        <f>C33</f>
        <v>0</v>
      </c>
      <c r="C49" s="118">
        <f>IF(PMT!B38="",0,PMT!B38/1000)</f>
        <v>0</v>
      </c>
      <c r="D49" s="118">
        <f>IF(PMT!B48="",0,PMT!B48/1000)</f>
        <v>0</v>
      </c>
      <c r="E49" s="98"/>
      <c r="G49" s="142" t="s">
        <v>106</v>
      </c>
      <c r="H49" s="140"/>
      <c r="I49" s="146">
        <f>-IF(C11="Planned","n/a",NPV!B26)</f>
        <v>0</v>
      </c>
      <c r="J49" s="147"/>
      <c r="L49" s="107"/>
      <c r="M49" s="107"/>
      <c r="N49" s="107"/>
      <c r="O49" s="107"/>
      <c r="P49" s="107"/>
    </row>
    <row r="50" spans="1:17" ht="15" customHeight="1">
      <c r="A50" s="119"/>
      <c r="B50" s="120"/>
      <c r="C50" s="120"/>
      <c r="D50" s="120"/>
      <c r="E50" s="121"/>
      <c r="G50" s="142"/>
      <c r="H50" s="140"/>
      <c r="I50" s="146"/>
      <c r="J50" s="147"/>
      <c r="P50" s="116"/>
      <c r="Q50" s="122"/>
    </row>
    <row r="51" spans="1:17" ht="15" customHeight="1">
      <c r="E51" s="22"/>
      <c r="G51" s="142"/>
      <c r="H51" s="148" t="s">
        <v>101</v>
      </c>
      <c r="I51" s="149" t="s">
        <v>100</v>
      </c>
      <c r="J51" s="144"/>
    </row>
    <row r="52" spans="1:17" ht="15" customHeight="1">
      <c r="A52" s="123" t="s">
        <v>71</v>
      </c>
      <c r="B52" s="29"/>
      <c r="C52" s="29"/>
      <c r="D52" s="29"/>
      <c r="E52" s="124"/>
      <c r="G52" s="150" t="s">
        <v>102</v>
      </c>
      <c r="H52" s="151">
        <f>-I29</f>
        <v>0</v>
      </c>
      <c r="I52" s="151" t="e">
        <f>-I48</f>
        <v>#VALUE!</v>
      </c>
      <c r="J52" s="144"/>
    </row>
    <row r="53" spans="1:17" ht="15" customHeight="1">
      <c r="A53" s="167" t="str">
        <f>IF(PMT!B76="","",PMT!B76)</f>
        <v/>
      </c>
      <c r="B53" s="168"/>
      <c r="C53" s="168"/>
      <c r="D53" s="168"/>
      <c r="E53" s="169"/>
      <c r="G53" s="142"/>
      <c r="H53" s="140"/>
      <c r="I53" s="146"/>
      <c r="J53" s="147"/>
      <c r="K53" s="125"/>
    </row>
    <row r="54" spans="1:17" ht="15" customHeight="1">
      <c r="A54" s="170"/>
      <c r="B54" s="168"/>
      <c r="C54" s="168"/>
      <c r="D54" s="168"/>
      <c r="E54" s="169"/>
      <c r="G54" s="139" t="s">
        <v>75</v>
      </c>
      <c r="H54" s="140"/>
      <c r="I54" s="152">
        <f>IF(PMT!B69="",0,PMT!B69)</f>
        <v>0</v>
      </c>
      <c r="J54" s="141"/>
    </row>
    <row r="55" spans="1:17" ht="15" customHeight="1">
      <c r="A55" s="170"/>
      <c r="B55" s="168"/>
      <c r="C55" s="168"/>
      <c r="D55" s="168"/>
      <c r="E55" s="169"/>
      <c r="G55" s="153" t="s">
        <v>78</v>
      </c>
      <c r="H55" s="140"/>
      <c r="I55" s="140"/>
      <c r="J55" s="141"/>
    </row>
    <row r="56" spans="1:17" ht="15" customHeight="1">
      <c r="A56" s="170"/>
      <c r="B56" s="168"/>
      <c r="C56" s="168"/>
      <c r="D56" s="168"/>
      <c r="E56" s="169"/>
      <c r="G56" s="142" t="s">
        <v>79</v>
      </c>
      <c r="H56" s="140"/>
      <c r="I56" s="154">
        <f>IF(PMT!B70="",0,PMT!B70)</f>
        <v>0</v>
      </c>
      <c r="J56" s="141"/>
    </row>
    <row r="57" spans="1:17" ht="15" customHeight="1">
      <c r="A57" s="170"/>
      <c r="B57" s="168"/>
      <c r="C57" s="168"/>
      <c r="D57" s="168"/>
      <c r="E57" s="169"/>
      <c r="G57" s="142" t="s">
        <v>80</v>
      </c>
      <c r="H57" s="140"/>
      <c r="I57" s="154">
        <f>IF(PMT!B71="",0,PMT!B71/1000)</f>
        <v>0</v>
      </c>
      <c r="J57" s="141"/>
      <c r="K57" s="92"/>
    </row>
    <row r="58" spans="1:17" ht="15" customHeight="1">
      <c r="A58" s="170"/>
      <c r="B58" s="168"/>
      <c r="C58" s="168"/>
      <c r="D58" s="168"/>
      <c r="E58" s="169"/>
      <c r="G58" s="142" t="s">
        <v>113</v>
      </c>
      <c r="H58" s="140"/>
      <c r="I58" s="154">
        <f>IF(PMT!B72="",0,PMT!B72/1000)</f>
        <v>0</v>
      </c>
      <c r="J58" s="141"/>
      <c r="K58" s="92"/>
    </row>
    <row r="59" spans="1:17" ht="15" customHeight="1">
      <c r="A59" s="170"/>
      <c r="B59" s="168"/>
      <c r="C59" s="168"/>
      <c r="D59" s="168"/>
      <c r="E59" s="169"/>
      <c r="G59" s="142" t="s">
        <v>81</v>
      </c>
      <c r="H59" s="140"/>
      <c r="I59" s="155">
        <f>IF(PMT!B73="",0,PMT!B73)</f>
        <v>0</v>
      </c>
      <c r="J59" s="141"/>
      <c r="K59" s="92"/>
      <c r="L59" s="92"/>
    </row>
    <row r="60" spans="1:17" ht="15" customHeight="1">
      <c r="A60" s="171"/>
      <c r="B60" s="172"/>
      <c r="C60" s="172"/>
      <c r="D60" s="172"/>
      <c r="E60" s="173"/>
      <c r="G60" s="160" t="s">
        <v>82</v>
      </c>
      <c r="H60" s="140"/>
      <c r="I60" s="155">
        <f>IF(PMT!B74="",0,PMT!B74)</f>
        <v>0</v>
      </c>
      <c r="J60" s="141"/>
      <c r="K60" s="92"/>
      <c r="L60" s="92"/>
    </row>
    <row r="61" spans="1:17" ht="15" customHeight="1">
      <c r="A61" s="171"/>
      <c r="B61" s="172"/>
      <c r="C61" s="172"/>
      <c r="D61" s="172"/>
      <c r="E61" s="173"/>
      <c r="G61" s="160" t="s">
        <v>33</v>
      </c>
      <c r="H61" s="140"/>
      <c r="I61" s="156">
        <f>IF(PMT!B75="",0,PMT!B75)</f>
        <v>0</v>
      </c>
      <c r="J61" s="141"/>
      <c r="K61" s="92"/>
      <c r="L61" s="92"/>
    </row>
    <row r="62" spans="1:17" ht="15" customHeight="1">
      <c r="A62" s="171"/>
      <c r="B62" s="172"/>
      <c r="C62" s="172"/>
      <c r="D62" s="172"/>
      <c r="E62" s="173"/>
      <c r="G62" s="153" t="s">
        <v>104</v>
      </c>
      <c r="H62" s="140"/>
      <c r="I62" s="140"/>
      <c r="J62" s="141"/>
      <c r="K62" s="92"/>
      <c r="L62" s="92"/>
    </row>
    <row r="63" spans="1:17" ht="15" customHeight="1">
      <c r="A63" s="174"/>
      <c r="B63" s="175"/>
      <c r="C63" s="175"/>
      <c r="D63" s="175"/>
      <c r="E63" s="176"/>
      <c r="G63" s="157"/>
      <c r="H63" s="158"/>
      <c r="I63" s="158"/>
      <c r="J63" s="159"/>
      <c r="K63" s="92"/>
      <c r="L63" s="92"/>
    </row>
    <row r="64" spans="1:17" ht="15" customHeight="1">
      <c r="E64" s="126"/>
      <c r="M64" s="127"/>
      <c r="N64" s="127"/>
      <c r="O64" s="127"/>
    </row>
    <row r="65" spans="1:9" ht="15" customHeight="1">
      <c r="E65" s="126"/>
    </row>
    <row r="66" spans="1:9" ht="15" customHeight="1">
      <c r="A66" s="128"/>
      <c r="B66" s="129"/>
      <c r="C66" s="128" t="s">
        <v>13</v>
      </c>
      <c r="E66" s="22"/>
      <c r="G66" s="128"/>
      <c r="H66" s="129"/>
      <c r="I66" s="128" t="s">
        <v>13</v>
      </c>
    </row>
    <row r="67" spans="1:9" ht="15" customHeight="1">
      <c r="A67" s="130" t="s">
        <v>72</v>
      </c>
      <c r="B67" s="131"/>
      <c r="C67" s="130"/>
      <c r="D67" s="126"/>
      <c r="E67" s="126"/>
      <c r="G67" s="130" t="s">
        <v>8</v>
      </c>
      <c r="H67" s="131"/>
      <c r="I67" s="130"/>
    </row>
    <row r="68" spans="1:9" ht="15" customHeight="1">
      <c r="A68" s="7"/>
      <c r="B68" s="126"/>
      <c r="C68" s="7"/>
      <c r="D68" s="126"/>
      <c r="E68" s="126"/>
      <c r="G68" s="7"/>
      <c r="H68" s="126"/>
      <c r="I68" s="7"/>
    </row>
    <row r="69" spans="1:9" ht="15" customHeight="1">
      <c r="A69" s="128"/>
      <c r="B69" s="129"/>
      <c r="C69" s="128" t="s">
        <v>13</v>
      </c>
      <c r="D69" s="126"/>
      <c r="E69" s="7"/>
      <c r="G69" s="128"/>
      <c r="H69" s="129"/>
      <c r="I69" s="128" t="s">
        <v>13</v>
      </c>
    </row>
    <row r="70" spans="1:9" ht="15" customHeight="1">
      <c r="A70" s="130" t="s">
        <v>73</v>
      </c>
      <c r="B70" s="131"/>
      <c r="C70" s="130"/>
      <c r="D70" s="7"/>
      <c r="E70" s="7"/>
      <c r="G70" s="130" t="s">
        <v>10</v>
      </c>
      <c r="H70" s="131"/>
      <c r="I70" s="130"/>
    </row>
    <row r="71" spans="1:9" ht="15" customHeight="1">
      <c r="C71" s="115"/>
      <c r="D71" s="7"/>
      <c r="E71" s="7"/>
      <c r="I71" s="115"/>
    </row>
    <row r="72" spans="1:9" ht="15" customHeight="1">
      <c r="A72" s="128"/>
      <c r="B72" s="129"/>
      <c r="C72" s="128" t="s">
        <v>13</v>
      </c>
      <c r="E72" s="92"/>
      <c r="G72" s="128"/>
      <c r="H72" s="129"/>
      <c r="I72" s="128" t="s">
        <v>13</v>
      </c>
    </row>
    <row r="73" spans="1:9" ht="15" customHeight="1">
      <c r="A73" s="130" t="s">
        <v>74</v>
      </c>
      <c r="B73" s="131"/>
      <c r="C73" s="130"/>
      <c r="E73" s="92"/>
      <c r="G73" s="132" t="s">
        <v>152</v>
      </c>
      <c r="H73" s="131"/>
      <c r="I73" s="130"/>
    </row>
    <row r="74" spans="1:9" ht="15" customHeight="1">
      <c r="A74" s="126"/>
      <c r="B74" s="126"/>
      <c r="C74" s="126"/>
      <c r="E74" s="92"/>
      <c r="G74" s="126"/>
      <c r="H74" s="126"/>
      <c r="I74" s="126"/>
    </row>
    <row r="75" spans="1:9" ht="15" customHeight="1">
      <c r="A75" s="128"/>
      <c r="B75" s="129"/>
      <c r="C75" s="128" t="s">
        <v>13</v>
      </c>
      <c r="E75" s="92"/>
      <c r="G75" s="7"/>
      <c r="H75" s="133"/>
      <c r="I75" s="7"/>
    </row>
    <row r="76" spans="1:9" ht="15" customHeight="1">
      <c r="A76" s="130" t="s">
        <v>9</v>
      </c>
      <c r="B76" s="131"/>
      <c r="C76" s="130"/>
      <c r="E76" s="92"/>
      <c r="G76" s="7"/>
      <c r="H76" s="133"/>
      <c r="I76" s="7"/>
    </row>
    <row r="77" spans="1:9" ht="15" customHeight="1">
      <c r="D77" s="134"/>
    </row>
    <row r="78" spans="1:9" ht="15" customHeight="1">
      <c r="D78" s="134"/>
    </row>
    <row r="79" spans="1:9" ht="15" customHeight="1">
      <c r="A79" s="7"/>
      <c r="B79" s="7"/>
      <c r="C79" s="7"/>
    </row>
    <row r="80" spans="1:9">
      <c r="A80" s="7"/>
      <c r="B80" s="7"/>
      <c r="C80" s="7"/>
      <c r="G80" s="7"/>
    </row>
    <row r="81" spans="3:9">
      <c r="I81" s="7"/>
    </row>
    <row r="82" spans="3:9">
      <c r="I82" s="7"/>
    </row>
    <row r="85" spans="3:9">
      <c r="C85" s="135"/>
    </row>
    <row r="86" spans="3:9">
      <c r="C86" s="135"/>
    </row>
    <row r="87" spans="3:9">
      <c r="C87" s="135"/>
    </row>
    <row r="88" spans="3:9">
      <c r="C88" s="135"/>
      <c r="G88" s="7"/>
    </row>
    <row r="89" spans="3:9">
      <c r="C89" s="135"/>
      <c r="G89" s="11"/>
    </row>
    <row r="90" spans="3:9">
      <c r="C90" s="135"/>
    </row>
    <row r="91" spans="3:9">
      <c r="C91" s="135"/>
    </row>
    <row r="92" spans="3:9">
      <c r="C92" s="135"/>
    </row>
  </sheetData>
  <mergeCells count="3">
    <mergeCell ref="A11:A12"/>
    <mergeCell ref="C11:D12"/>
    <mergeCell ref="A53:E63"/>
  </mergeCells>
  <phoneticPr fontId="3" type="noConversion"/>
  <conditionalFormatting sqref="B45">
    <cfRule type="cellIs" dxfId="26" priority="41" operator="lessThan">
      <formula>0</formula>
    </cfRule>
  </conditionalFormatting>
  <conditionalFormatting sqref="B47">
    <cfRule type="cellIs" dxfId="25" priority="39" operator="lessThan">
      <formula>0</formula>
    </cfRule>
  </conditionalFormatting>
  <conditionalFormatting sqref="B41">
    <cfRule type="cellIs" dxfId="24" priority="30" operator="lessThan">
      <formula>0</formula>
    </cfRule>
  </conditionalFormatting>
  <conditionalFormatting sqref="H35:J35">
    <cfRule type="expression" dxfId="23" priority="25">
      <formula>$C$11="Planned"</formula>
    </cfRule>
  </conditionalFormatting>
  <conditionalFormatting sqref="G53:J53 G42:J49">
    <cfRule type="expression" dxfId="22" priority="23">
      <formula>$C$11="Planned"</formula>
    </cfRule>
  </conditionalFormatting>
  <conditionalFormatting sqref="G33:J38">
    <cfRule type="expression" dxfId="21" priority="22">
      <formula>$C$11&lt;&gt;"Planned"</formula>
    </cfRule>
  </conditionalFormatting>
  <conditionalFormatting sqref="H51:J51 G52 G54:J61">
    <cfRule type="expression" dxfId="20" priority="21">
      <formula>$C$11&lt;&gt;"Forced"</formula>
    </cfRule>
  </conditionalFormatting>
  <conditionalFormatting sqref="G55:I61">
    <cfRule type="expression" dxfId="19" priority="20">
      <formula>$I$54="NO"</formula>
    </cfRule>
  </conditionalFormatting>
  <conditionalFormatting sqref="G50:J50">
    <cfRule type="expression" dxfId="18" priority="19">
      <formula>$C$11="Planned"</formula>
    </cfRule>
  </conditionalFormatting>
  <conditionalFormatting sqref="H52:J52">
    <cfRule type="expression" dxfId="17" priority="18">
      <formula>$C$11&lt;&gt;"Forced"</formula>
    </cfRule>
  </conditionalFormatting>
  <conditionalFormatting sqref="G62:J62">
    <cfRule type="expression" dxfId="16" priority="17">
      <formula>$C$11&lt;&gt;"Forced"</formula>
    </cfRule>
  </conditionalFormatting>
  <conditionalFormatting sqref="G62:I62">
    <cfRule type="expression" dxfId="15" priority="16">
      <formula>$I$54="NO"</formula>
    </cfRule>
  </conditionalFormatting>
  <conditionalFormatting sqref="H51:I51 G52:I52">
    <cfRule type="expression" dxfId="14" priority="15" stopIfTrue="1">
      <formula>$I$54="Yes"</formula>
    </cfRule>
  </conditionalFormatting>
  <conditionalFormatting sqref="H51:J51 G28:J50 G52:J63">
    <cfRule type="expression" dxfId="13" priority="14" stopIfTrue="1">
      <formula>$C$11=""</formula>
    </cfRule>
  </conditionalFormatting>
  <conditionalFormatting sqref="G55:I62">
    <cfRule type="expression" dxfId="12" priority="13" stopIfTrue="1">
      <formula>$I$54=""</formula>
    </cfRule>
  </conditionalFormatting>
  <conditionalFormatting sqref="G51">
    <cfRule type="expression" dxfId="11" priority="12">
      <formula>$C$11="Planned"</formula>
    </cfRule>
  </conditionalFormatting>
  <conditionalFormatting sqref="G51">
    <cfRule type="expression" dxfId="10" priority="11" stopIfTrue="1">
      <formula>$C$11=""</formula>
    </cfRule>
  </conditionalFormatting>
  <conditionalFormatting sqref="I21">
    <cfRule type="cellIs" dxfId="9" priority="10" operator="lessThan">
      <formula>0</formula>
    </cfRule>
  </conditionalFormatting>
  <conditionalFormatting sqref="I23">
    <cfRule type="cellIs" dxfId="8" priority="9" operator="lessThan">
      <formula>0</formula>
    </cfRule>
  </conditionalFormatting>
  <conditionalFormatting sqref="C41">
    <cfRule type="cellIs" dxfId="7" priority="8" operator="lessThan">
      <formula>0</formula>
    </cfRule>
  </conditionalFormatting>
  <conditionalFormatting sqref="C45">
    <cfRule type="cellIs" dxfId="6" priority="7" operator="lessThan">
      <formula>0</formula>
    </cfRule>
  </conditionalFormatting>
  <conditionalFormatting sqref="C43">
    <cfRule type="cellIs" dxfId="5" priority="6" operator="lessThan">
      <formula>0</formula>
    </cfRule>
  </conditionalFormatting>
  <conditionalFormatting sqref="C47">
    <cfRule type="cellIs" dxfId="4" priority="5" operator="lessThan">
      <formula>0</formula>
    </cfRule>
  </conditionalFormatting>
  <conditionalFormatting sqref="D41">
    <cfRule type="cellIs" dxfId="3" priority="4" operator="lessThan">
      <formula>0</formula>
    </cfRule>
  </conditionalFormatting>
  <conditionalFormatting sqref="D45">
    <cfRule type="cellIs" dxfId="2" priority="3" operator="lessThan">
      <formula>0</formula>
    </cfRule>
  </conditionalFormatting>
  <conditionalFormatting sqref="D43">
    <cfRule type="cellIs" dxfId="1" priority="2" operator="lessThan">
      <formula>0</formula>
    </cfRule>
  </conditionalFormatting>
  <conditionalFormatting sqref="D47">
    <cfRule type="cellIs" dxfId="0" priority="1" operator="lessThan">
      <formula>0</formula>
    </cfRule>
  </conditionalFormatting>
  <printOptions horizontalCentered="1"/>
  <pageMargins left="0.5" right="0.5" top="0.5" bottom="0.25" header="0.31496062992126" footer="0.31496062992126"/>
  <pageSetup paperSize="9" scale="70" orientation="portrait" r:id="rId1"/>
  <colBreaks count="1" manualBreakCount="1">
    <brk id="10" max="82" man="1"/>
  </colBreaks>
  <ignoredErrors>
    <ignoredError sqref="I29:I30 B41 B48:B49 B45:B46 C10 C5:C9 C13 C41:D48 B42:B44 C40:D40 C49:D49 C18:C31 H6:I9 I18:I23 I12 I44:I45 I54:I61 A53 I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1"/>
  <sheetViews>
    <sheetView zoomScale="85" zoomScaleNormal="85" workbookViewId="0">
      <selection activeCell="D25" sqref="D25"/>
    </sheetView>
  </sheetViews>
  <sheetFormatPr defaultColWidth="13.85546875" defaultRowHeight="15"/>
  <cols>
    <col min="1" max="1" width="17" style="7" bestFit="1" customWidth="1"/>
    <col min="2" max="3" width="15.140625" style="7" customWidth="1"/>
    <col min="4" max="4" width="13.85546875" style="9"/>
    <col min="5" max="16384" width="13.85546875" style="7"/>
  </cols>
  <sheetData>
    <row r="1" spans="1:5">
      <c r="A1" s="7" t="s">
        <v>64</v>
      </c>
      <c r="B1" s="8" t="e">
        <f>('Closing Package'!C10-'Closing Package'!C13)/365</f>
        <v>#VALUE!</v>
      </c>
      <c r="C1" s="8"/>
    </row>
    <row r="3" spans="1:5">
      <c r="A3" s="10"/>
      <c r="B3" s="11" t="s">
        <v>14</v>
      </c>
      <c r="C3" s="11"/>
      <c r="D3" s="7"/>
    </row>
    <row r="4" spans="1:5">
      <c r="A4" s="10"/>
      <c r="B4" s="12">
        <f>'Closing Package'!C34-'Closing Package'!I24</f>
        <v>0</v>
      </c>
      <c r="C4" s="12"/>
      <c r="D4" s="7"/>
    </row>
    <row r="5" spans="1:5">
      <c r="A5" s="13">
        <v>1</v>
      </c>
      <c r="B5" s="12">
        <f>B4*(1+'Closing Package'!$I$45)</f>
        <v>0</v>
      </c>
      <c r="C5" s="14" t="e">
        <f>$B$1-A5</f>
        <v>#VALUE!</v>
      </c>
      <c r="D5" s="12" t="e">
        <f t="shared" ref="D5:D10" si="0">IF(C5&gt;-1,IF(C5&gt;0,B5,(1+C5)*B5),0)</f>
        <v>#VALUE!</v>
      </c>
      <c r="E5" s="15"/>
    </row>
    <row r="6" spans="1:5">
      <c r="A6" s="13">
        <v>2</v>
      </c>
      <c r="B6" s="12">
        <f>B5*(1+'Closing Package'!$I$45)</f>
        <v>0</v>
      </c>
      <c r="C6" s="14" t="e">
        <f t="shared" ref="C6:C24" si="1">$B$1-A6</f>
        <v>#VALUE!</v>
      </c>
      <c r="D6" s="12" t="e">
        <f t="shared" si="0"/>
        <v>#VALUE!</v>
      </c>
      <c r="E6" s="15"/>
    </row>
    <row r="7" spans="1:5">
      <c r="A7" s="13">
        <v>3</v>
      </c>
      <c r="B7" s="12">
        <f>B6*(1+'Closing Package'!$I$45)</f>
        <v>0</v>
      </c>
      <c r="C7" s="14" t="e">
        <f t="shared" si="1"/>
        <v>#VALUE!</v>
      </c>
      <c r="D7" s="12" t="e">
        <f t="shared" si="0"/>
        <v>#VALUE!</v>
      </c>
      <c r="E7" s="15"/>
    </row>
    <row r="8" spans="1:5">
      <c r="A8" s="13">
        <v>4</v>
      </c>
      <c r="B8" s="12">
        <f>B7*(1+'Closing Package'!$I$45)</f>
        <v>0</v>
      </c>
      <c r="C8" s="14" t="e">
        <f t="shared" si="1"/>
        <v>#VALUE!</v>
      </c>
      <c r="D8" s="12" t="e">
        <f t="shared" si="0"/>
        <v>#VALUE!</v>
      </c>
      <c r="E8" s="15"/>
    </row>
    <row r="9" spans="1:5">
      <c r="A9" s="13">
        <v>5</v>
      </c>
      <c r="B9" s="12">
        <f>B8*(1+'Closing Package'!$I$45)</f>
        <v>0</v>
      </c>
      <c r="C9" s="16" t="e">
        <f t="shared" si="1"/>
        <v>#VALUE!</v>
      </c>
      <c r="D9" s="12" t="e">
        <f t="shared" si="0"/>
        <v>#VALUE!</v>
      </c>
      <c r="E9" s="15"/>
    </row>
    <row r="10" spans="1:5">
      <c r="A10" s="13">
        <v>6</v>
      </c>
      <c r="B10" s="12">
        <f>B9*(1+'Closing Package'!$I$45)</f>
        <v>0</v>
      </c>
      <c r="C10" s="16" t="e">
        <f t="shared" si="1"/>
        <v>#VALUE!</v>
      </c>
      <c r="D10" s="12" t="e">
        <f t="shared" si="0"/>
        <v>#VALUE!</v>
      </c>
      <c r="E10" s="15"/>
    </row>
    <row r="11" spans="1:5">
      <c r="A11" s="13">
        <v>7</v>
      </c>
      <c r="B11" s="12">
        <f>B10*(1+'Closing Package'!$I$45)</f>
        <v>0</v>
      </c>
      <c r="C11" s="14" t="e">
        <f t="shared" si="1"/>
        <v>#VALUE!</v>
      </c>
      <c r="D11" s="12" t="e">
        <f t="shared" ref="D11:D24" si="2">IF(C11&gt;-1,IF(C11&gt;0,B11,(1+C11)*B11),0)</f>
        <v>#VALUE!</v>
      </c>
      <c r="E11" s="15"/>
    </row>
    <row r="12" spans="1:5">
      <c r="A12" s="13">
        <v>8</v>
      </c>
      <c r="B12" s="12">
        <f>B11*(1+'Closing Package'!$I$45)</f>
        <v>0</v>
      </c>
      <c r="C12" s="14" t="e">
        <f t="shared" si="1"/>
        <v>#VALUE!</v>
      </c>
      <c r="D12" s="12" t="e">
        <f t="shared" si="2"/>
        <v>#VALUE!</v>
      </c>
      <c r="E12" s="15"/>
    </row>
    <row r="13" spans="1:5">
      <c r="A13" s="13">
        <v>9</v>
      </c>
      <c r="B13" s="12">
        <f>B12*(1+'Closing Package'!$I$45)</f>
        <v>0</v>
      </c>
      <c r="C13" s="14" t="e">
        <f t="shared" si="1"/>
        <v>#VALUE!</v>
      </c>
      <c r="D13" s="12" t="e">
        <f t="shared" si="2"/>
        <v>#VALUE!</v>
      </c>
      <c r="E13" s="15"/>
    </row>
    <row r="14" spans="1:5">
      <c r="A14" s="13">
        <v>10</v>
      </c>
      <c r="B14" s="12">
        <f>B13*(1+'Closing Package'!$I$45)</f>
        <v>0</v>
      </c>
      <c r="C14" s="14" t="e">
        <f t="shared" si="1"/>
        <v>#VALUE!</v>
      </c>
      <c r="D14" s="12" t="e">
        <f t="shared" si="2"/>
        <v>#VALUE!</v>
      </c>
      <c r="E14" s="15"/>
    </row>
    <row r="15" spans="1:5">
      <c r="A15" s="13">
        <v>11</v>
      </c>
      <c r="B15" s="12">
        <f>B14*(1+'Closing Package'!$I$45)</f>
        <v>0</v>
      </c>
      <c r="C15" s="14" t="e">
        <f t="shared" si="1"/>
        <v>#VALUE!</v>
      </c>
      <c r="D15" s="2" t="e">
        <f t="shared" si="2"/>
        <v>#VALUE!</v>
      </c>
      <c r="E15" s="15"/>
    </row>
    <row r="16" spans="1:5">
      <c r="A16" s="13">
        <v>12</v>
      </c>
      <c r="B16" s="12">
        <f>B15*(1+'Closing Package'!$I$45)</f>
        <v>0</v>
      </c>
      <c r="C16" s="14" t="e">
        <f t="shared" si="1"/>
        <v>#VALUE!</v>
      </c>
      <c r="D16" s="12" t="e">
        <f t="shared" si="2"/>
        <v>#VALUE!</v>
      </c>
      <c r="E16" s="15"/>
    </row>
    <row r="17" spans="1:5">
      <c r="A17" s="13">
        <v>13</v>
      </c>
      <c r="B17" s="12">
        <f>B16*(1+'Closing Package'!$I$45)</f>
        <v>0</v>
      </c>
      <c r="C17" s="14" t="e">
        <f t="shared" si="1"/>
        <v>#VALUE!</v>
      </c>
      <c r="D17" s="12" t="e">
        <f t="shared" si="2"/>
        <v>#VALUE!</v>
      </c>
      <c r="E17" s="15"/>
    </row>
    <row r="18" spans="1:5">
      <c r="A18" s="13">
        <v>14</v>
      </c>
      <c r="B18" s="12">
        <f>B17*(1+'Closing Package'!$I$45)</f>
        <v>0</v>
      </c>
      <c r="C18" s="14" t="e">
        <f t="shared" si="1"/>
        <v>#VALUE!</v>
      </c>
      <c r="D18" s="12" t="e">
        <f t="shared" si="2"/>
        <v>#VALUE!</v>
      </c>
      <c r="E18" s="15"/>
    </row>
    <row r="19" spans="1:5">
      <c r="A19" s="13">
        <v>15</v>
      </c>
      <c r="B19" s="12">
        <f>B18*(1+'Closing Package'!$I$45)</f>
        <v>0</v>
      </c>
      <c r="C19" s="14" t="e">
        <f t="shared" si="1"/>
        <v>#VALUE!</v>
      </c>
      <c r="D19" s="12" t="e">
        <f t="shared" si="2"/>
        <v>#VALUE!</v>
      </c>
      <c r="E19" s="15"/>
    </row>
    <row r="20" spans="1:5">
      <c r="A20" s="13">
        <v>16</v>
      </c>
      <c r="B20" s="12">
        <f>B19*(1+'Closing Package'!$I$45)</f>
        <v>0</v>
      </c>
      <c r="C20" s="14" t="e">
        <f t="shared" si="1"/>
        <v>#VALUE!</v>
      </c>
      <c r="D20" s="12" t="e">
        <f t="shared" si="2"/>
        <v>#VALUE!</v>
      </c>
      <c r="E20" s="15"/>
    </row>
    <row r="21" spans="1:5">
      <c r="A21" s="13">
        <v>17</v>
      </c>
      <c r="B21" s="12">
        <f>B20*(1+'Closing Package'!$I$45)</f>
        <v>0</v>
      </c>
      <c r="C21" s="14" t="e">
        <f t="shared" si="1"/>
        <v>#VALUE!</v>
      </c>
      <c r="D21" s="12" t="e">
        <f t="shared" si="2"/>
        <v>#VALUE!</v>
      </c>
      <c r="E21" s="15"/>
    </row>
    <row r="22" spans="1:5">
      <c r="A22" s="13">
        <v>18</v>
      </c>
      <c r="B22" s="12">
        <f>B21*(1+'Closing Package'!$I$45)</f>
        <v>0</v>
      </c>
      <c r="C22" s="14" t="e">
        <f t="shared" si="1"/>
        <v>#VALUE!</v>
      </c>
      <c r="D22" s="12" t="e">
        <f t="shared" si="2"/>
        <v>#VALUE!</v>
      </c>
      <c r="E22" s="15"/>
    </row>
    <row r="23" spans="1:5">
      <c r="A23" s="13">
        <v>19</v>
      </c>
      <c r="B23" s="12">
        <f>B22*(1+'Closing Package'!$I$45)</f>
        <v>0</v>
      </c>
      <c r="C23" s="14" t="e">
        <f t="shared" si="1"/>
        <v>#VALUE!</v>
      </c>
      <c r="D23" s="12" t="e">
        <f t="shared" si="2"/>
        <v>#VALUE!</v>
      </c>
      <c r="E23" s="15"/>
    </row>
    <row r="24" spans="1:5">
      <c r="A24" s="13">
        <v>20</v>
      </c>
      <c r="B24" s="12">
        <f>B23*(1+'Closing Package'!$I$45)</f>
        <v>0</v>
      </c>
      <c r="C24" s="14" t="e">
        <f t="shared" si="1"/>
        <v>#VALUE!</v>
      </c>
      <c r="D24" s="12" t="e">
        <f t="shared" si="2"/>
        <v>#VALUE!</v>
      </c>
      <c r="E24" s="15"/>
    </row>
    <row r="25" spans="1:5">
      <c r="B25" s="17">
        <v>0.08</v>
      </c>
      <c r="C25" s="17"/>
      <c r="D25" s="7"/>
    </row>
    <row r="26" spans="1:5">
      <c r="B26" s="18">
        <f>NPV(B25,B5:B24)</f>
        <v>0</v>
      </c>
      <c r="C26" s="18"/>
      <c r="D26" s="18" t="e">
        <f>NPV(B25,D5:D24)</f>
        <v>#VALUE!</v>
      </c>
    </row>
    <row r="27" spans="1:5">
      <c r="C27" s="18"/>
      <c r="D27" s="7"/>
    </row>
    <row r="28" spans="1:5">
      <c r="D28" s="7"/>
    </row>
    <row r="29" spans="1:5">
      <c r="D29" s="7"/>
    </row>
    <row r="30" spans="1:5">
      <c r="D30" s="7"/>
    </row>
    <row r="31" spans="1:5">
      <c r="D31" s="7"/>
    </row>
    <row r="32" spans="1:5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  <row r="39" spans="4:4">
      <c r="D39" s="7"/>
    </row>
    <row r="40" spans="4:4">
      <c r="D40" s="7"/>
    </row>
    <row r="41" spans="4:4">
      <c r="D41" s="7"/>
    </row>
    <row r="42" spans="4:4">
      <c r="D42" s="7"/>
    </row>
    <row r="43" spans="4:4">
      <c r="D43" s="7"/>
    </row>
    <row r="44" spans="4:4">
      <c r="D44" s="7"/>
    </row>
    <row r="45" spans="4:4">
      <c r="D45" s="7"/>
    </row>
    <row r="46" spans="4:4">
      <c r="D46" s="7"/>
    </row>
    <row r="47" spans="4:4">
      <c r="D47" s="7"/>
    </row>
    <row r="48" spans="4:4">
      <c r="D48" s="7"/>
    </row>
    <row r="49" spans="4:4">
      <c r="D49" s="7"/>
    </row>
    <row r="50" spans="4:4">
      <c r="D50" s="7"/>
    </row>
    <row r="51" spans="4:4">
      <c r="D51" s="7"/>
    </row>
    <row r="52" spans="4:4">
      <c r="D52" s="7"/>
    </row>
    <row r="53" spans="4:4">
      <c r="D53" s="7"/>
    </row>
    <row r="54" spans="4:4">
      <c r="D54" s="7"/>
    </row>
    <row r="55" spans="4:4">
      <c r="D55" s="7"/>
    </row>
    <row r="56" spans="4:4">
      <c r="D56" s="7"/>
    </row>
    <row r="57" spans="4:4">
      <c r="D57" s="7"/>
    </row>
    <row r="58" spans="4:4">
      <c r="D58" s="7"/>
    </row>
    <row r="59" spans="4:4">
      <c r="D59" s="7"/>
    </row>
    <row r="60" spans="4:4">
      <c r="D60" s="7"/>
    </row>
    <row r="61" spans="4:4">
      <c r="D61" s="7"/>
    </row>
    <row r="62" spans="4:4">
      <c r="D62" s="7"/>
    </row>
    <row r="63" spans="4:4">
      <c r="D63" s="7"/>
    </row>
    <row r="64" spans="4:4">
      <c r="D64" s="7"/>
    </row>
    <row r="65" spans="4:4">
      <c r="D65" s="7"/>
    </row>
    <row r="66" spans="4:4">
      <c r="D66" s="7"/>
    </row>
    <row r="67" spans="4:4">
      <c r="D67" s="7"/>
    </row>
    <row r="68" spans="4:4">
      <c r="D68" s="7"/>
    </row>
    <row r="69" spans="4:4">
      <c r="D69" s="7"/>
    </row>
    <row r="70" spans="4:4">
      <c r="D70" s="7"/>
    </row>
    <row r="71" spans="4:4">
      <c r="D71" s="7"/>
    </row>
    <row r="72" spans="4:4">
      <c r="D72" s="7"/>
    </row>
    <row r="73" spans="4:4">
      <c r="D73" s="7"/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</sheetData>
  <phoneticPr fontId="2" type="noConversion"/>
  <pageMargins left="0.20866141699999999" right="0.20866141699999999" top="0.24803149599999999" bottom="0.24803149599999999" header="0.31496062992126" footer="0.3149606299212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"/>
  <sheetViews>
    <sheetView workbookViewId="0">
      <selection activeCell="B9" sqref="B9"/>
    </sheetView>
  </sheetViews>
  <sheetFormatPr defaultRowHeight="12.75"/>
  <cols>
    <col min="1" max="16384" width="9.140625" style="1"/>
  </cols>
  <sheetData>
    <row r="3" spans="1:1">
      <c r="A3" s="1" t="s">
        <v>156</v>
      </c>
    </row>
    <row r="4" spans="1:1">
      <c r="A4" s="1" t="s">
        <v>59</v>
      </c>
    </row>
    <row r="5" spans="1:1">
      <c r="A5" s="1" t="s">
        <v>154</v>
      </c>
    </row>
    <row r="7" spans="1:1">
      <c r="A7" s="1" t="s">
        <v>76</v>
      </c>
    </row>
    <row r="8" spans="1:1">
      <c r="A8" s="1" t="s">
        <v>77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workbookViewId="0">
      <selection activeCell="B11" sqref="B11"/>
    </sheetView>
  </sheetViews>
  <sheetFormatPr defaultRowHeight="12.75"/>
  <cols>
    <col min="1" max="1" width="35.85546875" style="1" customWidth="1"/>
    <col min="2" max="2" width="11.42578125" style="4" customWidth="1"/>
    <col min="3" max="3" width="9.140625" style="1"/>
    <col min="4" max="4" width="38.28515625" style="1" customWidth="1"/>
    <col min="5" max="16384" width="9.140625" style="1"/>
  </cols>
  <sheetData>
    <row r="1" spans="1:5">
      <c r="A1" s="1" t="s">
        <v>116</v>
      </c>
      <c r="D1" s="1" t="s">
        <v>116</v>
      </c>
      <c r="E1" s="1" t="s">
        <v>117</v>
      </c>
    </row>
    <row r="2" spans="1:5">
      <c r="A2" s="1" t="s">
        <v>17</v>
      </c>
      <c r="D2" s="1" t="s">
        <v>170</v>
      </c>
      <c r="E2" s="5">
        <f>'Closing Package'!I13</f>
        <v>0</v>
      </c>
    </row>
    <row r="3" spans="1:5">
      <c r="A3" s="1" t="s">
        <v>18</v>
      </c>
      <c r="D3" s="1" t="s">
        <v>172</v>
      </c>
      <c r="E3" s="5">
        <f>'Closing Package'!I31</f>
        <v>0</v>
      </c>
    </row>
    <row r="4" spans="1:5">
      <c r="A4" s="1" t="s">
        <v>19</v>
      </c>
      <c r="D4" s="1" t="s">
        <v>171</v>
      </c>
      <c r="E4" s="5">
        <f>'Closing Package'!I30</f>
        <v>0</v>
      </c>
    </row>
    <row r="5" spans="1:5">
      <c r="A5" s="1" t="s">
        <v>6</v>
      </c>
      <c r="B5" s="6"/>
      <c r="D5" s="1" t="s">
        <v>29</v>
      </c>
      <c r="E5" s="5">
        <f>'Closing Package'!I12</f>
        <v>0</v>
      </c>
    </row>
    <row r="6" spans="1:5">
      <c r="A6" s="1" t="s">
        <v>44</v>
      </c>
      <c r="D6" s="1" t="s">
        <v>166</v>
      </c>
      <c r="E6" s="5">
        <f>'Closing Package'!I31</f>
        <v>0</v>
      </c>
    </row>
    <row r="7" spans="1:5">
      <c r="A7" s="1" t="s">
        <v>20</v>
      </c>
      <c r="B7" s="6"/>
    </row>
    <row r="8" spans="1:5">
      <c r="A8" s="1" t="s">
        <v>21</v>
      </c>
      <c r="B8" s="1"/>
    </row>
    <row r="9" spans="1:5">
      <c r="A9" s="1" t="s">
        <v>22</v>
      </c>
      <c r="B9" s="6"/>
    </row>
    <row r="10" spans="1:5">
      <c r="A10" s="1" t="s">
        <v>83</v>
      </c>
      <c r="B10" s="161"/>
    </row>
    <row r="11" spans="1:5">
      <c r="A11" s="1" t="s">
        <v>96</v>
      </c>
      <c r="B11" s="161"/>
    </row>
    <row r="12" spans="1:5">
      <c r="A12" s="1" t="s">
        <v>84</v>
      </c>
      <c r="B12" s="161"/>
    </row>
    <row r="13" spans="1:5">
      <c r="A13" s="1" t="s">
        <v>85</v>
      </c>
      <c r="B13" s="161"/>
    </row>
    <row r="14" spans="1:5">
      <c r="A14" s="1" t="s">
        <v>86</v>
      </c>
      <c r="B14" s="161"/>
    </row>
    <row r="15" spans="1:5">
      <c r="A15" s="1" t="s">
        <v>87</v>
      </c>
      <c r="B15" s="161"/>
    </row>
    <row r="16" spans="1:5">
      <c r="A16" s="1" t="s">
        <v>88</v>
      </c>
      <c r="B16" s="161"/>
    </row>
    <row r="17" spans="1:2">
      <c r="A17" s="1" t="s">
        <v>89</v>
      </c>
      <c r="B17" s="161"/>
    </row>
    <row r="18" spans="1:2">
      <c r="A18" s="1" t="s">
        <v>90</v>
      </c>
      <c r="B18" s="161"/>
    </row>
    <row r="19" spans="1:2">
      <c r="A19" s="1" t="s">
        <v>91</v>
      </c>
      <c r="B19" s="161"/>
    </row>
    <row r="20" spans="1:2">
      <c r="A20" s="1" t="s">
        <v>92</v>
      </c>
      <c r="B20" s="161"/>
    </row>
    <row r="21" spans="1:2">
      <c r="A21" s="1" t="s">
        <v>93</v>
      </c>
      <c r="B21" s="161"/>
    </row>
    <row r="22" spans="1:2">
      <c r="A22" s="1" t="s">
        <v>94</v>
      </c>
      <c r="B22" s="161"/>
    </row>
    <row r="23" spans="1:2">
      <c r="A23" s="1" t="s">
        <v>95</v>
      </c>
      <c r="B23" s="161"/>
    </row>
    <row r="24" spans="1:2">
      <c r="A24" s="1" t="s">
        <v>54</v>
      </c>
      <c r="B24" s="161"/>
    </row>
    <row r="25" spans="1:2">
      <c r="A25" s="1" t="s">
        <v>48</v>
      </c>
      <c r="B25" s="161"/>
    </row>
    <row r="26" spans="1:2">
      <c r="A26" s="1" t="s">
        <v>55</v>
      </c>
      <c r="B26" s="161"/>
    </row>
    <row r="27" spans="1:2">
      <c r="A27" s="1" t="s">
        <v>56</v>
      </c>
      <c r="B27" s="161"/>
    </row>
    <row r="28" spans="1:2">
      <c r="A28" s="1" t="s">
        <v>57</v>
      </c>
      <c r="B28" s="161"/>
    </row>
    <row r="29" spans="1:2">
      <c r="A29" s="1" t="s">
        <v>118</v>
      </c>
      <c r="B29" s="161"/>
    </row>
    <row r="30" spans="1:2">
      <c r="A30" s="1" t="s">
        <v>119</v>
      </c>
      <c r="B30" s="161"/>
    </row>
    <row r="31" spans="1:2">
      <c r="A31" s="1" t="s">
        <v>120</v>
      </c>
      <c r="B31" s="161"/>
    </row>
    <row r="32" spans="1:2">
      <c r="A32" s="1" t="s">
        <v>121</v>
      </c>
      <c r="B32" s="161"/>
    </row>
    <row r="33" spans="1:2">
      <c r="A33" s="1" t="s">
        <v>122</v>
      </c>
      <c r="B33" s="161"/>
    </row>
    <row r="34" spans="1:2">
      <c r="A34" s="1" t="s">
        <v>123</v>
      </c>
      <c r="B34" s="161"/>
    </row>
    <row r="35" spans="1:2">
      <c r="A35" s="1" t="s">
        <v>124</v>
      </c>
      <c r="B35" s="161"/>
    </row>
    <row r="36" spans="1:2">
      <c r="A36" s="1" t="s">
        <v>125</v>
      </c>
      <c r="B36" s="161"/>
    </row>
    <row r="37" spans="1:2">
      <c r="A37" s="1" t="s">
        <v>126</v>
      </c>
      <c r="B37" s="161"/>
    </row>
    <row r="38" spans="1:2">
      <c r="A38" s="1" t="s">
        <v>127</v>
      </c>
      <c r="B38" s="161"/>
    </row>
    <row r="39" spans="1:2">
      <c r="A39" s="1" t="s">
        <v>128</v>
      </c>
      <c r="B39" s="161"/>
    </row>
    <row r="40" spans="1:2">
      <c r="A40" s="1" t="s">
        <v>129</v>
      </c>
      <c r="B40" s="161"/>
    </row>
    <row r="41" spans="1:2">
      <c r="A41" s="1" t="s">
        <v>130</v>
      </c>
      <c r="B41" s="161"/>
    </row>
    <row r="42" spans="1:2">
      <c r="A42" s="1" t="s">
        <v>131</v>
      </c>
      <c r="B42" s="161"/>
    </row>
    <row r="43" spans="1:2">
      <c r="A43" s="1" t="s">
        <v>132</v>
      </c>
      <c r="B43" s="161"/>
    </row>
    <row r="44" spans="1:2">
      <c r="A44" s="1" t="s">
        <v>133</v>
      </c>
      <c r="B44" s="161"/>
    </row>
    <row r="45" spans="1:2">
      <c r="A45" s="1" t="s">
        <v>134</v>
      </c>
      <c r="B45" s="161"/>
    </row>
    <row r="46" spans="1:2">
      <c r="A46" s="1" t="s">
        <v>135</v>
      </c>
      <c r="B46" s="161"/>
    </row>
    <row r="47" spans="1:2">
      <c r="A47" s="1" t="s">
        <v>136</v>
      </c>
      <c r="B47" s="161"/>
    </row>
    <row r="48" spans="1:2">
      <c r="A48" s="1" t="s">
        <v>137</v>
      </c>
      <c r="B48" s="161"/>
    </row>
    <row r="49" spans="1:2">
      <c r="A49" s="1" t="s">
        <v>138</v>
      </c>
      <c r="B49" s="161"/>
    </row>
    <row r="50" spans="1:2">
      <c r="A50" s="1" t="s">
        <v>139</v>
      </c>
      <c r="B50" s="161"/>
    </row>
    <row r="51" spans="1:2">
      <c r="A51" s="1" t="s">
        <v>140</v>
      </c>
      <c r="B51" s="161"/>
    </row>
    <row r="52" spans="1:2">
      <c r="A52" s="1" t="s">
        <v>141</v>
      </c>
      <c r="B52" s="161"/>
    </row>
    <row r="53" spans="1:2">
      <c r="A53" s="1" t="s">
        <v>142</v>
      </c>
      <c r="B53" s="161"/>
    </row>
    <row r="54" spans="1:2">
      <c r="A54" s="1" t="s">
        <v>143</v>
      </c>
      <c r="B54" s="161"/>
    </row>
    <row r="55" spans="1:2">
      <c r="A55" s="1" t="s">
        <v>144</v>
      </c>
      <c r="B55" s="161"/>
    </row>
    <row r="56" spans="1:2">
      <c r="A56" s="1" t="s">
        <v>149</v>
      </c>
      <c r="B56" s="161"/>
    </row>
    <row r="57" spans="1:2">
      <c r="A57" s="1" t="s">
        <v>150</v>
      </c>
      <c r="B57" s="161"/>
    </row>
    <row r="58" spans="1:2">
      <c r="A58" s="1" t="s">
        <v>163</v>
      </c>
      <c r="B58" s="161"/>
    </row>
    <row r="59" spans="1:2">
      <c r="A59" s="1" t="s">
        <v>145</v>
      </c>
      <c r="B59" s="161"/>
    </row>
    <row r="60" spans="1:2">
      <c r="A60" s="1" t="s">
        <v>146</v>
      </c>
      <c r="B60" s="161"/>
    </row>
    <row r="61" spans="1:2">
      <c r="A61" s="1" t="s">
        <v>164</v>
      </c>
      <c r="B61" s="161"/>
    </row>
    <row r="62" spans="1:2">
      <c r="A62" s="1" t="s">
        <v>147</v>
      </c>
      <c r="B62" s="161"/>
    </row>
    <row r="63" spans="1:2">
      <c r="A63" s="1" t="s">
        <v>148</v>
      </c>
      <c r="B63" s="161"/>
    </row>
    <row r="64" spans="1:2">
      <c r="A64" s="1" t="s">
        <v>112</v>
      </c>
      <c r="B64" s="161"/>
    </row>
    <row r="65" spans="1:2">
      <c r="A65" s="1" t="s">
        <v>107</v>
      </c>
      <c r="B65" s="161"/>
    </row>
    <row r="66" spans="1:2">
      <c r="A66" s="1" t="s">
        <v>67</v>
      </c>
      <c r="B66" s="161"/>
    </row>
    <row r="67" spans="1:2">
      <c r="A67" s="1" t="s">
        <v>61</v>
      </c>
      <c r="B67" s="161"/>
    </row>
    <row r="68" spans="1:2">
      <c r="A68" s="1" t="s">
        <v>62</v>
      </c>
      <c r="B68" s="161"/>
    </row>
    <row r="69" spans="1:2">
      <c r="A69" s="1" t="s">
        <v>75</v>
      </c>
      <c r="B69" s="161"/>
    </row>
    <row r="70" spans="1:2">
      <c r="A70" s="1" t="s">
        <v>79</v>
      </c>
      <c r="B70" s="161"/>
    </row>
    <row r="71" spans="1:2">
      <c r="A71" s="1" t="s">
        <v>80</v>
      </c>
      <c r="B71" s="161"/>
    </row>
    <row r="72" spans="1:2">
      <c r="A72" s="1" t="s">
        <v>113</v>
      </c>
      <c r="B72" s="161"/>
    </row>
    <row r="73" spans="1:2">
      <c r="A73" s="1" t="s">
        <v>81</v>
      </c>
      <c r="B73" s="161"/>
    </row>
    <row r="74" spans="1:2">
      <c r="A74" s="138" t="s">
        <v>169</v>
      </c>
      <c r="B74" s="161"/>
    </row>
    <row r="75" spans="1:2">
      <c r="A75" s="138"/>
      <c r="B75" s="161"/>
    </row>
    <row r="76" spans="1:2">
      <c r="A76" s="1" t="s">
        <v>151</v>
      </c>
      <c r="B76" s="161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Closing Package</vt:lpstr>
      <vt:lpstr>NPV</vt:lpstr>
      <vt:lpstr>Data</vt:lpstr>
      <vt:lpstr>PMT</vt:lpstr>
      <vt:lpstr>'Closing Package'!Print_Area</vt:lpstr>
      <vt:lpstr>NPV!Print_Area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ShaJasonHe</dc:creator>
  <cp:lastModifiedBy>hua.liang</cp:lastModifiedBy>
  <cp:lastPrinted>2012-06-26T04:42:04Z</cp:lastPrinted>
  <dcterms:created xsi:type="dcterms:W3CDTF">2008-12-17T06:30:25Z</dcterms:created>
  <dcterms:modified xsi:type="dcterms:W3CDTF">2014-08-30T05:57:15Z</dcterms:modified>
  <cp:version>v0.1</cp:version>
</cp:coreProperties>
</file>