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GC GHG Data 2024\Calculations\Aug\"/>
    </mc:Choice>
  </mc:AlternateContent>
  <bookViews>
    <workbookView xWindow="0" yWindow="0" windowWidth="28800" windowHeight="12048" tabRatio="805" activeTab="1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43" l="1"/>
  <c r="R8" i="51" l="1"/>
  <c r="N7" i="51" l="1"/>
  <c r="M10" i="43"/>
  <c r="C18" i="45" l="1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L18" i="45"/>
  <c r="M18" i="45" s="1"/>
  <c r="N18" i="45" s="1"/>
  <c r="O18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D37" i="45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F17" i="45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C17" i="45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H18" i="43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7" i="45" l="1"/>
  <c r="J17" i="45" s="1"/>
  <c r="M17" i="45" s="1"/>
  <c r="N17" i="45" s="1"/>
  <c r="O17" i="45" s="1"/>
  <c r="G15" i="45"/>
  <c r="G35" i="45"/>
  <c r="G36" i="45"/>
  <c r="F12" i="45"/>
  <c r="G12" i="45" s="1"/>
  <c r="Y31" i="51"/>
  <c r="F33" i="45" s="1"/>
  <c r="G33" i="45" s="1"/>
  <c r="Y35" i="51"/>
  <c r="F37" i="45" s="1"/>
  <c r="X17" i="51"/>
  <c r="X13" i="51"/>
  <c r="E14" i="45" s="1"/>
  <c r="Y32" i="51"/>
  <c r="F34" i="45" s="1"/>
  <c r="G34" i="45" s="1"/>
  <c r="W16" i="51"/>
  <c r="D17" i="45" s="1"/>
  <c r="H17" i="45" s="1"/>
  <c r="I17" i="45" s="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E17" i="45" s="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E37" i="45" s="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C37" i="45" s="1"/>
  <c r="L14" i="43"/>
  <c r="L15" i="43"/>
  <c r="L16" i="43"/>
  <c r="L17" i="43"/>
  <c r="L18" i="43"/>
  <c r="D11" i="43"/>
  <c r="D12" i="43"/>
  <c r="D13" i="43"/>
  <c r="H37" i="45" l="1"/>
  <c r="I37" i="45" s="1"/>
  <c r="G37" i="45"/>
  <c r="J37" i="45" s="1"/>
  <c r="M37" i="45" s="1"/>
  <c r="N37" i="45" s="1"/>
  <c r="O37" i="45" s="1"/>
  <c r="H12" i="45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G8" i="45" l="1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I36" i="45"/>
  <c r="J36" i="45" s="1"/>
  <c r="M36" i="45" s="1"/>
  <c r="N36" i="45" s="1"/>
  <c r="O36" i="45" s="1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<sst xmlns="http://schemas.openxmlformats.org/spreadsheetml/2006/main" count="290" uniqueCount="78">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</sst>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5" xfId="2" applyFont="1" applyFill="1" applyBorder="1"/>
    <xf numFmtId="2" fontId="2" fillId="6" borderId="6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7" fillId="19" borderId="8" xfId="1" applyFont="1" applyFill="1" applyBorder="1" applyAlignment="1">
      <alignment horizontal="center" vertical="center"/>
    </xf>
    <xf numFmtId="0" fontId="7" fillId="19" borderId="9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0" fontId="2" fillId="19" borderId="10" xfId="1" applyFont="1" applyFill="1" applyBorder="1" applyAlignment="1">
      <alignment horizontal="center"/>
    </xf>
    <xf numFmtId="0" fontId="2" fillId="0" borderId="0" xfId="1" applyFont="1" applyFill="1" applyAlignment="1">
      <alignment horizontal="center" wrapText="1"/>
    </xf>
    <xf numFmtId="0" fontId="9" fillId="11" borderId="0" xfId="1" applyFont="1" applyFill="1" applyAlignment="1">
      <alignment horizontal="center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9" fillId="10" borderId="0" xfId="1" applyFont="1" applyFill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1" fillId="0" borderId="0" xfId="3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2" fontId="7" fillId="12" borderId="0" xfId="1" applyNumberFormat="1" applyFont="1" applyFill="1" applyAlignment="1">
      <alignment horizontal="center"/>
    </xf>
    <xf numFmtId="0" fontId="2" fillId="12" borderId="0" xfId="2" applyFont="1" applyFill="1" applyAlignment="1">
      <alignment horizontal="center"/>
    </xf>
    <xf numFmtId="1" fontId="7" fillId="12" borderId="0" xfId="1" applyNumberFormat="1" applyFont="1" applyFill="1" applyAlignment="1">
      <alignment horizontal="center"/>
    </xf>
    <xf numFmtId="165" fontId="7" fillId="12" borderId="0" xfId="1" applyNumberFormat="1" applyFont="1" applyFill="1" applyAlignment="1">
      <alignment horizontal="center"/>
    </xf>
    <xf numFmtId="164" fontId="2" fillId="12" borderId="0" xfId="2" applyNumberFormat="1" applyFont="1" applyFill="1" applyAlignment="1">
      <alignment horizontal="center"/>
    </xf>
    <xf numFmtId="0" fontId="7" fillId="12" borderId="0" xfId="1" applyFont="1" applyFill="1" applyAlignment="1">
      <alignment horizontal="center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zoomScale="150" zoomScaleNormal="150" zoomScalePageLayoutView="150" workbookViewId="0">
      <selection activeCell="B4" sqref="B4"/>
    </sheetView>
  </sheetViews>
  <sheetFormatPr defaultColWidth="8.6640625" defaultRowHeight="10.199999999999999" x14ac:dyDescent="0.2"/>
  <cols>
    <col min="1" max="1" width="13.44140625" style="10" customWidth="1"/>
    <col min="2" max="2" width="10" style="10" customWidth="1"/>
    <col min="3" max="3" width="9.6640625" style="10" customWidth="1"/>
    <col min="4" max="5" width="8.6640625" style="10" customWidth="1"/>
    <col min="6" max="10" width="8.6640625" style="10"/>
    <col min="11" max="11" width="7" style="10" bestFit="1" customWidth="1"/>
    <col min="12" max="12" width="8.33203125" style="10" bestFit="1" customWidth="1"/>
    <col min="13" max="13" width="10.6640625" style="10" bestFit="1" customWidth="1"/>
    <col min="14" max="14" width="11" style="10" customWidth="1"/>
    <col min="15" max="16384" width="8.6640625" style="10"/>
  </cols>
  <sheetData>
    <row r="1" spans="1:17" x14ac:dyDescent="0.2">
      <c r="A1" s="9" t="s">
        <v>3</v>
      </c>
    </row>
    <row r="2" spans="1:17" ht="10.95" customHeight="1" x14ac:dyDescent="0.2">
      <c r="A2" s="8" t="s">
        <v>1</v>
      </c>
    </row>
    <row r="3" spans="1:17" x14ac:dyDescent="0.2">
      <c r="A3" s="10" t="s">
        <v>4</v>
      </c>
      <c r="B3" s="91">
        <v>45505</v>
      </c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200000000000003" customHeight="1" x14ac:dyDescent="0.2">
      <c r="C6" s="165" t="s">
        <v>8</v>
      </c>
      <c r="D6" s="165"/>
      <c r="E6" s="165"/>
      <c r="F6" s="165"/>
      <c r="G6" s="165"/>
      <c r="H6" s="165"/>
      <c r="I6" s="76" t="s">
        <v>9</v>
      </c>
      <c r="J6" s="166" t="s">
        <v>10</v>
      </c>
      <c r="K6" s="166"/>
      <c r="L6" s="75" t="s">
        <v>40</v>
      </c>
      <c r="M6" s="77" t="s">
        <v>37</v>
      </c>
      <c r="Q6" s="163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63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3.2" x14ac:dyDescent="0.25">
      <c r="A10" s="154" t="s">
        <v>68</v>
      </c>
      <c r="B10" s="4"/>
      <c r="C10" s="34">
        <v>7.62</v>
      </c>
      <c r="D10" s="38">
        <f>AVERAGE(B38:B41)</f>
        <v>-2.75</v>
      </c>
      <c r="E10" s="152">
        <v>76.2</v>
      </c>
      <c r="F10" s="152"/>
      <c r="G10" s="152"/>
      <c r="H10" s="39">
        <f>SUM(C10:G10)</f>
        <v>81.070000000000007</v>
      </c>
      <c r="I10" s="34">
        <v>14.75</v>
      </c>
      <c r="J10" s="23">
        <f>3.141592654*(I10*I10)*H10</f>
        <v>55410.757387280893</v>
      </c>
      <c r="K10" s="37">
        <f t="shared" ref="K10:K11" si="0">J10/1000</f>
        <v>55.410757387280896</v>
      </c>
      <c r="L10" s="35">
        <f>3.141592654*(I10*I10)</f>
        <v>683.49275178587504</v>
      </c>
      <c r="M10" s="39">
        <f>AVERAGE(B48:B51)</f>
        <v>0</v>
      </c>
      <c r="Q10" s="74"/>
    </row>
    <row r="11" spans="1:17" ht="13.2" x14ac:dyDescent="0.25">
      <c r="A11" s="155" t="s">
        <v>69</v>
      </c>
      <c r="B11" s="4"/>
      <c r="C11" s="34">
        <v>7.62</v>
      </c>
      <c r="D11" s="39">
        <f>AVERAGE(C38:C41)</f>
        <v>-2.95</v>
      </c>
      <c r="E11" s="152">
        <v>76.2</v>
      </c>
      <c r="F11" s="152"/>
      <c r="G11" s="152"/>
      <c r="H11" s="39">
        <f t="shared" ref="H11" si="1">SUM(C11:G11)</f>
        <v>80.87</v>
      </c>
      <c r="I11" s="34">
        <v>14.75</v>
      </c>
      <c r="J11" s="23">
        <f t="shared" ref="J11" si="2">3.141592654*(I11*I11)*H11</f>
        <v>55274.058836923716</v>
      </c>
      <c r="K11" s="37">
        <f t="shared" si="0"/>
        <v>55.274058836923714</v>
      </c>
      <c r="L11" s="35">
        <f t="shared" ref="L11:L21" si="3">3.141592654*(I11*I11)</f>
        <v>683.49275178587504</v>
      </c>
      <c r="M11" s="39">
        <f>AVERAGE(C48:C51)</f>
        <v>0</v>
      </c>
      <c r="Q11" s="74"/>
    </row>
    <row r="12" spans="1:17" ht="13.2" x14ac:dyDescent="0.25">
      <c r="A12" s="155" t="s">
        <v>70</v>
      </c>
      <c r="B12" s="4"/>
      <c r="C12" s="34">
        <v>7.62</v>
      </c>
      <c r="D12" s="38">
        <f>AVERAGE(D38:D41)</f>
        <v>-4.25</v>
      </c>
      <c r="E12" s="152">
        <v>76.2</v>
      </c>
      <c r="F12" s="152"/>
      <c r="G12" s="152"/>
      <c r="H12" s="39">
        <f t="shared" ref="H12:H21" si="4">SUM(C12:G12)</f>
        <v>79.570000000000007</v>
      </c>
      <c r="I12" s="34">
        <v>14.75</v>
      </c>
      <c r="J12" s="23">
        <f t="shared" ref="J12:J21" si="5">3.141592654*(I12*I12)*H12</f>
        <v>54385.518259602082</v>
      </c>
      <c r="K12" s="37">
        <f t="shared" ref="K12:K21" si="6">J12/1000</f>
        <v>54.38551825960208</v>
      </c>
      <c r="L12" s="35">
        <f t="shared" si="3"/>
        <v>683.49275178587504</v>
      </c>
      <c r="M12" s="39">
        <f>AVERAGE(D48:D51)</f>
        <v>0</v>
      </c>
      <c r="Q12" s="74"/>
    </row>
    <row r="13" spans="1:17" ht="10.95" customHeight="1" x14ac:dyDescent="0.25">
      <c r="A13" s="155" t="s">
        <v>71</v>
      </c>
      <c r="B13" s="4"/>
      <c r="C13" s="34">
        <v>7.62</v>
      </c>
      <c r="D13" s="38">
        <f>AVERAGE(E38:E41)</f>
        <v>-4.1749999999999998</v>
      </c>
      <c r="E13" s="152">
        <v>76.2</v>
      </c>
      <c r="F13" s="152"/>
      <c r="G13" s="152"/>
      <c r="H13" s="39">
        <f t="shared" si="4"/>
        <v>79.64500000000001</v>
      </c>
      <c r="I13" s="34">
        <v>14.75</v>
      </c>
      <c r="J13" s="23">
        <f t="shared" si="5"/>
        <v>54436.780215986022</v>
      </c>
      <c r="K13" s="37">
        <f t="shared" si="6"/>
        <v>54.436780215986019</v>
      </c>
      <c r="L13" s="35">
        <f t="shared" si="3"/>
        <v>683.49275178587504</v>
      </c>
      <c r="M13" s="39">
        <f>AVERAGE(E48:E51)</f>
        <v>0</v>
      </c>
      <c r="Q13" s="74"/>
    </row>
    <row r="14" spans="1:17" s="56" customFormat="1" ht="13.2" x14ac:dyDescent="0.25">
      <c r="A14" s="155" t="s">
        <v>72</v>
      </c>
      <c r="B14" s="4"/>
      <c r="C14" s="34">
        <v>7.62</v>
      </c>
      <c r="D14" s="62">
        <f>AVERAGE(F38:F41)</f>
        <v>-5.6749999999999998</v>
      </c>
      <c r="E14" s="152">
        <v>76.2</v>
      </c>
      <c r="F14" s="152"/>
      <c r="G14" s="152"/>
      <c r="H14" s="39">
        <f t="shared" si="4"/>
        <v>78.14500000000001</v>
      </c>
      <c r="I14" s="34">
        <v>14.75</v>
      </c>
      <c r="J14" s="23">
        <f t="shared" si="5"/>
        <v>53411.541088307211</v>
      </c>
      <c r="K14" s="37">
        <f t="shared" si="6"/>
        <v>53.41154108830721</v>
      </c>
      <c r="L14" s="35">
        <f t="shared" si="3"/>
        <v>683.49275178587504</v>
      </c>
      <c r="M14" s="54">
        <f>AVERAGE(F48:F51)</f>
        <v>0</v>
      </c>
      <c r="N14" s="55"/>
      <c r="O14" s="35"/>
      <c r="P14" s="38"/>
    </row>
    <row r="15" spans="1:17" ht="13.2" x14ac:dyDescent="0.25">
      <c r="A15" s="155" t="s">
        <v>73</v>
      </c>
      <c r="B15" s="4"/>
      <c r="C15" s="34">
        <v>7.62</v>
      </c>
      <c r="D15" s="62">
        <f>AVERAGE(G38:G41)</f>
        <v>-4.3250000000000002</v>
      </c>
      <c r="E15" s="152">
        <v>76.2</v>
      </c>
      <c r="F15" s="152"/>
      <c r="G15" s="152"/>
      <c r="H15" s="39">
        <f t="shared" si="4"/>
        <v>79.495000000000005</v>
      </c>
      <c r="I15" s="34">
        <v>14.75</v>
      </c>
      <c r="J15" s="23">
        <f t="shared" si="5"/>
        <v>54334.256303218142</v>
      </c>
      <c r="K15" s="37">
        <f t="shared" si="6"/>
        <v>54.33425630321814</v>
      </c>
      <c r="L15" s="35">
        <f t="shared" si="3"/>
        <v>683.49275178587504</v>
      </c>
      <c r="M15" s="23">
        <f>AVERAGE(G48:G51)</f>
        <v>0</v>
      </c>
      <c r="N15" s="37"/>
      <c r="O15" s="35"/>
    </row>
    <row r="16" spans="1:17" ht="13.2" x14ac:dyDescent="0.25">
      <c r="A16" s="155" t="s">
        <v>74</v>
      </c>
      <c r="B16" s="4"/>
      <c r="C16" s="34">
        <v>7.62</v>
      </c>
      <c r="D16" s="62">
        <f>AVERAGE(H38:H41)</f>
        <v>-5.4</v>
      </c>
      <c r="E16" s="152">
        <v>76.2</v>
      </c>
      <c r="F16" s="152"/>
      <c r="G16" s="152"/>
      <c r="H16" s="39">
        <f t="shared" si="4"/>
        <v>78.42</v>
      </c>
      <c r="I16" s="34">
        <v>14.75</v>
      </c>
      <c r="J16" s="23">
        <f t="shared" si="5"/>
        <v>53599.501595048321</v>
      </c>
      <c r="K16" s="37">
        <f t="shared" si="6"/>
        <v>53.599501595048324</v>
      </c>
      <c r="L16" s="35">
        <f t="shared" si="3"/>
        <v>683.49275178587504</v>
      </c>
      <c r="M16" s="15" t="e">
        <f>AVERAGE(H48:H51)</f>
        <v>#DIV/0!</v>
      </c>
    </row>
    <row r="17" spans="1:16" ht="13.2" x14ac:dyDescent="0.25">
      <c r="A17" s="155" t="s">
        <v>75</v>
      </c>
      <c r="B17" s="4"/>
      <c r="C17" s="34">
        <v>7.62</v>
      </c>
      <c r="D17" s="62">
        <f>AVERAGE(I38:I41)</f>
        <v>-4.8</v>
      </c>
      <c r="E17" s="152">
        <v>76.2</v>
      </c>
      <c r="F17" s="152"/>
      <c r="G17" s="152"/>
      <c r="H17" s="39">
        <f t="shared" si="4"/>
        <v>79.02000000000001</v>
      </c>
      <c r="I17" s="34">
        <v>14.75</v>
      </c>
      <c r="J17" s="23">
        <f t="shared" si="5"/>
        <v>54009.597246119854</v>
      </c>
      <c r="K17" s="37">
        <f t="shared" si="6"/>
        <v>54.009597246119853</v>
      </c>
      <c r="L17" s="35">
        <f t="shared" si="3"/>
        <v>683.49275178587504</v>
      </c>
      <c r="M17" s="15" t="e">
        <f>AVERAGE(I48:I51)</f>
        <v>#DIV/0!</v>
      </c>
    </row>
    <row r="18" spans="1:16" ht="13.2" x14ac:dyDescent="0.25">
      <c r="A18" s="155" t="s">
        <v>76</v>
      </c>
      <c r="B18" s="4"/>
      <c r="C18" s="34">
        <v>7.62</v>
      </c>
      <c r="D18" s="34">
        <f>AVERAGE(J38:J41)</f>
        <v>-4.125</v>
      </c>
      <c r="E18" s="152">
        <v>76.2</v>
      </c>
      <c r="F18" s="152"/>
      <c r="G18" s="152"/>
      <c r="H18" s="39">
        <f t="shared" si="4"/>
        <v>79.695000000000007</v>
      </c>
      <c r="I18" s="34">
        <v>14.75</v>
      </c>
      <c r="J18" s="23">
        <f t="shared" si="5"/>
        <v>54470.95485357532</v>
      </c>
      <c r="K18" s="37">
        <f t="shared" si="6"/>
        <v>54.470954853575321</v>
      </c>
      <c r="L18" s="35">
        <f t="shared" si="3"/>
        <v>683.49275178587504</v>
      </c>
      <c r="M18" s="15" t="e">
        <f>AVERAGE(J48:J51)</f>
        <v>#DIV/0!</v>
      </c>
    </row>
    <row r="19" spans="1:16" s="150" customFormat="1" ht="13.8" thickBot="1" x14ac:dyDescent="0.3">
      <c r="A19" s="162" t="s">
        <v>77</v>
      </c>
      <c r="B19" s="4"/>
      <c r="C19" s="34">
        <v>7.62</v>
      </c>
      <c r="D19" s="34">
        <f>AVERAGE(K38:K41)</f>
        <v>-7.875</v>
      </c>
      <c r="E19" s="152">
        <v>76.2</v>
      </c>
      <c r="F19" s="152"/>
      <c r="G19" s="152"/>
      <c r="H19" s="200">
        <f t="shared" si="4"/>
        <v>75.945000000000007</v>
      </c>
      <c r="I19" s="201">
        <v>14.75</v>
      </c>
      <c r="J19" s="202">
        <f t="shared" si="5"/>
        <v>51907.857034378285</v>
      </c>
      <c r="K19" s="203">
        <f t="shared" si="6"/>
        <v>51.907857034378281</v>
      </c>
      <c r="L19" s="204">
        <f t="shared" si="3"/>
        <v>683.49275178587504</v>
      </c>
      <c r="M19" s="205" t="e">
        <f>AVERAGE(K48:K51)</f>
        <v>#DIV/0!</v>
      </c>
    </row>
    <row r="20" spans="1:16" s="150" customFormat="1" ht="13.2" x14ac:dyDescent="0.25">
      <c r="A20" s="139" t="s">
        <v>66</v>
      </c>
      <c r="B20" s="140"/>
      <c r="C20" s="141">
        <v>7.62</v>
      </c>
      <c r="D20" s="142" t="e">
        <f>AVERAGE(L38:L41)</f>
        <v>#DIV/0!</v>
      </c>
      <c r="E20" s="143"/>
      <c r="F20" s="144"/>
      <c r="G20" s="144"/>
      <c r="H20" s="145" t="e">
        <f t="shared" si="4"/>
        <v>#DIV/0!</v>
      </c>
      <c r="I20" s="141">
        <v>14.75</v>
      </c>
      <c r="J20" s="146" t="e">
        <f t="shared" si="5"/>
        <v>#DIV/0!</v>
      </c>
      <c r="K20" s="147" t="e">
        <f t="shared" si="6"/>
        <v>#DIV/0!</v>
      </c>
      <c r="L20" s="148">
        <f t="shared" si="3"/>
        <v>683.49275178587504</v>
      </c>
      <c r="M20" s="149" t="e">
        <f>AVERAGE(L48:L51)</f>
        <v>#DIV/0!</v>
      </c>
    </row>
    <row r="21" spans="1:16" s="150" customFormat="1" ht="13.2" x14ac:dyDescent="0.25">
      <c r="A21" s="139" t="s">
        <v>66</v>
      </c>
      <c r="B21" s="140"/>
      <c r="C21" s="141">
        <v>7.62</v>
      </c>
      <c r="D21" s="142" t="e">
        <f>AVERAGE(M38:M41)</f>
        <v>#DIV/0!</v>
      </c>
      <c r="E21" s="143"/>
      <c r="F21" s="144"/>
      <c r="G21" s="144"/>
      <c r="H21" s="145" t="e">
        <f t="shared" si="4"/>
        <v>#DIV/0!</v>
      </c>
      <c r="I21" s="141">
        <v>14.75</v>
      </c>
      <c r="J21" s="146" t="e">
        <f t="shared" si="5"/>
        <v>#DIV/0!</v>
      </c>
      <c r="K21" s="147" t="e">
        <f t="shared" si="6"/>
        <v>#DIV/0!</v>
      </c>
      <c r="L21" s="148">
        <f t="shared" si="3"/>
        <v>683.49275178587504</v>
      </c>
      <c r="M21" s="149" t="e">
        <f>AVERAGE(M48:M51)</f>
        <v>#DIV/0!</v>
      </c>
    </row>
    <row r="24" spans="1:16" x14ac:dyDescent="0.2">
      <c r="E24" s="40"/>
    </row>
    <row r="25" spans="1:16" ht="13.2" x14ac:dyDescent="0.25">
      <c r="C25" s="10">
        <v>402</v>
      </c>
      <c r="D25" s="10">
        <v>409</v>
      </c>
      <c r="E25" s="10">
        <v>505</v>
      </c>
      <c r="F25" s="10">
        <v>512</v>
      </c>
      <c r="G25" s="10">
        <v>601</v>
      </c>
      <c r="H25" s="10">
        <v>608</v>
      </c>
      <c r="I25" s="10">
        <v>209</v>
      </c>
      <c r="J25" s="10">
        <v>307</v>
      </c>
      <c r="K25" s="10" t="s">
        <v>67</v>
      </c>
      <c r="O25" s="53"/>
    </row>
    <row r="26" spans="1:16" s="33" customFormat="1" ht="13.2" x14ac:dyDescent="0.25">
      <c r="N26" s="67"/>
      <c r="P26" s="83"/>
    </row>
    <row r="27" spans="1:16" s="33" customFormat="1" ht="12.75" customHeight="1" x14ac:dyDescent="0.25">
      <c r="P27" s="53"/>
    </row>
    <row r="28" spans="1:16" s="33" customFormat="1" ht="13.2" x14ac:dyDescent="0.25">
      <c r="O28" s="53"/>
      <c r="P28" s="53"/>
    </row>
    <row r="29" spans="1:16" s="53" customFormat="1" ht="13.2" x14ac:dyDescent="0.25">
      <c r="O29" s="98"/>
    </row>
    <row r="30" spans="1:16" s="33" customFormat="1" ht="13.2" x14ac:dyDescent="0.25">
      <c r="O30" s="56"/>
      <c r="P30" s="53"/>
    </row>
    <row r="31" spans="1:16" s="33" customFormat="1" ht="13.2" x14ac:dyDescent="0.25">
      <c r="O31" s="10"/>
    </row>
    <row r="32" spans="1:16" s="33" customFormat="1" ht="13.2" x14ac:dyDescent="0.25">
      <c r="O32" s="118"/>
    </row>
    <row r="33" spans="1:22" s="33" customFormat="1" ht="13.2" x14ac:dyDescent="0.25">
      <c r="O33" s="10"/>
    </row>
    <row r="34" spans="1:22" s="53" customFormat="1" ht="13.2" x14ac:dyDescent="0.25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3.2" x14ac:dyDescent="0.25">
      <c r="A35" s="10"/>
      <c r="B35" s="57" t="s">
        <v>59</v>
      </c>
      <c r="C35" s="10"/>
      <c r="D35" s="10"/>
      <c r="E35" s="10"/>
      <c r="F35" s="96"/>
      <c r="G35" s="96"/>
      <c r="H35" s="10"/>
      <c r="I35" s="10"/>
      <c r="J35" s="10"/>
      <c r="K35" s="10"/>
      <c r="L35" s="10"/>
      <c r="M35" s="10"/>
      <c r="O35" s="10"/>
    </row>
    <row r="36" spans="1:22" s="33" customFormat="1" ht="13.8" thickBot="1" x14ac:dyDescent="0.3">
      <c r="A36" s="21"/>
      <c r="B36" s="164" t="s">
        <v>18</v>
      </c>
      <c r="C36" s="164"/>
      <c r="D36" s="164"/>
      <c r="E36" s="164"/>
      <c r="F36" s="164" t="s">
        <v>18</v>
      </c>
      <c r="G36" s="164"/>
      <c r="H36" s="164"/>
      <c r="I36" s="164"/>
      <c r="J36" s="164" t="s">
        <v>18</v>
      </c>
      <c r="K36" s="164"/>
      <c r="L36" s="164"/>
      <c r="M36" s="164"/>
      <c r="O36" s="10"/>
    </row>
    <row r="37" spans="1:22" s="33" customFormat="1" ht="12.75" customHeight="1" thickBot="1" x14ac:dyDescent="0.3">
      <c r="A37" s="21" t="s">
        <v>13</v>
      </c>
      <c r="B37" s="154" t="s">
        <v>68</v>
      </c>
      <c r="C37" s="155" t="s">
        <v>69</v>
      </c>
      <c r="D37" s="155" t="s">
        <v>70</v>
      </c>
      <c r="E37" s="155" t="s">
        <v>71</v>
      </c>
      <c r="F37" s="155" t="s">
        <v>72</v>
      </c>
      <c r="G37" s="155" t="s">
        <v>73</v>
      </c>
      <c r="H37" s="155" t="s">
        <v>74</v>
      </c>
      <c r="I37" s="155" t="s">
        <v>75</v>
      </c>
      <c r="J37" s="155" t="s">
        <v>76</v>
      </c>
      <c r="K37" s="162" t="s">
        <v>77</v>
      </c>
      <c r="L37" s="117" t="s">
        <v>66</v>
      </c>
      <c r="M37" s="117" t="s">
        <v>66</v>
      </c>
      <c r="O37" s="10">
        <v>-2.75</v>
      </c>
    </row>
    <row r="38" spans="1:22" s="33" customFormat="1" ht="13.2" x14ac:dyDescent="0.25">
      <c r="A38" s="12">
        <v>1</v>
      </c>
      <c r="B38" s="10">
        <v>-2.75</v>
      </c>
      <c r="C38" s="10">
        <v>-2.95</v>
      </c>
      <c r="D38" s="10">
        <v>-4.25</v>
      </c>
      <c r="E38" s="10">
        <v>-4.1749999999999998</v>
      </c>
      <c r="F38" s="10">
        <v>-5.6749999999999998</v>
      </c>
      <c r="G38" s="10">
        <v>-4.3250000000000002</v>
      </c>
      <c r="H38" s="10">
        <v>-5.4</v>
      </c>
      <c r="I38" s="10">
        <v>-4.8</v>
      </c>
      <c r="J38" s="10">
        <v>-4.125</v>
      </c>
      <c r="K38" s="10">
        <v>-7.875</v>
      </c>
      <c r="L38" s="129"/>
      <c r="M38" s="129"/>
      <c r="O38" s="10">
        <v>-2.95</v>
      </c>
    </row>
    <row r="39" spans="1:22" s="53" customFormat="1" ht="13.2" x14ac:dyDescent="0.25">
      <c r="A39" s="12">
        <v>2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29"/>
      <c r="M39" s="129"/>
      <c r="O39" s="10">
        <v>-4.25</v>
      </c>
    </row>
    <row r="40" spans="1:22" s="33" customFormat="1" ht="13.2" x14ac:dyDescent="0.25">
      <c r="A40" s="12">
        <v>3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29"/>
      <c r="M40" s="129"/>
      <c r="N40" s="53"/>
      <c r="O40" s="10">
        <v>-4.1749999999999998</v>
      </c>
      <c r="P40" s="53"/>
    </row>
    <row r="41" spans="1:22" s="33" customFormat="1" ht="13.2" x14ac:dyDescent="0.25">
      <c r="A41" s="12">
        <v>4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29"/>
      <c r="M41" s="129"/>
      <c r="N41" s="53"/>
      <c r="O41" s="10">
        <v>-5.6749999999999998</v>
      </c>
      <c r="P41" s="53"/>
    </row>
    <row r="42" spans="1:22" s="33" customFormat="1" ht="13.2" x14ac:dyDescent="0.25">
      <c r="A42" s="43" t="s">
        <v>14</v>
      </c>
      <c r="B42" s="42">
        <f>AVERAGE(B38:B41)</f>
        <v>-2.75</v>
      </c>
      <c r="C42" s="42">
        <f t="shared" ref="C42:M42" si="7">AVERAGE(C38:C41)</f>
        <v>-2.95</v>
      </c>
      <c r="D42" s="42">
        <f>AVERAGE(D38:D41)</f>
        <v>-4.25</v>
      </c>
      <c r="E42" s="42">
        <f t="shared" si="7"/>
        <v>-4.1749999999999998</v>
      </c>
      <c r="F42" s="43">
        <f t="shared" si="7"/>
        <v>-5.6749999999999998</v>
      </c>
      <c r="G42" s="40">
        <f t="shared" si="7"/>
        <v>-4.3250000000000002</v>
      </c>
      <c r="H42" s="40">
        <f t="shared" si="7"/>
        <v>-5.4</v>
      </c>
      <c r="I42" s="40">
        <f t="shared" si="7"/>
        <v>-4.8</v>
      </c>
      <c r="J42" s="40">
        <f t="shared" si="7"/>
        <v>-4.125</v>
      </c>
      <c r="K42" s="40">
        <f t="shared" si="7"/>
        <v>-7.875</v>
      </c>
      <c r="L42" s="40" t="e">
        <f t="shared" si="7"/>
        <v>#DIV/0!</v>
      </c>
      <c r="M42" s="40" t="e">
        <f t="shared" si="7"/>
        <v>#DIV/0!</v>
      </c>
      <c r="N42" s="53"/>
      <c r="O42" s="10">
        <v>-4.3250000000000002</v>
      </c>
      <c r="P42" s="53"/>
    </row>
    <row r="43" spans="1:22" s="33" customFormat="1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>
        <v>-5.4</v>
      </c>
      <c r="P43" s="53"/>
    </row>
    <row r="44" spans="1:22" x14ac:dyDescent="0.2">
      <c r="G44" s="43"/>
      <c r="H44" s="42"/>
      <c r="I44" s="42"/>
      <c r="J44" s="42"/>
      <c r="K44" s="42"/>
      <c r="N44" s="98"/>
      <c r="O44" s="10">
        <v>-4.8</v>
      </c>
      <c r="P44" s="98"/>
      <c r="Q44" s="43"/>
      <c r="R44" s="43"/>
      <c r="S44" s="43"/>
      <c r="T44" s="43"/>
      <c r="U44" s="43"/>
      <c r="V44" s="43"/>
    </row>
    <row r="45" spans="1:22" s="56" customFormat="1" ht="13.2" x14ac:dyDescent="0.25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>
        <v>-4.125</v>
      </c>
    </row>
    <row r="46" spans="1:22" x14ac:dyDescent="0.2">
      <c r="A46" s="21"/>
      <c r="B46" s="95" t="s">
        <v>60</v>
      </c>
      <c r="C46" s="95"/>
      <c r="D46" s="95"/>
      <c r="E46" s="95"/>
      <c r="F46" s="167" t="s">
        <v>18</v>
      </c>
      <c r="G46" s="167"/>
      <c r="H46" s="167"/>
      <c r="I46" s="167"/>
      <c r="J46" s="167" t="s">
        <v>18</v>
      </c>
      <c r="K46" s="167"/>
      <c r="L46" s="167"/>
      <c r="M46" s="167"/>
      <c r="O46" s="10">
        <v>-7.875</v>
      </c>
    </row>
    <row r="47" spans="1:22" s="118" customFormat="1" x14ac:dyDescent="0.2">
      <c r="A47" s="115" t="s">
        <v>13</v>
      </c>
      <c r="B47" s="116">
        <v>402</v>
      </c>
      <c r="C47" s="116">
        <v>409</v>
      </c>
      <c r="D47" s="116">
        <v>505</v>
      </c>
      <c r="E47" s="116">
        <v>512</v>
      </c>
      <c r="F47" s="117">
        <v>601</v>
      </c>
      <c r="G47" s="117">
        <v>608</v>
      </c>
      <c r="H47" s="117">
        <v>209</v>
      </c>
      <c r="I47" s="117">
        <v>307</v>
      </c>
      <c r="J47" s="117" t="s">
        <v>67</v>
      </c>
      <c r="K47" s="117" t="s">
        <v>66</v>
      </c>
      <c r="L47" s="117" t="s">
        <v>66</v>
      </c>
      <c r="M47" s="117" t="s">
        <v>66</v>
      </c>
      <c r="O47" s="10"/>
    </row>
    <row r="48" spans="1:22" x14ac:dyDescent="0.2">
      <c r="A48" s="12">
        <v>1</v>
      </c>
      <c r="B48" s="92">
        <v>0</v>
      </c>
      <c r="C48" s="92">
        <v>0</v>
      </c>
      <c r="D48" s="92">
        <v>0</v>
      </c>
      <c r="E48" s="92">
        <v>0</v>
      </c>
      <c r="F48" s="110">
        <v>0</v>
      </c>
      <c r="G48" s="110">
        <v>0</v>
      </c>
      <c r="H48" s="110"/>
      <c r="I48" s="111"/>
      <c r="J48" s="111"/>
      <c r="K48" s="111"/>
      <c r="L48" s="111"/>
      <c r="M48" s="111"/>
    </row>
    <row r="49" spans="1:13" x14ac:dyDescent="0.2">
      <c r="A49" s="12">
        <v>2</v>
      </c>
      <c r="B49" s="92"/>
      <c r="C49" s="92"/>
      <c r="D49" s="92"/>
      <c r="E49" s="92"/>
      <c r="F49" s="111"/>
      <c r="G49" s="112"/>
      <c r="H49" s="112"/>
      <c r="I49" s="111"/>
      <c r="J49" s="111"/>
      <c r="K49" s="111"/>
      <c r="L49" s="111"/>
      <c r="M49" s="111"/>
    </row>
    <row r="50" spans="1:13" x14ac:dyDescent="0.2">
      <c r="A50" s="12">
        <v>3</v>
      </c>
      <c r="B50" s="92"/>
      <c r="C50" s="92"/>
      <c r="D50" s="92"/>
      <c r="E50" s="92"/>
      <c r="F50" s="111"/>
      <c r="G50" s="111"/>
      <c r="H50" s="111"/>
      <c r="I50" s="111"/>
      <c r="J50" s="111"/>
      <c r="K50" s="111"/>
      <c r="L50" s="111"/>
      <c r="M50" s="111"/>
    </row>
    <row r="51" spans="1:13" x14ac:dyDescent="0.2">
      <c r="A51" s="12">
        <v>4</v>
      </c>
      <c r="B51" s="97"/>
      <c r="C51" s="92"/>
      <c r="D51" s="92"/>
      <c r="E51" s="92"/>
      <c r="F51" s="111"/>
      <c r="G51" s="111"/>
      <c r="H51" s="111"/>
      <c r="I51" s="111"/>
      <c r="J51" s="111"/>
      <c r="K51" s="111"/>
      <c r="L51" s="111"/>
      <c r="M51" s="111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0">
        <f t="shared" si="8"/>
        <v>0</v>
      </c>
      <c r="G52" s="130">
        <f t="shared" si="8"/>
        <v>0</v>
      </c>
      <c r="H52" s="130" t="e">
        <f t="shared" si="8"/>
        <v>#DIV/0!</v>
      </c>
      <c r="I52" s="130" t="e">
        <f t="shared" si="8"/>
        <v>#DIV/0!</v>
      </c>
      <c r="J52" s="130" t="e">
        <f t="shared" si="8"/>
        <v>#DIV/0!</v>
      </c>
      <c r="K52" s="130" t="e">
        <f t="shared" si="8"/>
        <v>#DIV/0!</v>
      </c>
      <c r="L52" s="130" t="e">
        <f t="shared" si="8"/>
        <v>#DIV/0!</v>
      </c>
      <c r="M52" s="130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3.2" x14ac:dyDescent="0.25">
      <c r="I56" s="33" t="s">
        <v>24</v>
      </c>
      <c r="J56" s="33"/>
      <c r="K56" s="170" t="s">
        <v>25</v>
      </c>
      <c r="L56" s="170"/>
      <c r="M56" s="170"/>
    </row>
    <row r="57" spans="1:13" ht="13.2" x14ac:dyDescent="0.25">
      <c r="A57" s="33" t="s">
        <v>27</v>
      </c>
      <c r="B57" s="33"/>
      <c r="C57" s="33"/>
      <c r="D57" s="33"/>
      <c r="E57" s="33"/>
      <c r="I57" s="168" t="s">
        <v>39</v>
      </c>
      <c r="J57" s="168" t="s">
        <v>61</v>
      </c>
      <c r="K57" s="169" t="s">
        <v>41</v>
      </c>
      <c r="L57" s="169"/>
      <c r="M57" s="169" t="s">
        <v>26</v>
      </c>
    </row>
    <row r="58" spans="1:13" x14ac:dyDescent="0.2">
      <c r="A58" s="168" t="s">
        <v>39</v>
      </c>
      <c r="B58" s="168" t="s">
        <v>61</v>
      </c>
      <c r="C58" s="169" t="s">
        <v>41</v>
      </c>
      <c r="D58" s="169"/>
      <c r="E58" s="169" t="s">
        <v>26</v>
      </c>
      <c r="I58" s="168"/>
      <c r="J58" s="168"/>
      <c r="K58" s="93">
        <v>1</v>
      </c>
      <c r="L58" s="93">
        <v>2</v>
      </c>
      <c r="M58" s="169"/>
    </row>
    <row r="59" spans="1:13" x14ac:dyDescent="0.2">
      <c r="A59" s="168"/>
      <c r="B59" s="168"/>
      <c r="C59" s="93">
        <v>1</v>
      </c>
      <c r="D59" s="93">
        <v>2</v>
      </c>
      <c r="E59" s="169"/>
      <c r="I59" s="78"/>
      <c r="J59" s="78"/>
      <c r="K59" s="79"/>
      <c r="L59" s="79"/>
      <c r="M59" s="80"/>
    </row>
    <row r="60" spans="1:13" ht="13.2" x14ac:dyDescent="0.25">
      <c r="A60" s="78"/>
      <c r="B60" s="78"/>
      <c r="C60" s="79"/>
      <c r="D60" s="79"/>
      <c r="E60" s="80"/>
      <c r="I60" s="12">
        <v>106</v>
      </c>
      <c r="J60" s="4"/>
      <c r="K60" s="124"/>
      <c r="L60" s="124"/>
      <c r="M60" s="125" t="e">
        <f t="shared" ref="M60:M71" si="9">AVERAGE(K60:L60)</f>
        <v>#DIV/0!</v>
      </c>
    </row>
    <row r="61" spans="1:13" ht="13.2" x14ac:dyDescent="0.25">
      <c r="A61" s="12">
        <v>106</v>
      </c>
      <c r="B61" s="4"/>
      <c r="C61" s="124"/>
      <c r="D61" s="124"/>
      <c r="E61" s="125" t="e">
        <f t="shared" ref="E61:E72" si="10">AVERAGE(C61:D61)</f>
        <v>#DIV/0!</v>
      </c>
      <c r="I61" s="12">
        <v>107</v>
      </c>
      <c r="J61" s="4"/>
      <c r="K61" s="124"/>
      <c r="L61" s="124"/>
      <c r="M61" s="125" t="e">
        <f t="shared" si="9"/>
        <v>#DIV/0!</v>
      </c>
    </row>
    <row r="62" spans="1:13" ht="13.2" x14ac:dyDescent="0.25">
      <c r="A62" s="12">
        <v>107</v>
      </c>
      <c r="B62" s="4"/>
      <c r="C62" s="124"/>
      <c r="D62" s="124"/>
      <c r="E62" s="125" t="e">
        <f t="shared" si="10"/>
        <v>#DIV/0!</v>
      </c>
      <c r="I62" s="12">
        <v>204</v>
      </c>
      <c r="J62" s="4"/>
      <c r="K62" s="124"/>
      <c r="L62" s="124"/>
      <c r="M62" s="125" t="e">
        <f t="shared" si="9"/>
        <v>#DIV/0!</v>
      </c>
    </row>
    <row r="63" spans="1:13" ht="13.2" x14ac:dyDescent="0.25">
      <c r="A63" s="12">
        <v>204</v>
      </c>
      <c r="B63" s="4"/>
      <c r="C63" s="124"/>
      <c r="D63" s="124"/>
      <c r="E63" s="125" t="e">
        <f t="shared" si="10"/>
        <v>#DIV/0!</v>
      </c>
      <c r="I63" s="12">
        <v>209</v>
      </c>
      <c r="J63" s="4"/>
      <c r="K63" s="124"/>
      <c r="L63" s="124"/>
      <c r="M63" s="125" t="e">
        <f t="shared" si="9"/>
        <v>#DIV/0!</v>
      </c>
    </row>
    <row r="64" spans="1:13" ht="13.2" x14ac:dyDescent="0.25">
      <c r="A64" s="12">
        <v>209</v>
      </c>
      <c r="B64" s="4"/>
      <c r="C64" s="124"/>
      <c r="D64" s="124"/>
      <c r="E64" s="125" t="e">
        <f t="shared" si="10"/>
        <v>#DIV/0!</v>
      </c>
      <c r="I64" s="99">
        <v>302</v>
      </c>
      <c r="J64" s="4"/>
      <c r="K64" s="127"/>
      <c r="L64" s="127"/>
      <c r="M64" s="118" t="e">
        <f t="shared" si="9"/>
        <v>#DIV/0!</v>
      </c>
    </row>
    <row r="65" spans="1:13" ht="13.2" x14ac:dyDescent="0.25">
      <c r="A65" s="99">
        <v>302</v>
      </c>
      <c r="B65" s="4"/>
      <c r="C65" s="124"/>
      <c r="D65" s="124"/>
      <c r="E65" s="126" t="e">
        <f t="shared" si="10"/>
        <v>#DIV/0!</v>
      </c>
      <c r="I65" s="99">
        <v>307</v>
      </c>
      <c r="J65" s="4"/>
      <c r="K65" s="127"/>
      <c r="L65" s="127"/>
      <c r="M65" s="118" t="e">
        <f t="shared" si="9"/>
        <v>#DIV/0!</v>
      </c>
    </row>
    <row r="66" spans="1:13" ht="13.2" x14ac:dyDescent="0.25">
      <c r="A66" s="99">
        <v>307</v>
      </c>
      <c r="B66" s="4"/>
      <c r="C66" s="127"/>
      <c r="D66" s="127"/>
      <c r="E66" s="128" t="e">
        <f t="shared" si="10"/>
        <v>#DIV/0!</v>
      </c>
      <c r="I66" s="99" t="s">
        <v>63</v>
      </c>
      <c r="J66" s="4"/>
      <c r="K66" s="127"/>
      <c r="L66" s="127"/>
      <c r="M66" s="118" t="e">
        <f t="shared" si="9"/>
        <v>#DIV/0!</v>
      </c>
    </row>
    <row r="67" spans="1:13" ht="13.2" x14ac:dyDescent="0.25">
      <c r="A67" s="99" t="s">
        <v>63</v>
      </c>
      <c r="B67" s="4"/>
      <c r="C67" s="127"/>
      <c r="D67" s="127"/>
      <c r="E67" s="118" t="e">
        <f t="shared" si="10"/>
        <v>#DIV/0!</v>
      </c>
      <c r="I67" s="99" t="s">
        <v>64</v>
      </c>
      <c r="J67" s="4"/>
      <c r="K67" s="127"/>
      <c r="L67" s="127"/>
      <c r="M67" s="118" t="e">
        <f t="shared" si="9"/>
        <v>#DIV/0!</v>
      </c>
    </row>
    <row r="68" spans="1:13" ht="13.2" x14ac:dyDescent="0.25">
      <c r="A68" s="99" t="s">
        <v>64</v>
      </c>
      <c r="B68" s="4"/>
      <c r="C68" s="127"/>
      <c r="D68" s="127"/>
      <c r="E68" s="118" t="e">
        <f t="shared" si="10"/>
        <v>#DIV/0!</v>
      </c>
      <c r="I68" s="12" t="s">
        <v>65</v>
      </c>
      <c r="J68" s="4"/>
      <c r="K68" s="127"/>
      <c r="L68" s="127"/>
      <c r="M68" s="118" t="e">
        <f t="shared" si="9"/>
        <v>#DIV/0!</v>
      </c>
    </row>
    <row r="69" spans="1:13" ht="13.2" x14ac:dyDescent="0.25">
      <c r="A69" s="12" t="s">
        <v>65</v>
      </c>
      <c r="B69" s="4"/>
      <c r="C69" s="127"/>
      <c r="D69" s="127"/>
      <c r="E69" s="118" t="e">
        <f t="shared" si="10"/>
        <v>#DIV/0!</v>
      </c>
      <c r="I69" s="139" t="s">
        <v>66</v>
      </c>
      <c r="J69" s="4"/>
      <c r="K69" s="127"/>
      <c r="L69" s="127"/>
      <c r="M69" s="118" t="e">
        <f t="shared" si="9"/>
        <v>#DIV/0!</v>
      </c>
    </row>
    <row r="70" spans="1:13" ht="13.2" x14ac:dyDescent="0.25">
      <c r="A70" s="139" t="s">
        <v>66</v>
      </c>
      <c r="B70" s="4"/>
      <c r="C70" s="127"/>
      <c r="D70" s="127"/>
      <c r="E70" s="118" t="e">
        <f t="shared" si="10"/>
        <v>#DIV/0!</v>
      </c>
      <c r="I70" s="139" t="s">
        <v>66</v>
      </c>
      <c r="J70" s="4"/>
      <c r="K70" s="127"/>
      <c r="L70" s="127"/>
      <c r="M70" s="118" t="e">
        <f t="shared" si="9"/>
        <v>#DIV/0!</v>
      </c>
    </row>
    <row r="71" spans="1:13" ht="13.2" x14ac:dyDescent="0.25">
      <c r="A71" s="139" t="s">
        <v>66</v>
      </c>
      <c r="B71" s="4"/>
      <c r="C71" s="127"/>
      <c r="D71" s="127"/>
      <c r="E71" s="118" t="e">
        <f t="shared" si="10"/>
        <v>#DIV/0!</v>
      </c>
      <c r="I71" s="139" t="s">
        <v>66</v>
      </c>
      <c r="J71" s="4"/>
      <c r="K71" s="127"/>
      <c r="L71" s="127"/>
      <c r="M71" s="118" t="e">
        <f t="shared" si="9"/>
        <v>#DIV/0!</v>
      </c>
    </row>
    <row r="72" spans="1:13" ht="13.2" x14ac:dyDescent="0.25">
      <c r="A72" s="139" t="s">
        <v>66</v>
      </c>
      <c r="B72" s="4"/>
      <c r="C72" s="127"/>
      <c r="D72" s="127"/>
      <c r="E72" s="118" t="e">
        <f t="shared" si="10"/>
        <v>#DIV/0!</v>
      </c>
    </row>
    <row r="73" spans="1:13" x14ac:dyDescent="0.2">
      <c r="A73" s="94" t="s">
        <v>50</v>
      </c>
    </row>
  </sheetData>
  <mergeCells count="17">
    <mergeCell ref="A58:A59"/>
    <mergeCell ref="B58:B59"/>
    <mergeCell ref="C58:D58"/>
    <mergeCell ref="E58:E59"/>
    <mergeCell ref="I57:I58"/>
    <mergeCell ref="J57:J58"/>
    <mergeCell ref="K57:L57"/>
    <mergeCell ref="J46:M46"/>
    <mergeCell ref="F36:I36"/>
    <mergeCell ref="J36:M36"/>
    <mergeCell ref="K56:M56"/>
    <mergeCell ref="M57:M58"/>
    <mergeCell ref="Q6:Q7"/>
    <mergeCell ref="B36:E36"/>
    <mergeCell ref="C6:H6"/>
    <mergeCell ref="J6:K6"/>
    <mergeCell ref="F46:I4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tabSelected="1" topLeftCell="B1" zoomScaleNormal="100" zoomScalePageLayoutView="150" workbookViewId="0">
      <selection activeCell="J16" sqref="J16:M16"/>
    </sheetView>
  </sheetViews>
  <sheetFormatPr defaultColWidth="8.6640625" defaultRowHeight="13.2" outlineLevelCol="3" x14ac:dyDescent="0.25"/>
  <cols>
    <col min="2" max="2" width="8.6640625" style="105"/>
    <col min="7" max="8" width="8.6640625" customWidth="1" outlineLevel="1"/>
    <col min="9" max="9" width="8.6640625" customWidth="1" outlineLevel="3"/>
    <col min="10" max="13" width="10" customWidth="1" outlineLevel="3"/>
    <col min="14" max="14" width="11.109375" customWidth="1"/>
    <col min="15" max="15" width="11.44140625" customWidth="1"/>
    <col min="16" max="16" width="12.6640625" customWidth="1"/>
    <col min="26" max="27" width="8.6640625" style="1"/>
    <col min="28" max="28" width="8.6640625" customWidth="1"/>
  </cols>
  <sheetData>
    <row r="1" spans="1:28" x14ac:dyDescent="0.25">
      <c r="A1" s="171" t="s">
        <v>56</v>
      </c>
      <c r="B1" s="171"/>
      <c r="C1" s="171"/>
      <c r="D1" s="171"/>
      <c r="E1" s="171"/>
      <c r="F1" s="171"/>
    </row>
    <row r="2" spans="1:28" ht="13.8" thickBot="1" x14ac:dyDescent="0.3">
      <c r="A2" s="4" t="s">
        <v>53</v>
      </c>
      <c r="B2" s="105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77" t="s">
        <v>16</v>
      </c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81"/>
      <c r="AA2" s="81"/>
      <c r="AB2" s="30" t="s">
        <v>0</v>
      </c>
    </row>
    <row r="3" spans="1:28" ht="22.5" customHeight="1" x14ac:dyDescent="0.25">
      <c r="A3" s="156" t="s">
        <v>62</v>
      </c>
      <c r="B3" s="159"/>
      <c r="C3" s="157" t="s">
        <v>68</v>
      </c>
      <c r="D3" s="103">
        <v>0</v>
      </c>
      <c r="E3" s="120">
        <v>17.087200000000003</v>
      </c>
      <c r="F3" s="120">
        <v>0.253</v>
      </c>
      <c r="H3" s="180" t="s">
        <v>39</v>
      </c>
      <c r="I3" s="180" t="s">
        <v>61</v>
      </c>
      <c r="J3" s="182" t="s">
        <v>28</v>
      </c>
      <c r="K3" s="182"/>
      <c r="L3" s="182"/>
      <c r="M3" s="44"/>
      <c r="N3" s="175" t="s">
        <v>48</v>
      </c>
      <c r="O3" s="179"/>
      <c r="P3" s="179"/>
      <c r="Q3" s="179"/>
      <c r="R3" s="176" t="s">
        <v>47</v>
      </c>
      <c r="S3" s="176"/>
      <c r="T3" s="176"/>
      <c r="U3" s="176"/>
      <c r="V3" s="175" t="s">
        <v>42</v>
      </c>
      <c r="W3" s="175"/>
      <c r="X3" s="175"/>
      <c r="Y3" s="175"/>
      <c r="Z3" s="82"/>
      <c r="AA3" s="82"/>
    </row>
    <row r="4" spans="1:28" x14ac:dyDescent="0.25">
      <c r="A4" s="156" t="s">
        <v>62</v>
      </c>
      <c r="B4" s="160"/>
      <c r="C4" s="157" t="s">
        <v>68</v>
      </c>
      <c r="D4" s="103">
        <v>21</v>
      </c>
      <c r="E4" s="120">
        <v>47.482799999999997</v>
      </c>
      <c r="F4" s="120">
        <v>0.26501000000000002</v>
      </c>
      <c r="H4" s="180"/>
      <c r="I4" s="180"/>
      <c r="J4" s="36"/>
      <c r="K4" s="36"/>
      <c r="L4" s="36"/>
      <c r="M4" s="36"/>
      <c r="N4" s="179"/>
      <c r="O4" s="179"/>
      <c r="P4" s="179"/>
      <c r="Q4" s="179"/>
      <c r="R4" s="176"/>
      <c r="S4" s="176"/>
      <c r="T4" s="176"/>
      <c r="U4" s="176"/>
      <c r="V4" s="175"/>
      <c r="W4" s="175"/>
      <c r="X4" s="175"/>
      <c r="Y4" s="175"/>
      <c r="Z4" s="24"/>
      <c r="AA4" s="65"/>
      <c r="AB4" s="25"/>
    </row>
    <row r="5" spans="1:28" x14ac:dyDescent="0.25">
      <c r="A5" s="156" t="s">
        <v>62</v>
      </c>
      <c r="B5" s="160"/>
      <c r="C5" s="157" t="s">
        <v>68</v>
      </c>
      <c r="D5" s="103">
        <v>42</v>
      </c>
      <c r="E5" s="120">
        <v>85.538200000000003</v>
      </c>
      <c r="F5" s="120">
        <v>0.27667000000000003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8" thickBot="1" x14ac:dyDescent="0.3">
      <c r="A6" s="156" t="s">
        <v>62</v>
      </c>
      <c r="B6" s="160"/>
      <c r="C6" s="157" t="s">
        <v>68</v>
      </c>
      <c r="D6" s="103">
        <v>63</v>
      </c>
      <c r="E6" s="120">
        <v>121.0536</v>
      </c>
      <c r="F6" s="120">
        <v>0.26834000000000002</v>
      </c>
      <c r="J6" s="172" t="s">
        <v>56</v>
      </c>
      <c r="K6" s="172"/>
      <c r="L6" s="172"/>
      <c r="M6" s="17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5">
      <c r="A7" s="156" t="s">
        <v>62</v>
      </c>
      <c r="B7" s="160"/>
      <c r="C7" s="157" t="s">
        <v>69</v>
      </c>
      <c r="D7" s="103">
        <v>0</v>
      </c>
      <c r="E7" s="120">
        <v>13.132200000000001</v>
      </c>
      <c r="F7" s="120">
        <v>0.26580000000000004</v>
      </c>
      <c r="H7" s="154" t="s">
        <v>68</v>
      </c>
      <c r="I7" s="4"/>
      <c r="J7">
        <v>35.200000000000003</v>
      </c>
      <c r="K7">
        <v>36.299999999999997</v>
      </c>
      <c r="L7">
        <v>36.9</v>
      </c>
      <c r="M7">
        <v>37.799999999999997</v>
      </c>
      <c r="N7" s="85">
        <f>F3</f>
        <v>0.253</v>
      </c>
      <c r="O7" s="85">
        <f>F4</f>
        <v>0.26501000000000002</v>
      </c>
      <c r="P7" s="85">
        <f>F5</f>
        <v>0.27667000000000003</v>
      </c>
      <c r="Q7" s="85">
        <f>F6</f>
        <v>0.26834000000000002</v>
      </c>
      <c r="R7" s="6">
        <f>(((760*22.4)*(273+J7))/(760*273))</f>
        <v>25.288205128205128</v>
      </c>
      <c r="S7" s="6">
        <f t="shared" ref="R7:U18" si="0">(((760*22.4)*(273+K7))/(760*273))</f>
        <v>25.37846153846154</v>
      </c>
      <c r="T7" s="6">
        <f t="shared" si="0"/>
        <v>25.427692307692308</v>
      </c>
      <c r="U7" s="6">
        <f t="shared" si="0"/>
        <v>25.501538461538463</v>
      </c>
      <c r="V7" s="61">
        <f>((N7/(R7))*(0.044014))</f>
        <v>4.4034528917910446E-4</v>
      </c>
      <c r="W7" s="61">
        <f t="shared" ref="W7:Y7" si="1">((O7/(S7))*(0.044014))</f>
        <v>4.5960824387730363E-4</v>
      </c>
      <c r="X7" s="61">
        <f t="shared" si="1"/>
        <v>4.7890124013794772E-4</v>
      </c>
      <c r="Y7" s="61">
        <f t="shared" si="1"/>
        <v>4.6313742121138995E-4</v>
      </c>
      <c r="AA7" s="65"/>
      <c r="AB7">
        <v>35.200000000000003</v>
      </c>
    </row>
    <row r="8" spans="1:28" x14ac:dyDescent="0.25">
      <c r="A8" s="156" t="s">
        <v>62</v>
      </c>
      <c r="B8" s="160"/>
      <c r="C8" s="157" t="s">
        <v>69</v>
      </c>
      <c r="D8" s="103">
        <v>21</v>
      </c>
      <c r="E8" s="120">
        <v>38.148399999999995</v>
      </c>
      <c r="F8" s="120">
        <v>0.26239000000000001</v>
      </c>
      <c r="H8" s="155" t="s">
        <v>69</v>
      </c>
      <c r="I8" s="4"/>
      <c r="J8" s="1">
        <v>33.9</v>
      </c>
      <c r="K8" s="1">
        <v>36.299999999999997</v>
      </c>
      <c r="L8" s="53">
        <v>37.9</v>
      </c>
      <c r="M8" s="33">
        <v>38.200000000000003</v>
      </c>
      <c r="N8" s="85">
        <f>F7</f>
        <v>0.26580000000000004</v>
      </c>
      <c r="O8" s="85">
        <f>F8</f>
        <v>0.26239000000000001</v>
      </c>
      <c r="P8" s="85">
        <f>F9</f>
        <v>0.26518000000000003</v>
      </c>
      <c r="Q8" s="85">
        <f>F10</f>
        <v>0.28101000000000004</v>
      </c>
      <c r="R8" s="6">
        <f>(((760*22.4)*(273+J8))/(760*273))</f>
        <v>25.181538461538459</v>
      </c>
      <c r="S8" s="6">
        <f t="shared" si="0"/>
        <v>25.37846153846154</v>
      </c>
      <c r="T8" s="6">
        <f t="shared" si="0"/>
        <v>25.509743589743589</v>
      </c>
      <c r="U8" s="6">
        <f t="shared" si="0"/>
        <v>25.534358974358973</v>
      </c>
      <c r="V8" s="61">
        <f t="shared" ref="V8:V9" si="2">((N8/(R8))*(0.044014))</f>
        <v>4.6458325879765406E-4</v>
      </c>
      <c r="W8" s="61">
        <f t="shared" ref="W8:W18" si="3">((O8/(S8))*(0.044014))</f>
        <v>4.5506436402764308E-4</v>
      </c>
      <c r="X8" s="61">
        <f t="shared" ref="X8:X18" si="4">((P8/(T8))*(0.044014))</f>
        <v>4.5753625389996787E-4</v>
      </c>
      <c r="Y8" s="61">
        <f t="shared" ref="Y8:Y18" si="5">((Q8/(U8))*(0.044014))</f>
        <v>4.8438161899501934E-4</v>
      </c>
      <c r="AA8" s="65"/>
      <c r="AB8">
        <v>36.299999999999997</v>
      </c>
    </row>
    <row r="9" spans="1:28" x14ac:dyDescent="0.25">
      <c r="A9" s="156" t="s">
        <v>62</v>
      </c>
      <c r="B9" s="160"/>
      <c r="C9" s="157" t="s">
        <v>69</v>
      </c>
      <c r="D9" s="103">
        <v>42</v>
      </c>
      <c r="E9" s="120">
        <v>68.808400000000006</v>
      </c>
      <c r="F9" s="120">
        <v>0.26518000000000003</v>
      </c>
      <c r="H9" s="155" t="s">
        <v>70</v>
      </c>
      <c r="I9" s="4"/>
      <c r="J9" s="53">
        <v>36</v>
      </c>
      <c r="K9" s="34">
        <v>34.4</v>
      </c>
      <c r="L9" s="34">
        <v>35.9</v>
      </c>
      <c r="M9" s="33">
        <v>35</v>
      </c>
      <c r="N9" s="85">
        <f>F11</f>
        <v>0.25831000000000004</v>
      </c>
      <c r="O9" s="85">
        <f>F12</f>
        <v>0.26393000000000005</v>
      </c>
      <c r="P9" s="85">
        <f>F13</f>
        <v>0.26611000000000001</v>
      </c>
      <c r="Q9" s="85">
        <f>F14</f>
        <v>0.26933000000000001</v>
      </c>
      <c r="R9" s="6">
        <f t="shared" si="0"/>
        <v>25.353846153846153</v>
      </c>
      <c r="S9" s="6">
        <f t="shared" si="0"/>
        <v>25.2225641025641</v>
      </c>
      <c r="T9" s="6">
        <f t="shared" si="0"/>
        <v>25.345641025641022</v>
      </c>
      <c r="U9" s="6">
        <f t="shared" si="0"/>
        <v>25.271794871794871</v>
      </c>
      <c r="V9" s="61">
        <f t="shared" si="2"/>
        <v>4.4842333865291266E-4</v>
      </c>
      <c r="W9" s="61">
        <f t="shared" si="3"/>
        <v>4.6056439673471057E-4</v>
      </c>
      <c r="X9" s="61">
        <f t="shared" si="4"/>
        <v>4.6211360478714799E-4</v>
      </c>
      <c r="Y9" s="61">
        <f t="shared" si="5"/>
        <v>4.6907197055600649E-4</v>
      </c>
      <c r="AA9" s="65"/>
      <c r="AB9">
        <v>36.9</v>
      </c>
    </row>
    <row r="10" spans="1:28" x14ac:dyDescent="0.25">
      <c r="A10" s="156" t="s">
        <v>62</v>
      </c>
      <c r="B10" s="160"/>
      <c r="C10" s="157" t="s">
        <v>69</v>
      </c>
      <c r="D10" s="103">
        <v>63</v>
      </c>
      <c r="E10" s="120">
        <v>99.899200000000008</v>
      </c>
      <c r="F10" s="120">
        <v>0.28101000000000004</v>
      </c>
      <c r="H10" s="155" t="s">
        <v>71</v>
      </c>
      <c r="I10" s="4"/>
      <c r="J10" s="33">
        <v>36</v>
      </c>
      <c r="K10" s="33">
        <v>36.6</v>
      </c>
      <c r="L10" s="33">
        <v>39.1</v>
      </c>
      <c r="M10" s="33">
        <v>39.1</v>
      </c>
      <c r="N10" s="85">
        <f>F15</f>
        <v>0.26934000000000002</v>
      </c>
      <c r="O10" s="85">
        <f>F16</f>
        <v>0.26486000000000004</v>
      </c>
      <c r="P10" s="85">
        <f>F17</f>
        <v>0.26596000000000003</v>
      </c>
      <c r="Q10" s="85">
        <f>F18</f>
        <v>0.27233000000000002</v>
      </c>
      <c r="R10" s="6">
        <f t="shared" si="0"/>
        <v>25.353846153846153</v>
      </c>
      <c r="S10" s="6">
        <f t="shared" si="0"/>
        <v>25.403076923076924</v>
      </c>
      <c r="T10" s="6">
        <f t="shared" si="0"/>
        <v>25.608205128205132</v>
      </c>
      <c r="U10" s="6">
        <f t="shared" si="0"/>
        <v>25.608205128205132</v>
      </c>
      <c r="V10" s="61">
        <f>((N10/(R10))*(0.044014))</f>
        <v>4.6757129817961166E-4</v>
      </c>
      <c r="W10" s="61">
        <f t="shared" si="3"/>
        <v>4.5890299333817833E-4</v>
      </c>
      <c r="X10" s="61">
        <f t="shared" si="4"/>
        <v>4.5711768479653951E-4</v>
      </c>
      <c r="Y10" s="61">
        <f t="shared" si="5"/>
        <v>4.6806609678388332E-4</v>
      </c>
      <c r="AA10" s="65"/>
      <c r="AB10">
        <v>37.799999999999997</v>
      </c>
    </row>
    <row r="11" spans="1:28" s="1" customFormat="1" x14ac:dyDescent="0.25">
      <c r="A11" s="156" t="s">
        <v>62</v>
      </c>
      <c r="B11" s="160"/>
      <c r="C11" s="157" t="s">
        <v>70</v>
      </c>
      <c r="D11" s="103">
        <v>0</v>
      </c>
      <c r="E11" s="120">
        <v>18.805800000000001</v>
      </c>
      <c r="F11" s="120">
        <v>0.25831000000000004</v>
      </c>
      <c r="H11" s="155" t="s">
        <v>72</v>
      </c>
      <c r="I11" s="4"/>
      <c r="J11" s="33">
        <v>39.9</v>
      </c>
      <c r="K11" s="33">
        <v>40.9</v>
      </c>
      <c r="L11" s="33">
        <v>42.9</v>
      </c>
      <c r="M11" s="33">
        <v>42.7</v>
      </c>
      <c r="N11" s="85">
        <f>F19</f>
        <v>0.27143</v>
      </c>
      <c r="O11" s="85">
        <f>F20</f>
        <v>0.27485000000000004</v>
      </c>
      <c r="P11" s="85">
        <f>F21</f>
        <v>0.26762000000000002</v>
      </c>
      <c r="Q11" s="85">
        <f>F22</f>
        <v>0.26521</v>
      </c>
      <c r="R11" s="6">
        <f t="shared" si="0"/>
        <v>25.673846153846153</v>
      </c>
      <c r="S11" s="6">
        <f t="shared" si="0"/>
        <v>25.755897435897435</v>
      </c>
      <c r="T11" s="6">
        <f t="shared" si="0"/>
        <v>25.919999999999998</v>
      </c>
      <c r="U11" s="6">
        <f t="shared" si="0"/>
        <v>25.903589743589741</v>
      </c>
      <c r="V11" s="61">
        <f t="shared" ref="V11:V18" si="6">((N11/(R11))*(0.044014))</f>
        <v>4.6532646290747842E-4</v>
      </c>
      <c r="W11" s="61">
        <f t="shared" si="3"/>
        <v>4.696884637822555E-4</v>
      </c>
      <c r="X11" s="61">
        <f t="shared" si="4"/>
        <v>4.5443775771604944E-4</v>
      </c>
      <c r="Y11" s="61">
        <f>((Q11/(U11))*(0.044014))</f>
        <v>4.5063070622822297E-4</v>
      </c>
      <c r="AA11" s="65"/>
      <c r="AB11" s="1">
        <v>33.9</v>
      </c>
    </row>
    <row r="12" spans="1:28" s="1" customFormat="1" x14ac:dyDescent="0.25">
      <c r="A12" s="156" t="s">
        <v>62</v>
      </c>
      <c r="B12" s="160"/>
      <c r="C12" s="157" t="s">
        <v>70</v>
      </c>
      <c r="D12" s="103">
        <v>21</v>
      </c>
      <c r="E12" s="120">
        <v>46.112000000000002</v>
      </c>
      <c r="F12" s="120">
        <v>0.26393000000000005</v>
      </c>
      <c r="H12" s="155" t="s">
        <v>73</v>
      </c>
      <c r="I12" s="4"/>
      <c r="J12" s="33">
        <v>34.6</v>
      </c>
      <c r="K12" s="33">
        <v>36.1</v>
      </c>
      <c r="L12" s="33">
        <v>36.299999999999997</v>
      </c>
      <c r="M12" s="33">
        <v>37.799999999999997</v>
      </c>
      <c r="N12" s="85">
        <f>F23</f>
        <v>0.26981000000000005</v>
      </c>
      <c r="O12" s="85">
        <f>F24</f>
        <v>0.26712000000000002</v>
      </c>
      <c r="P12" s="85">
        <f>F25</f>
        <v>0.26457000000000003</v>
      </c>
      <c r="Q12" s="85">
        <f>F26</f>
        <v>0.26618000000000003</v>
      </c>
      <c r="R12" s="6">
        <f t="shared" si="0"/>
        <v>25.23897435897436</v>
      </c>
      <c r="S12" s="6">
        <f t="shared" si="0"/>
        <v>25.362051282051283</v>
      </c>
      <c r="T12" s="6">
        <f t="shared" si="0"/>
        <v>25.37846153846154</v>
      </c>
      <c r="U12" s="6">
        <f t="shared" si="0"/>
        <v>25.501538461538463</v>
      </c>
      <c r="V12" s="61">
        <f t="shared" si="6"/>
        <v>4.7051901440588428E-4</v>
      </c>
      <c r="W12" s="61">
        <f t="shared" si="3"/>
        <v>4.635673806211582E-4</v>
      </c>
      <c r="X12" s="61">
        <f t="shared" si="4"/>
        <v>4.588451495514064E-4</v>
      </c>
      <c r="Y12" s="61">
        <f t="shared" si="5"/>
        <v>4.5940940142374519E-4</v>
      </c>
      <c r="Z12" s="5"/>
      <c r="AA12" s="65"/>
      <c r="AB12" s="1">
        <v>36.299999999999997</v>
      </c>
    </row>
    <row r="13" spans="1:28" s="53" customFormat="1" ht="13.2" customHeight="1" x14ac:dyDescent="0.25">
      <c r="A13" s="156" t="s">
        <v>62</v>
      </c>
      <c r="B13" s="160"/>
      <c r="C13" s="157" t="s">
        <v>70</v>
      </c>
      <c r="D13" s="103">
        <v>42</v>
      </c>
      <c r="E13" s="120">
        <v>76.600999999999999</v>
      </c>
      <c r="F13" s="120">
        <v>0.26611000000000001</v>
      </c>
      <c r="H13" s="155" t="s">
        <v>74</v>
      </c>
      <c r="I13" s="4"/>
      <c r="J13" s="33">
        <v>36.4</v>
      </c>
      <c r="K13" s="33">
        <v>38.9</v>
      </c>
      <c r="L13" s="33">
        <v>39.700000000000003</v>
      </c>
      <c r="M13" s="33">
        <v>41</v>
      </c>
      <c r="N13" s="85">
        <f>F27</f>
        <v>0.26594000000000001</v>
      </c>
      <c r="O13" s="85">
        <f>F28</f>
        <v>0.27439000000000002</v>
      </c>
      <c r="P13" s="85">
        <f>F29</f>
        <v>0.27643000000000001</v>
      </c>
      <c r="Q13" s="85">
        <f>F30</f>
        <v>0.26723000000000002</v>
      </c>
      <c r="R13" s="6">
        <f t="shared" si="0"/>
        <v>25.386666666666663</v>
      </c>
      <c r="S13" s="6">
        <f t="shared" si="0"/>
        <v>25.591794871794871</v>
      </c>
      <c r="T13" s="6">
        <f t="shared" si="0"/>
        <v>25.657435897435896</v>
      </c>
      <c r="U13" s="6">
        <f t="shared" si="0"/>
        <v>25.764102564102565</v>
      </c>
      <c r="V13" s="61">
        <f t="shared" si="6"/>
        <v>4.6107207825630257E-4</v>
      </c>
      <c r="W13" s="61">
        <f t="shared" si="3"/>
        <v>4.7190912245511382E-4</v>
      </c>
      <c r="X13" s="61">
        <f t="shared" si="4"/>
        <v>4.7420132193396223E-4</v>
      </c>
      <c r="Y13" s="61">
        <f t="shared" si="5"/>
        <v>4.5652128541003186E-4</v>
      </c>
      <c r="AA13" s="65"/>
      <c r="AB13" s="53">
        <v>37.9</v>
      </c>
    </row>
    <row r="14" spans="1:28" s="33" customFormat="1" x14ac:dyDescent="0.25">
      <c r="A14" s="156" t="s">
        <v>62</v>
      </c>
      <c r="B14" s="160"/>
      <c r="C14" s="157" t="s">
        <v>70</v>
      </c>
      <c r="D14" s="103">
        <v>63</v>
      </c>
      <c r="E14" s="120">
        <v>104.4298</v>
      </c>
      <c r="F14" s="120">
        <v>0.26933000000000001</v>
      </c>
      <c r="H14" s="155" t="s">
        <v>75</v>
      </c>
      <c r="I14" s="4"/>
      <c r="J14" s="33">
        <v>35.6</v>
      </c>
      <c r="K14" s="33">
        <v>37.700000000000003</v>
      </c>
      <c r="L14" s="33">
        <v>37.5</v>
      </c>
      <c r="M14" s="33">
        <v>38.1</v>
      </c>
      <c r="N14" s="85">
        <f>F31</f>
        <v>0.26430000000000003</v>
      </c>
      <c r="O14" s="85">
        <f>F32</f>
        <v>0.26607000000000003</v>
      </c>
      <c r="P14" s="85">
        <f>F33</f>
        <v>0.26974000000000004</v>
      </c>
      <c r="Q14" s="85">
        <f>F34</f>
        <v>0.26201000000000002</v>
      </c>
      <c r="R14" s="6">
        <f t="shared" si="0"/>
        <v>25.321025641025642</v>
      </c>
      <c r="S14" s="6">
        <f t="shared" si="0"/>
        <v>25.493333333333332</v>
      </c>
      <c r="T14" s="6">
        <f t="shared" si="0"/>
        <v>25.476923076923075</v>
      </c>
      <c r="U14" s="6">
        <f t="shared" si="0"/>
        <v>25.526153846153846</v>
      </c>
      <c r="V14" s="61">
        <f t="shared" si="6"/>
        <v>4.5941662730881403E-4</v>
      </c>
      <c r="W14" s="61">
        <f t="shared" si="3"/>
        <v>4.5936735015690382E-4</v>
      </c>
      <c r="X14" s="61">
        <f t="shared" si="4"/>
        <v>4.6600354070048313E-4</v>
      </c>
      <c r="Y14" s="61">
        <f t="shared" si="5"/>
        <v>4.51776174722758E-4</v>
      </c>
      <c r="Z14" s="24"/>
      <c r="AA14" s="65"/>
      <c r="AB14" s="33">
        <v>38.200000000000003</v>
      </c>
    </row>
    <row r="15" spans="1:28" s="53" customFormat="1" x14ac:dyDescent="0.25">
      <c r="A15" s="156" t="s">
        <v>62</v>
      </c>
      <c r="B15" s="160"/>
      <c r="C15" s="157" t="s">
        <v>71</v>
      </c>
      <c r="D15" s="103">
        <v>0</v>
      </c>
      <c r="E15" s="120">
        <v>12.393000000000001</v>
      </c>
      <c r="F15" s="120">
        <v>0.26934000000000002</v>
      </c>
      <c r="H15" s="155" t="s">
        <v>76</v>
      </c>
      <c r="I15" s="4"/>
      <c r="J15" s="33">
        <v>36.799999999999997</v>
      </c>
      <c r="K15" s="33">
        <v>37.4</v>
      </c>
      <c r="L15" s="33">
        <v>38.299999999999997</v>
      </c>
      <c r="M15" s="33">
        <v>38.299999999999997</v>
      </c>
      <c r="N15" s="85">
        <f>F35</f>
        <v>0.25512000000000001</v>
      </c>
      <c r="O15" s="85">
        <f>F36</f>
        <v>0.26313000000000003</v>
      </c>
      <c r="P15" s="85">
        <f>F37</f>
        <v>0.26483000000000001</v>
      </c>
      <c r="Q15" s="85">
        <f>F38</f>
        <v>0.26467000000000002</v>
      </c>
      <c r="R15" s="6">
        <f t="shared" si="0"/>
        <v>25.419487179487181</v>
      </c>
      <c r="S15" s="6">
        <f t="shared" si="0"/>
        <v>25.468717948717948</v>
      </c>
      <c r="T15" s="6">
        <f t="shared" si="0"/>
        <v>25.542564102564103</v>
      </c>
      <c r="U15" s="6">
        <f t="shared" si="0"/>
        <v>25.542564102564103</v>
      </c>
      <c r="V15" s="61">
        <f t="shared" si="6"/>
        <v>4.4174186523563585E-4</v>
      </c>
      <c r="W15" s="61">
        <f t="shared" si="3"/>
        <v>4.5473053819668175E-4</v>
      </c>
      <c r="X15" s="61">
        <f t="shared" si="4"/>
        <v>4.5634524291278503E-4</v>
      </c>
      <c r="Y15" s="61">
        <f t="shared" si="5"/>
        <v>4.5606953684147121E-4</v>
      </c>
      <c r="Z15" s="24"/>
      <c r="AA15" s="65"/>
      <c r="AB15" s="53">
        <v>36</v>
      </c>
    </row>
    <row r="16" spans="1:28" s="53" customFormat="1" ht="13.8" thickBot="1" x14ac:dyDescent="0.3">
      <c r="A16" s="156" t="s">
        <v>62</v>
      </c>
      <c r="B16" s="160"/>
      <c r="C16" s="157" t="s">
        <v>71</v>
      </c>
      <c r="D16" s="103">
        <v>21</v>
      </c>
      <c r="E16" s="120">
        <v>41.872599999999998</v>
      </c>
      <c r="F16" s="120">
        <v>0.26486000000000004</v>
      </c>
      <c r="H16" s="162" t="s">
        <v>77</v>
      </c>
      <c r="I16" s="4"/>
      <c r="J16" s="33">
        <v>40.799999999999997</v>
      </c>
      <c r="K16" s="33">
        <v>42</v>
      </c>
      <c r="L16" s="33">
        <v>41.7</v>
      </c>
      <c r="M16" s="33">
        <v>43.1</v>
      </c>
      <c r="N16" s="85">
        <f>F39</f>
        <v>0.25434000000000001</v>
      </c>
      <c r="O16" s="85">
        <f>F40</f>
        <v>0.26337000000000005</v>
      </c>
      <c r="P16" s="85">
        <f>F41</f>
        <v>0.25710000000000005</v>
      </c>
      <c r="Q16" s="85">
        <f>F42</f>
        <v>0.25911000000000001</v>
      </c>
      <c r="R16" s="6">
        <f t="shared" si="0"/>
        <v>25.747692307692308</v>
      </c>
      <c r="S16" s="6">
        <f t="shared" si="0"/>
        <v>25.846153846153847</v>
      </c>
      <c r="T16" s="6">
        <f t="shared" si="0"/>
        <v>25.821538461538459</v>
      </c>
      <c r="U16" s="6">
        <f t="shared" si="0"/>
        <v>25.936410256410259</v>
      </c>
      <c r="V16" s="61">
        <f t="shared" si="6"/>
        <v>4.3477763467973234E-4</v>
      </c>
      <c r="W16" s="61">
        <f t="shared" si="3"/>
        <v>4.4849873017857144E-4</v>
      </c>
      <c r="X16" s="61">
        <f t="shared" si="4"/>
        <v>4.3823877561963788E-4</v>
      </c>
      <c r="Y16" s="61">
        <f t="shared" si="5"/>
        <v>4.3970878881287567E-4</v>
      </c>
      <c r="Z16" s="34"/>
      <c r="AA16" s="65"/>
      <c r="AB16" s="34">
        <v>34.4</v>
      </c>
    </row>
    <row r="17" spans="1:28" s="53" customFormat="1" x14ac:dyDescent="0.25">
      <c r="A17" s="156" t="s">
        <v>62</v>
      </c>
      <c r="B17" s="160"/>
      <c r="C17" s="157" t="s">
        <v>71</v>
      </c>
      <c r="D17" s="103">
        <v>42</v>
      </c>
      <c r="E17" s="120">
        <v>76.714600000000004</v>
      </c>
      <c r="F17" s="120">
        <v>0.26596000000000003</v>
      </c>
      <c r="H17" s="139" t="s">
        <v>66</v>
      </c>
      <c r="I17" s="4"/>
      <c r="J17" s="90"/>
      <c r="K17" s="102"/>
      <c r="L17" s="102"/>
      <c r="M17" s="102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65"/>
      <c r="AB17" s="34">
        <v>35.9</v>
      </c>
    </row>
    <row r="18" spans="1:28" s="33" customFormat="1" x14ac:dyDescent="0.25">
      <c r="A18" s="156" t="s">
        <v>62</v>
      </c>
      <c r="B18" s="160"/>
      <c r="C18" s="157" t="s">
        <v>71</v>
      </c>
      <c r="D18" s="103">
        <v>63</v>
      </c>
      <c r="E18" s="120">
        <v>110.16679999999999</v>
      </c>
      <c r="F18" s="120">
        <v>0.27233000000000002</v>
      </c>
      <c r="H18" s="139" t="s">
        <v>66</v>
      </c>
      <c r="I18" s="4"/>
      <c r="J18" s="90"/>
      <c r="K18" s="101"/>
      <c r="L18" s="101"/>
      <c r="M18" s="101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65"/>
      <c r="AB18" s="33">
        <v>35</v>
      </c>
    </row>
    <row r="19" spans="1:28" s="33" customFormat="1" x14ac:dyDescent="0.25">
      <c r="A19" s="156" t="s">
        <v>62</v>
      </c>
      <c r="B19" s="160"/>
      <c r="C19" s="157" t="s">
        <v>72</v>
      </c>
      <c r="D19" s="103">
        <v>0</v>
      </c>
      <c r="E19" s="120">
        <v>12.657400000000001</v>
      </c>
      <c r="F19" s="120">
        <v>0.27143</v>
      </c>
      <c r="H19" s="15"/>
      <c r="Z19" s="53"/>
      <c r="AA19" s="65"/>
      <c r="AB19" s="33">
        <v>36</v>
      </c>
    </row>
    <row r="20" spans="1:28" s="33" customFormat="1" x14ac:dyDescent="0.25">
      <c r="A20" s="156" t="s">
        <v>62</v>
      </c>
      <c r="B20" s="160"/>
      <c r="C20" s="157" t="s">
        <v>72</v>
      </c>
      <c r="D20" s="103">
        <v>21</v>
      </c>
      <c r="E20" s="120">
        <v>41.162399999999998</v>
      </c>
      <c r="F20" s="120">
        <v>0.27485000000000004</v>
      </c>
      <c r="M20" s="104"/>
      <c r="Z20" s="53"/>
      <c r="AA20" s="65"/>
      <c r="AB20" s="33">
        <v>36.6</v>
      </c>
    </row>
    <row r="21" spans="1:28" s="33" customFormat="1" x14ac:dyDescent="0.25">
      <c r="A21" s="156" t="s">
        <v>62</v>
      </c>
      <c r="B21" s="160"/>
      <c r="C21" s="157" t="s">
        <v>72</v>
      </c>
      <c r="D21" s="103">
        <v>42</v>
      </c>
      <c r="E21" s="120">
        <v>69.9024</v>
      </c>
      <c r="F21" s="120">
        <v>0.26762000000000002</v>
      </c>
      <c r="H21" s="178" t="s">
        <v>15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53"/>
      <c r="AA21" s="65"/>
      <c r="AB21" s="33">
        <v>39.1</v>
      </c>
    </row>
    <row r="22" spans="1:28" s="33" customFormat="1" x14ac:dyDescent="0.25">
      <c r="A22" s="156" t="s">
        <v>62</v>
      </c>
      <c r="B22" s="160"/>
      <c r="C22" s="157" t="s">
        <v>72</v>
      </c>
      <c r="D22" s="103">
        <v>63</v>
      </c>
      <c r="E22" s="120">
        <v>95.167600000000007</v>
      </c>
      <c r="F22" s="120">
        <v>0.26521</v>
      </c>
      <c r="H22" s="183" t="s">
        <v>39</v>
      </c>
      <c r="I22" s="183" t="s">
        <v>61</v>
      </c>
      <c r="J22" s="181" t="s">
        <v>28</v>
      </c>
      <c r="K22" s="181"/>
      <c r="L22" s="181"/>
      <c r="M22" s="87"/>
      <c r="N22" s="173" t="s">
        <v>48</v>
      </c>
      <c r="O22" s="184"/>
      <c r="P22" s="184"/>
      <c r="Q22" s="184"/>
      <c r="R22" s="174" t="s">
        <v>47</v>
      </c>
      <c r="S22" s="174"/>
      <c r="T22" s="174"/>
      <c r="U22" s="174"/>
      <c r="V22" s="173" t="s">
        <v>43</v>
      </c>
      <c r="W22" s="173"/>
      <c r="X22" s="173"/>
      <c r="Y22" s="173"/>
      <c r="Z22" s="53"/>
      <c r="AA22" s="65"/>
      <c r="AB22" s="33">
        <v>39.1</v>
      </c>
    </row>
    <row r="23" spans="1:28" s="33" customFormat="1" x14ac:dyDescent="0.25">
      <c r="A23" s="156" t="s">
        <v>62</v>
      </c>
      <c r="B23" s="160"/>
      <c r="C23" s="157" t="s">
        <v>73</v>
      </c>
      <c r="D23" s="103">
        <v>0</v>
      </c>
      <c r="E23" s="120">
        <v>9.7598000000000003</v>
      </c>
      <c r="F23" s="120">
        <v>0.26981000000000005</v>
      </c>
      <c r="H23" s="183"/>
      <c r="I23" s="183"/>
      <c r="J23" s="88"/>
      <c r="K23" s="88"/>
      <c r="L23" s="88"/>
      <c r="M23" s="88"/>
      <c r="N23" s="184"/>
      <c r="O23" s="184"/>
      <c r="P23" s="184"/>
      <c r="Q23" s="184"/>
      <c r="R23" s="174"/>
      <c r="S23" s="174"/>
      <c r="T23" s="174"/>
      <c r="U23" s="174"/>
      <c r="V23" s="173"/>
      <c r="W23" s="173"/>
      <c r="X23" s="173"/>
      <c r="Y23" s="173"/>
      <c r="Z23" s="53"/>
      <c r="AA23" s="65"/>
      <c r="AB23" s="33">
        <v>39.9</v>
      </c>
    </row>
    <row r="24" spans="1:28" s="33" customFormat="1" x14ac:dyDescent="0.25">
      <c r="A24" s="156" t="s">
        <v>62</v>
      </c>
      <c r="B24" s="160"/>
      <c r="C24" s="157" t="s">
        <v>73</v>
      </c>
      <c r="D24" s="103">
        <v>21</v>
      </c>
      <c r="E24" s="120">
        <v>30.060200000000002</v>
      </c>
      <c r="F24" s="120">
        <v>0.26712000000000002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65"/>
      <c r="AB24" s="33">
        <v>40.9</v>
      </c>
    </row>
    <row r="25" spans="1:28" s="33" customFormat="1" ht="13.8" thickBot="1" x14ac:dyDescent="0.3">
      <c r="A25" s="156" t="s">
        <v>62</v>
      </c>
      <c r="B25" s="160"/>
      <c r="C25" s="157" t="s">
        <v>73</v>
      </c>
      <c r="D25" s="103">
        <v>42</v>
      </c>
      <c r="E25" s="120">
        <v>54.2286</v>
      </c>
      <c r="F25" s="120">
        <v>0.26457000000000003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65"/>
      <c r="AB25" s="33">
        <v>42.9</v>
      </c>
    </row>
    <row r="26" spans="1:28" s="33" customFormat="1" x14ac:dyDescent="0.25">
      <c r="A26" s="156" t="s">
        <v>62</v>
      </c>
      <c r="B26" s="160"/>
      <c r="C26" s="157" t="s">
        <v>73</v>
      </c>
      <c r="D26" s="103">
        <v>63</v>
      </c>
      <c r="E26" s="120">
        <v>77.264399999999995</v>
      </c>
      <c r="F26" s="120">
        <v>0.26618000000000003</v>
      </c>
      <c r="H26" s="154" t="s">
        <v>68</v>
      </c>
      <c r="I26" s="4"/>
      <c r="J26" s="90">
        <f t="shared" ref="J26:M29" si="7">J7</f>
        <v>35.200000000000003</v>
      </c>
      <c r="K26" s="90">
        <f t="shared" si="7"/>
        <v>36.299999999999997</v>
      </c>
      <c r="L26" s="90">
        <f t="shared" si="7"/>
        <v>36.9</v>
      </c>
      <c r="M26" s="90">
        <f t="shared" si="7"/>
        <v>37.799999999999997</v>
      </c>
      <c r="N26" s="85">
        <f>E3</f>
        <v>17.087200000000003</v>
      </c>
      <c r="O26" s="85">
        <f>E4</f>
        <v>47.482799999999997</v>
      </c>
      <c r="P26" s="85">
        <f>E5</f>
        <v>85.538200000000003</v>
      </c>
      <c r="Q26" s="85">
        <f>E6</f>
        <v>121.0536</v>
      </c>
      <c r="R26" s="6">
        <f t="shared" ref="R26:U37" si="8">(((760*22.4)*(273+J26))/(760*273))</f>
        <v>25.288205128205128</v>
      </c>
      <c r="S26" s="6">
        <f t="shared" si="8"/>
        <v>25.37846153846154</v>
      </c>
      <c r="T26" s="6">
        <f t="shared" si="8"/>
        <v>25.427692307692308</v>
      </c>
      <c r="U26" s="6">
        <f t="shared" si="8"/>
        <v>25.501538461538463</v>
      </c>
      <c r="V26" s="61">
        <f>((N26/(R26))*(0.016043))</f>
        <v>1.084022959360805E-2</v>
      </c>
      <c r="W26" s="61">
        <f t="shared" ref="W26:Y37" si="9">((O26/(S26))*(0.016043))</f>
        <v>3.0016262382395732E-2</v>
      </c>
      <c r="X26" s="61">
        <f t="shared" si="9"/>
        <v>5.3968300622579873E-2</v>
      </c>
      <c r="Y26" s="61">
        <f t="shared" si="9"/>
        <v>7.6154735045849423E-2</v>
      </c>
      <c r="Z26" s="53"/>
      <c r="AA26" s="65"/>
      <c r="AB26" s="33">
        <v>42.7</v>
      </c>
    </row>
    <row r="27" spans="1:28" s="33" customFormat="1" x14ac:dyDescent="0.25">
      <c r="A27" s="156" t="s">
        <v>62</v>
      </c>
      <c r="B27" s="160"/>
      <c r="C27" s="157" t="s">
        <v>74</v>
      </c>
      <c r="D27" s="103">
        <v>0</v>
      </c>
      <c r="E27" s="120">
        <v>11.832000000000001</v>
      </c>
      <c r="F27" s="120">
        <v>0.26594000000000001</v>
      </c>
      <c r="H27" s="155" t="s">
        <v>69</v>
      </c>
      <c r="I27" s="4"/>
      <c r="J27" s="90">
        <f t="shared" si="7"/>
        <v>33.9</v>
      </c>
      <c r="K27" s="90">
        <f t="shared" si="7"/>
        <v>36.299999999999997</v>
      </c>
      <c r="L27" s="90">
        <f t="shared" si="7"/>
        <v>37.9</v>
      </c>
      <c r="M27" s="90">
        <f t="shared" si="7"/>
        <v>38.200000000000003</v>
      </c>
      <c r="N27" s="85">
        <f>E7</f>
        <v>13.132200000000001</v>
      </c>
      <c r="O27" s="85">
        <f>E8</f>
        <v>38.148399999999995</v>
      </c>
      <c r="P27" s="85">
        <f>E9</f>
        <v>68.808400000000006</v>
      </c>
      <c r="Q27" s="85">
        <f>E10</f>
        <v>99.899200000000008</v>
      </c>
      <c r="R27" s="6">
        <f t="shared" si="8"/>
        <v>25.181538461538459</v>
      </c>
      <c r="S27" s="6">
        <f t="shared" si="8"/>
        <v>25.37846153846154</v>
      </c>
      <c r="T27" s="6">
        <f t="shared" si="8"/>
        <v>25.509743589743589</v>
      </c>
      <c r="U27" s="6">
        <f t="shared" si="8"/>
        <v>25.534358974358973</v>
      </c>
      <c r="V27" s="61">
        <f t="shared" ref="V27:V37" si="10">((N27/(R27))*(0.016043))</f>
        <v>8.3664421425953105E-3</v>
      </c>
      <c r="W27" s="61">
        <f t="shared" si="9"/>
        <v>2.4115519385305526E-2</v>
      </c>
      <c r="X27" s="61">
        <f t="shared" si="9"/>
        <v>4.3273393059263442E-2</v>
      </c>
      <c r="Y27" s="61">
        <f t="shared" si="9"/>
        <v>6.2765737225257093E-2</v>
      </c>
      <c r="Z27" s="53"/>
      <c r="AA27" s="65"/>
      <c r="AB27" s="33">
        <v>34.6</v>
      </c>
    </row>
    <row r="28" spans="1:28" s="33" customFormat="1" x14ac:dyDescent="0.25">
      <c r="A28" s="156" t="s">
        <v>62</v>
      </c>
      <c r="B28" s="160"/>
      <c r="C28" s="157" t="s">
        <v>74</v>
      </c>
      <c r="D28" s="103">
        <v>21</v>
      </c>
      <c r="E28" s="120">
        <v>35.000399999999999</v>
      </c>
      <c r="F28" s="120">
        <v>0.27439000000000002</v>
      </c>
      <c r="H28" s="155" t="s">
        <v>70</v>
      </c>
      <c r="I28" s="4"/>
      <c r="J28" s="90">
        <f t="shared" si="7"/>
        <v>36</v>
      </c>
      <c r="K28" s="90">
        <f t="shared" si="7"/>
        <v>34.4</v>
      </c>
      <c r="L28" s="90">
        <f t="shared" si="7"/>
        <v>35.9</v>
      </c>
      <c r="M28" s="90">
        <f t="shared" si="7"/>
        <v>35</v>
      </c>
      <c r="N28" s="85">
        <f>E11</f>
        <v>18.805800000000001</v>
      </c>
      <c r="O28" s="85">
        <f>E12</f>
        <v>46.112000000000002</v>
      </c>
      <c r="P28" s="85">
        <f>E13</f>
        <v>76.600999999999999</v>
      </c>
      <c r="Q28" s="85">
        <f>E14</f>
        <v>104.4298</v>
      </c>
      <c r="R28" s="6">
        <f t="shared" si="8"/>
        <v>25.353846153846153</v>
      </c>
      <c r="S28" s="6">
        <f t="shared" si="8"/>
        <v>25.2225641025641</v>
      </c>
      <c r="T28" s="6">
        <f t="shared" si="8"/>
        <v>25.345641025641022</v>
      </c>
      <c r="U28" s="6">
        <f t="shared" si="8"/>
        <v>25.271794871794871</v>
      </c>
      <c r="V28" s="61">
        <f t="shared" si="10"/>
        <v>1.1899632409587382E-2</v>
      </c>
      <c r="W28" s="61">
        <f t="shared" si="9"/>
        <v>2.9329881489915426E-2</v>
      </c>
      <c r="X28" s="61">
        <f t="shared" si="9"/>
        <v>4.8486043093436397E-2</v>
      </c>
      <c r="Y28" s="61">
        <f t="shared" si="9"/>
        <v>6.6293956954748379E-2</v>
      </c>
      <c r="Z28" s="53"/>
      <c r="AA28" s="65"/>
      <c r="AB28" s="33">
        <v>36.1</v>
      </c>
    </row>
    <row r="29" spans="1:28" s="33" customFormat="1" x14ac:dyDescent="0.25">
      <c r="A29" s="156" t="s">
        <v>62</v>
      </c>
      <c r="B29" s="160"/>
      <c r="C29" s="157" t="s">
        <v>74</v>
      </c>
      <c r="D29" s="103">
        <v>42</v>
      </c>
      <c r="E29" s="120">
        <v>62.255200000000002</v>
      </c>
      <c r="F29" s="120">
        <v>0.27643000000000001</v>
      </c>
      <c r="H29" s="155" t="s">
        <v>71</v>
      </c>
      <c r="I29" s="4"/>
      <c r="J29" s="90">
        <f t="shared" si="7"/>
        <v>36</v>
      </c>
      <c r="K29" s="90">
        <f t="shared" si="7"/>
        <v>36.6</v>
      </c>
      <c r="L29" s="90">
        <f t="shared" si="7"/>
        <v>39.1</v>
      </c>
      <c r="M29" s="90">
        <f t="shared" si="7"/>
        <v>39.1</v>
      </c>
      <c r="N29" s="85">
        <f>E15</f>
        <v>12.393000000000001</v>
      </c>
      <c r="O29" s="85">
        <f>E16</f>
        <v>41.872599999999998</v>
      </c>
      <c r="P29" s="85">
        <f>E17</f>
        <v>76.714600000000004</v>
      </c>
      <c r="Q29" s="85">
        <f>E18</f>
        <v>110.16679999999999</v>
      </c>
      <c r="R29" s="6">
        <f t="shared" si="8"/>
        <v>25.353846153846153</v>
      </c>
      <c r="S29" s="6">
        <f t="shared" si="8"/>
        <v>25.403076923076924</v>
      </c>
      <c r="T29" s="6">
        <f t="shared" si="8"/>
        <v>25.608205128205132</v>
      </c>
      <c r="U29" s="6">
        <f t="shared" si="8"/>
        <v>25.608205128205132</v>
      </c>
      <c r="V29" s="61">
        <f t="shared" si="10"/>
        <v>7.841843710558254E-3</v>
      </c>
      <c r="W29" s="61">
        <f t="shared" si="9"/>
        <v>2.6444124222989342E-2</v>
      </c>
      <c r="X29" s="61">
        <f t="shared" si="9"/>
        <v>4.8060077683635058E-2</v>
      </c>
      <c r="Y29" s="61">
        <f t="shared" si="9"/>
        <v>6.9017174907481563E-2</v>
      </c>
      <c r="Z29" s="53"/>
      <c r="AA29" s="65"/>
      <c r="AB29" s="33">
        <v>36.299999999999997</v>
      </c>
    </row>
    <row r="30" spans="1:28" s="33" customFormat="1" x14ac:dyDescent="0.25">
      <c r="A30" s="156" t="s">
        <v>62</v>
      </c>
      <c r="B30" s="160"/>
      <c r="C30" s="157" t="s">
        <v>74</v>
      </c>
      <c r="D30" s="103">
        <v>63</v>
      </c>
      <c r="E30" s="120">
        <v>87.564000000000007</v>
      </c>
      <c r="F30" s="120">
        <v>0.26723000000000002</v>
      </c>
      <c r="H30" s="155" t="s">
        <v>72</v>
      </c>
      <c r="I30" s="4"/>
      <c r="J30" s="90">
        <f t="shared" ref="J30:M30" si="11">J11</f>
        <v>39.9</v>
      </c>
      <c r="K30" s="90">
        <f t="shared" si="11"/>
        <v>40.9</v>
      </c>
      <c r="L30" s="90">
        <f t="shared" si="11"/>
        <v>42.9</v>
      </c>
      <c r="M30" s="90">
        <f t="shared" si="11"/>
        <v>42.7</v>
      </c>
      <c r="N30" s="85">
        <f>E19</f>
        <v>12.657400000000001</v>
      </c>
      <c r="O30" s="85">
        <f>E20</f>
        <v>41.162399999999998</v>
      </c>
      <c r="P30" s="85">
        <f>E21</f>
        <v>69.9024</v>
      </c>
      <c r="Q30" s="85">
        <f>E22</f>
        <v>95.167600000000007</v>
      </c>
      <c r="R30" s="6">
        <f t="shared" si="8"/>
        <v>25.673846153846153</v>
      </c>
      <c r="S30" s="6">
        <f t="shared" si="8"/>
        <v>25.755897435897435</v>
      </c>
      <c r="T30" s="6">
        <f t="shared" si="8"/>
        <v>25.919999999999998</v>
      </c>
      <c r="U30" s="6">
        <f t="shared" si="8"/>
        <v>25.903589743589741</v>
      </c>
      <c r="V30" s="61">
        <f t="shared" si="10"/>
        <v>7.9093201300335595E-3</v>
      </c>
      <c r="W30" s="61">
        <f t="shared" si="9"/>
        <v>2.5639501975947755E-2</v>
      </c>
      <c r="X30" s="61">
        <f t="shared" si="9"/>
        <v>4.3265594259259264E-2</v>
      </c>
      <c r="Y30" s="61">
        <f t="shared" si="9"/>
        <v>5.8940626450348449E-2</v>
      </c>
      <c r="Z30" s="53"/>
      <c r="AA30" s="65"/>
      <c r="AB30" s="33">
        <v>37.799999999999997</v>
      </c>
    </row>
    <row r="31" spans="1:28" s="33" customFormat="1" x14ac:dyDescent="0.25">
      <c r="A31" s="156" t="s">
        <v>62</v>
      </c>
      <c r="B31" s="160"/>
      <c r="C31" s="157" t="s">
        <v>75</v>
      </c>
      <c r="D31" s="103">
        <v>0</v>
      </c>
      <c r="E31" s="120">
        <v>13.377400000000002</v>
      </c>
      <c r="F31" s="120">
        <v>0.26430000000000003</v>
      </c>
      <c r="H31" s="155" t="s">
        <v>73</v>
      </c>
      <c r="I31" s="4"/>
      <c r="J31" s="90">
        <f t="shared" ref="J31:M31" si="12">J12</f>
        <v>34.6</v>
      </c>
      <c r="K31" s="90">
        <f t="shared" si="12"/>
        <v>36.1</v>
      </c>
      <c r="L31" s="90">
        <f t="shared" si="12"/>
        <v>36.299999999999997</v>
      </c>
      <c r="M31" s="90">
        <f t="shared" si="12"/>
        <v>37.799999999999997</v>
      </c>
      <c r="N31" s="85">
        <f>E23</f>
        <v>9.7598000000000003</v>
      </c>
      <c r="O31" s="85">
        <f>E24</f>
        <v>30.060200000000002</v>
      </c>
      <c r="P31" s="85">
        <f>E25</f>
        <v>54.2286</v>
      </c>
      <c r="Q31" s="85">
        <f>E26</f>
        <v>77.264399999999995</v>
      </c>
      <c r="R31" s="6">
        <f t="shared" si="8"/>
        <v>25.23897435897436</v>
      </c>
      <c r="S31" s="6">
        <f t="shared" si="8"/>
        <v>25.362051282051283</v>
      </c>
      <c r="T31" s="6">
        <f t="shared" si="8"/>
        <v>25.37846153846154</v>
      </c>
      <c r="U31" s="6">
        <f t="shared" si="8"/>
        <v>25.501538461538463</v>
      </c>
      <c r="V31" s="61">
        <f t="shared" si="10"/>
        <v>6.2037572990490909E-3</v>
      </c>
      <c r="W31" s="61">
        <f t="shared" si="9"/>
        <v>1.9014857403955032E-2</v>
      </c>
      <c r="X31" s="61">
        <f t="shared" si="9"/>
        <v>3.4280621324563533E-2</v>
      </c>
      <c r="Y31" s="61">
        <f t="shared" si="9"/>
        <v>4.8606979969835908E-2</v>
      </c>
      <c r="Z31" s="53"/>
      <c r="AA31" s="65"/>
      <c r="AB31" s="33">
        <v>36.4</v>
      </c>
    </row>
    <row r="32" spans="1:28" s="33" customFormat="1" x14ac:dyDescent="0.25">
      <c r="A32" s="156" t="s">
        <v>62</v>
      </c>
      <c r="B32" s="160"/>
      <c r="C32" s="157" t="s">
        <v>75</v>
      </c>
      <c r="D32" s="103">
        <v>21</v>
      </c>
      <c r="E32" s="120">
        <v>31.864800000000002</v>
      </c>
      <c r="F32" s="120">
        <v>0.26607000000000003</v>
      </c>
      <c r="H32" s="155" t="s">
        <v>74</v>
      </c>
      <c r="I32" s="4"/>
      <c r="J32" s="90">
        <f t="shared" ref="J32:L32" si="13">J13</f>
        <v>36.4</v>
      </c>
      <c r="K32" s="90">
        <f t="shared" si="13"/>
        <v>38.9</v>
      </c>
      <c r="L32" s="90">
        <f t="shared" si="13"/>
        <v>39.700000000000003</v>
      </c>
      <c r="M32" s="90">
        <f>M13</f>
        <v>41</v>
      </c>
      <c r="N32" s="85">
        <f>E27</f>
        <v>11.832000000000001</v>
      </c>
      <c r="O32" s="85">
        <f>E28</f>
        <v>35.000399999999999</v>
      </c>
      <c r="P32" s="85">
        <f>E29</f>
        <v>62.255200000000002</v>
      </c>
      <c r="Q32" s="85">
        <f>E30</f>
        <v>87.564000000000007</v>
      </c>
      <c r="R32" s="6">
        <f t="shared" si="8"/>
        <v>25.386666666666663</v>
      </c>
      <c r="S32" s="6">
        <f t="shared" si="8"/>
        <v>25.591794871794871</v>
      </c>
      <c r="T32" s="6">
        <f t="shared" si="8"/>
        <v>25.657435897435896</v>
      </c>
      <c r="U32" s="6">
        <f t="shared" si="8"/>
        <v>25.764102564102565</v>
      </c>
      <c r="V32" s="61">
        <f t="shared" si="10"/>
        <v>7.4771839285714316E-3</v>
      </c>
      <c r="W32" s="61">
        <f t="shared" si="9"/>
        <v>2.1941072129288235E-2</v>
      </c>
      <c r="X32" s="61">
        <f t="shared" si="9"/>
        <v>3.8926733660857055E-2</v>
      </c>
      <c r="Y32" s="61">
        <f t="shared" si="9"/>
        <v>5.4525060537420393E-2</v>
      </c>
      <c r="Z32" s="53"/>
      <c r="AA32" s="65"/>
      <c r="AB32" s="33">
        <v>38.9</v>
      </c>
    </row>
    <row r="33" spans="1:28" s="33" customFormat="1" x14ac:dyDescent="0.25">
      <c r="A33" s="156" t="s">
        <v>62</v>
      </c>
      <c r="B33" s="160"/>
      <c r="C33" s="157" t="s">
        <v>75</v>
      </c>
      <c r="D33" s="103">
        <v>42</v>
      </c>
      <c r="E33" s="120">
        <v>52.071399999999997</v>
      </c>
      <c r="F33" s="120">
        <v>0.26974000000000004</v>
      </c>
      <c r="H33" s="155" t="s">
        <v>75</v>
      </c>
      <c r="I33" s="4"/>
      <c r="J33" s="90">
        <f t="shared" ref="J33:M33" si="14">J14</f>
        <v>35.6</v>
      </c>
      <c r="K33" s="90">
        <f t="shared" si="14"/>
        <v>37.700000000000003</v>
      </c>
      <c r="L33" s="90">
        <f t="shared" si="14"/>
        <v>37.5</v>
      </c>
      <c r="M33" s="90">
        <f t="shared" si="14"/>
        <v>38.1</v>
      </c>
      <c r="N33" s="85">
        <f>E31</f>
        <v>13.377400000000002</v>
      </c>
      <c r="O33" s="85">
        <f>E32</f>
        <v>31.864800000000002</v>
      </c>
      <c r="P33" s="85">
        <f>E33</f>
        <v>52.071399999999997</v>
      </c>
      <c r="Q33" s="85">
        <f>E34</f>
        <v>70.583799999999997</v>
      </c>
      <c r="R33" s="6">
        <f t="shared" si="8"/>
        <v>25.321025641025642</v>
      </c>
      <c r="S33" s="6">
        <f t="shared" si="8"/>
        <v>25.493333333333332</v>
      </c>
      <c r="T33" s="6">
        <f t="shared" si="8"/>
        <v>25.476923076923075</v>
      </c>
      <c r="U33" s="6">
        <f t="shared" si="8"/>
        <v>25.526153846153846</v>
      </c>
      <c r="V33" s="61">
        <f t="shared" si="10"/>
        <v>8.4757083398817254E-3</v>
      </c>
      <c r="W33" s="61">
        <f t="shared" si="9"/>
        <v>2.0052575303347284E-2</v>
      </c>
      <c r="X33" s="61">
        <f t="shared" si="9"/>
        <v>3.2789731620169085E-2</v>
      </c>
      <c r="Y33" s="61">
        <f t="shared" si="9"/>
        <v>4.4361399301470587E-2</v>
      </c>
      <c r="Z33" s="53"/>
      <c r="AA33" s="53"/>
      <c r="AB33" s="33">
        <v>39.700000000000003</v>
      </c>
    </row>
    <row r="34" spans="1:28" s="33" customFormat="1" ht="13.8" thickBot="1" x14ac:dyDescent="0.3">
      <c r="A34" s="156" t="s">
        <v>62</v>
      </c>
      <c r="B34" s="161"/>
      <c r="C34" s="157" t="s">
        <v>75</v>
      </c>
      <c r="D34" s="103">
        <v>63</v>
      </c>
      <c r="E34" s="120">
        <v>70.583799999999997</v>
      </c>
      <c r="F34" s="120">
        <v>0.26201000000000002</v>
      </c>
      <c r="H34" s="155" t="s">
        <v>76</v>
      </c>
      <c r="I34" s="4"/>
      <c r="J34" s="90">
        <f t="shared" ref="J34:M34" si="15">J15</f>
        <v>36.799999999999997</v>
      </c>
      <c r="K34" s="90">
        <f t="shared" si="15"/>
        <v>37.4</v>
      </c>
      <c r="L34" s="90">
        <f t="shared" si="15"/>
        <v>38.299999999999997</v>
      </c>
      <c r="M34" s="90">
        <f t="shared" si="15"/>
        <v>38.299999999999997</v>
      </c>
      <c r="N34" s="85">
        <f>E35</f>
        <v>20.9434</v>
      </c>
      <c r="O34" s="85">
        <f>E36</f>
        <v>55.275199999999998</v>
      </c>
      <c r="P34" s="85">
        <f>E37</f>
        <v>91.933400000000006</v>
      </c>
      <c r="Q34" s="85">
        <f>E38</f>
        <v>126.55160000000001</v>
      </c>
      <c r="R34" s="6">
        <f t="shared" si="8"/>
        <v>25.419487179487181</v>
      </c>
      <c r="S34" s="6">
        <f t="shared" si="8"/>
        <v>25.468717948717948</v>
      </c>
      <c r="T34" s="6">
        <f t="shared" si="8"/>
        <v>25.542564102564103</v>
      </c>
      <c r="U34" s="6">
        <f t="shared" si="8"/>
        <v>25.542564102564103</v>
      </c>
      <c r="V34" s="61">
        <f t="shared" si="10"/>
        <v>1.321800726456585E-2</v>
      </c>
      <c r="W34" s="61">
        <f t="shared" si="9"/>
        <v>3.4818400964884019E-2</v>
      </c>
      <c r="X34" s="61">
        <f t="shared" si="9"/>
        <v>5.7742344514736595E-2</v>
      </c>
      <c r="Y34" s="61">
        <f t="shared" si="9"/>
        <v>7.9485650330469018E-2</v>
      </c>
      <c r="Z34" s="53"/>
      <c r="AA34" s="53"/>
      <c r="AB34" s="33">
        <v>41</v>
      </c>
    </row>
    <row r="35" spans="1:28" s="33" customFormat="1" ht="13.8" thickBot="1" x14ac:dyDescent="0.3">
      <c r="A35" s="119" t="s">
        <v>62</v>
      </c>
      <c r="B35" s="158"/>
      <c r="C35" s="123" t="s">
        <v>76</v>
      </c>
      <c r="D35" s="103">
        <v>0</v>
      </c>
      <c r="E35" s="120">
        <v>20.9434</v>
      </c>
      <c r="F35" s="120">
        <v>0.25512000000000001</v>
      </c>
      <c r="H35" s="162" t="s">
        <v>77</v>
      </c>
      <c r="I35" s="4"/>
      <c r="J35" s="90">
        <f t="shared" ref="J35:M35" si="16">J16</f>
        <v>40.799999999999997</v>
      </c>
      <c r="K35" s="90">
        <f t="shared" si="16"/>
        <v>42</v>
      </c>
      <c r="L35" s="90">
        <f t="shared" si="16"/>
        <v>41.7</v>
      </c>
      <c r="M35" s="90">
        <f t="shared" si="16"/>
        <v>43.1</v>
      </c>
      <c r="N35" s="85">
        <f>E39</f>
        <v>21.654600000000002</v>
      </c>
      <c r="O35" s="85">
        <f>E40</f>
        <v>62.033200000000001</v>
      </c>
      <c r="P35" s="85">
        <f>E41</f>
        <v>101.20740000000001</v>
      </c>
      <c r="Q35" s="85">
        <f>E42</f>
        <v>151.3588</v>
      </c>
      <c r="R35" s="6">
        <f t="shared" si="8"/>
        <v>25.747692307692308</v>
      </c>
      <c r="S35" s="6">
        <f t="shared" si="8"/>
        <v>25.846153846153847</v>
      </c>
      <c r="T35" s="6">
        <f t="shared" si="8"/>
        <v>25.821538461538459</v>
      </c>
      <c r="U35" s="6">
        <f t="shared" si="8"/>
        <v>25.936410256410259</v>
      </c>
      <c r="V35" s="61">
        <f t="shared" si="10"/>
        <v>1.3492655716419697E-2</v>
      </c>
      <c r="W35" s="61">
        <f t="shared" si="9"/>
        <v>3.8504708805952387E-2</v>
      </c>
      <c r="X35" s="61">
        <f t="shared" si="9"/>
        <v>6.2880463943636819E-2</v>
      </c>
      <c r="Y35" s="61">
        <f t="shared" si="9"/>
        <v>9.3623180864046196E-2</v>
      </c>
      <c r="Z35" s="53"/>
      <c r="AA35" s="53"/>
      <c r="AB35" s="33">
        <v>35.6</v>
      </c>
    </row>
    <row r="36" spans="1:28" s="33" customFormat="1" x14ac:dyDescent="0.25">
      <c r="A36" s="119" t="s">
        <v>62</v>
      </c>
      <c r="B36" s="106"/>
      <c r="C36" s="123" t="s">
        <v>76</v>
      </c>
      <c r="D36" s="103">
        <v>21</v>
      </c>
      <c r="E36" s="120">
        <v>55.275199999999998</v>
      </c>
      <c r="F36" s="120">
        <v>0.26313000000000003</v>
      </c>
      <c r="H36" s="139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/>
      <c r="AB36" s="33">
        <v>37.700000000000003</v>
      </c>
    </row>
    <row r="37" spans="1:28" s="33" customFormat="1" x14ac:dyDescent="0.25">
      <c r="A37" s="119" t="s">
        <v>62</v>
      </c>
      <c r="B37" s="106"/>
      <c r="C37" s="123" t="s">
        <v>76</v>
      </c>
      <c r="D37" s="103">
        <v>42</v>
      </c>
      <c r="E37" s="120">
        <v>91.933400000000006</v>
      </c>
      <c r="F37" s="120">
        <v>0.26483000000000001</v>
      </c>
      <c r="H37" s="139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/>
      <c r="AB37" s="33">
        <v>37.5</v>
      </c>
    </row>
    <row r="38" spans="1:28" s="33" customFormat="1" x14ac:dyDescent="0.25">
      <c r="A38" s="119" t="s">
        <v>62</v>
      </c>
      <c r="B38" s="106"/>
      <c r="C38" s="123" t="s">
        <v>76</v>
      </c>
      <c r="D38" s="103">
        <v>63</v>
      </c>
      <c r="E38" s="120">
        <v>126.55160000000001</v>
      </c>
      <c r="F38" s="120">
        <v>0.26467000000000002</v>
      </c>
      <c r="Z38" s="53"/>
      <c r="AA38" s="53"/>
      <c r="AB38" s="33">
        <v>38.1</v>
      </c>
    </row>
    <row r="39" spans="1:28" s="33" customFormat="1" x14ac:dyDescent="0.25">
      <c r="A39" s="119" t="s">
        <v>62</v>
      </c>
      <c r="B39" s="106"/>
      <c r="C39" s="123" t="s">
        <v>77</v>
      </c>
      <c r="D39" s="103">
        <v>0</v>
      </c>
      <c r="E39" s="120">
        <v>21.654600000000002</v>
      </c>
      <c r="F39" s="120">
        <v>0.25434000000000001</v>
      </c>
      <c r="Z39" s="53"/>
      <c r="AA39" s="53"/>
      <c r="AB39" s="33">
        <v>36.799999999999997</v>
      </c>
    </row>
    <row r="40" spans="1:28" s="33" customFormat="1" x14ac:dyDescent="0.25">
      <c r="A40" s="119" t="s">
        <v>62</v>
      </c>
      <c r="B40" s="106"/>
      <c r="C40" s="123" t="s">
        <v>77</v>
      </c>
      <c r="D40" s="103">
        <v>21</v>
      </c>
      <c r="E40" s="120">
        <v>62.033200000000001</v>
      </c>
      <c r="F40" s="120">
        <v>0.26337000000000005</v>
      </c>
      <c r="Z40" s="53"/>
      <c r="AA40" s="53"/>
      <c r="AB40" s="33">
        <v>37.4</v>
      </c>
    </row>
    <row r="41" spans="1:28" s="33" customFormat="1" x14ac:dyDescent="0.25">
      <c r="A41" s="119" t="s">
        <v>62</v>
      </c>
      <c r="B41" s="106"/>
      <c r="C41" s="123" t="s">
        <v>77</v>
      </c>
      <c r="D41" s="103">
        <v>42</v>
      </c>
      <c r="E41" s="120">
        <v>101.20740000000001</v>
      </c>
      <c r="F41" s="120">
        <v>0.25710000000000005</v>
      </c>
      <c r="Z41" s="53"/>
      <c r="AA41" s="53"/>
      <c r="AB41" s="33">
        <v>38.299999999999997</v>
      </c>
    </row>
    <row r="42" spans="1:28" s="33" customFormat="1" x14ac:dyDescent="0.25">
      <c r="A42" s="119" t="s">
        <v>62</v>
      </c>
      <c r="B42" s="106"/>
      <c r="C42" s="123" t="s">
        <v>77</v>
      </c>
      <c r="D42" s="103">
        <v>63</v>
      </c>
      <c r="E42" s="120">
        <v>151.3588</v>
      </c>
      <c r="F42" s="120">
        <v>0.25911000000000001</v>
      </c>
      <c r="Z42" s="53"/>
      <c r="AA42" s="53"/>
      <c r="AB42" s="33">
        <v>38.299999999999997</v>
      </c>
    </row>
    <row r="43" spans="1:28" s="33" customFormat="1" x14ac:dyDescent="0.25">
      <c r="A43" s="119" t="s">
        <v>62</v>
      </c>
      <c r="B43" s="121"/>
      <c r="C43" s="123" t="s">
        <v>66</v>
      </c>
      <c r="D43" s="103">
        <v>0</v>
      </c>
      <c r="E43" s="122"/>
      <c r="F43" s="122"/>
      <c r="Z43" s="53"/>
      <c r="AA43" s="53"/>
      <c r="AB43" s="33">
        <v>40.799999999999997</v>
      </c>
    </row>
    <row r="44" spans="1:28" s="33" customFormat="1" x14ac:dyDescent="0.25">
      <c r="A44" s="119" t="s">
        <v>62</v>
      </c>
      <c r="B44" s="121"/>
      <c r="C44" s="123" t="s">
        <v>66</v>
      </c>
      <c r="D44" s="103">
        <v>21</v>
      </c>
      <c r="E44" s="122"/>
      <c r="F44" s="122"/>
      <c r="Z44" s="53"/>
      <c r="AA44" s="53"/>
      <c r="AB44" s="33">
        <v>42</v>
      </c>
    </row>
    <row r="45" spans="1:28" s="33" customFormat="1" x14ac:dyDescent="0.25">
      <c r="A45" s="119" t="s">
        <v>62</v>
      </c>
      <c r="B45" s="121"/>
      <c r="C45" s="123" t="s">
        <v>66</v>
      </c>
      <c r="D45" s="103">
        <v>42</v>
      </c>
      <c r="E45" s="122"/>
      <c r="F45" s="122"/>
      <c r="Z45" s="53"/>
      <c r="AA45" s="53"/>
      <c r="AB45" s="33">
        <v>41.7</v>
      </c>
    </row>
    <row r="46" spans="1:28" s="33" customFormat="1" x14ac:dyDescent="0.25">
      <c r="A46" s="119" t="s">
        <v>62</v>
      </c>
      <c r="B46" s="121"/>
      <c r="C46" s="123" t="s">
        <v>66</v>
      </c>
      <c r="D46" s="103">
        <v>63</v>
      </c>
      <c r="E46" s="122"/>
      <c r="F46" s="122"/>
      <c r="Z46" s="53"/>
      <c r="AA46" s="53"/>
      <c r="AB46" s="33">
        <v>43.1</v>
      </c>
    </row>
    <row r="47" spans="1:28" s="33" customFormat="1" x14ac:dyDescent="0.25">
      <c r="A47" s="119" t="s">
        <v>62</v>
      </c>
      <c r="B47" s="121"/>
      <c r="C47" s="123" t="s">
        <v>66</v>
      </c>
      <c r="D47" s="103">
        <v>0</v>
      </c>
      <c r="E47" s="122"/>
      <c r="F47" s="122"/>
      <c r="Z47" s="53"/>
      <c r="AA47" s="53"/>
    </row>
    <row r="48" spans="1:28" s="33" customFormat="1" x14ac:dyDescent="0.25">
      <c r="A48" s="119" t="s">
        <v>62</v>
      </c>
      <c r="B48" s="121"/>
      <c r="C48" s="123" t="s">
        <v>66</v>
      </c>
      <c r="D48" s="103">
        <v>21</v>
      </c>
      <c r="E48" s="122"/>
      <c r="F48" s="122"/>
      <c r="Z48" s="53"/>
      <c r="AA48" s="53"/>
    </row>
    <row r="49" spans="1:27" s="33" customFormat="1" x14ac:dyDescent="0.25">
      <c r="A49" s="119" t="s">
        <v>62</v>
      </c>
      <c r="B49" s="121"/>
      <c r="C49" s="123" t="s">
        <v>66</v>
      </c>
      <c r="D49" s="103">
        <v>42</v>
      </c>
      <c r="E49" s="122"/>
      <c r="F49" s="122"/>
      <c r="Z49" s="53"/>
      <c r="AA49" s="53"/>
    </row>
    <row r="50" spans="1:27" s="33" customFormat="1" x14ac:dyDescent="0.25">
      <c r="A50" s="119" t="s">
        <v>62</v>
      </c>
      <c r="B50" s="121"/>
      <c r="C50" s="123" t="s">
        <v>66</v>
      </c>
      <c r="D50" s="103">
        <v>63</v>
      </c>
      <c r="E50" s="122"/>
      <c r="F50" s="122"/>
      <c r="Z50" s="53"/>
      <c r="AA50" s="53"/>
    </row>
    <row r="51" spans="1:27" s="33" customFormat="1" x14ac:dyDescent="0.25">
      <c r="B51" s="107"/>
      <c r="Z51" s="53"/>
      <c r="AA51" s="53"/>
    </row>
    <row r="52" spans="1:27" s="33" customFormat="1" x14ac:dyDescent="0.25">
      <c r="B52" s="107"/>
      <c r="Z52" s="53"/>
      <c r="AA52" s="53"/>
    </row>
    <row r="53" spans="1:27" s="33" customFormat="1" x14ac:dyDescent="0.25">
      <c r="B53" s="107"/>
      <c r="Z53" s="53"/>
      <c r="AA53" s="53"/>
    </row>
    <row r="54" spans="1:27" s="33" customFormat="1" x14ac:dyDescent="0.25">
      <c r="B54" s="107"/>
      <c r="Z54" s="53"/>
      <c r="AA54" s="53"/>
    </row>
    <row r="55" spans="1:27" s="33" customFormat="1" x14ac:dyDescent="0.25">
      <c r="B55" s="107"/>
      <c r="Z55" s="53"/>
      <c r="AA55" s="53"/>
    </row>
    <row r="56" spans="1:27" s="33" customFormat="1" x14ac:dyDescent="0.25">
      <c r="B56" s="107"/>
      <c r="Z56" s="53"/>
      <c r="AA56" s="53"/>
    </row>
    <row r="57" spans="1:27" s="33" customFormat="1" x14ac:dyDescent="0.25">
      <c r="B57" s="107"/>
      <c r="Z57" s="53"/>
      <c r="AA57" s="53"/>
    </row>
    <row r="58" spans="1:27" s="33" customFormat="1" x14ac:dyDescent="0.25">
      <c r="B58" s="107"/>
      <c r="Z58" s="53"/>
      <c r="AA58" s="53"/>
    </row>
    <row r="59" spans="1:27" s="33" customFormat="1" x14ac:dyDescent="0.25">
      <c r="B59" s="107"/>
      <c r="Z59" s="53"/>
      <c r="AA59" s="53"/>
    </row>
    <row r="60" spans="1:27" s="33" customFormat="1" x14ac:dyDescent="0.25">
      <c r="B60" s="107"/>
      <c r="Z60" s="53"/>
      <c r="AA60" s="53"/>
    </row>
    <row r="61" spans="1:27" s="33" customFormat="1" x14ac:dyDescent="0.25">
      <c r="B61" s="107"/>
      <c r="Z61" s="53"/>
      <c r="AA61" s="53"/>
    </row>
    <row r="62" spans="1:27" s="33" customFormat="1" x14ac:dyDescent="0.25">
      <c r="B62" s="107"/>
      <c r="Z62" s="53"/>
      <c r="AA62" s="53"/>
    </row>
    <row r="63" spans="1:27" s="33" customFormat="1" x14ac:dyDescent="0.25">
      <c r="B63" s="107"/>
      <c r="Z63" s="53"/>
      <c r="AA63" s="53"/>
    </row>
    <row r="64" spans="1:27" s="33" customFormat="1" x14ac:dyDescent="0.25">
      <c r="B64" s="107"/>
      <c r="Z64" s="53"/>
      <c r="AA64" s="53"/>
    </row>
    <row r="65" spans="2:27" s="33" customFormat="1" x14ac:dyDescent="0.25">
      <c r="B65" s="107"/>
      <c r="Z65" s="53"/>
      <c r="AA65" s="53"/>
    </row>
    <row r="66" spans="2:27" s="33" customFormat="1" x14ac:dyDescent="0.25">
      <c r="B66" s="107"/>
      <c r="Z66" s="53"/>
      <c r="AA66" s="53"/>
    </row>
    <row r="67" spans="2:27" s="33" customFormat="1" x14ac:dyDescent="0.25">
      <c r="B67" s="107"/>
      <c r="Z67" s="53"/>
      <c r="AA67" s="53"/>
    </row>
    <row r="68" spans="2:27" s="33" customFormat="1" x14ac:dyDescent="0.25">
      <c r="B68" s="107"/>
      <c r="Z68" s="53"/>
      <c r="AA68" s="53"/>
    </row>
    <row r="69" spans="2:27" s="33" customFormat="1" x14ac:dyDescent="0.25">
      <c r="B69" s="107"/>
      <c r="Z69" s="53"/>
      <c r="AA69" s="53"/>
    </row>
    <row r="70" spans="2:27" s="33" customFormat="1" x14ac:dyDescent="0.25">
      <c r="B70" s="107"/>
      <c r="Z70" s="53"/>
      <c r="AA70" s="53"/>
    </row>
    <row r="71" spans="2:27" s="33" customFormat="1" x14ac:dyDescent="0.25">
      <c r="B71" s="107"/>
      <c r="Z71" s="53"/>
      <c r="AA71" s="53"/>
    </row>
    <row r="72" spans="2:27" s="33" customFormat="1" x14ac:dyDescent="0.25">
      <c r="B72" s="107"/>
      <c r="Z72" s="53"/>
      <c r="AA72" s="53"/>
    </row>
    <row r="73" spans="2:27" s="33" customFormat="1" x14ac:dyDescent="0.25">
      <c r="B73" s="107"/>
      <c r="Z73" s="53"/>
      <c r="AA73" s="53"/>
    </row>
    <row r="74" spans="2:27" s="33" customFormat="1" x14ac:dyDescent="0.25">
      <c r="B74" s="107"/>
      <c r="Z74" s="53"/>
      <c r="AA74" s="53"/>
    </row>
    <row r="75" spans="2:27" s="33" customFormat="1" x14ac:dyDescent="0.25">
      <c r="B75" s="107"/>
      <c r="Z75" s="53"/>
      <c r="AA75" s="53"/>
    </row>
    <row r="76" spans="2:27" s="33" customFormat="1" x14ac:dyDescent="0.25">
      <c r="B76" s="107"/>
      <c r="Z76" s="53"/>
      <c r="AA76" s="53"/>
    </row>
    <row r="77" spans="2:27" s="33" customFormat="1" x14ac:dyDescent="0.25">
      <c r="B77" s="107"/>
      <c r="Z77" s="53"/>
      <c r="AA77" s="53"/>
    </row>
    <row r="78" spans="2:27" s="33" customFormat="1" x14ac:dyDescent="0.25">
      <c r="B78" s="107"/>
      <c r="Z78" s="53"/>
      <c r="AA78" s="53"/>
    </row>
    <row r="79" spans="2:27" s="33" customFormat="1" x14ac:dyDescent="0.25">
      <c r="B79" s="107"/>
      <c r="Z79" s="53"/>
      <c r="AA79" s="53"/>
    </row>
    <row r="80" spans="2:27" s="33" customFormat="1" x14ac:dyDescent="0.25">
      <c r="B80" s="107"/>
      <c r="Z80" s="53"/>
      <c r="AA80" s="53"/>
    </row>
    <row r="81" spans="2:27" s="33" customFormat="1" x14ac:dyDescent="0.25">
      <c r="B81" s="107"/>
      <c r="Z81" s="53"/>
      <c r="AA81" s="53"/>
    </row>
    <row r="82" spans="2:27" s="33" customFormat="1" x14ac:dyDescent="0.25">
      <c r="B82" s="107"/>
      <c r="Z82" s="53"/>
      <c r="AA82" s="53"/>
    </row>
    <row r="83" spans="2:27" s="33" customFormat="1" x14ac:dyDescent="0.25">
      <c r="B83" s="107"/>
      <c r="Z83" s="53"/>
      <c r="AA83" s="53"/>
    </row>
    <row r="84" spans="2:27" s="33" customFormat="1" x14ac:dyDescent="0.25">
      <c r="B84" s="107"/>
      <c r="Z84" s="53"/>
      <c r="AA84" s="53"/>
    </row>
    <row r="85" spans="2:27" s="33" customFormat="1" x14ac:dyDescent="0.25">
      <c r="B85" s="107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zoomScale="115" zoomScaleNormal="115" zoomScalePageLayoutView="150" workbookViewId="0">
      <selection activeCell="C11" sqref="C11"/>
    </sheetView>
  </sheetViews>
  <sheetFormatPr defaultColWidth="8.6640625" defaultRowHeight="13.2" x14ac:dyDescent="0.25"/>
  <cols>
    <col min="7" max="8" width="12.44140625" customWidth="1"/>
    <col min="9" max="9" width="15.109375" customWidth="1"/>
    <col min="11" max="11" width="9.6640625" customWidth="1"/>
    <col min="13" max="13" width="13.44140625" customWidth="1"/>
    <col min="14" max="14" width="11.44140625" customWidth="1"/>
    <col min="15" max="15" width="13.6640625" customWidth="1"/>
  </cols>
  <sheetData>
    <row r="1" spans="1:15" ht="12.75" customHeight="1" x14ac:dyDescent="0.25">
      <c r="C1" s="186" t="s">
        <v>20</v>
      </c>
      <c r="D1" s="186"/>
      <c r="E1" s="186"/>
      <c r="F1" s="186"/>
    </row>
    <row r="2" spans="1:15" x14ac:dyDescent="0.25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5">
      <c r="A3" s="177" t="s">
        <v>16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</row>
    <row r="4" spans="1:15" s="1" customFormat="1" ht="14.25" customHeight="1" x14ac:dyDescent="0.25">
      <c r="A4" s="29"/>
      <c r="B4" s="29"/>
      <c r="C4" s="185" t="s">
        <v>34</v>
      </c>
      <c r="D4" s="185"/>
      <c r="E4" s="185"/>
      <c r="F4" s="185"/>
      <c r="G4" s="188" t="s">
        <v>36</v>
      </c>
      <c r="H4" s="72" t="s">
        <v>35</v>
      </c>
      <c r="I4" s="187" t="s">
        <v>44</v>
      </c>
      <c r="J4" s="187" t="s">
        <v>21</v>
      </c>
      <c r="K4" s="190" t="s">
        <v>23</v>
      </c>
      <c r="L4" s="191" t="s">
        <v>31</v>
      </c>
      <c r="M4" s="29"/>
      <c r="N4" s="31"/>
      <c r="O4" s="31"/>
    </row>
    <row r="5" spans="1:15" ht="12.75" customHeight="1" x14ac:dyDescent="0.25">
      <c r="A5" s="180" t="s">
        <v>39</v>
      </c>
      <c r="B5" s="108"/>
      <c r="C5" s="185"/>
      <c r="D5" s="185"/>
      <c r="E5" s="185"/>
      <c r="F5" s="185"/>
      <c r="G5" s="188"/>
      <c r="H5" s="72"/>
      <c r="I5" s="187"/>
      <c r="J5" s="187"/>
      <c r="K5" s="190"/>
      <c r="L5" s="191"/>
      <c r="M5" s="189" t="s">
        <v>22</v>
      </c>
      <c r="N5" s="189"/>
      <c r="O5" s="189"/>
    </row>
    <row r="6" spans="1:15" ht="16.5" customHeight="1" x14ac:dyDescent="0.25">
      <c r="A6" s="180"/>
      <c r="B6" s="108" t="s">
        <v>61</v>
      </c>
      <c r="C6" s="113">
        <v>0</v>
      </c>
      <c r="D6" s="113">
        <v>21</v>
      </c>
      <c r="E6" s="113">
        <v>42</v>
      </c>
      <c r="F6" s="113">
        <v>63</v>
      </c>
      <c r="G6" s="63"/>
      <c r="H6" s="72"/>
      <c r="I6" s="71"/>
      <c r="J6" s="50"/>
      <c r="K6" s="190"/>
      <c r="L6" s="191"/>
      <c r="M6" s="32" t="s">
        <v>29</v>
      </c>
      <c r="N6" s="32" t="s">
        <v>30</v>
      </c>
      <c r="O6" s="32" t="s">
        <v>38</v>
      </c>
    </row>
    <row r="7" spans="1:15" s="64" customFormat="1" ht="13.8" thickBot="1" x14ac:dyDescent="0.3"/>
    <row r="8" spans="1:15" x14ac:dyDescent="0.25">
      <c r="A8" s="154" t="s">
        <v>68</v>
      </c>
      <c r="B8" s="100"/>
      <c r="C8" s="68">
        <f>'GC rawdata'!V7</f>
        <v>4.4034528917910446E-4</v>
      </c>
      <c r="D8" s="68">
        <f>'GC rawdata'!W7</f>
        <v>4.5960824387730363E-4</v>
      </c>
      <c r="E8" s="68">
        <f>'GC rawdata'!X7</f>
        <v>4.7890124013794772E-4</v>
      </c>
      <c r="F8" s="68">
        <f>'GC rawdata'!Y7</f>
        <v>4.6313742121138995E-4</v>
      </c>
      <c r="G8" s="84" t="str">
        <f>+IF((ABS(F8-C8))&gt;0.000183,"PASS","FAIL")</f>
        <v>FAIL</v>
      </c>
      <c r="H8" s="26">
        <f>+RSQ(C8:F8,$C$2:$F$2)</f>
        <v>0.51064554868036827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55.410757387280896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5">
      <c r="A9" s="155" t="s">
        <v>69</v>
      </c>
      <c r="B9" s="100"/>
      <c r="C9" s="68">
        <f>'GC rawdata'!V8</f>
        <v>4.6458325879765406E-4</v>
      </c>
      <c r="D9" s="68">
        <f>'GC rawdata'!W8</f>
        <v>4.5506436402764308E-4</v>
      </c>
      <c r="E9" s="68">
        <f>'GC rawdata'!X8</f>
        <v>4.5753625389996787E-4</v>
      </c>
      <c r="F9" s="68">
        <f>'GC rawdata'!Y8</f>
        <v>4.8438161899501934E-4</v>
      </c>
      <c r="G9" s="84" t="str">
        <f t="shared" ref="G9:G19" si="0">+IF((ABS(F9-C9))&gt;0.000183,"PASS","FAIL")</f>
        <v>FAIL</v>
      </c>
      <c r="H9" s="26">
        <f t="shared" ref="H9:H19" si="1">+RSQ(C9:F9,$C$2:$F$2)</f>
        <v>0.36133753316401512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55.274058836923714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5">
      <c r="A10" s="155" t="s">
        <v>70</v>
      </c>
      <c r="B10" s="100"/>
      <c r="C10" s="68">
        <f>'GC rawdata'!V9</f>
        <v>4.4842333865291266E-4</v>
      </c>
      <c r="D10" s="68">
        <f>'GC rawdata'!W9</f>
        <v>4.6056439673471057E-4</v>
      </c>
      <c r="E10" s="68">
        <f>'GC rawdata'!X9</f>
        <v>4.6211360478714799E-4</v>
      </c>
      <c r="F10" s="68">
        <f>'GC rawdata'!Y9</f>
        <v>4.6907197055600649E-4</v>
      </c>
      <c r="G10" s="84" t="str">
        <f t="shared" si="0"/>
        <v>FAIL</v>
      </c>
      <c r="H10" s="26">
        <f t="shared" si="1"/>
        <v>0.91172837951417152</v>
      </c>
      <c r="I10" s="84" t="str">
        <f t="shared" si="2"/>
        <v>LIN</v>
      </c>
      <c r="J10" s="84" t="str">
        <f t="shared" si="3"/>
        <v>0</v>
      </c>
      <c r="K10" s="27">
        <f>'Field data'!K12</f>
        <v>54.38551825960208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5">
      <c r="A11" s="155" t="s">
        <v>71</v>
      </c>
      <c r="B11" s="100"/>
      <c r="C11" s="68">
        <f>'GC rawdata'!V10</f>
        <v>4.6757129817961166E-4</v>
      </c>
      <c r="D11" s="68">
        <f>'GC rawdata'!W10</f>
        <v>4.5890299333817833E-4</v>
      </c>
      <c r="E11" s="68">
        <f>'GC rawdata'!X10</f>
        <v>4.5711768479653951E-4</v>
      </c>
      <c r="F11" s="68">
        <f>'GC rawdata'!Y10</f>
        <v>4.6806609678388332E-4</v>
      </c>
      <c r="G11" s="84" t="str">
        <f t="shared" si="0"/>
        <v>FAIL</v>
      </c>
      <c r="H11" s="26">
        <f t="shared" si="1"/>
        <v>4.6235956530476212E-5</v>
      </c>
      <c r="I11" s="84" t="str">
        <f t="shared" si="2"/>
        <v>MISS</v>
      </c>
      <c r="J11" s="86" t="str">
        <f t="shared" si="3"/>
        <v>0</v>
      </c>
      <c r="K11" s="27">
        <f>'Field data'!K13</f>
        <v>54.436780215986019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5">
      <c r="A12" s="155" t="s">
        <v>72</v>
      </c>
      <c r="B12" s="100"/>
      <c r="C12" s="68">
        <f>'GC rawdata'!V11</f>
        <v>4.6532646290747842E-4</v>
      </c>
      <c r="D12" s="68">
        <f>'GC rawdata'!W11</f>
        <v>4.696884637822555E-4</v>
      </c>
      <c r="E12" s="68">
        <f>'GC rawdata'!X11</f>
        <v>4.5443775771604944E-4</v>
      </c>
      <c r="F12" s="68">
        <f>'GC rawdata'!Y11</f>
        <v>4.5063070622822297E-4</v>
      </c>
      <c r="G12" s="84" t="str">
        <f t="shared" si="0"/>
        <v>FAIL</v>
      </c>
      <c r="H12" s="26">
        <f t="shared" si="1"/>
        <v>0.73062428900575516</v>
      </c>
      <c r="I12" s="84" t="str">
        <f t="shared" si="2"/>
        <v>MISS</v>
      </c>
      <c r="J12" s="86" t="str">
        <f t="shared" si="3"/>
        <v>0</v>
      </c>
      <c r="K12" s="27">
        <f>'Field data'!K14</f>
        <v>53.41154108830721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5">
      <c r="A13" s="155" t="s">
        <v>73</v>
      </c>
      <c r="B13" s="100"/>
      <c r="C13" s="68">
        <f>'GC rawdata'!V12</f>
        <v>4.7051901440588428E-4</v>
      </c>
      <c r="D13" s="68">
        <f>'GC rawdata'!W12</f>
        <v>4.635673806211582E-4</v>
      </c>
      <c r="E13" s="68">
        <f>'GC rawdata'!X12</f>
        <v>4.588451495514064E-4</v>
      </c>
      <c r="F13" s="68">
        <f>'GC rawdata'!Y12</f>
        <v>4.5940940142374519E-4</v>
      </c>
      <c r="G13" s="84" t="str">
        <f t="shared" si="0"/>
        <v>FAIL</v>
      </c>
      <c r="H13" s="26">
        <f t="shared" si="1"/>
        <v>0.8322739194327643</v>
      </c>
      <c r="I13" s="84" t="str">
        <f t="shared" si="2"/>
        <v>MISS</v>
      </c>
      <c r="J13" s="86" t="str">
        <f t="shared" si="3"/>
        <v>0</v>
      </c>
      <c r="K13" s="27">
        <f>'Field data'!K15</f>
        <v>54.33425630321814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5">
      <c r="A14" s="155" t="s">
        <v>74</v>
      </c>
      <c r="B14" s="153"/>
      <c r="C14" s="68">
        <f>'GC rawdata'!V13</f>
        <v>4.6107207825630257E-4</v>
      </c>
      <c r="D14" s="68">
        <f>'GC rawdata'!W13</f>
        <v>4.7190912245511382E-4</v>
      </c>
      <c r="E14" s="68">
        <f>'GC rawdata'!X13</f>
        <v>4.7420132193396223E-4</v>
      </c>
      <c r="F14" s="68">
        <f>'GC rawdata'!Y13</f>
        <v>4.5652128541003186E-4</v>
      </c>
      <c r="G14" s="84" t="str">
        <f t="shared" si="0"/>
        <v>FAIL</v>
      </c>
      <c r="H14" s="26">
        <f t="shared" si="1"/>
        <v>2.9833766984984269E-2</v>
      </c>
      <c r="I14" s="84" t="str">
        <f t="shared" si="2"/>
        <v>MISS</v>
      </c>
      <c r="J14" s="86" t="str">
        <f t="shared" si="3"/>
        <v>0</v>
      </c>
      <c r="K14" s="26">
        <f>'Field data'!K16</f>
        <v>53.599501595048324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x14ac:dyDescent="0.25">
      <c r="A15" s="155" t="s">
        <v>75</v>
      </c>
      <c r="B15" s="153"/>
      <c r="C15" s="68">
        <f>'GC rawdata'!V14</f>
        <v>4.5941662730881403E-4</v>
      </c>
      <c r="D15" s="68">
        <f>'GC rawdata'!W14</f>
        <v>4.5936735015690382E-4</v>
      </c>
      <c r="E15" s="68">
        <f>'GC rawdata'!X14</f>
        <v>4.6600354070048313E-4</v>
      </c>
      <c r="F15" s="68">
        <f>'GC rawdata'!Y14</f>
        <v>4.51776174722758E-4</v>
      </c>
      <c r="G15" s="84" t="str">
        <f t="shared" si="0"/>
        <v>FAIL</v>
      </c>
      <c r="H15" s="26">
        <f t="shared" si="1"/>
        <v>0.13069219615628461</v>
      </c>
      <c r="I15" s="84" t="str">
        <f t="shared" si="2"/>
        <v>MISS</v>
      </c>
      <c r="J15" s="86" t="str">
        <f t="shared" si="3"/>
        <v>0</v>
      </c>
      <c r="K15" s="26">
        <f>'Field data'!K17</f>
        <v>54.009597246119853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5">
      <c r="A16" s="155" t="s">
        <v>76</v>
      </c>
      <c r="B16" s="153"/>
      <c r="C16" s="68">
        <f>'GC rawdata'!V15</f>
        <v>4.4174186523563585E-4</v>
      </c>
      <c r="D16" s="68">
        <f>'GC rawdata'!W15</f>
        <v>4.5473053819668175E-4</v>
      </c>
      <c r="E16" s="68">
        <f>'GC rawdata'!X15</f>
        <v>4.5634524291278503E-4</v>
      </c>
      <c r="F16" s="68">
        <f>'GC rawdata'!Y15</f>
        <v>4.5606953684147121E-4</v>
      </c>
      <c r="G16" s="84" t="str">
        <f t="shared" si="0"/>
        <v>FAIL</v>
      </c>
      <c r="H16" s="26">
        <f t="shared" si="1"/>
        <v>0.6722597547019088</v>
      </c>
      <c r="I16" s="84" t="str">
        <f t="shared" si="2"/>
        <v>MISS</v>
      </c>
      <c r="J16" s="86" t="str">
        <f t="shared" si="3"/>
        <v>0</v>
      </c>
      <c r="K16" s="26">
        <f>'Field data'!K18</f>
        <v>54.470954853575321</v>
      </c>
      <c r="L16" s="26">
        <f>'Field data'!L18*0.0001</f>
        <v>6.8349275178587507E-2</v>
      </c>
      <c r="M16" s="6">
        <f t="shared" si="4"/>
        <v>0</v>
      </c>
      <c r="N16" s="6">
        <f t="shared" si="5"/>
        <v>0</v>
      </c>
      <c r="O16" s="6">
        <f t="shared" si="6"/>
        <v>0</v>
      </c>
    </row>
    <row r="17" spans="1:15" s="138" customFormat="1" ht="13.8" thickBot="1" x14ac:dyDescent="0.3">
      <c r="A17" s="162" t="s">
        <v>77</v>
      </c>
      <c r="B17" s="153"/>
      <c r="C17" s="68">
        <f>'GC rawdata'!V16</f>
        <v>4.3477763467973234E-4</v>
      </c>
      <c r="D17" s="68">
        <f>'GC rawdata'!W16</f>
        <v>4.4849873017857144E-4</v>
      </c>
      <c r="E17" s="68">
        <f>'GC rawdata'!X16</f>
        <v>4.3823877561963788E-4</v>
      </c>
      <c r="F17" s="68">
        <f>'GC rawdata'!Y16</f>
        <v>4.3970878881287567E-4</v>
      </c>
      <c r="G17" s="84" t="str">
        <f t="shared" si="0"/>
        <v>FAIL</v>
      </c>
      <c r="H17" s="26">
        <f t="shared" si="1"/>
        <v>1.0043956756539834E-2</v>
      </c>
      <c r="I17" s="84" t="str">
        <f t="shared" si="2"/>
        <v>MISS</v>
      </c>
      <c r="J17" s="86" t="str">
        <f t="shared" si="3"/>
        <v>0</v>
      </c>
      <c r="K17" s="26">
        <f>'Field data'!K19</f>
        <v>51.907857034378281</v>
      </c>
      <c r="L17" s="26">
        <f>'Field data'!L19*0.0001</f>
        <v>6.8349275178587507E-2</v>
      </c>
      <c r="M17" s="6">
        <f t="shared" si="4"/>
        <v>0</v>
      </c>
      <c r="N17" s="6">
        <f t="shared" si="5"/>
        <v>0</v>
      </c>
      <c r="O17" s="6">
        <f t="shared" si="6"/>
        <v>0</v>
      </c>
    </row>
    <row r="18" spans="1:15" s="138" customFormat="1" x14ac:dyDescent="0.25">
      <c r="A18" s="131" t="s">
        <v>66</v>
      </c>
      <c r="B18" s="132"/>
      <c r="C18" s="133">
        <f>'GC rawdata'!V17</f>
        <v>0</v>
      </c>
      <c r="D18" s="133">
        <f>'GC rawdata'!W17</f>
        <v>0</v>
      </c>
      <c r="E18" s="133">
        <f>'GC rawdata'!X17</f>
        <v>0</v>
      </c>
      <c r="F18" s="133">
        <f>'GC rawdata'!Y17</f>
        <v>0</v>
      </c>
      <c r="G18" s="134" t="str">
        <f t="shared" si="0"/>
        <v>FAIL</v>
      </c>
      <c r="H18" s="135" t="e">
        <f t="shared" si="1"/>
        <v>#DIV/0!</v>
      </c>
      <c r="I18" s="134" t="e">
        <f t="shared" si="2"/>
        <v>#DIV/0!</v>
      </c>
      <c r="J18" s="136" t="str">
        <f t="shared" si="3"/>
        <v>0</v>
      </c>
      <c r="K18" s="135" t="e">
        <f>'Field data'!K20</f>
        <v>#DIV/0!</v>
      </c>
      <c r="L18" s="135">
        <f>'Field data'!L20*0.0001</f>
        <v>6.8349275178587507E-2</v>
      </c>
      <c r="M18" s="137" t="e">
        <f t="shared" si="4"/>
        <v>#DIV/0!</v>
      </c>
      <c r="N18" s="137" t="e">
        <f t="shared" si="5"/>
        <v>#DIV/0!</v>
      </c>
      <c r="O18" s="137" t="e">
        <f t="shared" si="6"/>
        <v>#DIV/0!</v>
      </c>
    </row>
    <row r="19" spans="1:15" s="138" customFormat="1" x14ac:dyDescent="0.25">
      <c r="A19" s="131" t="s">
        <v>66</v>
      </c>
      <c r="B19" s="132"/>
      <c r="C19" s="133">
        <f>'GC rawdata'!V18</f>
        <v>0</v>
      </c>
      <c r="D19" s="133">
        <f>'GC rawdata'!W18</f>
        <v>0</v>
      </c>
      <c r="E19" s="133">
        <f>'GC rawdata'!X18</f>
        <v>0</v>
      </c>
      <c r="F19" s="133">
        <f>'GC rawdata'!Y18</f>
        <v>0</v>
      </c>
      <c r="G19" s="134" t="str">
        <f t="shared" si="0"/>
        <v>FAIL</v>
      </c>
      <c r="H19" s="135" t="e">
        <f t="shared" si="1"/>
        <v>#DIV/0!</v>
      </c>
      <c r="I19" s="134" t="e">
        <f t="shared" si="2"/>
        <v>#DIV/0!</v>
      </c>
      <c r="J19" s="136" t="str">
        <f t="shared" si="3"/>
        <v>0</v>
      </c>
      <c r="K19" s="135" t="e">
        <f>'Field data'!K21</f>
        <v>#DIV/0!</v>
      </c>
      <c r="L19" s="135">
        <f>'Field data'!L21*0.0001</f>
        <v>6.8349275178587507E-2</v>
      </c>
      <c r="M19" s="137" t="e">
        <f t="shared" si="4"/>
        <v>#DIV/0!</v>
      </c>
      <c r="N19" s="137" t="e">
        <f t="shared" si="5"/>
        <v>#DIV/0!</v>
      </c>
      <c r="O19" s="137" t="e">
        <f t="shared" si="6"/>
        <v>#DIV/0!</v>
      </c>
    </row>
    <row r="22" spans="1:15" x14ac:dyDescent="0.25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5" x14ac:dyDescent="0.25">
      <c r="A23" s="192" t="s">
        <v>15</v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</row>
    <row r="24" spans="1:15" x14ac:dyDescent="0.25">
      <c r="A24" s="46"/>
      <c r="B24" s="46"/>
      <c r="C24" s="193" t="s">
        <v>45</v>
      </c>
      <c r="D24" s="193"/>
      <c r="E24" s="193"/>
      <c r="F24" s="193"/>
      <c r="G24" s="194" t="s">
        <v>36</v>
      </c>
      <c r="H24" s="48" t="s">
        <v>35</v>
      </c>
      <c r="I24" s="195" t="s">
        <v>44</v>
      </c>
      <c r="J24" s="195" t="s">
        <v>21</v>
      </c>
      <c r="K24" s="196" t="s">
        <v>23</v>
      </c>
      <c r="L24" s="197" t="s">
        <v>31</v>
      </c>
      <c r="M24" s="46"/>
      <c r="N24" s="47"/>
      <c r="O24" s="47"/>
    </row>
    <row r="25" spans="1:15" x14ac:dyDescent="0.25">
      <c r="A25" s="198" t="s">
        <v>39</v>
      </c>
      <c r="B25" s="109"/>
      <c r="C25" s="193"/>
      <c r="D25" s="193"/>
      <c r="E25" s="193"/>
      <c r="F25" s="193"/>
      <c r="G25" s="194"/>
      <c r="H25" s="48"/>
      <c r="I25" s="195"/>
      <c r="J25" s="195"/>
      <c r="K25" s="196"/>
      <c r="L25" s="197"/>
      <c r="M25" s="199" t="s">
        <v>46</v>
      </c>
      <c r="N25" s="199"/>
      <c r="O25" s="199"/>
    </row>
    <row r="26" spans="1:15" ht="22.2" x14ac:dyDescent="0.25">
      <c r="A26" s="198"/>
      <c r="B26" s="109" t="s">
        <v>61</v>
      </c>
      <c r="C26" s="114">
        <v>0</v>
      </c>
      <c r="D26" s="114">
        <v>21</v>
      </c>
      <c r="E26" s="114">
        <v>42</v>
      </c>
      <c r="F26" s="114">
        <v>63</v>
      </c>
      <c r="G26" s="73"/>
      <c r="H26" s="48"/>
      <c r="I26" s="73"/>
      <c r="J26" s="66"/>
      <c r="K26" s="196"/>
      <c r="L26" s="197"/>
      <c r="M26" s="49" t="s">
        <v>29</v>
      </c>
      <c r="N26" s="49" t="s">
        <v>30</v>
      </c>
      <c r="O26" s="49" t="s">
        <v>38</v>
      </c>
    </row>
    <row r="27" spans="1:15" ht="13.8" thickBot="1" x14ac:dyDescent="0.3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25">
      <c r="A28" s="154" t="s">
        <v>68</v>
      </c>
      <c r="B28" s="100"/>
      <c r="C28" s="68">
        <f>'GC rawdata'!V26</f>
        <v>1.084022959360805E-2</v>
      </c>
      <c r="D28" s="68">
        <f>'GC rawdata'!W26</f>
        <v>3.0016262382395732E-2</v>
      </c>
      <c r="E28" s="68">
        <f>'GC rawdata'!X26</f>
        <v>5.3968300622579873E-2</v>
      </c>
      <c r="F28" s="68">
        <f>'GC rawdata'!Y26</f>
        <v>7.6154735045849423E-2</v>
      </c>
      <c r="G28" s="84" t="str">
        <f>+IF((ABS(F28-C28))&gt;0.000183,"PASS","FAIL")</f>
        <v>PASS</v>
      </c>
      <c r="H28" s="26">
        <f>+RSQ(C28:F28,$C$2:$F$2)</f>
        <v>0.99818122805612874</v>
      </c>
      <c r="I28" s="84" t="str">
        <f>IF(H28&gt;0.845,"LIN","MISS")</f>
        <v>LIN</v>
      </c>
      <c r="J28" s="86">
        <f>IF(G28="FAIL","0",IF(I28="LIN",+SLOPE(C28:F28,$C$2:$F$2),"MISS"))</f>
        <v>1.0471216885567058E-3</v>
      </c>
      <c r="K28" s="27">
        <f>'Field data'!K10</f>
        <v>55.410757387280896</v>
      </c>
      <c r="L28" s="27">
        <f>'Field data'!L10*0.0001</f>
        <v>6.8349275178587507E-2</v>
      </c>
      <c r="M28" s="28">
        <f>IF(J28="MISS","MISS",((K28/L28)*J28))</f>
        <v>0.84890155291292146</v>
      </c>
      <c r="N28" s="28">
        <f>IF(M28="MISS","MISS",M28*60)</f>
        <v>50.934093174775285</v>
      </c>
      <c r="O28" s="28">
        <f>IF(N28="MISS","MISS",N28*240)</f>
        <v>12224.182361946068</v>
      </c>
    </row>
    <row r="29" spans="1:15" x14ac:dyDescent="0.25">
      <c r="A29" s="155" t="s">
        <v>69</v>
      </c>
      <c r="B29" s="100"/>
      <c r="C29" s="68">
        <f>'GC rawdata'!V27</f>
        <v>8.3664421425953105E-3</v>
      </c>
      <c r="D29" s="68">
        <f>'GC rawdata'!W27</f>
        <v>2.4115519385305526E-2</v>
      </c>
      <c r="E29" s="68">
        <f>'GC rawdata'!X27</f>
        <v>4.3273393059263442E-2</v>
      </c>
      <c r="F29" s="68">
        <f>'GC rawdata'!Y27</f>
        <v>6.2765737225257093E-2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0.99761463428505903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8.6836075677115831E-4</v>
      </c>
      <c r="K29" s="27">
        <f>'Field data'!K11</f>
        <v>55.274058836923714</v>
      </c>
      <c r="L29" s="27">
        <f>'Field data'!L11*0.0001</f>
        <v>6.8349275178587507E-2</v>
      </c>
      <c r="M29" s="28">
        <f t="shared" ref="M29:M39" si="11">IF(J29="MISS","MISS",((K29/L29)*J29))</f>
        <v>0.70224334400083566</v>
      </c>
      <c r="N29" s="28">
        <f t="shared" ref="N29:N39" si="12">IF(M29="MISS","MISS",M29*60)</f>
        <v>42.134600640050138</v>
      </c>
      <c r="O29" s="28">
        <f t="shared" ref="O29" si="13">IF(N29="MISS","MISS",N29*240)</f>
        <v>10112.304153612033</v>
      </c>
    </row>
    <row r="30" spans="1:15" x14ac:dyDescent="0.25">
      <c r="A30" s="155" t="s">
        <v>70</v>
      </c>
      <c r="B30" s="100"/>
      <c r="C30" s="68">
        <f>'GC rawdata'!V28</f>
        <v>1.1899632409587382E-2</v>
      </c>
      <c r="D30" s="68">
        <f>'GC rawdata'!W28</f>
        <v>2.9329881489915426E-2</v>
      </c>
      <c r="E30" s="68">
        <f>'GC rawdata'!X28</f>
        <v>4.8486043093436397E-2</v>
      </c>
      <c r="F30" s="68">
        <f>'GC rawdata'!Y28</f>
        <v>6.6293956954748379E-2</v>
      </c>
      <c r="G30" s="84" t="str">
        <f t="shared" si="7"/>
        <v>PASS</v>
      </c>
      <c r="H30" s="26">
        <f t="shared" si="8"/>
        <v>0.99969439836544971</v>
      </c>
      <c r="I30" s="84" t="str">
        <f t="shared" si="9"/>
        <v>LIN</v>
      </c>
      <c r="J30" s="86">
        <f t="shared" si="10"/>
        <v>8.6828159637620931E-4</v>
      </c>
      <c r="K30" s="27">
        <f>'Field data'!K12</f>
        <v>54.38551825960208</v>
      </c>
      <c r="L30" s="27">
        <f>'Field data'!L12*0.0001</f>
        <v>6.8349275178587507E-2</v>
      </c>
      <c r="M30" s="28">
        <f t="shared" si="11"/>
        <v>0.69089166623654974</v>
      </c>
      <c r="N30" s="28">
        <f t="shared" si="12"/>
        <v>41.453499974192987</v>
      </c>
      <c r="O30" s="28">
        <f t="shared" ref="O30" si="14">IF(N30="MISS","MISS",N30*240)</f>
        <v>9948.8399938063176</v>
      </c>
    </row>
    <row r="31" spans="1:15" x14ac:dyDescent="0.25">
      <c r="A31" s="155" t="s">
        <v>71</v>
      </c>
      <c r="B31" s="100"/>
      <c r="C31" s="68">
        <f>'GC rawdata'!V29</f>
        <v>7.841843710558254E-3</v>
      </c>
      <c r="D31" s="68">
        <f>'GC rawdata'!W29</f>
        <v>2.6444124222989342E-2</v>
      </c>
      <c r="E31" s="68">
        <f>'GC rawdata'!X29</f>
        <v>4.8060077683635058E-2</v>
      </c>
      <c r="F31" s="68">
        <f>'GC rawdata'!Y29</f>
        <v>6.9017174907481563E-2</v>
      </c>
      <c r="G31" s="84" t="str">
        <f t="shared" si="7"/>
        <v>PASS</v>
      </c>
      <c r="H31" s="26">
        <f>+RSQ(C31:F31,$C$2:$F$2)</f>
        <v>0.99902163002195199</v>
      </c>
      <c r="I31" s="84" t="str">
        <f t="shared" si="9"/>
        <v>LIN</v>
      </c>
      <c r="J31" s="86">
        <f t="shared" si="10"/>
        <v>9.7686641453055079E-4</v>
      </c>
      <c r="K31" s="27">
        <f>'Field data'!K13</f>
        <v>54.436780215986019</v>
      </c>
      <c r="L31" s="27">
        <f>'Field data'!L13*0.0001</f>
        <v>6.8349275178587507E-2</v>
      </c>
      <c r="M31" s="28">
        <f t="shared" si="11"/>
        <v>0.77802525585285709</v>
      </c>
      <c r="N31" s="28">
        <f t="shared" si="12"/>
        <v>46.681515351171427</v>
      </c>
      <c r="O31" s="28">
        <f t="shared" ref="O31:O39" si="15">IF(N31="MISS","MISS",N31*240)</f>
        <v>11203.563684281142</v>
      </c>
    </row>
    <row r="32" spans="1:15" x14ac:dyDescent="0.25">
      <c r="A32" s="155" t="s">
        <v>72</v>
      </c>
      <c r="B32" s="100"/>
      <c r="C32" s="68">
        <f>'GC rawdata'!V30</f>
        <v>7.9093201300335595E-3</v>
      </c>
      <c r="D32" s="68">
        <f>'GC rawdata'!W30</f>
        <v>2.5639501975947755E-2</v>
      </c>
      <c r="E32" s="68">
        <f>'GC rawdata'!X30</f>
        <v>4.3265594259259264E-2</v>
      </c>
      <c r="F32" s="68">
        <f>'GC rawdata'!Y30</f>
        <v>5.8940626450348449E-2</v>
      </c>
      <c r="G32" s="84" t="str">
        <f t="shared" si="7"/>
        <v>PASS</v>
      </c>
      <c r="H32" s="26">
        <f t="shared" ref="H32:H39" si="16">+RSQ(C32:F32,$C$2:$F$2)</f>
        <v>0.99915908037947399</v>
      </c>
      <c r="I32" s="84" t="str">
        <f t="shared" si="9"/>
        <v>LIN</v>
      </c>
      <c r="J32" s="86">
        <f t="shared" si="10"/>
        <v>8.1295243449645805E-4</v>
      </c>
      <c r="K32" s="27">
        <f>'Field data'!K14</f>
        <v>53.41154108830721</v>
      </c>
      <c r="L32" s="27">
        <f>'Field data'!L14*0.0001</f>
        <v>6.8349275178587507E-2</v>
      </c>
      <c r="M32" s="28">
        <f t="shared" si="11"/>
        <v>0.63528167993725715</v>
      </c>
      <c r="N32" s="28">
        <f t="shared" si="12"/>
        <v>38.116900796235427</v>
      </c>
      <c r="O32" s="28">
        <f t="shared" si="15"/>
        <v>9148.0561910965025</v>
      </c>
    </row>
    <row r="33" spans="1:15" x14ac:dyDescent="0.25">
      <c r="A33" s="155" t="s">
        <v>73</v>
      </c>
      <c r="B33" s="100"/>
      <c r="C33" s="68">
        <f>'GC rawdata'!V31</f>
        <v>6.2037572990490909E-3</v>
      </c>
      <c r="D33" s="68">
        <f>'GC rawdata'!W31</f>
        <v>1.9014857403955032E-2</v>
      </c>
      <c r="E33" s="68">
        <f>'GC rawdata'!X31</f>
        <v>3.4280621324563533E-2</v>
      </c>
      <c r="F33" s="68">
        <f>'GC rawdata'!Y31</f>
        <v>4.8606979969835908E-2</v>
      </c>
      <c r="G33" s="84" t="str">
        <f t="shared" si="7"/>
        <v>PASS</v>
      </c>
      <c r="H33" s="26">
        <f t="shared" si="16"/>
        <v>0.99886824790720519</v>
      </c>
      <c r="I33" s="84" t="str">
        <f t="shared" si="9"/>
        <v>LIN</v>
      </c>
      <c r="J33" s="86">
        <f t="shared" si="10"/>
        <v>6.7845443777604251E-4</v>
      </c>
      <c r="K33" s="27">
        <f>'Field data'!K15</f>
        <v>54.33425630321814</v>
      </c>
      <c r="L33" s="27">
        <f>'Field data'!L15*0.0001</f>
        <v>6.8349275178587507E-2</v>
      </c>
      <c r="M33" s="28">
        <f t="shared" si="11"/>
        <v>0.53933735531006499</v>
      </c>
      <c r="N33" s="28">
        <f t="shared" si="12"/>
        <v>32.360241318603897</v>
      </c>
      <c r="O33" s="28">
        <f t="shared" si="15"/>
        <v>7766.4579164649349</v>
      </c>
    </row>
    <row r="34" spans="1:15" s="1" customFormat="1" x14ac:dyDescent="0.25">
      <c r="A34" s="155" t="s">
        <v>74</v>
      </c>
      <c r="B34" s="153"/>
      <c r="C34" s="68">
        <f>'GC rawdata'!V32</f>
        <v>7.4771839285714316E-3</v>
      </c>
      <c r="D34" s="68">
        <f>'GC rawdata'!W32</f>
        <v>2.1941072129288235E-2</v>
      </c>
      <c r="E34" s="68">
        <f>'GC rawdata'!X32</f>
        <v>3.8926733660857055E-2</v>
      </c>
      <c r="F34" s="68">
        <f>'GC rawdata'!Y32</f>
        <v>5.4525060537420393E-2</v>
      </c>
      <c r="G34" s="84" t="str">
        <f t="shared" si="7"/>
        <v>PASS</v>
      </c>
      <c r="H34" s="26">
        <f t="shared" si="16"/>
        <v>0.99913228762093764</v>
      </c>
      <c r="I34" s="84" t="str">
        <f t="shared" si="9"/>
        <v>LIN</v>
      </c>
      <c r="J34" s="86">
        <f t="shared" si="10"/>
        <v>7.5299662551483668E-4</v>
      </c>
      <c r="K34" s="26">
        <f>'Field data'!K16</f>
        <v>53.599501595048324</v>
      </c>
      <c r="L34" s="26">
        <f>'Field data'!L16*0.0001</f>
        <v>6.8349275178587507E-2</v>
      </c>
      <c r="M34" s="6">
        <f t="shared" si="11"/>
        <v>0.59049995372873498</v>
      </c>
      <c r="N34" s="6">
        <f t="shared" si="12"/>
        <v>35.429997223724101</v>
      </c>
      <c r="O34" s="6">
        <f t="shared" si="15"/>
        <v>8503.1993336937849</v>
      </c>
    </row>
    <row r="35" spans="1:15" s="1" customFormat="1" x14ac:dyDescent="0.25">
      <c r="A35" s="155" t="s">
        <v>75</v>
      </c>
      <c r="B35" s="153"/>
      <c r="C35" s="68">
        <f>'GC rawdata'!V33</f>
        <v>8.4757083398817254E-3</v>
      </c>
      <c r="D35" s="68">
        <f>'GC rawdata'!W33</f>
        <v>2.0052575303347284E-2</v>
      </c>
      <c r="E35" s="68">
        <f>'GC rawdata'!X33</f>
        <v>3.2789731620169085E-2</v>
      </c>
      <c r="F35" s="68">
        <f>'GC rawdata'!Y33</f>
        <v>4.4361399301470587E-2</v>
      </c>
      <c r="G35" s="84" t="str">
        <f t="shared" si="7"/>
        <v>PASS</v>
      </c>
      <c r="H35" s="26">
        <f t="shared" si="16"/>
        <v>0.99962694404555441</v>
      </c>
      <c r="I35" s="84" t="str">
        <f t="shared" si="9"/>
        <v>LIN</v>
      </c>
      <c r="J35" s="86">
        <f t="shared" si="10"/>
        <v>5.7330585334089716E-4</v>
      </c>
      <c r="K35" s="26">
        <f>'Field data'!K17</f>
        <v>54.009597246119853</v>
      </c>
      <c r="L35" s="26">
        <f>'Field data'!L17*0.0001</f>
        <v>6.8349275178587507E-2</v>
      </c>
      <c r="M35" s="6">
        <f t="shared" si="11"/>
        <v>0.45302628530997696</v>
      </c>
      <c r="N35" s="6">
        <f t="shared" si="12"/>
        <v>27.181577118598618</v>
      </c>
      <c r="O35" s="6">
        <f t="shared" si="15"/>
        <v>6523.5785084636682</v>
      </c>
    </row>
    <row r="36" spans="1:15" s="1" customFormat="1" x14ac:dyDescent="0.25">
      <c r="A36" s="155" t="s">
        <v>76</v>
      </c>
      <c r="B36" s="153"/>
      <c r="C36" s="68">
        <f>'GC rawdata'!V34</f>
        <v>1.321800726456585E-2</v>
      </c>
      <c r="D36" s="68">
        <f>'GC rawdata'!W34</f>
        <v>3.4818400964884019E-2</v>
      </c>
      <c r="E36" s="68">
        <f>'GC rawdata'!X34</f>
        <v>5.7742344514736595E-2</v>
      </c>
      <c r="F36" s="68">
        <f>'GC rawdata'!Y34</f>
        <v>7.9485650330469018E-2</v>
      </c>
      <c r="G36" s="84" t="str">
        <f t="shared" si="7"/>
        <v>PASS</v>
      </c>
      <c r="H36" s="26">
        <f t="shared" si="16"/>
        <v>0.99987038476287471</v>
      </c>
      <c r="I36" s="84" t="str">
        <f t="shared" si="9"/>
        <v>LIN</v>
      </c>
      <c r="J36" s="86">
        <f t="shared" si="10"/>
        <v>1.055842251178867E-3</v>
      </c>
      <c r="K36" s="26">
        <f>'Field data'!K18</f>
        <v>54.470954853575321</v>
      </c>
      <c r="L36" s="26">
        <f>'Field data'!L18*0.0001</f>
        <v>6.8349275178587507E-2</v>
      </c>
      <c r="M36" s="6">
        <f t="shared" si="11"/>
        <v>0.84145348207699822</v>
      </c>
      <c r="N36" s="6">
        <f t="shared" si="12"/>
        <v>50.487208924619893</v>
      </c>
      <c r="O36" s="6">
        <f t="shared" si="15"/>
        <v>12116.930141908775</v>
      </c>
    </row>
    <row r="37" spans="1:15" s="138" customFormat="1" ht="13.8" thickBot="1" x14ac:dyDescent="0.3">
      <c r="A37" s="162" t="s">
        <v>77</v>
      </c>
      <c r="B37" s="153"/>
      <c r="C37" s="68">
        <f>'GC rawdata'!V35</f>
        <v>1.3492655716419697E-2</v>
      </c>
      <c r="D37" s="68">
        <f>'GC rawdata'!W35</f>
        <v>3.8504708805952387E-2</v>
      </c>
      <c r="E37" s="68">
        <f>'GC rawdata'!X35</f>
        <v>6.2880463943636819E-2</v>
      </c>
      <c r="F37" s="68">
        <f>'GC rawdata'!Y35</f>
        <v>9.3623180864046196E-2</v>
      </c>
      <c r="G37" s="84" t="str">
        <f t="shared" si="7"/>
        <v>PASS</v>
      </c>
      <c r="H37" s="26">
        <f t="shared" si="16"/>
        <v>0.99696724419479743</v>
      </c>
      <c r="I37" s="84" t="str">
        <f t="shared" si="9"/>
        <v>LIN</v>
      </c>
      <c r="J37" s="86">
        <f t="shared" si="10"/>
        <v>1.2607968122883997E-3</v>
      </c>
      <c r="K37" s="26">
        <f>'Field data'!K19</f>
        <v>51.907857034378281</v>
      </c>
      <c r="L37" s="26">
        <f>'Field data'!L19*0.0001</f>
        <v>6.8349275178587507E-2</v>
      </c>
      <c r="M37" s="6">
        <f t="shared" si="11"/>
        <v>0.95751213909242527</v>
      </c>
      <c r="N37" s="6">
        <f t="shared" si="12"/>
        <v>57.450728345545514</v>
      </c>
      <c r="O37" s="6">
        <f t="shared" si="15"/>
        <v>13788.174802930924</v>
      </c>
    </row>
    <row r="38" spans="1:15" s="138" customFormat="1" x14ac:dyDescent="0.25">
      <c r="A38" s="131" t="s">
        <v>66</v>
      </c>
      <c r="B38" s="132"/>
      <c r="C38" s="133">
        <f>'GC rawdata'!V36</f>
        <v>0</v>
      </c>
      <c r="D38" s="133">
        <f>'GC rawdata'!W36</f>
        <v>0</v>
      </c>
      <c r="E38" s="133">
        <f>'GC rawdata'!X36</f>
        <v>0</v>
      </c>
      <c r="F38" s="133">
        <f>'GC rawdata'!Y36</f>
        <v>0</v>
      </c>
      <c r="G38" s="134" t="str">
        <f t="shared" si="7"/>
        <v>FAIL</v>
      </c>
      <c r="H38" s="135" t="e">
        <f t="shared" si="16"/>
        <v>#DIV/0!</v>
      </c>
      <c r="I38" s="134" t="e">
        <f t="shared" si="9"/>
        <v>#DIV/0!</v>
      </c>
      <c r="J38" s="136" t="str">
        <f t="shared" si="10"/>
        <v>0</v>
      </c>
      <c r="K38" s="135" t="e">
        <f>'Field data'!K20</f>
        <v>#DIV/0!</v>
      </c>
      <c r="L38" s="135">
        <f>'Field data'!L20*0.0001</f>
        <v>6.8349275178587507E-2</v>
      </c>
      <c r="M38" s="137" t="e">
        <f t="shared" si="11"/>
        <v>#DIV/0!</v>
      </c>
      <c r="N38" s="137" t="e">
        <f t="shared" si="12"/>
        <v>#DIV/0!</v>
      </c>
      <c r="O38" s="137" t="e">
        <f t="shared" si="15"/>
        <v>#DIV/0!</v>
      </c>
    </row>
    <row r="39" spans="1:15" s="138" customFormat="1" x14ac:dyDescent="0.25">
      <c r="A39" s="131" t="s">
        <v>66</v>
      </c>
      <c r="B39" s="132"/>
      <c r="C39" s="133">
        <f>'GC rawdata'!V37</f>
        <v>0</v>
      </c>
      <c r="D39" s="133">
        <f>'GC rawdata'!W37</f>
        <v>0</v>
      </c>
      <c r="E39" s="133">
        <f>'GC rawdata'!X37</f>
        <v>0</v>
      </c>
      <c r="F39" s="133">
        <f>'GC rawdata'!Y37</f>
        <v>0</v>
      </c>
      <c r="G39" s="134" t="str">
        <f t="shared" si="7"/>
        <v>FAIL</v>
      </c>
      <c r="H39" s="135" t="e">
        <f t="shared" si="16"/>
        <v>#DIV/0!</v>
      </c>
      <c r="I39" s="134" t="e">
        <f t="shared" si="9"/>
        <v>#DIV/0!</v>
      </c>
      <c r="J39" s="136" t="str">
        <f t="shared" si="10"/>
        <v>0</v>
      </c>
      <c r="K39" s="135" t="e">
        <f>'Field data'!K21</f>
        <v>#DIV/0!</v>
      </c>
      <c r="L39" s="135">
        <f>'Field data'!L21*0.0001</f>
        <v>6.8349275178587507E-2</v>
      </c>
      <c r="M39" s="137" t="e">
        <f t="shared" si="11"/>
        <v>#DIV/0!</v>
      </c>
      <c r="N39" s="137" t="e">
        <f t="shared" si="12"/>
        <v>#DIV/0!</v>
      </c>
      <c r="O39" s="137" t="e">
        <f t="shared" si="15"/>
        <v>#DIV/0!</v>
      </c>
    </row>
  </sheetData>
  <sheetProtection selectLockedCells="1" selectUnlockedCells="1"/>
  <mergeCells count="19"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2024-08-03T00:14:45Z</dcterms:modified>
  <cp:category/>
</cp:coreProperties>
</file>