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Calculations\June\"/>
    </mc:Choice>
  </mc:AlternateContent>
  <bookViews>
    <workbookView xWindow="0" yWindow="0" windowWidth="23040" windowHeight="8808" tabRatio="805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G37" i="45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J37" i="45" l="1"/>
  <c r="M37" i="45" s="1"/>
  <c r="N37" i="45" s="1"/>
  <c r="O37" i="45" s="1"/>
  <c r="G8" i="45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<sst xmlns="http://schemas.openxmlformats.org/spreadsheetml/2006/main" count="298" uniqueCount="87">
  <si>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</si>
  <si>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</si>
  <si>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</si>
  <si>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</si>
  <si>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</si>
  <si>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</si>
  <si>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</si>
  <si>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</si>
  <si>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</si>
  <si>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</si>
  <si>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</si>
  <si>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</si>
  <si>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</si>
  <si>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</si>
  <si>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</si>
  <si>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</si>
  <si>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</si>
  <si>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</si>
  <si>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</si>
  <si>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</si>
  <si>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</si>
  <si>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</si>
  <si>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</si>
  <si>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</si>
  <si>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</si>
  <si>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</si>
  <si>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</si>
  <si>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</si>
  <si>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</si>
  <si>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</si>
  <si>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</si>
  <si>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</si>
  <si>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</si>
  <si>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</si>
  <si>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</si>
  <si>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</si>
  <si>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</si>
  <si>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</si>
  <si>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</si>
  <si>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</si>
  <si>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</si>
  <si>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</si>
  <si>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</si>
  <si>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</si>
  <si>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</si>
  <si>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</si>
  <si>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</si>
  <si>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</si>
  <si>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</si>
  <si>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</si>
  <si>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</si>
  <si>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</si>
  <si>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</si>
  <si>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</si>
  <si>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</si>
  <si>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</si>
  <si>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</si>
  <si>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</si>
  <si>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</si>
  <si>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</si>
  <si>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</si>
  <si>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</si>
  <si>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</si>
  <si>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</si>
  <si>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</si>
  <si>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</si>
  <si>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</si>
  <si>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</si>
  <si>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</si>
  <si>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</si>
  <si>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</si>
  <si>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</si>
  <si>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</si>
  <si>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</si>
  <si>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</si>
  <si>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</si>
  <si>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</si>
  <si>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</si>
  <si>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</si>
  <si>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</si>
  <si>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</si>
  <si>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</si>
  <si>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</si>
  <si>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</si>
  <si>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</si>
  <si>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</si>
  <si>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CH4 (LCMS)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</si>
</sst>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tabSelected="1" zoomScale="150" zoomScaleNormal="150" zoomScalePageLayoutView="150" workbookViewId="0">
      <selection activeCell="K14" sqref="K14"/>
    </sheetView>
  </sheetViews>
  <sheetFormatPr defaultColWidth="8.6640625" defaultRowHeight="10.199999999999999" x14ac:dyDescent="0.2"/>
  <cols>
    <col min="1" max="1" width="13.44140625" style="10" customWidth="1"/>
    <col min="2" max="2" width="10" style="10" customWidth="1"/>
    <col min="3" max="3" width="9.6640625" style="10" customWidth="1"/>
    <col min="4" max="5" width="8.6640625" style="10" customWidth="1"/>
    <col min="6" max="10" width="8.6640625" style="10"/>
    <col min="11" max="11" width="7" style="10" bestFit="1" customWidth="1"/>
    <col min="12" max="12" width="8.33203125" style="10" bestFit="1" customWidth="1"/>
    <col min="13" max="13" width="10.6640625" style="10" bestFit="1" customWidth="1"/>
    <col min="14" max="14" width="11" style="10" customWidth="1"/>
    <col min="15" max="16384" width="8.6640625" style="10"/>
  </cols>
  <sheetData>
    <row r="1" spans="1:17" x14ac:dyDescent="0.2">
      <c r="A1" s="9" t="s">
        <v>3</v>
      </c>
    </row>
    <row r="2" spans="1:17" ht="10.95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200000000000003" customHeight="1" x14ac:dyDescent="0.2">
      <c r="C6" s="169" t="s">
        <v>8</v>
      </c>
      <c r="D6" s="169"/>
      <c r="E6" s="169"/>
      <c r="F6" s="169"/>
      <c r="G6" s="169"/>
      <c r="H6" s="169"/>
      <c r="I6" s="76" t="s">
        <v>9</v>
      </c>
      <c r="J6" s="170" t="s">
        <v>10</v>
      </c>
      <c r="K6" s="170"/>
      <c r="L6" s="75" t="s">
        <v>40</v>
      </c>
      <c r="M6" s="77" t="s">
        <v>37</v>
      </c>
      <c r="Q6" s="168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68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3.2" x14ac:dyDescent="0.25">
      <c r="A10" s="154" t="s">
        <v>76</v>
      </c>
      <c r="B10" s="4"/>
      <c r="C10" s="34">
        <v>7.62</v>
      </c>
      <c r="D10" s="38">
        <f>AVERAGE(B38:B41)</f>
        <v>-5.625</v>
      </c>
      <c r="E10" s="152">
        <v>30.48</v>
      </c>
      <c r="F10" s="152"/>
      <c r="G10" s="152"/>
      <c r="H10" s="39">
        <f>SUM(C10:G10)</f>
        <v>32.475000000000001</v>
      </c>
      <c r="I10" s="34">
        <v>14.75</v>
      </c>
      <c r="J10" s="23">
        <f>3.141592654*(I10*I10)*H10</f>
        <v>22196.427114246293</v>
      </c>
      <c r="K10" s="37">
        <f t="shared" ref="K10:K11" si="0">J10/1000</f>
        <v>22.196427114246294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-9.5</v>
      </c>
      <c r="Q10" s="74"/>
    </row>
    <row r="11" spans="1:17" ht="13.2" x14ac:dyDescent="0.25">
      <c r="A11" s="155" t="s">
        <v>77</v>
      </c>
      <c r="B11" s="4"/>
      <c r="C11" s="34">
        <v>7.62</v>
      </c>
      <c r="D11" s="39">
        <f>AVERAGE(C38:C41)</f>
        <v>-5.9</v>
      </c>
      <c r="E11" s="152">
        <v>30.48</v>
      </c>
      <c r="F11" s="152"/>
      <c r="G11" s="152"/>
      <c r="H11" s="39">
        <f t="shared" ref="H11" si="1">SUM(C11:G11)</f>
        <v>32.200000000000003</v>
      </c>
      <c r="I11" s="34">
        <v>14.75</v>
      </c>
      <c r="J11" s="23">
        <f t="shared" ref="J11" si="2">3.141592654*(I11*I11)*H11</f>
        <v>22008.466607505179</v>
      </c>
      <c r="K11" s="37">
        <f t="shared" si="0"/>
        <v>22.008466607505181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-10</v>
      </c>
      <c r="Q11" s="74"/>
    </row>
    <row r="12" spans="1:17" ht="13.2" x14ac:dyDescent="0.25">
      <c r="A12" s="155" t="s">
        <v>78</v>
      </c>
      <c r="B12" s="4"/>
      <c r="C12" s="34">
        <v>7.62</v>
      </c>
      <c r="D12" s="38">
        <f>AVERAGE(D38:D41)</f>
        <v>-7.5</v>
      </c>
      <c r="E12" s="152">
        <v>30.48</v>
      </c>
      <c r="F12" s="152"/>
      <c r="G12" s="152"/>
      <c r="H12" s="39">
        <f t="shared" ref="H12:H21" si="4">SUM(C12:G12)</f>
        <v>30.6</v>
      </c>
      <c r="I12" s="34">
        <v>14.75</v>
      </c>
      <c r="J12" s="23">
        <f t="shared" ref="J12:J21" si="5">3.141592654*(I12*I12)*H12</f>
        <v>20914.878204647779</v>
      </c>
      <c r="K12" s="37">
        <f t="shared" ref="K12:K21" si="6">J12/1000</f>
        <v>20.914878204647778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-9.25</v>
      </c>
      <c r="Q12" s="74"/>
    </row>
    <row r="13" spans="1:17" ht="10.95" customHeight="1" x14ac:dyDescent="0.25">
      <c r="A13" s="155" t="s">
        <v>79</v>
      </c>
      <c r="B13" s="4"/>
      <c r="C13" s="34">
        <v>7.62</v>
      </c>
      <c r="D13" s="38">
        <f>AVERAGE(E38:E41)</f>
        <v>-7</v>
      </c>
      <c r="E13" s="152">
        <v>30.48</v>
      </c>
      <c r="F13" s="152"/>
      <c r="G13" s="152"/>
      <c r="H13" s="39">
        <f t="shared" si="4"/>
        <v>31.1</v>
      </c>
      <c r="I13" s="34">
        <v>14.75</v>
      </c>
      <c r="J13" s="23">
        <f t="shared" si="5"/>
        <v>21256.624580540716</v>
      </c>
      <c r="K13" s="37">
        <f t="shared" si="6"/>
        <v>21.256624580540716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-10</v>
      </c>
      <c r="Q13" s="74"/>
    </row>
    <row r="14" spans="1:17" s="56" customFormat="1" ht="13.2" x14ac:dyDescent="0.25">
      <c r="A14" s="155" t="s">
        <v>80</v>
      </c>
      <c r="B14" s="4"/>
      <c r="C14" s="34">
        <v>7.62</v>
      </c>
      <c r="D14" s="62">
        <f>AVERAGE(F38:F41)</f>
        <v>-8.5</v>
      </c>
      <c r="E14" s="152">
        <v>30.48</v>
      </c>
      <c r="F14" s="152"/>
      <c r="G14" s="152"/>
      <c r="H14" s="39">
        <f t="shared" si="4"/>
        <v>29.6</v>
      </c>
      <c r="I14" s="34">
        <v>14.75</v>
      </c>
      <c r="J14" s="23">
        <f t="shared" si="5"/>
        <v>20231.385452861901</v>
      </c>
      <c r="K14" s="37">
        <f t="shared" si="6"/>
        <v>20.2313854528619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-9.5</v>
      </c>
    </row>
    <row r="15" spans="1:17" ht="13.2" x14ac:dyDescent="0.25">
      <c r="A15" s="155" t="s">
        <v>81</v>
      </c>
      <c r="B15" s="4"/>
      <c r="C15" s="34">
        <v>7.62</v>
      </c>
      <c r="D15" s="62">
        <f>AVERAGE(G38:G41)</f>
        <v>-7.1</v>
      </c>
      <c r="E15" s="152">
        <v>30.48</v>
      </c>
      <c r="F15" s="152"/>
      <c r="G15" s="152"/>
      <c r="H15" s="39">
        <f t="shared" si="4"/>
        <v>31</v>
      </c>
      <c r="I15" s="34">
        <v>14.75</v>
      </c>
      <c r="J15" s="23">
        <f t="shared" si="5"/>
        <v>21188.275305362127</v>
      </c>
      <c r="K15" s="37">
        <f t="shared" si="6"/>
        <v>21.188275305362126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-9.75</v>
      </c>
    </row>
    <row r="16" spans="1:17" ht="13.2" x14ac:dyDescent="0.25">
      <c r="A16" s="155" t="s">
        <v>82</v>
      </c>
      <c r="B16" s="4"/>
      <c r="C16" s="34">
        <v>7.62</v>
      </c>
      <c r="D16" s="62">
        <f>AVERAGE(H38:H41)</f>
        <v>-8.3000000000000007</v>
      </c>
      <c r="E16" s="152">
        <v>30.48</v>
      </c>
      <c r="F16" s="152"/>
      <c r="G16" s="152"/>
      <c r="H16" s="39">
        <f t="shared" si="4"/>
        <v>29.8</v>
      </c>
      <c r="I16" s="34">
        <v>14.75</v>
      </c>
      <c r="J16" s="23">
        <f t="shared" si="5"/>
        <v>20368.084003219075</v>
      </c>
      <c r="K16" s="37">
        <f t="shared" si="6"/>
        <v>20.368084003219074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-9.5</v>
      </c>
    </row>
    <row r="17" spans="1:16" ht="13.2" x14ac:dyDescent="0.25">
      <c r="A17" s="155" t="s">
        <v>83</v>
      </c>
      <c r="B17" s="4"/>
      <c r="C17" s="34">
        <v>7.62</v>
      </c>
      <c r="D17" s="62">
        <f>AVERAGE(I38:I41)</f>
        <v>-7.6</v>
      </c>
      <c r="E17" s="152">
        <v>30.48</v>
      </c>
      <c r="F17" s="152"/>
      <c r="G17" s="152"/>
      <c r="H17" s="39">
        <f t="shared" si="4"/>
        <v>30.5</v>
      </c>
      <c r="I17" s="34">
        <v>14.75</v>
      </c>
      <c r="J17" s="23">
        <f t="shared" si="5"/>
        <v>20846.52892946919</v>
      </c>
      <c r="K17" s="37">
        <f t="shared" si="6"/>
        <v>20.846528929469191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-10</v>
      </c>
    </row>
    <row r="18" spans="1:16" ht="13.2" x14ac:dyDescent="0.25">
      <c r="A18" s="155" t="s">
        <v>84</v>
      </c>
      <c r="B18" s="4"/>
      <c r="C18" s="34">
        <v>7.62</v>
      </c>
      <c r="D18" s="34">
        <f>AVERAGE(J38:J41)</f>
        <v>-7.4499999999999993</v>
      </c>
      <c r="E18" s="152">
        <v>30.48</v>
      </c>
      <c r="F18" s="152"/>
      <c r="G18" s="152"/>
      <c r="H18" s="39">
        <f t="shared" si="4"/>
        <v>30.650000000000002</v>
      </c>
      <c r="I18" s="34">
        <v>14.75</v>
      </c>
      <c r="J18" s="23">
        <f t="shared" si="5"/>
        <v>20949.05284223707</v>
      </c>
      <c r="K18" s="37">
        <f t="shared" si="6"/>
        <v>20.949052842237069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8" thickBot="1" x14ac:dyDescent="0.3">
      <c r="A19" s="162" t="s">
        <v>85</v>
      </c>
      <c r="B19" s="4"/>
      <c r="C19" s="34">
        <v>7.62</v>
      </c>
      <c r="D19" s="34">
        <f>AVERAGE(K38:K41)</f>
        <v>-10.7</v>
      </c>
      <c r="E19" s="152">
        <v>30.48</v>
      </c>
      <c r="F19" s="152"/>
      <c r="G19" s="152"/>
      <c r="H19" s="145">
        <f t="shared" si="4"/>
        <v>27.400000000000002</v>
      </c>
      <c r="I19" s="141">
        <v>14.75</v>
      </c>
      <c r="J19" s="146">
        <f t="shared" si="5"/>
        <v>18727.701398932979</v>
      </c>
      <c r="K19" s="147">
        <f t="shared" si="6"/>
        <v>18.727701398932979</v>
      </c>
      <c r="L19" s="148">
        <f t="shared" si="3"/>
        <v>683.49275178587504</v>
      </c>
      <c r="M19" s="149" t="e">
        <f>AVERAGE(K48:K51)</f>
        <v>#DIV/0!</v>
      </c>
    </row>
    <row r="20" spans="1:16" s="150" customFormat="1" ht="13.2" x14ac:dyDescent="0.25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3.2" x14ac:dyDescent="0.25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3.2" x14ac:dyDescent="0.25">
      <c r="O25" s="53"/>
    </row>
    <row r="26" spans="1:16" s="33" customFormat="1" ht="13.2" x14ac:dyDescent="0.25">
      <c r="N26" s="67"/>
      <c r="P26" s="83"/>
    </row>
    <row r="27" spans="1:16" s="33" customFormat="1" ht="12.75" customHeight="1" x14ac:dyDescent="0.25">
      <c r="P27" s="53"/>
    </row>
    <row r="28" spans="1:16" s="33" customFormat="1" ht="13.2" x14ac:dyDescent="0.25">
      <c r="O28" s="53"/>
      <c r="P28" s="53"/>
    </row>
    <row r="29" spans="1:16" s="53" customFormat="1" ht="13.2" x14ac:dyDescent="0.25">
      <c r="O29" s="98"/>
    </row>
    <row r="30" spans="1:16" s="33" customFormat="1" ht="13.2" x14ac:dyDescent="0.25">
      <c r="O30" s="56"/>
      <c r="P30" s="53"/>
    </row>
    <row r="31" spans="1:16" s="33" customFormat="1" ht="13.2" x14ac:dyDescent="0.25">
      <c r="O31" s="10"/>
    </row>
    <row r="32" spans="1:16" s="33" customFormat="1" ht="13.2" x14ac:dyDescent="0.25">
      <c r="O32" s="118"/>
    </row>
    <row r="33" spans="1:22" s="33" customFormat="1" ht="13.2" x14ac:dyDescent="0.25">
      <c r="O33" s="10"/>
    </row>
    <row r="34" spans="1:22" s="53" customFormat="1" ht="13.2" x14ac:dyDescent="0.25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3.2" x14ac:dyDescent="0.25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8" thickBot="1" x14ac:dyDescent="0.3">
      <c r="A36" s="21"/>
      <c r="B36" s="166" t="s">
        <v>18</v>
      </c>
      <c r="C36" s="166"/>
      <c r="D36" s="166"/>
      <c r="E36" s="166"/>
      <c r="F36" s="166" t="s">
        <v>18</v>
      </c>
      <c r="G36" s="166"/>
      <c r="H36" s="166"/>
      <c r="I36" s="166"/>
      <c r="J36" s="166" t="s">
        <v>18</v>
      </c>
      <c r="K36" s="166"/>
      <c r="L36" s="166"/>
      <c r="M36" s="166"/>
      <c r="O36" s="10"/>
    </row>
    <row r="37" spans="1:22" s="33" customFormat="1" ht="12.75" customHeight="1" thickBot="1" x14ac:dyDescent="0.3">
      <c r="A37" s="21" t="s">
        <v>13</v>
      </c>
      <c r="B37" s="154" t="s">
        <v>76</v>
      </c>
      <c r="C37" s="155" t="s">
        <v>77</v>
      </c>
      <c r="D37" s="155" t="s">
        <v>78</v>
      </c>
      <c r="E37" s="155" t="s">
        <v>79</v>
      </c>
      <c r="F37" s="155" t="s">
        <v>80</v>
      </c>
      <c r="G37" s="155" t="s">
        <v>81</v>
      </c>
      <c r="H37" s="155" t="s">
        <v>82</v>
      </c>
      <c r="I37" s="155" t="s">
        <v>83</v>
      </c>
      <c r="J37" s="155" t="s">
        <v>84</v>
      </c>
      <c r="K37" s="162" t="s">
        <v>85</v>
      </c>
      <c r="L37" s="117" t="s">
        <v>66</v>
      </c>
      <c r="M37" s="117" t="s">
        <v>66</v>
      </c>
      <c r="O37" s="10"/>
    </row>
    <row r="38" spans="1:22" s="33" customFormat="1" ht="13.2" x14ac:dyDescent="0.25">
      <c r="A38" s="12">
        <v>1</v>
      </c>
      <c r="B38" s="10">
        <v>-5.625</v>
      </c>
      <c r="C38" s="10">
        <v>-5.9</v>
      </c>
      <c r="D38" s="10">
        <v>-7.5</v>
      </c>
      <c r="E38" s="10">
        <v>-7</v>
      </c>
      <c r="F38" s="10">
        <v>-8.5</v>
      </c>
      <c r="G38" s="10">
        <v>-7.1</v>
      </c>
      <c r="H38" s="10">
        <v>-8.3000000000000007</v>
      </c>
      <c r="I38" s="10">
        <v>-7.6</v>
      </c>
      <c r="J38" s="10">
        <v>-7.4499999999999993</v>
      </c>
      <c r="K38" s="10">
        <v>-10.7</v>
      </c>
      <c r="L38" s="129"/>
      <c r="M38" s="129"/>
      <c r="O38" s="10">
        <v>-5.625</v>
      </c>
    </row>
    <row r="39" spans="1:22" s="53" customFormat="1" ht="13.2" x14ac:dyDescent="0.25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-5.9</v>
      </c>
    </row>
    <row r="40" spans="1:22" s="33" customFormat="1" ht="13.2" x14ac:dyDescent="0.25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-7.5</v>
      </c>
      <c r="P40" s="53"/>
    </row>
    <row r="41" spans="1:22" s="33" customFormat="1" ht="13.2" x14ac:dyDescent="0.25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-7</v>
      </c>
      <c r="P41" s="53"/>
    </row>
    <row r="42" spans="1:22" s="33" customFormat="1" ht="13.2" x14ac:dyDescent="0.25">
      <c r="A42" s="43" t="s">
        <v>14</v>
      </c>
      <c r="B42" s="42">
        <f>AVERAGE(B38:B41)</f>
        <v>-5.625</v>
      </c>
      <c r="C42" s="42">
        <f t="shared" ref="C42:M42" si="7">AVERAGE(C38:C41)</f>
        <v>-5.9</v>
      </c>
      <c r="D42" s="42">
        <f>AVERAGE(D38:D41)</f>
        <v>-7.5</v>
      </c>
      <c r="E42" s="42">
        <f t="shared" si="7"/>
        <v>-7</v>
      </c>
      <c r="F42" s="43">
        <f t="shared" si="7"/>
        <v>-8.5</v>
      </c>
      <c r="G42" s="40">
        <f t="shared" si="7"/>
        <v>-7.1</v>
      </c>
      <c r="H42" s="40">
        <f t="shared" si="7"/>
        <v>-8.3000000000000007</v>
      </c>
      <c r="I42" s="40">
        <f t="shared" si="7"/>
        <v>-7.6</v>
      </c>
      <c r="J42" s="40">
        <f t="shared" si="7"/>
        <v>-7.4499999999999993</v>
      </c>
      <c r="K42" s="40">
        <f t="shared" si="7"/>
        <v>-10.7</v>
      </c>
      <c r="L42" s="40" t="e">
        <f t="shared" si="7"/>
        <v>#DIV/0!</v>
      </c>
      <c r="M42" s="40" t="e">
        <f t="shared" si="7"/>
        <v>#DIV/0!</v>
      </c>
      <c r="N42" s="53"/>
      <c r="O42" s="10">
        <v>-8.5</v>
      </c>
      <c r="P42" s="53"/>
    </row>
    <row r="43" spans="1:22" s="33" customFormat="1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-7.1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-8.3000000000000007</v>
      </c>
      <c r="P44" s="98"/>
      <c r="Q44" s="43"/>
      <c r="R44" s="43"/>
      <c r="S44" s="43"/>
      <c r="T44" s="43"/>
      <c r="U44" s="43"/>
      <c r="V44" s="43"/>
    </row>
    <row r="45" spans="1:22" s="56" customFormat="1" ht="13.2" x14ac:dyDescent="0.25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-7.6</v>
      </c>
    </row>
    <row r="46" spans="1:22" x14ac:dyDescent="0.2">
      <c r="A46" s="21"/>
      <c r="B46" s="95" t="s">
        <v>60</v>
      </c>
      <c r="C46" s="95"/>
      <c r="D46" s="95"/>
      <c r="E46" s="95"/>
      <c r="F46" s="165" t="s">
        <v>18</v>
      </c>
      <c r="G46" s="165"/>
      <c r="H46" s="165"/>
      <c r="I46" s="165"/>
      <c r="J46" s="165" t="s">
        <v>18</v>
      </c>
      <c r="K46" s="165"/>
      <c r="L46" s="165"/>
      <c r="M46" s="165"/>
      <c r="O46" s="10">
        <v>-7.4499999999999993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>
        <v>-10.7</v>
      </c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3.2" x14ac:dyDescent="0.25">
      <c r="I56" s="33" t="s">
        <v>24</v>
      </c>
      <c r="J56" s="33"/>
      <c r="K56" s="167" t="s">
        <v>25</v>
      </c>
      <c r="L56" s="167"/>
      <c r="M56" s="167"/>
    </row>
    <row r="57" spans="1:13" ht="13.2" x14ac:dyDescent="0.25">
      <c r="A57" s="33" t="s">
        <v>27</v>
      </c>
      <c r="B57" s="33"/>
      <c r="C57" s="33"/>
      <c r="D57" s="33"/>
      <c r="E57" s="33"/>
      <c r="I57" s="163" t="s">
        <v>39</v>
      </c>
      <c r="J57" s="163" t="s">
        <v>61</v>
      </c>
      <c r="K57" s="164" t="s">
        <v>41</v>
      </c>
      <c r="L57" s="164"/>
      <c r="M57" s="164" t="s">
        <v>26</v>
      </c>
    </row>
    <row r="58" spans="1:13" x14ac:dyDescent="0.2">
      <c r="A58" s="163" t="s">
        <v>39</v>
      </c>
      <c r="B58" s="163" t="s">
        <v>61</v>
      </c>
      <c r="C58" s="164" t="s">
        <v>41</v>
      </c>
      <c r="D58" s="164"/>
      <c r="E58" s="164" t="s">
        <v>26</v>
      </c>
      <c r="I58" s="163"/>
      <c r="J58" s="163"/>
      <c r="K58" s="93">
        <v>1</v>
      </c>
      <c r="L58" s="93">
        <v>2</v>
      </c>
      <c r="M58" s="164"/>
    </row>
    <row r="59" spans="1:13" x14ac:dyDescent="0.2">
      <c r="A59" s="163"/>
      <c r="B59" s="163"/>
      <c r="C59" s="93">
        <v>1</v>
      </c>
      <c r="D59" s="93">
        <v>2</v>
      </c>
      <c r="E59" s="164"/>
      <c r="I59" s="78"/>
      <c r="J59" s="78"/>
      <c r="K59" s="79"/>
      <c r="L59" s="79"/>
      <c r="M59" s="80"/>
    </row>
    <row r="60" spans="1:13" ht="13.2" x14ac:dyDescent="0.25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3.2" x14ac:dyDescent="0.25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3.2" x14ac:dyDescent="0.25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3.2" x14ac:dyDescent="0.25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3.2" x14ac:dyDescent="0.25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3.2" x14ac:dyDescent="0.25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3.2" x14ac:dyDescent="0.25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3.2" x14ac:dyDescent="0.25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3.2" x14ac:dyDescent="0.25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3.2" x14ac:dyDescent="0.25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3.2" x14ac:dyDescent="0.25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3.2" x14ac:dyDescent="0.25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3.2" x14ac:dyDescent="0.25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zoomScaleNormal="100" zoomScalePageLayoutView="150" workbookViewId="0">
      <selection activeCell="H11" sqref="H11"/>
    </sheetView>
  </sheetViews>
  <sheetFormatPr defaultColWidth="8.6640625" defaultRowHeight="13.2" outlineLevelCol="3" x14ac:dyDescent="0.25"/>
  <cols>
    <col min="2" max="2" width="8.6640625" style="105"/>
    <col min="7" max="8" width="8.6640625" customWidth="1" outlineLevel="1"/>
    <col min="9" max="9" width="8.6640625" customWidth="1" outlineLevel="3"/>
    <col min="10" max="13" width="10" customWidth="1" outlineLevel="3"/>
    <col min="14" max="14" width="11.109375" customWidth="1"/>
    <col min="15" max="15" width="11.44140625" customWidth="1"/>
    <col min="16" max="16" width="12.6640625" customWidth="1"/>
    <col min="26" max="27" width="8.6640625" style="1"/>
    <col min="28" max="28" width="8.6640625" customWidth="1"/>
  </cols>
  <sheetData>
    <row r="1" spans="1:28" x14ac:dyDescent="0.25">
      <c r="A1" s="171" t="s">
        <v>56</v>
      </c>
      <c r="B1" s="171"/>
      <c r="C1" s="171"/>
      <c r="D1" s="171"/>
      <c r="E1" s="171"/>
      <c r="F1" s="171"/>
    </row>
    <row r="2" spans="1:28" ht="13.8" thickBot="1" x14ac:dyDescent="0.3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77" t="s">
        <v>16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81"/>
      <c r="AA2" s="81"/>
      <c r="AB2" s="30" t="s">
        <v>0</v>
      </c>
    </row>
    <row r="3" spans="1:28" ht="22.5" customHeight="1" x14ac:dyDescent="0.25">
      <c r="A3" s="156" t="s">
        <v>62</v>
      </c>
      <c r="B3" s="159"/>
      <c r="C3" s="157" t="s">
        <v>76</v>
      </c>
      <c r="D3" s="103">
        <v>0</v>
      </c>
      <c r="E3" s="120">
        <v>12.109200000000001</v>
      </c>
      <c r="F3" s="120">
        <v>0.27562000000000003</v>
      </c>
      <c r="H3" s="180" t="s">
        <v>39</v>
      </c>
      <c r="I3" s="180" t="s">
        <v>61</v>
      </c>
      <c r="J3" s="182" t="s">
        <v>28</v>
      </c>
      <c r="K3" s="182"/>
      <c r="L3" s="182"/>
      <c r="M3" s="44"/>
      <c r="N3" s="175" t="s">
        <v>48</v>
      </c>
      <c r="O3" s="179"/>
      <c r="P3" s="179"/>
      <c r="Q3" s="179"/>
      <c r="R3" s="176" t="s">
        <v>47</v>
      </c>
      <c r="S3" s="176"/>
      <c r="T3" s="176"/>
      <c r="U3" s="176"/>
      <c r="V3" s="175" t="s">
        <v>42</v>
      </c>
      <c r="W3" s="175"/>
      <c r="X3" s="175"/>
      <c r="Y3" s="175"/>
      <c r="Z3" s="82"/>
      <c r="AA3" s="82"/>
    </row>
    <row r="4" spans="1:28" x14ac:dyDescent="0.25">
      <c r="A4" s="156" t="s">
        <v>62</v>
      </c>
      <c r="B4" s="160"/>
      <c r="C4" s="157" t="s">
        <v>76</v>
      </c>
      <c r="D4" s="103">
        <v>21</v>
      </c>
      <c r="E4" s="120">
        <v>29.002800000000001</v>
      </c>
      <c r="F4" s="120">
        <v>0.27555000000000002</v>
      </c>
      <c r="G4">
        <v>32.299999999999997</v>
      </c>
      <c r="H4" s="180"/>
      <c r="I4" s="180"/>
      <c r="J4" s="36"/>
      <c r="K4" s="36"/>
      <c r="L4" s="36"/>
      <c r="M4" s="36"/>
      <c r="N4" s="179"/>
      <c r="O4" s="179"/>
      <c r="P4" s="179"/>
      <c r="Q4" s="179"/>
      <c r="R4" s="176"/>
      <c r="S4" s="176"/>
      <c r="T4" s="176"/>
      <c r="U4" s="176"/>
      <c r="V4" s="175"/>
      <c r="W4" s="175"/>
      <c r="X4" s="175"/>
      <c r="Y4" s="175"/>
      <c r="Z4" s="24"/>
      <c r="AA4" s="65"/>
      <c r="AB4" s="25"/>
    </row>
    <row r="5" spans="1:28" x14ac:dyDescent="0.25">
      <c r="A5" s="156" t="s">
        <v>62</v>
      </c>
      <c r="B5" s="160"/>
      <c r="C5" s="157" t="s">
        <v>76</v>
      </c>
      <c r="D5" s="103">
        <v>42</v>
      </c>
      <c r="E5" s="120">
        <v>45.593400000000003</v>
      </c>
      <c r="F5" s="120">
        <v>0.26941000000000004</v>
      </c>
      <c r="G5">
        <v>31.7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8" thickBot="1" x14ac:dyDescent="0.3">
      <c r="A6" s="156" t="s">
        <v>62</v>
      </c>
      <c r="B6" s="160"/>
      <c r="C6" s="157" t="s">
        <v>76</v>
      </c>
      <c r="D6" s="103">
        <v>63</v>
      </c>
      <c r="E6" s="120">
        <v>62.320799999999998</v>
      </c>
      <c r="F6" s="120">
        <v>0.28318000000000004</v>
      </c>
      <c r="G6">
        <v>33</v>
      </c>
      <c r="J6" s="172" t="s">
        <v>56</v>
      </c>
      <c r="K6" s="172"/>
      <c r="L6" s="172"/>
      <c r="M6" s="17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5">
      <c r="A7" s="156" t="s">
        <v>62</v>
      </c>
      <c r="B7" s="160"/>
      <c r="C7" s="157" t="s">
        <v>77</v>
      </c>
      <c r="D7" s="103">
        <v>0</v>
      </c>
      <c r="E7" s="120">
        <v>9.1716000000000015</v>
      </c>
      <c r="F7" s="120">
        <v>0.27118000000000003</v>
      </c>
      <c r="G7">
        <v>32.5</v>
      </c>
      <c r="H7" s="154" t="s">
        <v>76</v>
      </c>
      <c r="I7" s="4"/>
      <c r="J7">
        <v>32.299999999999997</v>
      </c>
      <c r="K7">
        <v>31.7</v>
      </c>
      <c r="L7">
        <v>33</v>
      </c>
      <c r="M7">
        <v>32.5</v>
      </c>
      <c r="N7" s="85">
        <f>F3</f>
        <v>0.27562000000000003</v>
      </c>
      <c r="O7" s="85">
        <f>F4</f>
        <v>0.27555000000000002</v>
      </c>
      <c r="P7" s="85">
        <f>F5</f>
        <v>0.26941000000000004</v>
      </c>
      <c r="Q7" s="85">
        <f>F6</f>
        <v>0.28318000000000004</v>
      </c>
      <c r="R7" s="6">
        <f>(((760*22.4)*(273+J7))/(760*273))</f>
        <v>25.050256410256413</v>
      </c>
      <c r="S7" s="6">
        <f t="shared" ref="R7:U18" si="0">(((760*22.4)*(273+K7))/(760*273))</f>
        <v>25.001025641025642</v>
      </c>
      <c r="T7" s="6">
        <f t="shared" si="0"/>
        <v>25.107692307692307</v>
      </c>
      <c r="U7" s="6">
        <f t="shared" si="0"/>
        <v>25.066666666666666</v>
      </c>
      <c r="V7" s="61">
        <f>((N7/(R7))*(0.044014))</f>
        <v>4.84272036234851E-4</v>
      </c>
      <c r="W7" s="61">
        <f t="shared" ref="W7:Y7" si="1">((O7/(S7))*(0.044014))</f>
        <v>4.8510240636281585E-4</v>
      </c>
      <c r="X7" s="61">
        <f t="shared" si="1"/>
        <v>4.7227804111519612E-4</v>
      </c>
      <c r="Y7" s="61">
        <f t="shared" si="1"/>
        <v>4.9722943563829786E-4</v>
      </c>
      <c r="AA7" s="65"/>
      <c r="AB7">
        <v>27</v>
      </c>
    </row>
    <row r="8" spans="1:28" x14ac:dyDescent="0.25">
      <c r="A8" s="156" t="s">
        <v>62</v>
      </c>
      <c r="B8" s="160"/>
      <c r="C8" s="157" t="s">
        <v>77</v>
      </c>
      <c r="D8" s="103">
        <v>21</v>
      </c>
      <c r="E8" s="120">
        <v>16.576000000000001</v>
      </c>
      <c r="F8" s="120">
        <v>0.2611</v>
      </c>
      <c r="G8">
        <v>33.700000000000003</v>
      </c>
      <c r="H8" s="155" t="s">
        <v>77</v>
      </c>
      <c r="I8" s="4"/>
      <c r="J8">
        <v>33.700000000000003</v>
      </c>
      <c r="K8">
        <v>34.700000000000003</v>
      </c>
      <c r="L8">
        <v>34.799999999999997</v>
      </c>
      <c r="M8" s="1">
        <v>34.5</v>
      </c>
      <c r="N8" s="85">
        <f>F7</f>
        <v>0.27118000000000003</v>
      </c>
      <c r="O8" s="85">
        <f>F8</f>
        <v>0.2611</v>
      </c>
      <c r="P8" s="85">
        <f>F9</f>
        <v>0.26820000000000005</v>
      </c>
      <c r="Q8" s="85">
        <f>F10</f>
        <v>0.26869000000000004</v>
      </c>
      <c r="R8" s="6">
        <f>(((760*22.4)*(273+J8))/(760*273))</f>
        <v>25.165128205128205</v>
      </c>
      <c r="S8" s="6">
        <f t="shared" si="0"/>
        <v>25.247179487179487</v>
      </c>
      <c r="T8" s="6">
        <f t="shared" si="0"/>
        <v>25.255384615384617</v>
      </c>
      <c r="U8" s="6">
        <f t="shared" si="0"/>
        <v>25.23076923076923</v>
      </c>
      <c r="V8" s="61">
        <f t="shared" ref="V8:V9" si="2">((N8/(R8))*(0.044014))</f>
        <v>4.742958757336159E-4</v>
      </c>
      <c r="W8" s="61">
        <f t="shared" ref="W8:W18" si="3">((O8/(S8))*(0.044014))</f>
        <v>4.5518175231556708E-4</v>
      </c>
      <c r="X8" s="61">
        <f t="shared" ref="X8:X18" si="4">((P8/(T8))*(0.044014))</f>
        <v>4.6740744517543859E-4</v>
      </c>
      <c r="Y8" s="61">
        <f t="shared" ref="Y8:Y18" si="5">((Q8/(U8))*(0.044014))</f>
        <v>4.6871823652439026E-4</v>
      </c>
      <c r="AA8" s="65"/>
      <c r="AB8">
        <v>28.2</v>
      </c>
    </row>
    <row r="9" spans="1:28" x14ac:dyDescent="0.25">
      <c r="A9" s="156" t="s">
        <v>62</v>
      </c>
      <c r="B9" s="160"/>
      <c r="C9" s="157" t="s">
        <v>77</v>
      </c>
      <c r="D9" s="103">
        <v>42</v>
      </c>
      <c r="E9" s="120">
        <v>23.123800000000003</v>
      </c>
      <c r="F9" s="120">
        <v>0.26820000000000005</v>
      </c>
      <c r="G9">
        <v>34.700000000000003</v>
      </c>
      <c r="H9" s="155" t="s">
        <v>78</v>
      </c>
      <c r="I9" s="4"/>
      <c r="J9" s="1">
        <v>33.700000000000003</v>
      </c>
      <c r="K9" s="53">
        <v>33.4</v>
      </c>
      <c r="L9" s="33">
        <v>33.200000000000003</v>
      </c>
      <c r="M9" s="53">
        <v>33</v>
      </c>
      <c r="N9" s="85">
        <f>F11</f>
        <v>0.28104000000000001</v>
      </c>
      <c r="O9" s="85">
        <f>F12</f>
        <v>0.27312000000000003</v>
      </c>
      <c r="P9" s="85">
        <f>F13</f>
        <v>0.28709000000000001</v>
      </c>
      <c r="Q9" s="85">
        <f>F14</f>
        <v>0.27029000000000003</v>
      </c>
      <c r="R9" s="6">
        <f t="shared" si="0"/>
        <v>25.165128205128205</v>
      </c>
      <c r="S9" s="6">
        <f t="shared" si="0"/>
        <v>25.140512820512818</v>
      </c>
      <c r="T9" s="6">
        <f t="shared" si="0"/>
        <v>25.124102564102564</v>
      </c>
      <c r="U9" s="6">
        <f t="shared" si="0"/>
        <v>25.107692307692307</v>
      </c>
      <c r="V9" s="61">
        <f t="shared" si="2"/>
        <v>4.9154109047929568E-4</v>
      </c>
      <c r="W9" s="61">
        <f t="shared" si="3"/>
        <v>4.7815666155352489E-4</v>
      </c>
      <c r="X9" s="61">
        <f t="shared" si="4"/>
        <v>5.0294251218566295E-4</v>
      </c>
      <c r="Y9" s="61">
        <f t="shared" si="5"/>
        <v>4.7382068866421567E-4</v>
      </c>
      <c r="AA9" s="65"/>
      <c r="AB9">
        <v>29</v>
      </c>
    </row>
    <row r="10" spans="1:28" x14ac:dyDescent="0.25">
      <c r="A10" s="156" t="s">
        <v>62</v>
      </c>
      <c r="B10" s="160"/>
      <c r="C10" s="157" t="s">
        <v>77</v>
      </c>
      <c r="D10" s="103">
        <v>63</v>
      </c>
      <c r="E10" s="120">
        <v>29.123600000000003</v>
      </c>
      <c r="F10" s="120">
        <v>0.26869000000000004</v>
      </c>
      <c r="G10">
        <v>34.799999999999997</v>
      </c>
      <c r="H10" s="155" t="s">
        <v>79</v>
      </c>
      <c r="I10" s="4"/>
      <c r="J10" s="53">
        <v>31.6</v>
      </c>
      <c r="K10" s="53">
        <v>32.1</v>
      </c>
      <c r="L10" s="33">
        <v>31.8</v>
      </c>
      <c r="M10" s="33">
        <v>31.6</v>
      </c>
      <c r="N10" s="85">
        <f>F15</f>
        <v>0.27626000000000001</v>
      </c>
      <c r="O10" s="85">
        <f>F16</f>
        <v>0.27063000000000004</v>
      </c>
      <c r="P10" s="85">
        <f>F17</f>
        <v>0.26904</v>
      </c>
      <c r="Q10" s="85">
        <f>F18</f>
        <v>0.27672000000000002</v>
      </c>
      <c r="R10" s="6">
        <f t="shared" si="0"/>
        <v>24.992820512820515</v>
      </c>
      <c r="S10" s="6">
        <f t="shared" si="0"/>
        <v>25.033846153846156</v>
      </c>
      <c r="T10" s="6">
        <f t="shared" si="0"/>
        <v>25.009230769230768</v>
      </c>
      <c r="U10" s="6">
        <f t="shared" si="0"/>
        <v>24.992820512820515</v>
      </c>
      <c r="V10" s="61">
        <f>((N10/(R10))*(0.044014))</f>
        <v>4.8651202187294804E-4</v>
      </c>
      <c r="W10" s="61">
        <f t="shared" si="3"/>
        <v>4.7581617090707967E-4</v>
      </c>
      <c r="X10" s="61">
        <f t="shared" si="4"/>
        <v>4.7348623671259843E-4</v>
      </c>
      <c r="Y10" s="61">
        <f t="shared" si="5"/>
        <v>4.8732211211424811E-4</v>
      </c>
      <c r="AA10" s="65"/>
      <c r="AB10">
        <v>30.5</v>
      </c>
    </row>
    <row r="11" spans="1:28" s="1" customFormat="1" x14ac:dyDescent="0.25">
      <c r="A11" s="156" t="s">
        <v>62</v>
      </c>
      <c r="B11" s="160"/>
      <c r="C11" s="157" t="s">
        <v>78</v>
      </c>
      <c r="D11" s="103">
        <v>0</v>
      </c>
      <c r="E11" s="120">
        <v>10.557</v>
      </c>
      <c r="F11" s="120">
        <v>0.28104000000000001</v>
      </c>
      <c r="G11" s="1">
        <v>34.5</v>
      </c>
      <c r="H11" s="155" t="s">
        <v>80</v>
      </c>
      <c r="I11" s="4"/>
      <c r="J11" s="33">
        <v>33</v>
      </c>
      <c r="K11" s="33">
        <v>33</v>
      </c>
      <c r="L11" s="33">
        <v>33.299999999999997</v>
      </c>
      <c r="M11" s="33">
        <v>33</v>
      </c>
      <c r="N11" s="85">
        <f>F19</f>
        <v>0.26782</v>
      </c>
      <c r="O11" s="85">
        <f>F20</f>
        <v>0.27775000000000005</v>
      </c>
      <c r="P11" s="85">
        <f>F21</f>
        <v>0.28096000000000004</v>
      </c>
      <c r="Q11" s="85">
        <f>F22</f>
        <v>0.27773000000000003</v>
      </c>
      <c r="R11" s="6">
        <f t="shared" si="0"/>
        <v>25.107692307692307</v>
      </c>
      <c r="S11" s="6">
        <f t="shared" si="0"/>
        <v>25.107692307692307</v>
      </c>
      <c r="T11" s="6">
        <f t="shared" si="0"/>
        <v>25.132307692307695</v>
      </c>
      <c r="U11" s="6">
        <f t="shared" si="0"/>
        <v>25.107692307692307</v>
      </c>
      <c r="V11" s="61">
        <f t="shared" ref="V11:V18" si="6">((N11/(R11))*(0.044014))</f>
        <v>4.6949075747549019E-4</v>
      </c>
      <c r="W11" s="61">
        <f t="shared" si="3"/>
        <v>4.868981326593138E-4</v>
      </c>
      <c r="X11" s="61">
        <f t="shared" si="4"/>
        <v>4.9204289520078355E-4</v>
      </c>
      <c r="Y11" s="61">
        <f>((Q11/(U11))*(0.044014))</f>
        <v>4.8686307248774511E-4</v>
      </c>
      <c r="AA11" s="65"/>
      <c r="AB11" s="1">
        <v>27.7</v>
      </c>
    </row>
    <row r="12" spans="1:28" s="1" customFormat="1" x14ac:dyDescent="0.25">
      <c r="A12" s="156" t="s">
        <v>62</v>
      </c>
      <c r="B12" s="160"/>
      <c r="C12" s="157" t="s">
        <v>78</v>
      </c>
      <c r="D12" s="103">
        <v>21</v>
      </c>
      <c r="E12" s="120">
        <v>17.017200000000003</v>
      </c>
      <c r="F12" s="120">
        <v>0.27312000000000003</v>
      </c>
      <c r="G12" s="1">
        <v>33.700000000000003</v>
      </c>
      <c r="H12" s="155" t="s">
        <v>81</v>
      </c>
      <c r="I12" s="4"/>
      <c r="J12" s="33">
        <v>30</v>
      </c>
      <c r="K12" s="33">
        <v>29.9</v>
      </c>
      <c r="L12" s="33">
        <v>29.7</v>
      </c>
      <c r="M12" s="33">
        <v>29.3</v>
      </c>
      <c r="N12" s="85">
        <f>F23</f>
        <v>0.28127000000000002</v>
      </c>
      <c r="O12" s="85">
        <f>F24</f>
        <v>0.27765000000000001</v>
      </c>
      <c r="P12" s="85">
        <f>F25</f>
        <v>0.28349000000000002</v>
      </c>
      <c r="Q12" s="85">
        <f>F26</f>
        <v>0.27718000000000004</v>
      </c>
      <c r="R12" s="6">
        <f t="shared" si="0"/>
        <v>24.861538461538462</v>
      </c>
      <c r="S12" s="6">
        <f t="shared" si="0"/>
        <v>24.853333333333332</v>
      </c>
      <c r="T12" s="6">
        <f t="shared" si="0"/>
        <v>24.836923076923075</v>
      </c>
      <c r="U12" s="6">
        <f t="shared" si="0"/>
        <v>24.804102564102564</v>
      </c>
      <c r="V12" s="61">
        <f t="shared" si="6"/>
        <v>4.9795059139851484E-4</v>
      </c>
      <c r="W12" s="61">
        <f t="shared" si="3"/>
        <v>4.9170414833690985E-4</v>
      </c>
      <c r="X12" s="61">
        <f t="shared" si="4"/>
        <v>5.0237820608275518E-4</v>
      </c>
      <c r="Y12" s="61">
        <f t="shared" si="5"/>
        <v>4.9184607620740995E-4</v>
      </c>
      <c r="Z12" s="5"/>
      <c r="AA12" s="65"/>
      <c r="AB12" s="1">
        <v>28.9</v>
      </c>
    </row>
    <row r="13" spans="1:28" s="53" customFormat="1" ht="13.2" customHeight="1" x14ac:dyDescent="0.25">
      <c r="A13" s="156" t="s">
        <v>62</v>
      </c>
      <c r="B13" s="160"/>
      <c r="C13" s="157" t="s">
        <v>78</v>
      </c>
      <c r="D13" s="103">
        <v>42</v>
      </c>
      <c r="E13" s="120">
        <v>22.736800000000002</v>
      </c>
      <c r="F13" s="120">
        <v>0.28709000000000001</v>
      </c>
      <c r="G13" s="53">
        <v>33.4</v>
      </c>
      <c r="H13" s="155" t="s">
        <v>82</v>
      </c>
      <c r="I13" s="4"/>
      <c r="J13" s="33">
        <v>32.1</v>
      </c>
      <c r="K13" s="33">
        <v>30.9</v>
      </c>
      <c r="L13" s="33">
        <v>31.8</v>
      </c>
      <c r="M13" s="33">
        <v>31.9</v>
      </c>
      <c r="N13" s="85">
        <f>F27</f>
        <v>0.28087000000000001</v>
      </c>
      <c r="O13" s="85">
        <f>F28</f>
        <v>0.28287000000000001</v>
      </c>
      <c r="P13" s="85">
        <f>F29</f>
        <v>0.26972000000000002</v>
      </c>
      <c r="Q13" s="85">
        <f>F30</f>
        <v>0.28008000000000005</v>
      </c>
      <c r="R13" s="6">
        <f t="shared" si="0"/>
        <v>25.033846153846156</v>
      </c>
      <c r="S13" s="6">
        <f t="shared" si="0"/>
        <v>24.935384615384613</v>
      </c>
      <c r="T13" s="6">
        <f t="shared" si="0"/>
        <v>25.009230769230768</v>
      </c>
      <c r="U13" s="6">
        <f t="shared" si="0"/>
        <v>25.017435897435895</v>
      </c>
      <c r="V13" s="61">
        <f t="shared" si="6"/>
        <v>4.9381993098574232E-4</v>
      </c>
      <c r="W13" s="61">
        <f t="shared" si="3"/>
        <v>4.9930010593534063E-4</v>
      </c>
      <c r="X13" s="61">
        <f t="shared" si="4"/>
        <v>4.7468297563976378E-4</v>
      </c>
      <c r="Y13" s="61">
        <f t="shared" si="5"/>
        <v>4.9275398048540518E-4</v>
      </c>
      <c r="AA13" s="65"/>
      <c r="AB13" s="53">
        <v>30.8</v>
      </c>
    </row>
    <row r="14" spans="1:28" s="33" customFormat="1" x14ac:dyDescent="0.25">
      <c r="A14" s="156" t="s">
        <v>62</v>
      </c>
      <c r="B14" s="160"/>
      <c r="C14" s="157" t="s">
        <v>78</v>
      </c>
      <c r="D14" s="103">
        <v>63</v>
      </c>
      <c r="E14" s="120">
        <v>27.717400000000001</v>
      </c>
      <c r="F14" s="120">
        <v>0.27029000000000003</v>
      </c>
      <c r="G14" s="33">
        <v>33.200000000000003</v>
      </c>
      <c r="H14" s="155" t="s">
        <v>83</v>
      </c>
      <c r="I14" s="4"/>
      <c r="J14" s="33">
        <v>32.1</v>
      </c>
      <c r="K14" s="33">
        <v>30.4</v>
      </c>
      <c r="L14" s="33">
        <v>32.5</v>
      </c>
      <c r="M14" s="33">
        <v>32.700000000000003</v>
      </c>
      <c r="N14" s="85">
        <f>F31</f>
        <v>0.25880000000000003</v>
      </c>
      <c r="O14" s="85">
        <f>F32</f>
        <v>0.29172000000000003</v>
      </c>
      <c r="P14" s="85">
        <f>F33</f>
        <v>0.28343000000000002</v>
      </c>
      <c r="Q14" s="85">
        <f>F34</f>
        <v>0.27925</v>
      </c>
      <c r="R14" s="6">
        <f t="shared" si="0"/>
        <v>25.033846153846156</v>
      </c>
      <c r="S14" s="6">
        <f t="shared" si="0"/>
        <v>24.894358974358973</v>
      </c>
      <c r="T14" s="6">
        <f t="shared" si="0"/>
        <v>25.066666666666666</v>
      </c>
      <c r="U14" s="6">
        <f t="shared" si="0"/>
        <v>25.083076923076923</v>
      </c>
      <c r="V14" s="61">
        <f t="shared" si="6"/>
        <v>4.5501690511307768E-4</v>
      </c>
      <c r="W14" s="61">
        <f t="shared" si="3"/>
        <v>5.1577002216545819E-4</v>
      </c>
      <c r="X14" s="61">
        <f t="shared" si="4"/>
        <v>4.9766840505319145E-4</v>
      </c>
      <c r="Y14" s="61">
        <f t="shared" si="5"/>
        <v>4.900080455716388E-4</v>
      </c>
      <c r="Z14" s="24"/>
      <c r="AA14" s="65"/>
      <c r="AB14" s="33">
        <v>30.9</v>
      </c>
    </row>
    <row r="15" spans="1:28" s="53" customFormat="1" x14ac:dyDescent="0.25">
      <c r="A15" s="156" t="s">
        <v>62</v>
      </c>
      <c r="B15" s="160"/>
      <c r="C15" s="157" t="s">
        <v>79</v>
      </c>
      <c r="D15" s="103">
        <v>0</v>
      </c>
      <c r="E15" s="120">
        <v>14.214200000000002</v>
      </c>
      <c r="F15" s="120">
        <v>0.27626000000000001</v>
      </c>
      <c r="G15" s="53">
        <v>33</v>
      </c>
      <c r="H15" s="155" t="s">
        <v>84</v>
      </c>
      <c r="I15" s="4"/>
      <c r="J15" s="33">
        <v>31.2</v>
      </c>
      <c r="K15" s="33">
        <v>29.2</v>
      </c>
      <c r="L15" s="33">
        <v>31</v>
      </c>
      <c r="M15" s="33">
        <v>29.8</v>
      </c>
      <c r="N15" s="85">
        <f>F35</f>
        <v>0.29115000000000002</v>
      </c>
      <c r="O15" s="85">
        <f>F36</f>
        <v>0.28213000000000005</v>
      </c>
      <c r="P15" s="85">
        <f>F37</f>
        <v>0.28454000000000002</v>
      </c>
      <c r="Q15" s="85">
        <f>F38</f>
        <v>0.28356000000000003</v>
      </c>
      <c r="R15" s="6">
        <f t="shared" si="0"/>
        <v>24.96</v>
      </c>
      <c r="S15" s="6">
        <f t="shared" si="0"/>
        <v>24.795897435897434</v>
      </c>
      <c r="T15" s="6">
        <f t="shared" si="0"/>
        <v>24.943589743589744</v>
      </c>
      <c r="U15" s="6">
        <f t="shared" si="0"/>
        <v>24.845128205128205</v>
      </c>
      <c r="V15" s="61">
        <f t="shared" si="6"/>
        <v>5.1340849759615387E-4</v>
      </c>
      <c r="W15" s="61">
        <f t="shared" si="3"/>
        <v>5.007953372973198E-4</v>
      </c>
      <c r="X15" s="61">
        <f t="shared" si="4"/>
        <v>5.0208264683388154E-4</v>
      </c>
      <c r="Y15" s="61">
        <f t="shared" si="5"/>
        <v>5.0233630259247032E-4</v>
      </c>
      <c r="Z15" s="24"/>
      <c r="AA15" s="65"/>
      <c r="AB15" s="53">
        <v>29</v>
      </c>
    </row>
    <row r="16" spans="1:28" s="53" customFormat="1" ht="13.8" thickBot="1" x14ac:dyDescent="0.3">
      <c r="A16" s="156" t="s">
        <v>62</v>
      </c>
      <c r="B16" s="160"/>
      <c r="C16" s="157" t="s">
        <v>79</v>
      </c>
      <c r="D16" s="103">
        <v>21</v>
      </c>
      <c r="E16" s="120">
        <v>23.835800000000003</v>
      </c>
      <c r="F16" s="120">
        <v>0.27063000000000004</v>
      </c>
      <c r="G16" s="53">
        <v>31.6</v>
      </c>
      <c r="H16" s="162" t="s">
        <v>85</v>
      </c>
      <c r="I16" s="4"/>
      <c r="J16" s="33">
        <v>30.4</v>
      </c>
      <c r="K16" s="33">
        <v>29.8</v>
      </c>
      <c r="L16" s="33">
        <v>31.8</v>
      </c>
      <c r="M16" s="33">
        <v>32.1</v>
      </c>
      <c r="N16" s="85">
        <f>F39</f>
        <v>0.28172000000000003</v>
      </c>
      <c r="O16" s="85">
        <f>F40</f>
        <v>0.27194000000000002</v>
      </c>
      <c r="P16" s="85">
        <f>F41</f>
        <v>0.27183000000000002</v>
      </c>
      <c r="Q16" s="85">
        <f>F42</f>
        <v>0.29018000000000005</v>
      </c>
      <c r="R16" s="6">
        <f t="shared" si="0"/>
        <v>24.894358974358973</v>
      </c>
      <c r="S16" s="6">
        <f t="shared" si="0"/>
        <v>24.845128205128205</v>
      </c>
      <c r="T16" s="6">
        <f t="shared" si="0"/>
        <v>25.009230769230768</v>
      </c>
      <c r="U16" s="6">
        <f t="shared" si="0"/>
        <v>25.033846153846156</v>
      </c>
      <c r="V16" s="61">
        <f t="shared" si="6"/>
        <v>4.980897115194464E-4</v>
      </c>
      <c r="W16" s="61">
        <f t="shared" si="3"/>
        <v>4.817510725313738E-4</v>
      </c>
      <c r="X16" s="61">
        <f t="shared" si="4"/>
        <v>4.7839638613435042E-4</v>
      </c>
      <c r="Y16" s="61">
        <f t="shared" si="5"/>
        <v>5.1018858394788599E-4</v>
      </c>
      <c r="Z16" s="34"/>
      <c r="AA16" s="65"/>
      <c r="AB16" s="34">
        <v>30</v>
      </c>
    </row>
    <row r="17" spans="1:28" s="53" customFormat="1" x14ac:dyDescent="0.25">
      <c r="A17" s="156" t="s">
        <v>62</v>
      </c>
      <c r="B17" s="160"/>
      <c r="C17" s="157" t="s">
        <v>79</v>
      </c>
      <c r="D17" s="103">
        <v>42</v>
      </c>
      <c r="E17" s="120">
        <v>32.111600000000003</v>
      </c>
      <c r="F17" s="120">
        <v>0.26904</v>
      </c>
      <c r="G17" s="53">
        <v>32.1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32.700000000000003</v>
      </c>
    </row>
    <row r="18" spans="1:28" s="33" customFormat="1" x14ac:dyDescent="0.25">
      <c r="A18" s="156" t="s">
        <v>62</v>
      </c>
      <c r="B18" s="160"/>
      <c r="C18" s="157" t="s">
        <v>79</v>
      </c>
      <c r="D18" s="103">
        <v>63</v>
      </c>
      <c r="E18" s="120">
        <v>41.618400000000001</v>
      </c>
      <c r="F18" s="120">
        <v>0.27672000000000002</v>
      </c>
      <c r="G18" s="33">
        <v>31.8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33.1</v>
      </c>
    </row>
    <row r="19" spans="1:28" s="33" customFormat="1" x14ac:dyDescent="0.25">
      <c r="A19" s="156" t="s">
        <v>62</v>
      </c>
      <c r="B19" s="160"/>
      <c r="C19" s="157" t="s">
        <v>80</v>
      </c>
      <c r="D19" s="103">
        <v>0</v>
      </c>
      <c r="E19" s="120">
        <v>52.095599999999997</v>
      </c>
      <c r="F19" s="120">
        <v>0.26782</v>
      </c>
      <c r="G19" s="33">
        <v>31.6</v>
      </c>
      <c r="H19" s="15"/>
      <c r="Z19" s="53"/>
      <c r="AA19" s="65"/>
      <c r="AB19" s="33">
        <v>28</v>
      </c>
    </row>
    <row r="20" spans="1:28" s="33" customFormat="1" x14ac:dyDescent="0.25">
      <c r="A20" s="156" t="s">
        <v>62</v>
      </c>
      <c r="B20" s="160"/>
      <c r="C20" s="157" t="s">
        <v>80</v>
      </c>
      <c r="D20" s="103">
        <v>21</v>
      </c>
      <c r="E20" s="120">
        <v>82.235799999999998</v>
      </c>
      <c r="F20" s="120">
        <v>0.27775000000000005</v>
      </c>
      <c r="G20" s="33">
        <v>33</v>
      </c>
      <c r="M20" s="104"/>
      <c r="Z20" s="53"/>
      <c r="AA20" s="65"/>
      <c r="AB20" s="33">
        <v>29.9</v>
      </c>
    </row>
    <row r="21" spans="1:28" s="33" customFormat="1" x14ac:dyDescent="0.25">
      <c r="A21" s="156" t="s">
        <v>62</v>
      </c>
      <c r="B21" s="160"/>
      <c r="C21" s="157" t="s">
        <v>80</v>
      </c>
      <c r="D21" s="103">
        <v>42</v>
      </c>
      <c r="E21" s="120">
        <v>114.80240000000001</v>
      </c>
      <c r="F21" s="120">
        <v>0.28096000000000004</v>
      </c>
      <c r="G21" s="33">
        <v>33</v>
      </c>
      <c r="H21" s="178" t="s">
        <v>15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53"/>
      <c r="AA21" s="65"/>
      <c r="AB21" s="33">
        <v>32</v>
      </c>
    </row>
    <row r="22" spans="1:28" s="33" customFormat="1" x14ac:dyDescent="0.25">
      <c r="A22" s="156" t="s">
        <v>62</v>
      </c>
      <c r="B22" s="160"/>
      <c r="C22" s="157" t="s">
        <v>80</v>
      </c>
      <c r="D22" s="103">
        <v>63</v>
      </c>
      <c r="E22" s="120">
        <v>149.47620000000001</v>
      </c>
      <c r="F22" s="120">
        <v>0.27773000000000003</v>
      </c>
      <c r="G22" s="33">
        <v>33.299999999999997</v>
      </c>
      <c r="H22" s="183" t="s">
        <v>39</v>
      </c>
      <c r="I22" s="183" t="s">
        <v>61</v>
      </c>
      <c r="J22" s="181" t="s">
        <v>28</v>
      </c>
      <c r="K22" s="181"/>
      <c r="L22" s="181"/>
      <c r="M22" s="87"/>
      <c r="N22" s="173" t="s">
        <v>48</v>
      </c>
      <c r="O22" s="184"/>
      <c r="P22" s="184"/>
      <c r="Q22" s="184"/>
      <c r="R22" s="174" t="s">
        <v>47</v>
      </c>
      <c r="S22" s="174"/>
      <c r="T22" s="174"/>
      <c r="U22" s="174"/>
      <c r="V22" s="173" t="s">
        <v>43</v>
      </c>
      <c r="W22" s="173"/>
      <c r="X22" s="173"/>
      <c r="Y22" s="173"/>
      <c r="Z22" s="53"/>
      <c r="AA22" s="65"/>
      <c r="AB22" s="33">
        <v>31.8</v>
      </c>
    </row>
    <row r="23" spans="1:28" s="33" customFormat="1" x14ac:dyDescent="0.25">
      <c r="A23" s="156" t="s">
        <v>62</v>
      </c>
      <c r="B23" s="160"/>
      <c r="C23" s="157" t="s">
        <v>81</v>
      </c>
      <c r="D23" s="103">
        <v>0</v>
      </c>
      <c r="E23" s="120">
        <v>3.7</v>
      </c>
      <c r="F23" s="120">
        <v>0.28127000000000002</v>
      </c>
      <c r="G23" s="33">
        <v>33</v>
      </c>
      <c r="H23" s="183"/>
      <c r="I23" s="183"/>
      <c r="J23" s="88"/>
      <c r="K23" s="88"/>
      <c r="L23" s="88"/>
      <c r="M23" s="88"/>
      <c r="N23" s="184"/>
      <c r="O23" s="184"/>
      <c r="P23" s="184"/>
      <c r="Q23" s="184"/>
      <c r="R23" s="174"/>
      <c r="S23" s="174"/>
      <c r="T23" s="174"/>
      <c r="U23" s="174"/>
      <c r="V23" s="173"/>
      <c r="W23" s="173"/>
      <c r="X23" s="173"/>
      <c r="Y23" s="173"/>
      <c r="Z23" s="53"/>
      <c r="AA23" s="65"/>
      <c r="AB23" s="33">
        <v>27.5</v>
      </c>
    </row>
    <row r="24" spans="1:28" s="33" customFormat="1" x14ac:dyDescent="0.25">
      <c r="A24" s="156" t="s">
        <v>62</v>
      </c>
      <c r="B24" s="160"/>
      <c r="C24" s="157" t="s">
        <v>81</v>
      </c>
      <c r="D24" s="103">
        <v>21</v>
      </c>
      <c r="E24" s="120">
        <v>10.171200000000001</v>
      </c>
      <c r="F24" s="120">
        <v>0.27765000000000001</v>
      </c>
      <c r="G24" s="33">
        <v>30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30</v>
      </c>
    </row>
    <row r="25" spans="1:28" s="33" customFormat="1" ht="13.8" thickBot="1" x14ac:dyDescent="0.3">
      <c r="A25" s="156" t="s">
        <v>62</v>
      </c>
      <c r="B25" s="160"/>
      <c r="C25" s="157" t="s">
        <v>81</v>
      </c>
      <c r="D25" s="103">
        <v>42</v>
      </c>
      <c r="E25" s="120">
        <v>15.857000000000001</v>
      </c>
      <c r="F25" s="120">
        <v>0.28349000000000002</v>
      </c>
      <c r="G25" s="33">
        <v>29.9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31.8</v>
      </c>
    </row>
    <row r="26" spans="1:28" s="33" customFormat="1" x14ac:dyDescent="0.25">
      <c r="A26" s="156" t="s">
        <v>62</v>
      </c>
      <c r="B26" s="160"/>
      <c r="C26" s="157" t="s">
        <v>81</v>
      </c>
      <c r="D26" s="103">
        <v>63</v>
      </c>
      <c r="E26" s="120">
        <v>21.425000000000001</v>
      </c>
      <c r="F26" s="120">
        <v>0.27718000000000004</v>
      </c>
      <c r="G26" s="33">
        <v>29.7</v>
      </c>
      <c r="H26" s="154" t="s">
        <v>76</v>
      </c>
      <c r="I26" s="4"/>
      <c r="J26" s="90">
        <f t="shared" ref="J26:M29" si="7">J7</f>
        <v>32.299999999999997</v>
      </c>
      <c r="K26" s="90">
        <f t="shared" si="7"/>
        <v>31.7</v>
      </c>
      <c r="L26" s="90">
        <f t="shared" si="7"/>
        <v>33</v>
      </c>
      <c r="M26" s="90">
        <f t="shared" si="7"/>
        <v>32.5</v>
      </c>
      <c r="N26" s="85">
        <f>E3</f>
        <v>12.109200000000001</v>
      </c>
      <c r="O26" s="85">
        <f>E4</f>
        <v>29.002800000000001</v>
      </c>
      <c r="P26" s="85">
        <f>E5</f>
        <v>45.593400000000003</v>
      </c>
      <c r="Q26" s="85">
        <f>E6</f>
        <v>62.320799999999998</v>
      </c>
      <c r="R26" s="6">
        <f t="shared" ref="R26:U37" si="8">(((760*22.4)*(273+J26))/(760*273))</f>
        <v>25.050256410256413</v>
      </c>
      <c r="S26" s="6">
        <f t="shared" si="8"/>
        <v>25.001025641025642</v>
      </c>
      <c r="T26" s="6">
        <f t="shared" si="8"/>
        <v>25.107692307692307</v>
      </c>
      <c r="U26" s="6">
        <f t="shared" si="8"/>
        <v>25.066666666666666</v>
      </c>
      <c r="V26" s="61">
        <f>((N26/(R26))*(0.016043))</f>
        <v>7.7551260321814617E-3</v>
      </c>
      <c r="W26" s="61">
        <f t="shared" ref="W26:Y37" si="9">((O26/(S26))*(0.016043))</f>
        <v>1.8610913291352151E-2</v>
      </c>
      <c r="X26" s="61">
        <f t="shared" si="9"/>
        <v>2.9132701931985298E-2</v>
      </c>
      <c r="Y26" s="61">
        <f t="shared" si="9"/>
        <v>3.9886140734042556E-2</v>
      </c>
      <c r="Z26" s="53"/>
      <c r="AA26" s="65"/>
      <c r="AB26" s="33">
        <v>34.1</v>
      </c>
    </row>
    <row r="27" spans="1:28" s="33" customFormat="1" x14ac:dyDescent="0.25">
      <c r="A27" s="156" t="s">
        <v>62</v>
      </c>
      <c r="B27" s="160"/>
      <c r="C27" s="157" t="s">
        <v>82</v>
      </c>
      <c r="D27" s="103">
        <v>0</v>
      </c>
      <c r="E27" s="120">
        <v>3.4588000000000001</v>
      </c>
      <c r="F27" s="120">
        <v>0.28087000000000001</v>
      </c>
      <c r="G27" s="33">
        <v>29.3</v>
      </c>
      <c r="H27" s="155" t="s">
        <v>77</v>
      </c>
      <c r="I27" s="4"/>
      <c r="J27" s="90">
        <f t="shared" si="7"/>
        <v>33.700000000000003</v>
      </c>
      <c r="K27" s="90">
        <f t="shared" si="7"/>
        <v>34.700000000000003</v>
      </c>
      <c r="L27" s="90">
        <f t="shared" si="7"/>
        <v>34.799999999999997</v>
      </c>
      <c r="M27" s="90">
        <f t="shared" si="7"/>
        <v>34.5</v>
      </c>
      <c r="N27" s="85">
        <f>E7</f>
        <v>9.1716000000000015</v>
      </c>
      <c r="O27" s="85">
        <f>E8</f>
        <v>16.576000000000001</v>
      </c>
      <c r="P27" s="85">
        <f>E9</f>
        <v>23.123800000000003</v>
      </c>
      <c r="Q27" s="85">
        <f>E10</f>
        <v>29.123600000000003</v>
      </c>
      <c r="R27" s="6">
        <f t="shared" si="8"/>
        <v>25.165128205128205</v>
      </c>
      <c r="S27" s="6">
        <f t="shared" si="8"/>
        <v>25.247179487179487</v>
      </c>
      <c r="T27" s="6">
        <f t="shared" si="8"/>
        <v>25.255384615384617</v>
      </c>
      <c r="U27" s="6">
        <f t="shared" si="8"/>
        <v>25.23076923076923</v>
      </c>
      <c r="V27" s="61">
        <f t="shared" ref="V27:V37" si="10">((N27/(R27))*(0.016043))</f>
        <v>5.846979105396154E-3</v>
      </c>
      <c r="W27" s="61">
        <f t="shared" si="9"/>
        <v>1.0533008969775756E-2</v>
      </c>
      <c r="X27" s="61">
        <f t="shared" si="9"/>
        <v>1.4688951645346006E-2</v>
      </c>
      <c r="Y27" s="61">
        <f t="shared" si="9"/>
        <v>1.851825881829269E-2</v>
      </c>
      <c r="Z27" s="53"/>
      <c r="AA27" s="65"/>
      <c r="AB27" s="33">
        <v>27.7</v>
      </c>
    </row>
    <row r="28" spans="1:28" s="33" customFormat="1" x14ac:dyDescent="0.25">
      <c r="A28" s="156" t="s">
        <v>62</v>
      </c>
      <c r="B28" s="160"/>
      <c r="C28" s="157" t="s">
        <v>82</v>
      </c>
      <c r="D28" s="103">
        <v>21</v>
      </c>
      <c r="E28" s="120">
        <v>32.904800000000002</v>
      </c>
      <c r="F28" s="120">
        <v>0.28287000000000001</v>
      </c>
      <c r="G28" s="33">
        <v>32.1</v>
      </c>
      <c r="H28" s="155" t="s">
        <v>78</v>
      </c>
      <c r="I28" s="4"/>
      <c r="J28" s="90">
        <f t="shared" si="7"/>
        <v>33.700000000000003</v>
      </c>
      <c r="K28" s="90">
        <f t="shared" si="7"/>
        <v>33.4</v>
      </c>
      <c r="L28" s="90">
        <f t="shared" si="7"/>
        <v>33.200000000000003</v>
      </c>
      <c r="M28" s="90">
        <f t="shared" si="7"/>
        <v>33</v>
      </c>
      <c r="N28" s="85">
        <f>E11</f>
        <v>10.557</v>
      </c>
      <c r="O28" s="85">
        <f>E12</f>
        <v>17.017200000000003</v>
      </c>
      <c r="P28" s="85">
        <f>E13</f>
        <v>22.736800000000002</v>
      </c>
      <c r="Q28" s="85">
        <f>E14</f>
        <v>27.717400000000001</v>
      </c>
      <c r="R28" s="6">
        <f t="shared" si="8"/>
        <v>25.165128205128205</v>
      </c>
      <c r="S28" s="6">
        <f t="shared" si="8"/>
        <v>25.140512820512818</v>
      </c>
      <c r="T28" s="6">
        <f t="shared" si="8"/>
        <v>25.124102564102564</v>
      </c>
      <c r="U28" s="6">
        <f t="shared" si="8"/>
        <v>25.107692307692307</v>
      </c>
      <c r="V28" s="61">
        <f t="shared" si="10"/>
        <v>6.7301843097896975E-3</v>
      </c>
      <c r="W28" s="61">
        <f t="shared" si="9"/>
        <v>1.0859243069109013E-2</v>
      </c>
      <c r="X28" s="61">
        <f t="shared" si="9"/>
        <v>1.4518587538373614E-2</v>
      </c>
      <c r="Y28" s="61">
        <f t="shared" si="9"/>
        <v>1.7710518463848041E-2</v>
      </c>
      <c r="Z28" s="53"/>
      <c r="AA28" s="65"/>
      <c r="AB28" s="33">
        <v>31.2</v>
      </c>
    </row>
    <row r="29" spans="1:28" s="33" customFormat="1" x14ac:dyDescent="0.25">
      <c r="A29" s="156" t="s">
        <v>62</v>
      </c>
      <c r="B29" s="160"/>
      <c r="C29" s="157" t="s">
        <v>82</v>
      </c>
      <c r="D29" s="103">
        <v>42</v>
      </c>
      <c r="E29" s="120">
        <v>61.384799999999998</v>
      </c>
      <c r="F29" s="120">
        <v>0.26972000000000002</v>
      </c>
      <c r="G29" s="33">
        <v>30.9</v>
      </c>
      <c r="H29" s="155" t="s">
        <v>79</v>
      </c>
      <c r="I29" s="4"/>
      <c r="J29" s="90">
        <f t="shared" si="7"/>
        <v>31.6</v>
      </c>
      <c r="K29" s="90">
        <f t="shared" si="7"/>
        <v>32.1</v>
      </c>
      <c r="L29" s="90">
        <f t="shared" si="7"/>
        <v>31.8</v>
      </c>
      <c r="M29" s="90">
        <f t="shared" si="7"/>
        <v>31.6</v>
      </c>
      <c r="N29" s="85">
        <f>E15</f>
        <v>14.214200000000002</v>
      </c>
      <c r="O29" s="85">
        <f>E16</f>
        <v>23.835800000000003</v>
      </c>
      <c r="P29" s="85">
        <f>E17</f>
        <v>32.111600000000003</v>
      </c>
      <c r="Q29" s="85">
        <f>E18</f>
        <v>41.618400000000001</v>
      </c>
      <c r="R29" s="6">
        <f t="shared" si="8"/>
        <v>24.992820512820515</v>
      </c>
      <c r="S29" s="6">
        <f t="shared" si="8"/>
        <v>25.033846153846156</v>
      </c>
      <c r="T29" s="6">
        <f t="shared" si="8"/>
        <v>25.009230769230768</v>
      </c>
      <c r="U29" s="6">
        <f t="shared" si="8"/>
        <v>24.992820512820515</v>
      </c>
      <c r="V29" s="61">
        <f t="shared" si="10"/>
        <v>9.1241566946405131E-3</v>
      </c>
      <c r="W29" s="61">
        <f t="shared" si="9"/>
        <v>1.5275229265609638E-2</v>
      </c>
      <c r="X29" s="61">
        <f t="shared" si="9"/>
        <v>2.0599050148868116E-2</v>
      </c>
      <c r="Y29" s="61">
        <f t="shared" si="9"/>
        <v>2.671503165709127E-2</v>
      </c>
      <c r="Z29" s="53"/>
      <c r="AA29" s="65"/>
      <c r="AB29" s="33">
        <v>31.7</v>
      </c>
    </row>
    <row r="30" spans="1:28" s="33" customFormat="1" x14ac:dyDescent="0.25">
      <c r="A30" s="156" t="s">
        <v>62</v>
      </c>
      <c r="B30" s="160"/>
      <c r="C30" s="157" t="s">
        <v>82</v>
      </c>
      <c r="D30" s="103">
        <v>63</v>
      </c>
      <c r="E30" s="120">
        <v>88.690200000000004</v>
      </c>
      <c r="F30" s="120">
        <v>0.28008000000000005</v>
      </c>
      <c r="G30" s="33">
        <v>31.8</v>
      </c>
      <c r="H30" s="155" t="s">
        <v>80</v>
      </c>
      <c r="I30" s="4"/>
      <c r="J30" s="90">
        <f t="shared" ref="J30:M30" si="11">J11</f>
        <v>33</v>
      </c>
      <c r="K30" s="90">
        <f t="shared" si="11"/>
        <v>33</v>
      </c>
      <c r="L30" s="90">
        <f t="shared" si="11"/>
        <v>33.299999999999997</v>
      </c>
      <c r="M30" s="90">
        <f t="shared" si="11"/>
        <v>33</v>
      </c>
      <c r="N30" s="85">
        <f>E19</f>
        <v>52.095599999999997</v>
      </c>
      <c r="O30" s="85">
        <f>E20</f>
        <v>82.235799999999998</v>
      </c>
      <c r="P30" s="85">
        <f>E21</f>
        <v>114.80240000000001</v>
      </c>
      <c r="Q30" s="85">
        <f>E22</f>
        <v>149.47620000000001</v>
      </c>
      <c r="R30" s="6">
        <f t="shared" si="8"/>
        <v>25.107692307692307</v>
      </c>
      <c r="S30" s="6">
        <f t="shared" si="8"/>
        <v>25.107692307692307</v>
      </c>
      <c r="T30" s="6">
        <f t="shared" si="8"/>
        <v>25.132307692307695</v>
      </c>
      <c r="U30" s="6">
        <f t="shared" si="8"/>
        <v>25.107692307692307</v>
      </c>
      <c r="V30" s="61">
        <f t="shared" si="10"/>
        <v>3.3287396569852946E-2</v>
      </c>
      <c r="W30" s="61">
        <f t="shared" si="9"/>
        <v>5.2546005552083337E-2</v>
      </c>
      <c r="X30" s="61">
        <f t="shared" si="9"/>
        <v>7.3283159101371204E-2</v>
      </c>
      <c r="Y30" s="61">
        <f t="shared" si="9"/>
        <v>9.5510437487132366E-2</v>
      </c>
      <c r="Z30" s="53"/>
      <c r="AA30" s="65"/>
      <c r="AB30" s="33">
        <v>33.700000000000003</v>
      </c>
    </row>
    <row r="31" spans="1:28" s="33" customFormat="1" x14ac:dyDescent="0.25">
      <c r="A31" s="156" t="s">
        <v>62</v>
      </c>
      <c r="B31" s="160"/>
      <c r="C31" s="157" t="s">
        <v>83</v>
      </c>
      <c r="D31" s="103">
        <v>0</v>
      </c>
      <c r="E31" s="120">
        <v>3.1022000000000003</v>
      </c>
      <c r="F31" s="120">
        <v>0.25880000000000003</v>
      </c>
      <c r="G31" s="33">
        <v>31.9</v>
      </c>
      <c r="H31" s="155" t="s">
        <v>81</v>
      </c>
      <c r="I31" s="4"/>
      <c r="J31" s="90">
        <f t="shared" ref="J31:M31" si="12">J12</f>
        <v>30</v>
      </c>
      <c r="K31" s="90">
        <f t="shared" si="12"/>
        <v>29.9</v>
      </c>
      <c r="L31" s="90">
        <f t="shared" si="12"/>
        <v>29.7</v>
      </c>
      <c r="M31" s="90">
        <f t="shared" si="12"/>
        <v>29.3</v>
      </c>
      <c r="N31" s="85">
        <f>E23</f>
        <v>3.7</v>
      </c>
      <c r="O31" s="85">
        <f>E24</f>
        <v>10.171200000000001</v>
      </c>
      <c r="P31" s="85">
        <f>E25</f>
        <v>15.857000000000001</v>
      </c>
      <c r="Q31" s="85">
        <f>E26</f>
        <v>21.425000000000001</v>
      </c>
      <c r="R31" s="6">
        <f t="shared" si="8"/>
        <v>24.861538461538462</v>
      </c>
      <c r="S31" s="6">
        <f t="shared" si="8"/>
        <v>24.853333333333332</v>
      </c>
      <c r="T31" s="6">
        <f t="shared" si="8"/>
        <v>24.836923076923075</v>
      </c>
      <c r="U31" s="6">
        <f t="shared" si="8"/>
        <v>24.804102564102564</v>
      </c>
      <c r="V31" s="61">
        <f t="shared" si="10"/>
        <v>2.3875875618811883E-3</v>
      </c>
      <c r="W31" s="61">
        <f t="shared" si="9"/>
        <v>6.5655805364806877E-3</v>
      </c>
      <c r="X31" s="61">
        <f t="shared" si="9"/>
        <v>1.0242567093037665E-2</v>
      </c>
      <c r="Y31" s="61">
        <f t="shared" si="9"/>
        <v>1.3857436450752566E-2</v>
      </c>
      <c r="Z31" s="53"/>
      <c r="AA31" s="65"/>
      <c r="AB31" s="33">
        <v>28.6</v>
      </c>
    </row>
    <row r="32" spans="1:28" s="33" customFormat="1" x14ac:dyDescent="0.25">
      <c r="A32" s="156" t="s">
        <v>62</v>
      </c>
      <c r="B32" s="160"/>
      <c r="C32" s="157" t="s">
        <v>83</v>
      </c>
      <c r="D32" s="103">
        <v>21</v>
      </c>
      <c r="E32" s="120">
        <v>7.5965999999999996</v>
      </c>
      <c r="F32" s="120">
        <v>0.29172000000000003</v>
      </c>
      <c r="G32" s="33">
        <v>32.1</v>
      </c>
      <c r="H32" s="155" t="s">
        <v>82</v>
      </c>
      <c r="I32" s="4"/>
      <c r="J32" s="90">
        <f t="shared" ref="J32:L32" si="13">J13</f>
        <v>32.1</v>
      </c>
      <c r="K32" s="90">
        <f t="shared" si="13"/>
        <v>30.9</v>
      </c>
      <c r="L32" s="90">
        <f t="shared" si="13"/>
        <v>31.8</v>
      </c>
      <c r="M32" s="90">
        <f>M13</f>
        <v>31.9</v>
      </c>
      <c r="N32" s="85">
        <f>E27</f>
        <v>3.4588000000000001</v>
      </c>
      <c r="O32" s="85">
        <f>E28</f>
        <v>32.904800000000002</v>
      </c>
      <c r="P32" s="85">
        <f>E29</f>
        <v>61.384799999999998</v>
      </c>
      <c r="Q32" s="85">
        <f>E30</f>
        <v>88.690200000000004</v>
      </c>
      <c r="R32" s="6">
        <f t="shared" si="8"/>
        <v>25.033846153846156</v>
      </c>
      <c r="S32" s="6">
        <f t="shared" si="8"/>
        <v>24.935384615384613</v>
      </c>
      <c r="T32" s="6">
        <f t="shared" si="8"/>
        <v>25.009230769230768</v>
      </c>
      <c r="U32" s="6">
        <f t="shared" si="8"/>
        <v>25.017435897435895</v>
      </c>
      <c r="V32" s="61">
        <f t="shared" si="10"/>
        <v>2.2165802273844642E-3</v>
      </c>
      <c r="W32" s="61">
        <f t="shared" si="9"/>
        <v>2.1170385560217182E-2</v>
      </c>
      <c r="X32" s="61">
        <f t="shared" si="9"/>
        <v>3.9377314539862207E-2</v>
      </c>
      <c r="Y32" s="61">
        <f t="shared" si="9"/>
        <v>5.6874608750205002E-2</v>
      </c>
      <c r="Z32" s="53"/>
      <c r="AA32" s="65"/>
      <c r="AB32" s="33">
        <v>32.4</v>
      </c>
    </row>
    <row r="33" spans="1:28" s="33" customFormat="1" x14ac:dyDescent="0.25">
      <c r="A33" s="156" t="s">
        <v>62</v>
      </c>
      <c r="B33" s="160"/>
      <c r="C33" s="157" t="s">
        <v>83</v>
      </c>
      <c r="D33" s="103">
        <v>42</v>
      </c>
      <c r="E33" s="120">
        <v>10.9282</v>
      </c>
      <c r="F33" s="120">
        <v>0.28343000000000002</v>
      </c>
      <c r="G33" s="33">
        <v>30.4</v>
      </c>
      <c r="H33" s="155" t="s">
        <v>83</v>
      </c>
      <c r="I33" s="4"/>
      <c r="J33" s="90">
        <f t="shared" ref="J33:M33" si="14">J14</f>
        <v>32.1</v>
      </c>
      <c r="K33" s="90">
        <f t="shared" si="14"/>
        <v>30.4</v>
      </c>
      <c r="L33" s="90">
        <f t="shared" si="14"/>
        <v>32.5</v>
      </c>
      <c r="M33" s="90">
        <f t="shared" si="14"/>
        <v>32.700000000000003</v>
      </c>
      <c r="N33" s="85">
        <f>E31</f>
        <v>3.1022000000000003</v>
      </c>
      <c r="O33" s="85">
        <f>E32</f>
        <v>7.5965999999999996</v>
      </c>
      <c r="P33" s="85">
        <f>E33</f>
        <v>10.9282</v>
      </c>
      <c r="Q33" s="85">
        <f>E34</f>
        <v>15.249200000000002</v>
      </c>
      <c r="R33" s="6">
        <f t="shared" si="8"/>
        <v>25.033846153846156</v>
      </c>
      <c r="S33" s="6">
        <f t="shared" si="8"/>
        <v>24.894358974358973</v>
      </c>
      <c r="T33" s="6">
        <f t="shared" si="8"/>
        <v>25.066666666666666</v>
      </c>
      <c r="U33" s="6">
        <f t="shared" si="8"/>
        <v>25.083076923076923</v>
      </c>
      <c r="V33" s="61">
        <f t="shared" si="10"/>
        <v>1.9880522670845625E-3</v>
      </c>
      <c r="W33" s="61">
        <f t="shared" si="9"/>
        <v>4.8955771034525381E-3</v>
      </c>
      <c r="X33" s="61">
        <f t="shared" si="9"/>
        <v>6.9941933218085114E-3</v>
      </c>
      <c r="Y33" s="61">
        <f t="shared" si="9"/>
        <v>9.753305639106969E-3</v>
      </c>
      <c r="Z33" s="53"/>
      <c r="AA33" s="53"/>
      <c r="AB33" s="33">
        <v>33.1</v>
      </c>
    </row>
    <row r="34" spans="1:28" s="33" customFormat="1" ht="13.8" thickBot="1" x14ac:dyDescent="0.3">
      <c r="A34" s="156" t="s">
        <v>62</v>
      </c>
      <c r="B34" s="161"/>
      <c r="C34" s="157" t="s">
        <v>83</v>
      </c>
      <c r="D34" s="103">
        <v>63</v>
      </c>
      <c r="E34" s="120">
        <v>15.249200000000002</v>
      </c>
      <c r="F34" s="120">
        <v>0.27925</v>
      </c>
      <c r="G34" s="33">
        <v>32.5</v>
      </c>
      <c r="H34" s="155" t="s">
        <v>84</v>
      </c>
      <c r="I34" s="4"/>
      <c r="J34" s="90">
        <f t="shared" ref="J34:M34" si="15">J15</f>
        <v>31.2</v>
      </c>
      <c r="K34" s="90">
        <f t="shared" si="15"/>
        <v>29.2</v>
      </c>
      <c r="L34" s="90">
        <f t="shared" si="15"/>
        <v>31</v>
      </c>
      <c r="M34" s="90">
        <f t="shared" si="15"/>
        <v>29.8</v>
      </c>
      <c r="N34" s="85">
        <f>E35</f>
        <v>2.819</v>
      </c>
      <c r="O34" s="85">
        <f>E36</f>
        <v>13.032200000000001</v>
      </c>
      <c r="P34" s="85">
        <f>E37</f>
        <v>22.7102</v>
      </c>
      <c r="Q34" s="85">
        <f>E38</f>
        <v>32.075400000000002</v>
      </c>
      <c r="R34" s="6">
        <f t="shared" si="8"/>
        <v>24.96</v>
      </c>
      <c r="S34" s="6">
        <f t="shared" si="8"/>
        <v>24.795897435897434</v>
      </c>
      <c r="T34" s="6">
        <f t="shared" si="8"/>
        <v>24.943589743589744</v>
      </c>
      <c r="U34" s="6">
        <f t="shared" si="8"/>
        <v>24.845128205128205</v>
      </c>
      <c r="V34" s="61">
        <f t="shared" si="10"/>
        <v>1.8119077323717949E-3</v>
      </c>
      <c r="W34" s="61">
        <f t="shared" si="9"/>
        <v>8.4318619699288583E-3</v>
      </c>
      <c r="X34" s="61">
        <f t="shared" si="9"/>
        <v>1.4606547908511515E-2</v>
      </c>
      <c r="Y34" s="61">
        <f t="shared" si="9"/>
        <v>2.0711732213713675E-2</v>
      </c>
      <c r="Z34" s="53"/>
      <c r="AA34" s="53"/>
      <c r="AB34" s="33">
        <v>34.799999999999997</v>
      </c>
    </row>
    <row r="35" spans="1:28" s="33" customFormat="1" ht="13.8" thickBot="1" x14ac:dyDescent="0.3">
      <c r="A35" s="119" t="s">
        <v>62</v>
      </c>
      <c r="B35" s="158"/>
      <c r="C35" s="123" t="s">
        <v>84</v>
      </c>
      <c r="D35" s="103">
        <v>0</v>
      </c>
      <c r="E35" s="120">
        <v>2.819</v>
      </c>
      <c r="F35" s="120">
        <v>0.29115000000000002</v>
      </c>
      <c r="G35" s="33">
        <v>32.700000000000003</v>
      </c>
      <c r="H35" s="162" t="s">
        <v>85</v>
      </c>
      <c r="I35" s="4"/>
      <c r="J35" s="90">
        <f t="shared" ref="J35:M35" si="16">J16</f>
        <v>30.4</v>
      </c>
      <c r="K35" s="90">
        <f t="shared" si="16"/>
        <v>29.8</v>
      </c>
      <c r="L35" s="90">
        <f t="shared" si="16"/>
        <v>31.8</v>
      </c>
      <c r="M35" s="90">
        <f t="shared" si="16"/>
        <v>32.1</v>
      </c>
      <c r="N35" s="85">
        <f>E39</f>
        <v>3.2550000000000003</v>
      </c>
      <c r="O35" s="85">
        <f>E40</f>
        <v>28.1646</v>
      </c>
      <c r="P35" s="85">
        <f>E41</f>
        <v>52.2928</v>
      </c>
      <c r="Q35" s="85">
        <f>E42</f>
        <v>77.545400000000001</v>
      </c>
      <c r="R35" s="6">
        <f t="shared" si="8"/>
        <v>24.894358974358973</v>
      </c>
      <c r="S35" s="6">
        <f t="shared" si="8"/>
        <v>24.845128205128205</v>
      </c>
      <c r="T35" s="6">
        <f t="shared" si="8"/>
        <v>25.009230769230768</v>
      </c>
      <c r="U35" s="6">
        <f t="shared" si="8"/>
        <v>25.033846153846156</v>
      </c>
      <c r="V35" s="61">
        <f t="shared" si="10"/>
        <v>2.0976625690095588E-3</v>
      </c>
      <c r="W35" s="61">
        <f t="shared" si="9"/>
        <v>1.8186449837144982E-2</v>
      </c>
      <c r="X35" s="61">
        <f t="shared" si="9"/>
        <v>3.3544949788385833E-2</v>
      </c>
      <c r="Y35" s="61">
        <f t="shared" si="9"/>
        <v>4.9695154494223209E-2</v>
      </c>
      <c r="Z35" s="53"/>
      <c r="AA35" s="53"/>
      <c r="AB35" s="33">
        <v>28.7</v>
      </c>
    </row>
    <row r="36" spans="1:28" s="33" customFormat="1" x14ac:dyDescent="0.25">
      <c r="A36" s="119" t="s">
        <v>62</v>
      </c>
      <c r="B36" s="106"/>
      <c r="C36" s="123" t="s">
        <v>84</v>
      </c>
      <c r="D36" s="103">
        <v>21</v>
      </c>
      <c r="E36" s="120">
        <v>13.032200000000001</v>
      </c>
      <c r="F36" s="120">
        <v>0.28213000000000005</v>
      </c>
      <c r="G36" s="33">
        <v>31.2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32.299999999999997</v>
      </c>
    </row>
    <row r="37" spans="1:28" s="33" customFormat="1" x14ac:dyDescent="0.25">
      <c r="A37" s="119" t="s">
        <v>62</v>
      </c>
      <c r="B37" s="106"/>
      <c r="C37" s="123" t="s">
        <v>84</v>
      </c>
      <c r="D37" s="103">
        <v>42</v>
      </c>
      <c r="E37" s="120">
        <v>22.7102</v>
      </c>
      <c r="F37" s="120">
        <v>0.28454000000000002</v>
      </c>
      <c r="G37" s="33">
        <v>29.2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33.4</v>
      </c>
    </row>
    <row r="38" spans="1:28" s="33" customFormat="1" x14ac:dyDescent="0.25">
      <c r="A38" s="119" t="s">
        <v>62</v>
      </c>
      <c r="B38" s="106"/>
      <c r="C38" s="123" t="s">
        <v>84</v>
      </c>
      <c r="D38" s="103">
        <v>63</v>
      </c>
      <c r="E38" s="120">
        <v>32.075400000000002</v>
      </c>
      <c r="F38" s="120">
        <v>0.28356000000000003</v>
      </c>
      <c r="G38" s="33">
        <v>31</v>
      </c>
      <c r="Z38" s="53"/>
      <c r="AA38" s="53"/>
      <c r="AB38" s="33">
        <v>35.1</v>
      </c>
    </row>
    <row r="39" spans="1:28" s="33" customFormat="1" x14ac:dyDescent="0.25">
      <c r="A39" s="119" t="s">
        <v>62</v>
      </c>
      <c r="B39" s="106"/>
      <c r="C39" s="123" t="s">
        <v>85</v>
      </c>
      <c r="D39" s="103">
        <v>0</v>
      </c>
      <c r="E39" s="120">
        <v>3.2550000000000003</v>
      </c>
      <c r="F39" s="120">
        <v>0.28172000000000003</v>
      </c>
      <c r="G39" s="33">
        <v>29.8</v>
      </c>
      <c r="Z39" s="53"/>
      <c r="AA39" s="53"/>
    </row>
    <row r="40" spans="1:28" s="33" customFormat="1" x14ac:dyDescent="0.25">
      <c r="A40" s="119" t="s">
        <v>62</v>
      </c>
      <c r="B40" s="106"/>
      <c r="C40" s="123" t="s">
        <v>85</v>
      </c>
      <c r="D40" s="103">
        <v>21</v>
      </c>
      <c r="E40" s="120">
        <v>28.1646</v>
      </c>
      <c r="F40" s="120">
        <v>0.27194000000000002</v>
      </c>
      <c r="G40" s="33">
        <v>30.4</v>
      </c>
      <c r="Z40" s="53"/>
      <c r="AA40" s="53"/>
    </row>
    <row r="41" spans="1:28" s="33" customFormat="1" x14ac:dyDescent="0.25">
      <c r="A41" s="119" t="s">
        <v>62</v>
      </c>
      <c r="B41" s="106"/>
      <c r="C41" s="123" t="s">
        <v>85</v>
      </c>
      <c r="D41" s="103">
        <v>42</v>
      </c>
      <c r="E41" s="120">
        <v>52.2928</v>
      </c>
      <c r="F41" s="120">
        <v>0.27183000000000002</v>
      </c>
      <c r="G41" s="33">
        <v>29.8</v>
      </c>
      <c r="Z41" s="53"/>
      <c r="AA41" s="53"/>
    </row>
    <row r="42" spans="1:28" s="33" customFormat="1" x14ac:dyDescent="0.25">
      <c r="A42" s="119" t="s">
        <v>62</v>
      </c>
      <c r="B42" s="106"/>
      <c r="C42" s="123" t="s">
        <v>85</v>
      </c>
      <c r="D42" s="103">
        <v>63</v>
      </c>
      <c r="E42" s="120">
        <v>77.545400000000001</v>
      </c>
      <c r="F42" s="120">
        <v>0.29018000000000005</v>
      </c>
      <c r="G42" s="33">
        <v>31.8</v>
      </c>
      <c r="Z42" s="53"/>
      <c r="AA42" s="53"/>
    </row>
    <row r="43" spans="1:28" s="33" customFormat="1" x14ac:dyDescent="0.25">
      <c r="A43" s="119" t="s">
        <v>62</v>
      </c>
      <c r="B43" s="121"/>
      <c r="C43" s="123" t="s">
        <v>66</v>
      </c>
      <c r="D43" s="103">
        <v>0</v>
      </c>
      <c r="E43" s="122"/>
      <c r="F43" s="122"/>
      <c r="G43" s="33">
        <v>32.1</v>
      </c>
      <c r="Z43" s="53"/>
      <c r="AA43" s="53"/>
    </row>
    <row r="44" spans="1:28" s="33" customFormat="1" x14ac:dyDescent="0.25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</row>
    <row r="45" spans="1:28" s="33" customFormat="1" x14ac:dyDescent="0.25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</row>
    <row r="46" spans="1:28" s="33" customFormat="1" x14ac:dyDescent="0.25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</row>
    <row r="47" spans="1:28" s="33" customFormat="1" x14ac:dyDescent="0.25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5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5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5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5">
      <c r="B51" s="107"/>
      <c r="Z51" s="53"/>
      <c r="AA51" s="53"/>
    </row>
    <row r="52" spans="1:27" s="33" customFormat="1" x14ac:dyDescent="0.25">
      <c r="B52" s="107"/>
      <c r="Z52" s="53"/>
      <c r="AA52" s="53"/>
    </row>
    <row r="53" spans="1:27" s="33" customFormat="1" x14ac:dyDescent="0.25">
      <c r="B53" s="107"/>
      <c r="Z53" s="53"/>
      <c r="AA53" s="53"/>
    </row>
    <row r="54" spans="1:27" s="33" customFormat="1" x14ac:dyDescent="0.25">
      <c r="B54" s="107"/>
      <c r="Z54" s="53"/>
      <c r="AA54" s="53"/>
    </row>
    <row r="55" spans="1:27" s="33" customFormat="1" x14ac:dyDescent="0.25">
      <c r="B55" s="107"/>
      <c r="Z55" s="53"/>
      <c r="AA55" s="53"/>
    </row>
    <row r="56" spans="1:27" s="33" customFormat="1" x14ac:dyDescent="0.25">
      <c r="B56" s="107"/>
      <c r="Z56" s="53"/>
      <c r="AA56" s="53"/>
    </row>
    <row r="57" spans="1:27" s="33" customFormat="1" x14ac:dyDescent="0.25">
      <c r="B57" s="107"/>
      <c r="Z57" s="53"/>
      <c r="AA57" s="53"/>
    </row>
    <row r="58" spans="1:27" s="33" customFormat="1" x14ac:dyDescent="0.25">
      <c r="B58" s="107"/>
      <c r="Z58" s="53"/>
      <c r="AA58" s="53"/>
    </row>
    <row r="59" spans="1:27" s="33" customFormat="1" x14ac:dyDescent="0.25">
      <c r="B59" s="107"/>
      <c r="Z59" s="53"/>
      <c r="AA59" s="53"/>
    </row>
    <row r="60" spans="1:27" s="33" customFormat="1" x14ac:dyDescent="0.25">
      <c r="B60" s="107"/>
      <c r="Z60" s="53"/>
      <c r="AA60" s="53"/>
    </row>
    <row r="61" spans="1:27" s="33" customFormat="1" x14ac:dyDescent="0.25">
      <c r="B61" s="107"/>
      <c r="Z61" s="53"/>
      <c r="AA61" s="53"/>
    </row>
    <row r="62" spans="1:27" s="33" customFormat="1" x14ac:dyDescent="0.25">
      <c r="B62" s="107"/>
      <c r="Z62" s="53"/>
      <c r="AA62" s="53"/>
    </row>
    <row r="63" spans="1:27" s="33" customFormat="1" x14ac:dyDescent="0.25">
      <c r="B63" s="107"/>
      <c r="Z63" s="53"/>
      <c r="AA63" s="53"/>
    </row>
    <row r="64" spans="1:27" s="33" customFormat="1" x14ac:dyDescent="0.25">
      <c r="B64" s="107"/>
      <c r="Z64" s="53"/>
      <c r="AA64" s="53"/>
    </row>
    <row r="65" spans="2:27" s="33" customFormat="1" x14ac:dyDescent="0.25">
      <c r="B65" s="107"/>
      <c r="Z65" s="53"/>
      <c r="AA65" s="53"/>
    </row>
    <row r="66" spans="2:27" s="33" customFormat="1" x14ac:dyDescent="0.25">
      <c r="B66" s="107"/>
      <c r="Z66" s="53"/>
      <c r="AA66" s="53"/>
    </row>
    <row r="67" spans="2:27" s="33" customFormat="1" x14ac:dyDescent="0.25">
      <c r="B67" s="107"/>
      <c r="Z67" s="53"/>
      <c r="AA67" s="53"/>
    </row>
    <row r="68" spans="2:27" s="33" customFormat="1" x14ac:dyDescent="0.25">
      <c r="B68" s="107"/>
      <c r="Z68" s="53"/>
      <c r="AA68" s="53"/>
    </row>
    <row r="69" spans="2:27" s="33" customFormat="1" x14ac:dyDescent="0.25">
      <c r="B69" s="107"/>
      <c r="Z69" s="53"/>
      <c r="AA69" s="53"/>
    </row>
    <row r="70" spans="2:27" s="33" customFormat="1" x14ac:dyDescent="0.25">
      <c r="B70" s="107"/>
      <c r="Z70" s="53"/>
      <c r="AA70" s="53"/>
    </row>
    <row r="71" spans="2:27" s="33" customFormat="1" x14ac:dyDescent="0.25">
      <c r="B71" s="107"/>
      <c r="Z71" s="53"/>
      <c r="AA71" s="53"/>
    </row>
    <row r="72" spans="2:27" s="33" customFormat="1" x14ac:dyDescent="0.25">
      <c r="B72" s="107"/>
      <c r="Z72" s="53"/>
      <c r="AA72" s="53"/>
    </row>
    <row r="73" spans="2:27" s="33" customFormat="1" x14ac:dyDescent="0.25">
      <c r="B73" s="107"/>
      <c r="Z73" s="53"/>
      <c r="AA73" s="53"/>
    </row>
    <row r="74" spans="2:27" s="33" customFormat="1" x14ac:dyDescent="0.25">
      <c r="B74" s="107"/>
      <c r="Z74" s="53"/>
      <c r="AA74" s="53"/>
    </row>
    <row r="75" spans="2:27" s="33" customFormat="1" x14ac:dyDescent="0.25">
      <c r="B75" s="107"/>
      <c r="Z75" s="53"/>
      <c r="AA75" s="53"/>
    </row>
    <row r="76" spans="2:27" s="33" customFormat="1" x14ac:dyDescent="0.25">
      <c r="B76" s="107"/>
      <c r="Z76" s="53"/>
      <c r="AA76" s="53"/>
    </row>
    <row r="77" spans="2:27" s="33" customFormat="1" x14ac:dyDescent="0.25">
      <c r="B77" s="107"/>
      <c r="Z77" s="53"/>
      <c r="AA77" s="53"/>
    </row>
    <row r="78" spans="2:27" s="33" customFormat="1" x14ac:dyDescent="0.25">
      <c r="B78" s="107"/>
      <c r="Z78" s="53"/>
      <c r="AA78" s="53"/>
    </row>
    <row r="79" spans="2:27" s="33" customFormat="1" x14ac:dyDescent="0.25">
      <c r="B79" s="107"/>
      <c r="Z79" s="53"/>
      <c r="AA79" s="53"/>
    </row>
    <row r="80" spans="2:27" s="33" customFormat="1" x14ac:dyDescent="0.25">
      <c r="B80" s="107"/>
      <c r="Z80" s="53"/>
      <c r="AA80" s="53"/>
    </row>
    <row r="81" spans="2:27" s="33" customFormat="1" x14ac:dyDescent="0.25">
      <c r="B81" s="107"/>
      <c r="Z81" s="53"/>
      <c r="AA81" s="53"/>
    </row>
    <row r="82" spans="2:27" s="33" customFormat="1" x14ac:dyDescent="0.25">
      <c r="B82" s="107"/>
      <c r="Z82" s="53"/>
      <c r="AA82" s="53"/>
    </row>
    <row r="83" spans="2:27" s="33" customFormat="1" x14ac:dyDescent="0.25">
      <c r="B83" s="107"/>
      <c r="Z83" s="53"/>
      <c r="AA83" s="53"/>
    </row>
    <row r="84" spans="2:27" s="33" customFormat="1" x14ac:dyDescent="0.25">
      <c r="B84" s="107"/>
      <c r="Z84" s="53"/>
      <c r="AA84" s="53"/>
    </row>
    <row r="85" spans="2:27" s="33" customFormat="1" x14ac:dyDescent="0.25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opLeftCell="A19" zoomScale="115" zoomScaleNormal="115" zoomScalePageLayoutView="150" workbookViewId="0">
      <selection activeCell="Q32" sqref="Q32"/>
    </sheetView>
  </sheetViews>
  <sheetFormatPr defaultColWidth="8.6640625" defaultRowHeight="13.2" x14ac:dyDescent="0.25"/>
  <cols>
    <col min="7" max="8" width="12.44140625" customWidth="1"/>
    <col min="9" max="9" width="15.109375" customWidth="1"/>
    <col min="11" max="11" width="9.6640625" customWidth="1"/>
    <col min="13" max="13" width="13.44140625" customWidth="1"/>
    <col min="14" max="14" width="11.44140625" customWidth="1"/>
    <col min="15" max="15" width="13.6640625" customWidth="1"/>
  </cols>
  <sheetData>
    <row r="1" spans="1:15" ht="12.75" customHeight="1" x14ac:dyDescent="0.25">
      <c r="C1" s="194" t="s">
        <v>20</v>
      </c>
      <c r="D1" s="194"/>
      <c r="E1" s="194"/>
      <c r="F1" s="194"/>
    </row>
    <row r="2" spans="1:15" x14ac:dyDescent="0.25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5">
      <c r="A3" s="177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1:15" s="1" customFormat="1" ht="14.25" customHeight="1" x14ac:dyDescent="0.25">
      <c r="A4" s="29"/>
      <c r="B4" s="29"/>
      <c r="C4" s="193" t="s">
        <v>34</v>
      </c>
      <c r="D4" s="193"/>
      <c r="E4" s="193"/>
      <c r="F4" s="193"/>
      <c r="G4" s="196" t="s">
        <v>36</v>
      </c>
      <c r="H4" s="72" t="s">
        <v>35</v>
      </c>
      <c r="I4" s="195" t="s">
        <v>44</v>
      </c>
      <c r="J4" s="195" t="s">
        <v>21</v>
      </c>
      <c r="K4" s="198" t="s">
        <v>23</v>
      </c>
      <c r="L4" s="199" t="s">
        <v>31</v>
      </c>
      <c r="M4" s="29"/>
      <c r="N4" s="31"/>
      <c r="O4" s="31"/>
    </row>
    <row r="5" spans="1:15" ht="12.75" customHeight="1" x14ac:dyDescent="0.25">
      <c r="A5" s="180" t="s">
        <v>39</v>
      </c>
      <c r="B5" s="108"/>
      <c r="C5" s="193"/>
      <c r="D5" s="193"/>
      <c r="E5" s="193"/>
      <c r="F5" s="193"/>
      <c r="G5" s="196"/>
      <c r="H5" s="72"/>
      <c r="I5" s="195"/>
      <c r="J5" s="195"/>
      <c r="K5" s="198"/>
      <c r="L5" s="199"/>
      <c r="M5" s="197" t="s">
        <v>22</v>
      </c>
      <c r="N5" s="197"/>
      <c r="O5" s="197"/>
    </row>
    <row r="6" spans="1:15" ht="16.5" customHeight="1" x14ac:dyDescent="0.25">
      <c r="A6" s="180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198"/>
      <c r="L6" s="199"/>
      <c r="M6" s="32" t="s">
        <v>29</v>
      </c>
      <c r="N6" s="32" t="s">
        <v>30</v>
      </c>
      <c r="O6" s="32" t="s">
        <v>38</v>
      </c>
    </row>
    <row r="7" spans="1:15" s="64" customFormat="1" ht="13.8" thickBot="1" x14ac:dyDescent="0.3"/>
    <row r="8" spans="1:15" x14ac:dyDescent="0.25">
      <c r="A8" s="154" t="s">
        <v>76</v>
      </c>
      <c r="B8" s="100"/>
      <c r="C8" s="68">
        <f>'GC rawdata'!V7</f>
        <v>4.84272036234851E-4</v>
      </c>
      <c r="D8" s="68">
        <f>'GC rawdata'!W7</f>
        <v>4.8510240636281585E-4</v>
      </c>
      <c r="E8" s="68">
        <f>'GC rawdata'!X7</f>
        <v>4.7227804111519612E-4</v>
      </c>
      <c r="F8" s="68">
        <f>'GC rawdata'!Y7</f>
        <v>4.9722943563829786E-4</v>
      </c>
      <c r="G8" s="84" t="str">
        <f>+IF((ABS(F8-C8))&gt;0.000183,"PASS","FAIL")</f>
        <v>FAIL</v>
      </c>
      <c r="H8" s="26">
        <f>+RSQ(C8:F8,$C$2:$F$2)</f>
        <v>0.10885958087939809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22.196427114246294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5">
      <c r="A9" s="155" t="s">
        <v>77</v>
      </c>
      <c r="B9" s="100"/>
      <c r="C9" s="68">
        <f>'GC rawdata'!V8</f>
        <v>4.742958757336159E-4</v>
      </c>
      <c r="D9" s="68">
        <f>'GC rawdata'!W8</f>
        <v>4.5518175231556708E-4</v>
      </c>
      <c r="E9" s="68">
        <f>'GC rawdata'!X8</f>
        <v>4.6740744517543859E-4</v>
      </c>
      <c r="F9" s="68">
        <f>'GC rawdata'!Y8</f>
        <v>4.6871823652439026E-4</v>
      </c>
      <c r="G9" s="84" t="str">
        <f t="shared" ref="G9:G19" si="0">+IF((ABS(F9-C9))&gt;0.000183,"PASS","FAIL")</f>
        <v>FAIL</v>
      </c>
      <c r="H9" s="26">
        <f t="shared" ref="H9:H19" si="1">+RSQ(C9:F9,$C$2:$F$2)</f>
        <v>5.2201540835906087E-3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22.008466607505181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5">
      <c r="A10" s="155" t="s">
        <v>78</v>
      </c>
      <c r="B10" s="100"/>
      <c r="C10" s="68">
        <f>'GC rawdata'!V9</f>
        <v>4.9154109047929568E-4</v>
      </c>
      <c r="D10" s="68">
        <f>'GC rawdata'!W9</f>
        <v>4.7815666155352489E-4</v>
      </c>
      <c r="E10" s="68">
        <f>'GC rawdata'!X9</f>
        <v>5.0294251218566295E-4</v>
      </c>
      <c r="F10" s="68">
        <f>'GC rawdata'!Y9</f>
        <v>4.7382068866421567E-4</v>
      </c>
      <c r="G10" s="84" t="str">
        <f t="shared" si="0"/>
        <v>FAIL</v>
      </c>
      <c r="H10" s="26">
        <f t="shared" si="1"/>
        <v>7.6522822399027315E-2</v>
      </c>
      <c r="I10" s="84" t="str">
        <f t="shared" si="2"/>
        <v>MISS</v>
      </c>
      <c r="J10" s="84" t="str">
        <f t="shared" si="3"/>
        <v>0</v>
      </c>
      <c r="K10" s="27">
        <f>'Field data'!K12</f>
        <v>20.914878204647778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5">
      <c r="A11" s="155" t="s">
        <v>79</v>
      </c>
      <c r="B11" s="100"/>
      <c r="C11" s="68">
        <f>'GC rawdata'!V10</f>
        <v>4.8651202187294804E-4</v>
      </c>
      <c r="D11" s="68">
        <f>'GC rawdata'!W10</f>
        <v>4.7581617090707967E-4</v>
      </c>
      <c r="E11" s="68">
        <f>'GC rawdata'!X10</f>
        <v>4.7348623671259843E-4</v>
      </c>
      <c r="F11" s="68">
        <f>'GC rawdata'!Y10</f>
        <v>4.8732211211424811E-4</v>
      </c>
      <c r="G11" s="84" t="str">
        <f t="shared" si="0"/>
        <v>FAIL</v>
      </c>
      <c r="H11" s="26">
        <f t="shared" si="1"/>
        <v>3.2794216646793019E-6</v>
      </c>
      <c r="I11" s="84" t="str">
        <f t="shared" si="2"/>
        <v>MISS</v>
      </c>
      <c r="J11" s="86" t="str">
        <f t="shared" si="3"/>
        <v>0</v>
      </c>
      <c r="K11" s="27">
        <f>'Field data'!K13</f>
        <v>21.256624580540716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5">
      <c r="A12" s="155" t="s">
        <v>80</v>
      </c>
      <c r="B12" s="100"/>
      <c r="C12" s="68">
        <f>'GC rawdata'!V11</f>
        <v>4.6949075747549019E-4</v>
      </c>
      <c r="D12" s="68">
        <f>'GC rawdata'!W11</f>
        <v>4.868981326593138E-4</v>
      </c>
      <c r="E12" s="68">
        <f>'GC rawdata'!X11</f>
        <v>4.9204289520078355E-4</v>
      </c>
      <c r="F12" s="68">
        <f>'GC rawdata'!Y11</f>
        <v>4.8686307248774511E-4</v>
      </c>
      <c r="G12" s="84" t="str">
        <f t="shared" si="0"/>
        <v>FAIL</v>
      </c>
      <c r="H12" s="26">
        <f t="shared" si="1"/>
        <v>0.56207520236114594</v>
      </c>
      <c r="I12" s="84" t="str">
        <f t="shared" si="2"/>
        <v>MISS</v>
      </c>
      <c r="J12" s="86" t="str">
        <f t="shared" si="3"/>
        <v>0</v>
      </c>
      <c r="K12" s="27">
        <f>'Field data'!K14</f>
        <v>20.2313854528619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5">
      <c r="A13" s="155" t="s">
        <v>81</v>
      </c>
      <c r="B13" s="100"/>
      <c r="C13" s="68">
        <f>'GC rawdata'!V12</f>
        <v>4.9795059139851484E-4</v>
      </c>
      <c r="D13" s="68">
        <f>'GC rawdata'!W12</f>
        <v>4.9170414833690985E-4</v>
      </c>
      <c r="E13" s="68">
        <f>'GC rawdata'!X12</f>
        <v>5.0237820608275518E-4</v>
      </c>
      <c r="F13" s="68">
        <f>'GC rawdata'!Y12</f>
        <v>4.9184607620740995E-4</v>
      </c>
      <c r="G13" s="84" t="str">
        <f t="shared" si="0"/>
        <v>FAIL</v>
      </c>
      <c r="H13" s="26">
        <f t="shared" si="1"/>
        <v>3.6388737235485934E-2</v>
      </c>
      <c r="I13" s="84" t="str">
        <f t="shared" si="2"/>
        <v>MISS</v>
      </c>
      <c r="J13" s="86" t="str">
        <f t="shared" si="3"/>
        <v>0</v>
      </c>
      <c r="K13" s="27">
        <f>'Field data'!K15</f>
        <v>21.188275305362126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5">
      <c r="A14" s="155" t="s">
        <v>82</v>
      </c>
      <c r="B14" s="153"/>
      <c r="C14" s="68">
        <f>'GC rawdata'!V13</f>
        <v>4.9381993098574232E-4</v>
      </c>
      <c r="D14" s="68">
        <f>'GC rawdata'!W13</f>
        <v>4.9930010593534063E-4</v>
      </c>
      <c r="E14" s="68">
        <f>'GC rawdata'!X13</f>
        <v>4.7468297563976378E-4</v>
      </c>
      <c r="F14" s="68">
        <f>'GC rawdata'!Y13</f>
        <v>4.9275398048540518E-4</v>
      </c>
      <c r="G14" s="84" t="str">
        <f t="shared" si="0"/>
        <v>FAIL</v>
      </c>
      <c r="H14" s="26">
        <f t="shared" si="1"/>
        <v>0.1127139961036516</v>
      </c>
      <c r="I14" s="84" t="str">
        <f t="shared" si="2"/>
        <v>MISS</v>
      </c>
      <c r="J14" s="86" t="str">
        <f t="shared" si="3"/>
        <v>0</v>
      </c>
      <c r="K14" s="26">
        <f>'Field data'!K16</f>
        <v>20.368084003219074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5">
      <c r="A15" s="155" t="s">
        <v>83</v>
      </c>
      <c r="B15" s="153"/>
      <c r="C15" s="68">
        <f>'GC rawdata'!V14</f>
        <v>4.5501690511307768E-4</v>
      </c>
      <c r="D15" s="68">
        <f>'GC rawdata'!W14</f>
        <v>5.1577002216545819E-4</v>
      </c>
      <c r="E15" s="68">
        <f>'GC rawdata'!X14</f>
        <v>4.9766840505319145E-4</v>
      </c>
      <c r="F15" s="68">
        <f>'GC rawdata'!Y14</f>
        <v>4.900080455716388E-4</v>
      </c>
      <c r="G15" s="84" t="str">
        <f t="shared" si="0"/>
        <v>FAIL</v>
      </c>
      <c r="H15" s="26">
        <f t="shared" si="1"/>
        <v>0.19389067300036097</v>
      </c>
      <c r="I15" s="84" t="str">
        <f t="shared" si="2"/>
        <v>MISS</v>
      </c>
      <c r="J15" s="86" t="str">
        <f t="shared" si="3"/>
        <v>0</v>
      </c>
      <c r="K15" s="26">
        <f>'Field data'!K17</f>
        <v>20.846528929469191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5">
      <c r="A16" s="155" t="s">
        <v>84</v>
      </c>
      <c r="B16" s="153"/>
      <c r="C16" s="68">
        <f>'GC rawdata'!V15</f>
        <v>5.1340849759615387E-4</v>
      </c>
      <c r="D16" s="68">
        <f>'GC rawdata'!W15</f>
        <v>5.007953372973198E-4</v>
      </c>
      <c r="E16" s="68">
        <f>'GC rawdata'!X15</f>
        <v>5.0208264683388154E-4</v>
      </c>
      <c r="F16" s="68">
        <f>'GC rawdata'!Y15</f>
        <v>5.0233630259247032E-4</v>
      </c>
      <c r="G16" s="84" t="str">
        <f t="shared" si="0"/>
        <v>FAIL</v>
      </c>
      <c r="H16" s="26">
        <f t="shared" si="1"/>
        <v>0.4924347984340961</v>
      </c>
      <c r="I16" s="84" t="str">
        <f t="shared" si="2"/>
        <v>MISS</v>
      </c>
      <c r="J16" s="86" t="str">
        <f t="shared" si="3"/>
        <v>0</v>
      </c>
      <c r="K16" s="26">
        <f>'Field data'!K18</f>
        <v>20.949052842237069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17" s="138" customFormat="1" ht="13.8" thickBot="1" x14ac:dyDescent="0.3">
      <c r="A17" s="162" t="s">
        <v>85</v>
      </c>
      <c r="B17" s="153"/>
      <c r="C17" s="68">
        <f>'GC rawdata'!V16</f>
        <v>4.980897115194464E-4</v>
      </c>
      <c r="D17" s="68">
        <f>'GC rawdata'!W16</f>
        <v>4.817510725313738E-4</v>
      </c>
      <c r="E17" s="68">
        <f>'GC rawdata'!X16</f>
        <v>4.7839638613435042E-4</v>
      </c>
      <c r="F17" s="68">
        <f>'GC rawdata'!Y16</f>
        <v>5.1018858394788599E-4</v>
      </c>
      <c r="G17" s="84" t="str">
        <f t="shared" si="0"/>
        <v>FAIL</v>
      </c>
      <c r="H17" s="26">
        <f t="shared" si="1"/>
        <v>8.2464465177471941E-2</v>
      </c>
      <c r="I17" s="84" t="str">
        <f t="shared" si="2"/>
        <v>MISS</v>
      </c>
      <c r="J17" s="86" t="str">
        <f t="shared" si="3"/>
        <v>0</v>
      </c>
      <c r="K17" s="26">
        <f>'Field data'!K19</f>
        <v>18.727701398932979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</row>
    <row r="18" spans="1:17" s="138" customFormat="1" x14ac:dyDescent="0.25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17" s="138" customFormat="1" x14ac:dyDescent="0.25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17" x14ac:dyDescent="0.25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7" x14ac:dyDescent="0.25">
      <c r="A23" s="185" t="s">
        <v>15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</row>
    <row r="24" spans="1:17" x14ac:dyDescent="0.25">
      <c r="A24" s="46"/>
      <c r="B24" s="46"/>
      <c r="C24" s="186" t="s">
        <v>45</v>
      </c>
      <c r="D24" s="186"/>
      <c r="E24" s="186"/>
      <c r="F24" s="186"/>
      <c r="G24" s="187" t="s">
        <v>36</v>
      </c>
      <c r="H24" s="48" t="s">
        <v>35</v>
      </c>
      <c r="I24" s="188" t="s">
        <v>44</v>
      </c>
      <c r="J24" s="188" t="s">
        <v>21</v>
      </c>
      <c r="K24" s="189" t="s">
        <v>23</v>
      </c>
      <c r="L24" s="190" t="s">
        <v>31</v>
      </c>
      <c r="M24" s="46"/>
      <c r="N24" s="47"/>
      <c r="O24" s="47"/>
    </row>
    <row r="25" spans="1:17" x14ac:dyDescent="0.25">
      <c r="A25" s="191" t="s">
        <v>39</v>
      </c>
      <c r="B25" s="109"/>
      <c r="C25" s="186"/>
      <c r="D25" s="186"/>
      <c r="E25" s="186"/>
      <c r="F25" s="186"/>
      <c r="G25" s="187"/>
      <c r="H25" s="48"/>
      <c r="I25" s="188"/>
      <c r="J25" s="188"/>
      <c r="K25" s="189"/>
      <c r="L25" s="190"/>
      <c r="M25" s="192" t="s">
        <v>46</v>
      </c>
      <c r="N25" s="192"/>
      <c r="O25" s="192"/>
    </row>
    <row r="26" spans="1:17" ht="22.2" x14ac:dyDescent="0.25">
      <c r="A26" s="191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89"/>
      <c r="L26" s="190"/>
      <c r="M26" s="49" t="s">
        <v>29</v>
      </c>
      <c r="N26" s="49" t="s">
        <v>30</v>
      </c>
      <c r="O26" s="49" t="s">
        <v>38</v>
      </c>
      <c r="Q26" s="49" t="s">
        <v>86</v>
      </c>
    </row>
    <row r="27" spans="1:17" ht="13.8" thickBo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7" x14ac:dyDescent="0.25">
      <c r="A28" s="154" t="s">
        <v>76</v>
      </c>
      <c r="B28" s="100"/>
      <c r="C28" s="68">
        <f>'GC rawdata'!V26</f>
        <v>7.7551260321814617E-3</v>
      </c>
      <c r="D28" s="68">
        <f>'GC rawdata'!W26</f>
        <v>1.8610913291352151E-2</v>
      </c>
      <c r="E28" s="68">
        <f>'GC rawdata'!X26</f>
        <v>2.9132701931985298E-2</v>
      </c>
      <c r="F28" s="68">
        <f>'GC rawdata'!Y26</f>
        <v>3.9886140734042556E-2</v>
      </c>
      <c r="G28" s="84" t="str">
        <f>+IF((ABS(F28-C28))&gt;0.000183,"PASS","FAIL")</f>
        <v>PASS</v>
      </c>
      <c r="H28" s="26">
        <f>+RSQ(C28:F28,$C$2:$F$2)</f>
        <v>0.99996742808448791</v>
      </c>
      <c r="I28" s="84" t="str">
        <f>IF(H28&gt;0.845,"LIN","MISS")</f>
        <v>LIN</v>
      </c>
      <c r="J28" s="86">
        <f>IF(G28="FAIL","0",IF(I28="LIN",+SLOPE(C28:F28,$C$2:$F$2),"MISS"))</f>
        <v>5.0911825117245916E-4</v>
      </c>
      <c r="K28" s="27">
        <f>'Field data'!K10</f>
        <v>22.196427114246294</v>
      </c>
      <c r="L28" s="27">
        <f>'Field data'!L10*0.0001</f>
        <v>6.8349275178587507E-2</v>
      </c>
      <c r="M28" s="28">
        <f>IF(J28="MISS","MISS",((K28/L28)*J28))</f>
        <v>0.16533615206825611</v>
      </c>
      <c r="N28" s="28">
        <f>IF(M28="MISS","MISS",M28*60)</f>
        <v>9.9201691240953664</v>
      </c>
      <c r="O28" s="28">
        <f>IF(N28="MISS","MISS",N28*240)</f>
        <v>2380.8405897828879</v>
      </c>
    </row>
    <row r="29" spans="1:17" x14ac:dyDescent="0.25">
      <c r="A29" s="155" t="s">
        <v>77</v>
      </c>
      <c r="B29" s="100"/>
      <c r="C29" s="68">
        <f>'GC rawdata'!V27</f>
        <v>5.846979105396154E-3</v>
      </c>
      <c r="D29" s="68">
        <f>'GC rawdata'!W27</f>
        <v>1.0533008969775756E-2</v>
      </c>
      <c r="E29" s="68">
        <f>'GC rawdata'!X27</f>
        <v>1.4688951645346006E-2</v>
      </c>
      <c r="F29" s="68">
        <f>'GC rawdata'!Y27</f>
        <v>1.851825881829269E-2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0.99791736376325746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2.0080848482980883E-4</v>
      </c>
      <c r="K29" s="27">
        <f>'Field data'!K11</f>
        <v>22.008466607505181</v>
      </c>
      <c r="L29" s="27">
        <f>'Field data'!L11*0.0001</f>
        <v>6.8349275178587507E-2</v>
      </c>
      <c r="M29" s="28">
        <f t="shared" ref="M29:M39" si="11">IF(J29="MISS","MISS",((K29/L29)*J29))</f>
        <v>6.4660332115198449E-2</v>
      </c>
      <c r="N29" s="28">
        <f t="shared" ref="N29:N39" si="12">IF(M29="MISS","MISS",M29*60)</f>
        <v>3.8796199269119072</v>
      </c>
      <c r="O29" s="28">
        <f t="shared" ref="O29" si="13">IF(N29="MISS","MISS",N29*240)</f>
        <v>931.10878245885772</v>
      </c>
    </row>
    <row r="30" spans="1:17" x14ac:dyDescent="0.25">
      <c r="A30" s="155" t="s">
        <v>78</v>
      </c>
      <c r="B30" s="100"/>
      <c r="C30" s="68">
        <f>'GC rawdata'!V28</f>
        <v>6.7301843097896975E-3</v>
      </c>
      <c r="D30" s="68">
        <f>'GC rawdata'!W28</f>
        <v>1.0859243069109013E-2</v>
      </c>
      <c r="E30" s="68">
        <f>'GC rawdata'!X28</f>
        <v>1.4518587538373614E-2</v>
      </c>
      <c r="F30" s="68">
        <f>'GC rawdata'!Y28</f>
        <v>1.7710518463848041E-2</v>
      </c>
      <c r="G30" s="84" t="str">
        <f t="shared" si="7"/>
        <v>PASS</v>
      </c>
      <c r="H30" s="26">
        <f t="shared" si="8"/>
        <v>0.99673279379343571</v>
      </c>
      <c r="I30" s="84" t="str">
        <f t="shared" si="9"/>
        <v>LIN</v>
      </c>
      <c r="J30" s="86">
        <f t="shared" si="10"/>
        <v>1.7428736634018873E-4</v>
      </c>
      <c r="K30" s="27">
        <f>'Field data'!K12</f>
        <v>20.914878204647778</v>
      </c>
      <c r="L30" s="27">
        <f>'Field data'!L12*0.0001</f>
        <v>6.8349275178587507E-2</v>
      </c>
      <c r="M30" s="28">
        <f t="shared" si="11"/>
        <v>5.3331934100097754E-2</v>
      </c>
      <c r="N30" s="28">
        <f t="shared" si="12"/>
        <v>3.1999160460058653</v>
      </c>
      <c r="O30" s="28">
        <f t="shared" ref="O30" si="14">IF(N30="MISS","MISS",N30*240)</f>
        <v>767.97985104140764</v>
      </c>
    </row>
    <row r="31" spans="1:17" x14ac:dyDescent="0.25">
      <c r="A31" s="155" t="s">
        <v>79</v>
      </c>
      <c r="B31" s="100"/>
      <c r="C31" s="68">
        <f>'GC rawdata'!V29</f>
        <v>9.1241566946405131E-3</v>
      </c>
      <c r="D31" s="68">
        <f>'GC rawdata'!W29</f>
        <v>1.5275229265609638E-2</v>
      </c>
      <c r="E31" s="68">
        <f>'GC rawdata'!X29</f>
        <v>2.0599050148868116E-2</v>
      </c>
      <c r="F31" s="68">
        <f>'GC rawdata'!Y29</f>
        <v>2.671503165709127E-2</v>
      </c>
      <c r="G31" s="84" t="str">
        <f t="shared" si="7"/>
        <v>PASS</v>
      </c>
      <c r="H31" s="26">
        <f>+RSQ(C31:F31,$C$2:$F$2)</f>
        <v>0.99922179134949807</v>
      </c>
      <c r="I31" s="84" t="str">
        <f t="shared" si="9"/>
        <v>LIN</v>
      </c>
      <c r="J31" s="86">
        <f t="shared" si="10"/>
        <v>2.7664974176481305E-4</v>
      </c>
      <c r="K31" s="27">
        <f>'Field data'!K13</f>
        <v>21.256624580540716</v>
      </c>
      <c r="L31" s="27">
        <f>'Field data'!L13*0.0001</f>
        <v>6.8349275178587507E-2</v>
      </c>
      <c r="M31" s="28">
        <f t="shared" si="11"/>
        <v>8.6038069688856855E-2</v>
      </c>
      <c r="N31" s="28">
        <f t="shared" si="12"/>
        <v>5.1622841813314118</v>
      </c>
      <c r="O31" s="28">
        <f t="shared" ref="O31:O39" si="15">IF(N31="MISS","MISS",N31*240)</f>
        <v>1238.9482035195388</v>
      </c>
    </row>
    <row r="32" spans="1:17" x14ac:dyDescent="0.25">
      <c r="A32" s="155" t="s">
        <v>80</v>
      </c>
      <c r="B32" s="100"/>
      <c r="C32" s="68">
        <f>'GC rawdata'!V30</f>
        <v>3.3287396569852946E-2</v>
      </c>
      <c r="D32" s="68">
        <f>'GC rawdata'!W30</f>
        <v>5.2546005552083337E-2</v>
      </c>
      <c r="E32" s="68">
        <f>'GC rawdata'!X30</f>
        <v>7.3283159101371204E-2</v>
      </c>
      <c r="F32" s="68">
        <f>'GC rawdata'!Y30</f>
        <v>9.5510437487132366E-2</v>
      </c>
      <c r="G32" s="84" t="str">
        <f t="shared" si="7"/>
        <v>PASS</v>
      </c>
      <c r="H32" s="26">
        <f t="shared" ref="H32:H39" si="16">+RSQ(C32:F32,$C$2:$F$2)</f>
        <v>0.99897669153811552</v>
      </c>
      <c r="I32" s="84" t="str">
        <f t="shared" si="9"/>
        <v>LIN</v>
      </c>
      <c r="J32" s="86">
        <f t="shared" si="10"/>
        <v>9.8764893476726732E-4</v>
      </c>
      <c r="K32" s="27">
        <f>'Field data'!K14</f>
        <v>20.2313854528619</v>
      </c>
      <c r="L32" s="27">
        <f>'Field data'!L14*0.0001</f>
        <v>6.8349275178587507E-2</v>
      </c>
      <c r="M32" s="28">
        <f t="shared" si="11"/>
        <v>0.29234408469111112</v>
      </c>
      <c r="N32" s="28">
        <f t="shared" si="12"/>
        <v>17.540645081466668</v>
      </c>
      <c r="O32" s="28">
        <f t="shared" si="15"/>
        <v>4209.7548195520003</v>
      </c>
    </row>
    <row r="33" spans="1:15" x14ac:dyDescent="0.25">
      <c r="A33" s="155" t="s">
        <v>81</v>
      </c>
      <c r="B33" s="100"/>
      <c r="C33" s="68">
        <f>'GC rawdata'!V31</f>
        <v>2.3875875618811883E-3</v>
      </c>
      <c r="D33" s="68">
        <f>'GC rawdata'!W31</f>
        <v>6.5655805364806877E-3</v>
      </c>
      <c r="E33" s="68">
        <f>'GC rawdata'!X31</f>
        <v>1.0242567093037665E-2</v>
      </c>
      <c r="F33" s="68">
        <f>'GC rawdata'!Y31</f>
        <v>1.3857436450752566E-2</v>
      </c>
      <c r="G33" s="84" t="str">
        <f t="shared" si="7"/>
        <v>PASS</v>
      </c>
      <c r="H33" s="26">
        <f t="shared" si="16"/>
        <v>0.99877567399272571</v>
      </c>
      <c r="I33" s="84" t="str">
        <f t="shared" si="9"/>
        <v>LIN</v>
      </c>
      <c r="J33" s="86">
        <f t="shared" si="10"/>
        <v>1.8136444391986242E-4</v>
      </c>
      <c r="K33" s="27">
        <f>'Field data'!K15</f>
        <v>21.188275305362126</v>
      </c>
      <c r="L33" s="27">
        <f>'Field data'!L15*0.0001</f>
        <v>6.8349275178587507E-2</v>
      </c>
      <c r="M33" s="28">
        <f t="shared" si="11"/>
        <v>5.6222977615157349E-2</v>
      </c>
      <c r="N33" s="28">
        <f t="shared" si="12"/>
        <v>3.3733786569094408</v>
      </c>
      <c r="O33" s="28">
        <f t="shared" si="15"/>
        <v>809.61087765826585</v>
      </c>
    </row>
    <row r="34" spans="1:15" s="1" customFormat="1" x14ac:dyDescent="0.25">
      <c r="A34" s="155" t="s">
        <v>82</v>
      </c>
      <c r="B34" s="153"/>
      <c r="C34" s="68">
        <f>'GC rawdata'!V32</f>
        <v>2.2165802273844642E-3</v>
      </c>
      <c r="D34" s="68">
        <f>'GC rawdata'!W32</f>
        <v>2.1170385560217182E-2</v>
      </c>
      <c r="E34" s="68">
        <f>'GC rawdata'!X32</f>
        <v>3.9377314539862207E-2</v>
      </c>
      <c r="F34" s="68">
        <f>'GC rawdata'!Y32</f>
        <v>5.6874608750205002E-2</v>
      </c>
      <c r="G34" s="84" t="str">
        <f t="shared" si="7"/>
        <v>PASS</v>
      </c>
      <c r="H34" s="26">
        <f t="shared" si="16"/>
        <v>0.99968047166709439</v>
      </c>
      <c r="I34" s="84" t="str">
        <f t="shared" si="9"/>
        <v>LIN</v>
      </c>
      <c r="J34" s="86">
        <f t="shared" si="10"/>
        <v>8.6752864070526977E-4</v>
      </c>
      <c r="K34" s="26">
        <f>'Field data'!K16</f>
        <v>20.368084003219074</v>
      </c>
      <c r="L34" s="26">
        <f>'Field data'!L16*0.0001</f>
        <v>6.8349275178587507E-2</v>
      </c>
      <c r="M34" s="6">
        <f t="shared" si="11"/>
        <v>0.25852353493017033</v>
      </c>
      <c r="N34" s="6">
        <f t="shared" si="12"/>
        <v>15.51141209581022</v>
      </c>
      <c r="O34" s="6">
        <f t="shared" si="15"/>
        <v>3722.7389029944529</v>
      </c>
    </row>
    <row r="35" spans="1:15" s="1" customFormat="1" x14ac:dyDescent="0.25">
      <c r="A35" s="155" t="s">
        <v>83</v>
      </c>
      <c r="B35" s="153"/>
      <c r="C35" s="68">
        <f>'GC rawdata'!V33</f>
        <v>1.9880522670845625E-3</v>
      </c>
      <c r="D35" s="68">
        <f>'GC rawdata'!W33</f>
        <v>4.8955771034525381E-3</v>
      </c>
      <c r="E35" s="68">
        <f>'GC rawdata'!X33</f>
        <v>6.9941933218085114E-3</v>
      </c>
      <c r="F35" s="68">
        <f>'GC rawdata'!Y33</f>
        <v>9.753305639106969E-3</v>
      </c>
      <c r="G35" s="84" t="str">
        <f t="shared" si="7"/>
        <v>PASS</v>
      </c>
      <c r="H35" s="26">
        <f t="shared" si="16"/>
        <v>0.99649338803237641</v>
      </c>
      <c r="I35" s="84" t="str">
        <f t="shared" si="9"/>
        <v>LIN</v>
      </c>
      <c r="J35" s="86">
        <f t="shared" si="10"/>
        <v>1.2092560159249138E-4</v>
      </c>
      <c r="K35" s="26">
        <f>'Field data'!K17</f>
        <v>20.846528929469191</v>
      </c>
      <c r="L35" s="26">
        <f>'Field data'!L17*0.0001</f>
        <v>6.8349275178587507E-2</v>
      </c>
      <c r="M35" s="6">
        <f t="shared" si="11"/>
        <v>3.6882308485709871E-2</v>
      </c>
      <c r="N35" s="6">
        <f t="shared" si="12"/>
        <v>2.2129385091425924</v>
      </c>
      <c r="O35" s="6">
        <f t="shared" si="15"/>
        <v>531.10524219422223</v>
      </c>
    </row>
    <row r="36" spans="1:15" s="1" customFormat="1" x14ac:dyDescent="0.25">
      <c r="A36" s="155" t="s">
        <v>84</v>
      </c>
      <c r="B36" s="153"/>
      <c r="C36" s="68">
        <f>'GC rawdata'!V34</f>
        <v>1.8119077323717949E-3</v>
      </c>
      <c r="D36" s="68">
        <f>'GC rawdata'!W34</f>
        <v>8.4318619699288583E-3</v>
      </c>
      <c r="E36" s="68">
        <f>'GC rawdata'!X34</f>
        <v>1.4606547908511515E-2</v>
      </c>
      <c r="F36" s="68">
        <f>'GC rawdata'!Y34</f>
        <v>2.0711732213713675E-2</v>
      </c>
      <c r="G36" s="84" t="str">
        <f t="shared" si="7"/>
        <v>PASS</v>
      </c>
      <c r="H36" s="26">
        <f t="shared" si="16"/>
        <v>0.99962925925704393</v>
      </c>
      <c r="I36" s="84" t="str">
        <f t="shared" si="9"/>
        <v>LIN</v>
      </c>
      <c r="J36" s="86">
        <f t="shared" si="10"/>
        <v>2.9940075896480139E-4</v>
      </c>
      <c r="K36" s="26">
        <f>'Field data'!K18</f>
        <v>20.949052842237069</v>
      </c>
      <c r="L36" s="26">
        <f>'Field data'!L18*0.0001</f>
        <v>6.8349275178587507E-2</v>
      </c>
      <c r="M36" s="6">
        <f t="shared" si="11"/>
        <v>9.1766332622711624E-2</v>
      </c>
      <c r="N36" s="6">
        <f t="shared" si="12"/>
        <v>5.5059799573626975</v>
      </c>
      <c r="O36" s="6">
        <f t="shared" si="15"/>
        <v>1321.4351897670474</v>
      </c>
    </row>
    <row r="37" spans="1:15" s="138" customFormat="1" ht="13.8" thickBot="1" x14ac:dyDescent="0.3">
      <c r="A37" s="162" t="s">
        <v>85</v>
      </c>
      <c r="B37" s="153"/>
      <c r="C37" s="68">
        <f>'GC rawdata'!V35</f>
        <v>2.0976625690095588E-3</v>
      </c>
      <c r="D37" s="68">
        <f>'GC rawdata'!W35</f>
        <v>1.8186449837144982E-2</v>
      </c>
      <c r="E37" s="68">
        <f>'GC rawdata'!X35</f>
        <v>3.3544949788385833E-2</v>
      </c>
      <c r="F37" s="68">
        <f>'GC rawdata'!Y35</f>
        <v>4.9695154494223209E-2</v>
      </c>
      <c r="G37" s="84" t="str">
        <f t="shared" si="7"/>
        <v>PASS</v>
      </c>
      <c r="H37" s="26">
        <f t="shared" si="16"/>
        <v>0.99990663971493043</v>
      </c>
      <c r="I37" s="84" t="str">
        <f t="shared" si="9"/>
        <v>LIN</v>
      </c>
      <c r="J37" s="86">
        <f t="shared" si="10"/>
        <v>7.5309988441372294E-4</v>
      </c>
      <c r="K37" s="26">
        <f>'Field data'!K19</f>
        <v>18.727701398932979</v>
      </c>
      <c r="L37" s="26">
        <f>'Field data'!L19*0.0001</f>
        <v>6.8349275178587507E-2</v>
      </c>
      <c r="M37" s="6">
        <f t="shared" si="11"/>
        <v>0.20634936832936007</v>
      </c>
      <c r="N37" s="6">
        <f t="shared" si="12"/>
        <v>12.380962099761604</v>
      </c>
      <c r="O37" s="6">
        <f t="shared" si="15"/>
        <v>2971.4309039427849</v>
      </c>
    </row>
    <row r="38" spans="1:15" s="138" customFormat="1" x14ac:dyDescent="0.25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15" s="138" customFormat="1" x14ac:dyDescent="0.25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2024-08-13T05:47:57Z</dcterms:modified>
  <cp:category/>
</cp:coreProperties>
</file>