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LCMS PPM and Fluxes\Calculations\Aug_2\"/>
    </mc:Choice>
  </mc:AlternateContent>
  <bookViews>
    <workbookView xWindow="0" yWindow="0" windowWidth="28800" windowHeight="11835" tabRatio="805" activeTab="1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4" i="51" l="1"/>
  <c r="N34" i="51"/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P34" i="51"/>
  <c r="O34" i="51"/>
  <c r="Q33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17" i="45" l="1"/>
  <c r="I17" i="45" s="1"/>
  <c r="H37" i="45"/>
  <c r="I37" i="45" s="1"/>
  <c r="G37" i="45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J37" i="45" l="1"/>
  <c r="M37" i="45" s="1"/>
  <c r="N37" i="45" s="1"/>
  <c r="O37" i="45" s="1"/>
  <c r="G8" i="45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<sst xmlns="http://schemas.openxmlformats.org/spreadsheetml/2006/main" count="290" uniqueCount="78">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</sst>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2" fontId="7" fillId="12" borderId="0" xfId="1" applyNumberFormat="1" applyFont="1" applyFill="1" applyAlignment="1">
      <alignment horizontal="center"/>
    </xf>
    <xf numFmtId="0" fontId="2" fillId="12" borderId="0" xfId="2" applyFont="1" applyFill="1" applyAlignment="1">
      <alignment horizontal="center"/>
    </xf>
    <xf numFmtId="1" fontId="7" fillId="12" borderId="0" xfId="1" applyNumberFormat="1" applyFont="1" applyFill="1" applyAlignment="1">
      <alignment horizontal="center"/>
    </xf>
    <xf numFmtId="165" fontId="7" fillId="12" borderId="0" xfId="1" applyNumberFormat="1" applyFont="1" applyFill="1" applyAlignment="1">
      <alignment horizontal="center"/>
    </xf>
    <xf numFmtId="164" fontId="2" fillId="12" borderId="0" xfId="2" applyNumberFormat="1" applyFont="1" applyFill="1" applyAlignment="1">
      <alignment horizontal="center"/>
    </xf>
    <xf numFmtId="0" fontId="7" fillId="12" borderId="0" xfId="1" applyFont="1" applyFill="1" applyAlignment="1">
      <alignment horizontal="center"/>
    </xf>
    <xf numFmtId="2" fontId="7" fillId="0" borderId="0" xfId="0" applyNumberFormat="1" applyFont="1"/>
    <xf numFmtId="2" fontId="1" fillId="0" borderId="0" xfId="3" applyNumberFormat="1" applyFill="1"/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B38" sqref="B38:K38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>
        <v>45531</v>
      </c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77" t="s">
        <v>8</v>
      </c>
      <c r="D6" s="177"/>
      <c r="E6" s="177"/>
      <c r="F6" s="177"/>
      <c r="G6" s="177"/>
      <c r="H6" s="177"/>
      <c r="I6" s="76" t="s">
        <v>9</v>
      </c>
      <c r="J6" s="178" t="s">
        <v>10</v>
      </c>
      <c r="K6" s="178"/>
      <c r="L6" s="75" t="s">
        <v>40</v>
      </c>
      <c r="M6" s="77" t="s">
        <v>37</v>
      </c>
      <c r="Q6" s="176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6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54" t="s">
        <v>68</v>
      </c>
      <c r="B10" s="4"/>
      <c r="C10" s="34">
        <v>7.62</v>
      </c>
      <c r="D10" s="38">
        <f>AVERAGE(B38:B41)</f>
        <v>-3.9</v>
      </c>
      <c r="E10" s="152">
        <v>76.2</v>
      </c>
      <c r="F10" s="152"/>
      <c r="G10" s="152"/>
      <c r="H10" s="39">
        <f>SUM(C10:G10)</f>
        <v>79.92</v>
      </c>
      <c r="I10" s="34">
        <v>14.75</v>
      </c>
      <c r="J10" s="23">
        <f>3.141592654*(I10*I10)*H10</f>
        <v>54624.740722727132</v>
      </c>
      <c r="K10" s="37">
        <f t="shared" ref="K10:K11" si="0">J10/1000</f>
        <v>54.624740722727132</v>
      </c>
      <c r="L10" s="35">
        <f>3.141592654*(I10*I10)</f>
        <v>683.49275178587504</v>
      </c>
      <c r="M10" s="39">
        <f>AVERAGE(B48:B51)</f>
        <v>0</v>
      </c>
      <c r="Q10" s="74"/>
    </row>
    <row r="11" spans="1:17" ht="12.75" x14ac:dyDescent="0.2">
      <c r="A11" s="155" t="s">
        <v>69</v>
      </c>
      <c r="B11" s="4"/>
      <c r="C11" s="34">
        <v>7.62</v>
      </c>
      <c r="D11" s="39">
        <f>AVERAGE(C38:C41)</f>
        <v>-4.3499999999999996</v>
      </c>
      <c r="E11" s="152">
        <v>76.2</v>
      </c>
      <c r="F11" s="152"/>
      <c r="G11" s="152"/>
      <c r="H11" s="39">
        <f t="shared" ref="H11" si="1">SUM(C11:G11)</f>
        <v>79.47</v>
      </c>
      <c r="I11" s="34">
        <v>14.75</v>
      </c>
      <c r="J11" s="23">
        <f t="shared" ref="J11" si="2">3.141592654*(I11*I11)*H11</f>
        <v>54317.168984423486</v>
      </c>
      <c r="K11" s="37">
        <f t="shared" si="0"/>
        <v>54.317168984423489</v>
      </c>
      <c r="L11" s="35">
        <f t="shared" ref="L11:L21" si="3">3.141592654*(I11*I11)</f>
        <v>683.49275178587504</v>
      </c>
      <c r="M11" s="39">
        <f>AVERAGE(C48:C51)</f>
        <v>0</v>
      </c>
      <c r="Q11" s="74"/>
    </row>
    <row r="12" spans="1:17" ht="12.75" x14ac:dyDescent="0.2">
      <c r="A12" s="155" t="s">
        <v>70</v>
      </c>
      <c r="B12" s="4"/>
      <c r="C12" s="34">
        <v>7.62</v>
      </c>
      <c r="D12" s="38">
        <f>AVERAGE(D38:D41)</f>
        <v>-5.6750000000000007</v>
      </c>
      <c r="E12" s="152">
        <v>76.2</v>
      </c>
      <c r="F12" s="152"/>
      <c r="G12" s="152"/>
      <c r="H12" s="39">
        <f t="shared" ref="H12:H21" si="4">SUM(C12:G12)</f>
        <v>78.144999999999996</v>
      </c>
      <c r="I12" s="34">
        <v>14.75</v>
      </c>
      <c r="J12" s="23">
        <f t="shared" ref="J12:J21" si="5">3.141592654*(I12*I12)*H12</f>
        <v>53411.541088307204</v>
      </c>
      <c r="K12" s="37">
        <f t="shared" ref="K12:K21" si="6">J12/1000</f>
        <v>53.411541088307203</v>
      </c>
      <c r="L12" s="35">
        <f t="shared" si="3"/>
        <v>683.49275178587504</v>
      </c>
      <c r="M12" s="39">
        <f>AVERAGE(D48:D51)</f>
        <v>0</v>
      </c>
      <c r="Q12" s="74"/>
    </row>
    <row r="13" spans="1:17" ht="10.9" customHeight="1" x14ac:dyDescent="0.2">
      <c r="A13" s="155" t="s">
        <v>71</v>
      </c>
      <c r="B13" s="4"/>
      <c r="C13" s="34">
        <v>7.62</v>
      </c>
      <c r="D13" s="38">
        <f>AVERAGE(E38:E41)</f>
        <v>-5.3500000000000005</v>
      </c>
      <c r="E13" s="152">
        <v>76.2</v>
      </c>
      <c r="F13" s="152"/>
      <c r="G13" s="152"/>
      <c r="H13" s="39">
        <f t="shared" si="4"/>
        <v>78.47</v>
      </c>
      <c r="I13" s="34">
        <v>14.75</v>
      </c>
      <c r="J13" s="23">
        <f t="shared" si="5"/>
        <v>53633.676232637612</v>
      </c>
      <c r="K13" s="37">
        <f t="shared" si="6"/>
        <v>53.633676232637612</v>
      </c>
      <c r="L13" s="35">
        <f t="shared" si="3"/>
        <v>683.49275178587504</v>
      </c>
      <c r="M13" s="39">
        <f>AVERAGE(E48:E51)</f>
        <v>0</v>
      </c>
      <c r="Q13" s="74"/>
    </row>
    <row r="14" spans="1:17" s="56" customFormat="1" ht="12.75" x14ac:dyDescent="0.2">
      <c r="A14" s="155" t="s">
        <v>72</v>
      </c>
      <c r="B14" s="4"/>
      <c r="C14" s="34">
        <v>7.62</v>
      </c>
      <c r="D14" s="62">
        <f>AVERAGE(F38:F41)</f>
        <v>-6.5500000000000007</v>
      </c>
      <c r="E14" s="152">
        <v>76.2</v>
      </c>
      <c r="F14" s="152"/>
      <c r="G14" s="152"/>
      <c r="H14" s="39">
        <f t="shared" si="4"/>
        <v>77.27</v>
      </c>
      <c r="I14" s="34">
        <v>14.75</v>
      </c>
      <c r="J14" s="23">
        <f t="shared" si="5"/>
        <v>52813.48493049456</v>
      </c>
      <c r="K14" s="37">
        <f t="shared" si="6"/>
        <v>52.81348493049456</v>
      </c>
      <c r="L14" s="35">
        <f t="shared" si="3"/>
        <v>683.49275178587504</v>
      </c>
      <c r="M14" s="54">
        <f>AVERAGE(F48:F51)</f>
        <v>0</v>
      </c>
      <c r="N14" s="55"/>
      <c r="O14" s="35"/>
      <c r="P14" s="38"/>
    </row>
    <row r="15" spans="1:17" ht="12.75" x14ac:dyDescent="0.2">
      <c r="A15" s="155" t="s">
        <v>73</v>
      </c>
      <c r="B15" s="4"/>
      <c r="C15" s="34">
        <v>7.62</v>
      </c>
      <c r="D15" s="62">
        <f>AVERAGE(G38:G41)</f>
        <v>-5.1750000000000007</v>
      </c>
      <c r="E15" s="152">
        <v>76.2</v>
      </c>
      <c r="F15" s="152"/>
      <c r="G15" s="152"/>
      <c r="H15" s="39">
        <f t="shared" si="4"/>
        <v>78.644999999999996</v>
      </c>
      <c r="I15" s="34">
        <v>14.75</v>
      </c>
      <c r="J15" s="23">
        <f t="shared" si="5"/>
        <v>53753.287464200141</v>
      </c>
      <c r="K15" s="37">
        <f t="shared" si="6"/>
        <v>53.753287464200142</v>
      </c>
      <c r="L15" s="35">
        <f t="shared" si="3"/>
        <v>683.49275178587504</v>
      </c>
      <c r="M15" s="23">
        <f>AVERAGE(G48:G51)</f>
        <v>0</v>
      </c>
      <c r="N15" s="37"/>
      <c r="O15" s="35"/>
    </row>
    <row r="16" spans="1:17" ht="12.75" x14ac:dyDescent="0.2">
      <c r="A16" s="155" t="s">
        <v>74</v>
      </c>
      <c r="B16" s="4"/>
      <c r="C16" s="34">
        <v>7.62</v>
      </c>
      <c r="D16" s="62">
        <f>AVERAGE(H38:H41)</f>
        <v>-5.8250000000000011</v>
      </c>
      <c r="E16" s="152">
        <v>76.2</v>
      </c>
      <c r="F16" s="152"/>
      <c r="G16" s="152"/>
      <c r="H16" s="39">
        <f t="shared" si="4"/>
        <v>77.995000000000005</v>
      </c>
      <c r="I16" s="34">
        <v>14.75</v>
      </c>
      <c r="J16" s="23">
        <f t="shared" si="5"/>
        <v>53309.017175539324</v>
      </c>
      <c r="K16" s="37">
        <f t="shared" si="6"/>
        <v>53.309017175539324</v>
      </c>
      <c r="L16" s="35">
        <f t="shared" si="3"/>
        <v>683.49275178587504</v>
      </c>
      <c r="M16" s="15" t="e">
        <f>AVERAGE(H48:H51)</f>
        <v>#DIV/0!</v>
      </c>
    </row>
    <row r="17" spans="1:16" ht="12.75" x14ac:dyDescent="0.2">
      <c r="A17" s="155" t="s">
        <v>75</v>
      </c>
      <c r="B17" s="4"/>
      <c r="C17" s="34">
        <v>7.62</v>
      </c>
      <c r="D17" s="62">
        <f>AVERAGE(I38:I41)</f>
        <v>-5.35</v>
      </c>
      <c r="E17" s="152">
        <v>76.2</v>
      </c>
      <c r="F17" s="152"/>
      <c r="G17" s="152"/>
      <c r="H17" s="39">
        <f t="shared" si="4"/>
        <v>78.47</v>
      </c>
      <c r="I17" s="34">
        <v>14.75</v>
      </c>
      <c r="J17" s="23">
        <f t="shared" si="5"/>
        <v>53633.676232637612</v>
      </c>
      <c r="K17" s="37">
        <f t="shared" si="6"/>
        <v>53.633676232637612</v>
      </c>
      <c r="L17" s="35">
        <f t="shared" si="3"/>
        <v>683.49275178587504</v>
      </c>
      <c r="M17" s="15" t="e">
        <f>AVERAGE(I48:I51)</f>
        <v>#DIV/0!</v>
      </c>
    </row>
    <row r="18" spans="1:16" ht="12.75" x14ac:dyDescent="0.2">
      <c r="A18" s="155" t="s">
        <v>76</v>
      </c>
      <c r="B18" s="4"/>
      <c r="C18" s="34">
        <v>7.62</v>
      </c>
      <c r="D18" s="34">
        <f>AVERAGE(J38:J41)</f>
        <v>-4.875</v>
      </c>
      <c r="E18" s="152">
        <v>76.2</v>
      </c>
      <c r="F18" s="152"/>
      <c r="G18" s="152"/>
      <c r="H18" s="39">
        <f t="shared" si="4"/>
        <v>78.945000000000007</v>
      </c>
      <c r="I18" s="34">
        <v>14.75</v>
      </c>
      <c r="J18" s="23">
        <f t="shared" si="5"/>
        <v>53958.335289735907</v>
      </c>
      <c r="K18" s="37">
        <f t="shared" si="6"/>
        <v>53.958335289735906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5" thickBot="1" x14ac:dyDescent="0.25">
      <c r="A19" s="162" t="s">
        <v>77</v>
      </c>
      <c r="B19" s="4"/>
      <c r="C19" s="34">
        <v>7.62</v>
      </c>
      <c r="D19" s="34">
        <f>AVERAGE(K38:K41)</f>
        <v>-8.9</v>
      </c>
      <c r="E19" s="152">
        <v>76.2</v>
      </c>
      <c r="F19" s="152"/>
      <c r="G19" s="152"/>
      <c r="H19" s="163">
        <f t="shared" si="4"/>
        <v>74.92</v>
      </c>
      <c r="I19" s="164">
        <v>14.75</v>
      </c>
      <c r="J19" s="165">
        <f t="shared" si="5"/>
        <v>51207.276963797762</v>
      </c>
      <c r="K19" s="166">
        <f t="shared" si="6"/>
        <v>51.20727696379776</v>
      </c>
      <c r="L19" s="167">
        <f t="shared" si="3"/>
        <v>683.49275178587504</v>
      </c>
      <c r="M19" s="168" t="e">
        <f>AVERAGE(K48:K51)</f>
        <v>#DIV/0!</v>
      </c>
    </row>
    <row r="20" spans="1:16" s="150" customFormat="1" ht="12.75" x14ac:dyDescent="0.2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2.75" x14ac:dyDescent="0.2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98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18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4" t="s">
        <v>18</v>
      </c>
      <c r="C36" s="174"/>
      <c r="D36" s="174"/>
      <c r="E36" s="174"/>
      <c r="F36" s="174" t="s">
        <v>18</v>
      </c>
      <c r="G36" s="174"/>
      <c r="H36" s="174"/>
      <c r="I36" s="174"/>
      <c r="J36" s="174" t="s">
        <v>18</v>
      </c>
      <c r="K36" s="174"/>
      <c r="L36" s="174"/>
      <c r="M36" s="174"/>
      <c r="O36" s="10"/>
    </row>
    <row r="37" spans="1:22" s="33" customFormat="1" ht="12.75" customHeight="1" thickBot="1" x14ac:dyDescent="0.25">
      <c r="A37" s="21" t="s">
        <v>13</v>
      </c>
      <c r="B37" s="154" t="s">
        <v>68</v>
      </c>
      <c r="C37" s="155" t="s">
        <v>69</v>
      </c>
      <c r="D37" s="155" t="s">
        <v>70</v>
      </c>
      <c r="E37" s="155" t="s">
        <v>71</v>
      </c>
      <c r="F37" s="155" t="s">
        <v>72</v>
      </c>
      <c r="G37" s="155" t="s">
        <v>73</v>
      </c>
      <c r="H37" s="155" t="s">
        <v>74</v>
      </c>
      <c r="I37" s="155" t="s">
        <v>75</v>
      </c>
      <c r="J37" s="155" t="s">
        <v>76</v>
      </c>
      <c r="K37" s="162" t="s">
        <v>77</v>
      </c>
      <c r="L37" s="117" t="s">
        <v>66</v>
      </c>
      <c r="M37" s="117" t="s">
        <v>66</v>
      </c>
      <c r="O37" s="10"/>
      <c r="P37" s="33">
        <v>-3.9</v>
      </c>
    </row>
    <row r="38" spans="1:22" s="33" customFormat="1" ht="12.75" x14ac:dyDescent="0.2">
      <c r="A38" s="12">
        <v>1</v>
      </c>
      <c r="B38" s="33">
        <v>-3.9</v>
      </c>
      <c r="C38" s="33">
        <v>-4.3499999999999996</v>
      </c>
      <c r="D38" s="53">
        <v>-5.6750000000000007</v>
      </c>
      <c r="E38" s="53">
        <v>-5.3500000000000005</v>
      </c>
      <c r="F38" s="53">
        <v>-6.5500000000000007</v>
      </c>
      <c r="G38" s="53">
        <v>-5.1750000000000007</v>
      </c>
      <c r="H38" s="53">
        <v>-5.8250000000000011</v>
      </c>
      <c r="I38" s="98">
        <v>-5.35</v>
      </c>
      <c r="J38" s="56">
        <v>-4.875</v>
      </c>
      <c r="K38" s="10">
        <v>-8.9</v>
      </c>
      <c r="L38" s="129"/>
      <c r="M38" s="129"/>
      <c r="O38" s="10"/>
      <c r="P38" s="33">
        <v>-4.3499999999999996</v>
      </c>
    </row>
    <row r="39" spans="1:22" s="53" customFormat="1" ht="12.75" x14ac:dyDescent="0.2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/>
      <c r="P39" s="53">
        <v>-5.6750000000000007</v>
      </c>
    </row>
    <row r="40" spans="1:22" s="33" customFormat="1" ht="12.75" x14ac:dyDescent="0.2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/>
      <c r="P40" s="53">
        <v>-5.3500000000000005</v>
      </c>
    </row>
    <row r="41" spans="1:22" s="33" customFormat="1" ht="12.75" x14ac:dyDescent="0.2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/>
      <c r="P41" s="53">
        <v>-6.5500000000000007</v>
      </c>
    </row>
    <row r="42" spans="1:22" s="33" customFormat="1" ht="12.75" x14ac:dyDescent="0.2">
      <c r="A42" s="43" t="s">
        <v>14</v>
      </c>
      <c r="B42" s="42">
        <f>AVERAGE(B38:B41)</f>
        <v>-3.9</v>
      </c>
      <c r="C42" s="42">
        <f t="shared" ref="C42:M42" si="7">AVERAGE(C38:C41)</f>
        <v>-4.3499999999999996</v>
      </c>
      <c r="D42" s="42">
        <f>AVERAGE(D38:D41)</f>
        <v>-5.6750000000000007</v>
      </c>
      <c r="E42" s="42">
        <f t="shared" si="7"/>
        <v>-5.3500000000000005</v>
      </c>
      <c r="F42" s="43">
        <f t="shared" si="7"/>
        <v>-6.5500000000000007</v>
      </c>
      <c r="G42" s="40">
        <f t="shared" si="7"/>
        <v>-5.1750000000000007</v>
      </c>
      <c r="H42" s="40">
        <f t="shared" si="7"/>
        <v>-5.8250000000000011</v>
      </c>
      <c r="I42" s="40">
        <f t="shared" si="7"/>
        <v>-5.35</v>
      </c>
      <c r="J42" s="40">
        <f t="shared" si="7"/>
        <v>-4.875</v>
      </c>
      <c r="K42" s="40">
        <f t="shared" si="7"/>
        <v>-8.9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>
        <v>-5.1750000000000007</v>
      </c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>
        <v>-5.8250000000000011</v>
      </c>
    </row>
    <row r="44" spans="1:22" x14ac:dyDescent="0.2">
      <c r="G44" s="43"/>
      <c r="H44" s="42"/>
      <c r="I44" s="42"/>
      <c r="J44" s="42"/>
      <c r="K44" s="42"/>
      <c r="N44" s="98"/>
      <c r="P44" s="98">
        <v>-5.35</v>
      </c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  <c r="P45" s="56">
        <v>-4.875</v>
      </c>
    </row>
    <row r="46" spans="1:22" x14ac:dyDescent="0.2">
      <c r="A46" s="21"/>
      <c r="B46" s="95" t="s">
        <v>60</v>
      </c>
      <c r="C46" s="95"/>
      <c r="D46" s="95"/>
      <c r="E46" s="95"/>
      <c r="F46" s="173" t="s">
        <v>18</v>
      </c>
      <c r="G46" s="173"/>
      <c r="H46" s="173"/>
      <c r="I46" s="173"/>
      <c r="J46" s="173" t="s">
        <v>18</v>
      </c>
      <c r="K46" s="173"/>
      <c r="L46" s="173"/>
      <c r="M46" s="173"/>
      <c r="P46" s="10">
        <v>-8.9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/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75" t="s">
        <v>25</v>
      </c>
      <c r="L56" s="175"/>
      <c r="M56" s="175"/>
    </row>
    <row r="57" spans="1:13" ht="12.75" x14ac:dyDescent="0.2">
      <c r="A57" s="33" t="s">
        <v>27</v>
      </c>
      <c r="B57" s="33"/>
      <c r="C57" s="33"/>
      <c r="D57" s="33"/>
      <c r="E57" s="33"/>
      <c r="I57" s="171" t="s">
        <v>39</v>
      </c>
      <c r="J57" s="171" t="s">
        <v>61</v>
      </c>
      <c r="K57" s="172" t="s">
        <v>41</v>
      </c>
      <c r="L57" s="172"/>
      <c r="M57" s="172" t="s">
        <v>26</v>
      </c>
    </row>
    <row r="58" spans="1:13" x14ac:dyDescent="0.2">
      <c r="A58" s="171" t="s">
        <v>39</v>
      </c>
      <c r="B58" s="171" t="s">
        <v>61</v>
      </c>
      <c r="C58" s="172" t="s">
        <v>41</v>
      </c>
      <c r="D58" s="172"/>
      <c r="E58" s="172" t="s">
        <v>26</v>
      </c>
      <c r="I58" s="171"/>
      <c r="J58" s="171"/>
      <c r="K58" s="93">
        <v>1</v>
      </c>
      <c r="L58" s="93">
        <v>2</v>
      </c>
      <c r="M58" s="172"/>
    </row>
    <row r="59" spans="1:13" x14ac:dyDescent="0.2">
      <c r="A59" s="171"/>
      <c r="B59" s="171"/>
      <c r="C59" s="93">
        <v>1</v>
      </c>
      <c r="D59" s="93">
        <v>2</v>
      </c>
      <c r="E59" s="172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2.75" x14ac:dyDescent="0.2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2.75" x14ac:dyDescent="0.2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2.75" x14ac:dyDescent="0.2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2.75" x14ac:dyDescent="0.2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2.75" x14ac:dyDescent="0.2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2.75" x14ac:dyDescent="0.2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2.75" x14ac:dyDescent="0.2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2.75" x14ac:dyDescent="0.2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2.75" x14ac:dyDescent="0.2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2.75" x14ac:dyDescent="0.2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2.75" x14ac:dyDescent="0.2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abSelected="1" topLeftCell="B31" zoomScaleNormal="100" zoomScalePageLayoutView="150" workbookViewId="0">
      <selection activeCell="E3" sqref="E3:F42"/>
    </sheetView>
  </sheetViews>
  <sheetFormatPr defaultColWidth="8.7109375" defaultRowHeight="12.75" outlineLevelCol="3" x14ac:dyDescent="0.2"/>
  <cols>
    <col min="2" max="2" width="8.7109375" style="105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79" t="s">
        <v>56</v>
      </c>
      <c r="B1" s="179"/>
      <c r="C1" s="179"/>
      <c r="D1" s="179"/>
      <c r="E1" s="179"/>
      <c r="F1" s="179"/>
    </row>
    <row r="2" spans="1:28" ht="13.5" thickBot="1" x14ac:dyDescent="0.25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5" t="s">
        <v>16</v>
      </c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81"/>
      <c r="AA2" s="81"/>
      <c r="AB2" s="30" t="s">
        <v>0</v>
      </c>
    </row>
    <row r="3" spans="1:28" ht="22.5" customHeight="1" x14ac:dyDescent="0.2">
      <c r="A3" s="156" t="s">
        <v>62</v>
      </c>
      <c r="B3" s="159"/>
      <c r="C3" s="157" t="s">
        <v>68</v>
      </c>
      <c r="D3" s="103">
        <v>0</v>
      </c>
      <c r="E3" s="120">
        <v>6.2057365401381848</v>
      </c>
      <c r="F3" s="120">
        <v>0.31051453390719069</v>
      </c>
      <c r="H3" s="188" t="s">
        <v>39</v>
      </c>
      <c r="I3" s="188" t="s">
        <v>61</v>
      </c>
      <c r="J3" s="190" t="s">
        <v>28</v>
      </c>
      <c r="K3" s="190"/>
      <c r="L3" s="190"/>
      <c r="M3" s="44"/>
      <c r="N3" s="183" t="s">
        <v>48</v>
      </c>
      <c r="O3" s="187"/>
      <c r="P3" s="187"/>
      <c r="Q3" s="187"/>
      <c r="R3" s="184" t="s">
        <v>47</v>
      </c>
      <c r="S3" s="184"/>
      <c r="T3" s="184"/>
      <c r="U3" s="184"/>
      <c r="V3" s="183" t="s">
        <v>42</v>
      </c>
      <c r="W3" s="183"/>
      <c r="X3" s="183"/>
      <c r="Y3" s="183"/>
      <c r="Z3" s="82"/>
      <c r="AA3" s="82"/>
    </row>
    <row r="4" spans="1:28" x14ac:dyDescent="0.2">
      <c r="A4" s="156" t="s">
        <v>62</v>
      </c>
      <c r="B4" s="160"/>
      <c r="C4" s="157" t="s">
        <v>68</v>
      </c>
      <c r="D4" s="103">
        <v>21</v>
      </c>
      <c r="E4" s="120">
        <v>20.747923302800629</v>
      </c>
      <c r="F4" s="120">
        <v>0.32223791298803978</v>
      </c>
      <c r="H4" s="188"/>
      <c r="I4" s="188"/>
      <c r="J4" s="36"/>
      <c r="K4" s="36"/>
      <c r="L4" s="36"/>
      <c r="M4" s="36"/>
      <c r="N4" s="187"/>
      <c r="O4" s="187"/>
      <c r="P4" s="187"/>
      <c r="Q4" s="187"/>
      <c r="R4" s="184"/>
      <c r="S4" s="184"/>
      <c r="T4" s="184"/>
      <c r="U4" s="184"/>
      <c r="V4" s="183"/>
      <c r="W4" s="183"/>
      <c r="X4" s="183"/>
      <c r="Y4" s="183"/>
      <c r="Z4" s="24"/>
      <c r="AA4" s="65"/>
      <c r="AB4" s="25"/>
    </row>
    <row r="5" spans="1:28" x14ac:dyDescent="0.2">
      <c r="A5" s="156" t="s">
        <v>62</v>
      </c>
      <c r="B5" s="160"/>
      <c r="C5" s="157" t="s">
        <v>68</v>
      </c>
      <c r="D5" s="103">
        <v>42</v>
      </c>
      <c r="E5" s="120">
        <v>35.327482546660683</v>
      </c>
      <c r="F5" s="120">
        <v>0.3249289081862386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56" t="s">
        <v>62</v>
      </c>
      <c r="B6" s="160"/>
      <c r="C6" s="157" t="s">
        <v>68</v>
      </c>
      <c r="D6" s="103">
        <v>63</v>
      </c>
      <c r="E6" s="120">
        <v>49.748968712153783</v>
      </c>
      <c r="F6" s="120">
        <v>0.32284631190241508</v>
      </c>
      <c r="J6" s="180" t="s">
        <v>56</v>
      </c>
      <c r="K6" s="180"/>
      <c r="L6" s="180"/>
      <c r="M6" s="180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56" t="s">
        <v>62</v>
      </c>
      <c r="B7" s="160"/>
      <c r="C7" s="157" t="s">
        <v>69</v>
      </c>
      <c r="D7" s="103">
        <v>0</v>
      </c>
      <c r="E7" s="120">
        <v>6.9699948398445386</v>
      </c>
      <c r="F7" s="120">
        <v>0.32016701668333891</v>
      </c>
      <c r="H7" s="154" t="s">
        <v>68</v>
      </c>
      <c r="I7" s="4"/>
      <c r="J7" s="169">
        <v>35.4</v>
      </c>
      <c r="K7" s="169">
        <v>37.6</v>
      </c>
      <c r="L7" s="169">
        <v>39.9</v>
      </c>
      <c r="M7" s="169">
        <v>37.299999999999997</v>
      </c>
      <c r="N7" s="85">
        <f>F3</f>
        <v>0.31051453390719069</v>
      </c>
      <c r="O7" s="85">
        <f>F4</f>
        <v>0.32223791298803978</v>
      </c>
      <c r="P7" s="85">
        <f>F5</f>
        <v>0.3249289081862386</v>
      </c>
      <c r="Q7" s="85">
        <f>F6</f>
        <v>0.32284631190241508</v>
      </c>
      <c r="R7" s="6">
        <f>(((760*22.4)*(273+J7))/(760*273))</f>
        <v>25.304615384615381</v>
      </c>
      <c r="S7" s="6">
        <f t="shared" ref="R7:U18" si="0">(((760*22.4)*(273+K7))/(760*273))</f>
        <v>25.485128205128206</v>
      </c>
      <c r="T7" s="6">
        <f t="shared" si="0"/>
        <v>25.673846153846153</v>
      </c>
      <c r="U7" s="6">
        <f t="shared" si="0"/>
        <v>25.460512820512822</v>
      </c>
      <c r="V7" s="61">
        <f>((N7/(R7))*(0.044014))</f>
        <v>5.4009857441659841E-4</v>
      </c>
      <c r="W7" s="61">
        <f t="shared" ref="W7:Y7" si="1">((O7/(S7))*(0.044014))</f>
        <v>5.5651984122260113E-4</v>
      </c>
      <c r="X7" s="61">
        <f t="shared" si="1"/>
        <v>5.5704240335516047E-4</v>
      </c>
      <c r="Y7" s="61">
        <f t="shared" si="1"/>
        <v>5.5810963715642418E-4</v>
      </c>
      <c r="AA7" s="169">
        <v>35.4</v>
      </c>
    </row>
    <row r="8" spans="1:28" x14ac:dyDescent="0.2">
      <c r="A8" s="156" t="s">
        <v>62</v>
      </c>
      <c r="B8" s="160"/>
      <c r="C8" s="157" t="s">
        <v>69</v>
      </c>
      <c r="D8" s="103">
        <v>21</v>
      </c>
      <c r="E8" s="120">
        <v>16.747279657660179</v>
      </c>
      <c r="F8" s="120">
        <v>0.32888350112967868</v>
      </c>
      <c r="H8" s="155" t="s">
        <v>69</v>
      </c>
      <c r="I8" s="4"/>
      <c r="J8" s="169">
        <v>37.700000000000003</v>
      </c>
      <c r="K8" s="169">
        <v>39.299999999999997</v>
      </c>
      <c r="L8" s="169">
        <v>40.1</v>
      </c>
      <c r="M8" s="169">
        <v>41.6</v>
      </c>
      <c r="N8" s="85">
        <f>F7</f>
        <v>0.32016701668333891</v>
      </c>
      <c r="O8" s="85">
        <f>F8</f>
        <v>0.32888350112967868</v>
      </c>
      <c r="P8" s="85">
        <f>F9</f>
        <v>0.32856760169336852</v>
      </c>
      <c r="Q8" s="85">
        <f>F10</f>
        <v>0.32634460566007373</v>
      </c>
      <c r="R8" s="6">
        <f>(((760*22.4)*(273+J8))/(760*273))</f>
        <v>25.493333333333332</v>
      </c>
      <c r="S8" s="6">
        <f t="shared" si="0"/>
        <v>25.624615384615385</v>
      </c>
      <c r="T8" s="6">
        <f t="shared" si="0"/>
        <v>25.690256410256413</v>
      </c>
      <c r="U8" s="6">
        <f t="shared" si="0"/>
        <v>25.813333333333336</v>
      </c>
      <c r="V8" s="61">
        <f t="shared" ref="V8:V9" si="2">((N8/(R8))*(0.044014))</f>
        <v>5.5276534017915057E-4</v>
      </c>
      <c r="W8" s="61">
        <f t="shared" ref="W8:W18" si="3">((O8/(S8))*(0.044014))</f>
        <v>5.649051976566457E-4</v>
      </c>
      <c r="X8" s="61">
        <f t="shared" ref="X8:X18" si="4">((P8/(T8))*(0.044014))</f>
        <v>5.6292059487418643E-4</v>
      </c>
      <c r="Y8" s="61">
        <f t="shared" ref="Y8:Y18" si="5">((Q8/(U8))*(0.044014))</f>
        <v>5.5644620894327798E-4</v>
      </c>
      <c r="AA8" s="169">
        <v>37.6</v>
      </c>
    </row>
    <row r="9" spans="1:28" x14ac:dyDescent="0.2">
      <c r="A9" s="156" t="s">
        <v>62</v>
      </c>
      <c r="B9" s="160"/>
      <c r="C9" s="157" t="s">
        <v>69</v>
      </c>
      <c r="D9" s="103">
        <v>42</v>
      </c>
      <c r="E9" s="120">
        <v>28.226353487713862</v>
      </c>
      <c r="F9" s="120">
        <v>0.32856760169336852</v>
      </c>
      <c r="H9" s="155" t="s">
        <v>70</v>
      </c>
      <c r="I9" s="4"/>
      <c r="J9" s="169">
        <v>37.200000000000003</v>
      </c>
      <c r="K9" s="169">
        <v>38.700000000000003</v>
      </c>
      <c r="L9" s="169">
        <v>39.700000000000003</v>
      </c>
      <c r="M9" s="169">
        <v>40.1</v>
      </c>
      <c r="N9" s="85">
        <f>F11</f>
        <v>0.31768662110934681</v>
      </c>
      <c r="O9" s="85">
        <f>F12</f>
        <v>0.32405140975204327</v>
      </c>
      <c r="P9" s="85">
        <f>F13</f>
        <v>0.32599360628639562</v>
      </c>
      <c r="Q9" s="85">
        <f>F14</f>
        <v>0.32815810242407728</v>
      </c>
      <c r="R9" s="6">
        <f t="shared" si="0"/>
        <v>25.452307692307691</v>
      </c>
      <c r="S9" s="6">
        <f t="shared" si="0"/>
        <v>25.575384615384614</v>
      </c>
      <c r="T9" s="6">
        <f t="shared" si="0"/>
        <v>25.657435897435896</v>
      </c>
      <c r="U9" s="6">
        <f t="shared" si="0"/>
        <v>25.690256410256413</v>
      </c>
      <c r="V9" s="61">
        <f t="shared" si="2"/>
        <v>5.4936704013415223E-4</v>
      </c>
      <c r="W9" s="61">
        <f t="shared" si="3"/>
        <v>5.5767680382201525E-4</v>
      </c>
      <c r="X9" s="61">
        <f t="shared" si="4"/>
        <v>5.5922511682172135E-4</v>
      </c>
      <c r="Y9" s="61">
        <f t="shared" si="5"/>
        <v>5.622190175699058E-4</v>
      </c>
      <c r="AA9" s="169">
        <v>39.9</v>
      </c>
    </row>
    <row r="10" spans="1:28" x14ac:dyDescent="0.2">
      <c r="A10" s="156" t="s">
        <v>62</v>
      </c>
      <c r="B10" s="160"/>
      <c r="C10" s="157" t="s">
        <v>69</v>
      </c>
      <c r="D10" s="103">
        <v>63</v>
      </c>
      <c r="E10" s="120">
        <v>41.896992530963857</v>
      </c>
      <c r="F10" s="120">
        <v>0.32634460566007373</v>
      </c>
      <c r="H10" s="155" t="s">
        <v>71</v>
      </c>
      <c r="I10" s="4"/>
      <c r="J10" s="169">
        <v>38.6</v>
      </c>
      <c r="K10" s="169">
        <v>40.1</v>
      </c>
      <c r="L10" s="169">
        <v>40.799999999999997</v>
      </c>
      <c r="M10" s="169">
        <v>41.1</v>
      </c>
      <c r="N10" s="85">
        <f>F15</f>
        <v>0.33577478883289241</v>
      </c>
      <c r="O10" s="85">
        <f>F16</f>
        <v>0.3317733959729619</v>
      </c>
      <c r="P10" s="85">
        <f>F17</f>
        <v>0.33056829812333371</v>
      </c>
      <c r="Q10" s="85">
        <f>F18</f>
        <v>0.33081399768490838</v>
      </c>
      <c r="R10" s="6">
        <f t="shared" si="0"/>
        <v>25.567179487179487</v>
      </c>
      <c r="S10" s="6">
        <f t="shared" si="0"/>
        <v>25.690256410256413</v>
      </c>
      <c r="T10" s="6">
        <f t="shared" si="0"/>
        <v>25.747692307692308</v>
      </c>
      <c r="U10" s="6">
        <f t="shared" si="0"/>
        <v>25.772307692307695</v>
      </c>
      <c r="V10" s="61">
        <f>((N10/(R10))*(0.044014))</f>
        <v>5.7803761901470841E-4</v>
      </c>
      <c r="W10" s="61">
        <f t="shared" si="3"/>
        <v>5.6841294291341002E-4</v>
      </c>
      <c r="X10" s="61">
        <f t="shared" si="4"/>
        <v>5.6508493653443278E-4</v>
      </c>
      <c r="Y10" s="61">
        <f t="shared" si="5"/>
        <v>5.6496482456824923E-4</v>
      </c>
      <c r="AA10" s="169">
        <v>37.299999999999997</v>
      </c>
    </row>
    <row r="11" spans="1:28" s="1" customFormat="1" x14ac:dyDescent="0.2">
      <c r="A11" s="156" t="s">
        <v>62</v>
      </c>
      <c r="B11" s="160"/>
      <c r="C11" s="157" t="s">
        <v>70</v>
      </c>
      <c r="D11" s="103">
        <v>0</v>
      </c>
      <c r="E11" s="120">
        <v>6.4407003692945137</v>
      </c>
      <c r="F11" s="120">
        <v>0.31768662110934681</v>
      </c>
      <c r="H11" s="155" t="s">
        <v>72</v>
      </c>
      <c r="I11" s="4"/>
      <c r="J11" s="169">
        <v>38.6</v>
      </c>
      <c r="K11" s="169">
        <v>39.1</v>
      </c>
      <c r="L11" s="169">
        <v>40.9</v>
      </c>
      <c r="M11" s="169">
        <v>40.5</v>
      </c>
      <c r="N11" s="85">
        <f>F19</f>
        <v>0.33607898829008009</v>
      </c>
      <c r="O11" s="85">
        <f>F20</f>
        <v>0.32988969933422269</v>
      </c>
      <c r="P11" s="85">
        <f>F21</f>
        <v>0.32893030104616922</v>
      </c>
      <c r="Q11" s="85">
        <f>F22</f>
        <v>0.33492069035694227</v>
      </c>
      <c r="R11" s="6">
        <f t="shared" si="0"/>
        <v>25.567179487179487</v>
      </c>
      <c r="S11" s="6">
        <f t="shared" si="0"/>
        <v>25.608205128205132</v>
      </c>
      <c r="T11" s="6">
        <f t="shared" si="0"/>
        <v>25.755897435897435</v>
      </c>
      <c r="U11" s="6">
        <f t="shared" si="0"/>
        <v>25.723076923076924</v>
      </c>
      <c r="V11" s="61">
        <f t="shared" ref="V11:V18" si="6">((N11/(R11))*(0.044014))</f>
        <v>5.7856129957616314E-4</v>
      </c>
      <c r="W11" s="61">
        <f t="shared" si="3"/>
        <v>5.6699659948069789E-4</v>
      </c>
      <c r="X11" s="61">
        <f t="shared" si="4"/>
        <v>5.621057587404404E-4</v>
      </c>
      <c r="Y11" s="61">
        <f>((Q11/(U11))*(0.044014))</f>
        <v>5.7307293794801417E-4</v>
      </c>
      <c r="AA11" s="169">
        <v>37.700000000000003</v>
      </c>
    </row>
    <row r="12" spans="1:28" s="1" customFormat="1" x14ac:dyDescent="0.2">
      <c r="A12" s="156" t="s">
        <v>62</v>
      </c>
      <c r="B12" s="160"/>
      <c r="C12" s="157" t="s">
        <v>70</v>
      </c>
      <c r="D12" s="103">
        <v>21</v>
      </c>
      <c r="E12" s="120">
        <v>15.3092438021996</v>
      </c>
      <c r="F12" s="120">
        <v>0.32405140975204327</v>
      </c>
      <c r="H12" s="155" t="s">
        <v>73</v>
      </c>
      <c r="I12" s="4"/>
      <c r="J12" s="169">
        <v>35.200000000000003</v>
      </c>
      <c r="K12" s="169">
        <v>37</v>
      </c>
      <c r="L12" s="169">
        <v>39.6</v>
      </c>
      <c r="M12" s="169">
        <v>39.1</v>
      </c>
      <c r="N12" s="85">
        <f>F23</f>
        <v>0.3240163098146755</v>
      </c>
      <c r="O12" s="85">
        <f>F24</f>
        <v>0.31873961923038108</v>
      </c>
      <c r="P12" s="85">
        <f>F25</f>
        <v>0.33721388626497267</v>
      </c>
      <c r="Q12" s="85">
        <f>F26</f>
        <v>0.32260061234084042</v>
      </c>
      <c r="R12" s="6">
        <f t="shared" si="0"/>
        <v>25.288205128205128</v>
      </c>
      <c r="S12" s="6">
        <f t="shared" si="0"/>
        <v>25.435897435897434</v>
      </c>
      <c r="T12" s="6">
        <f t="shared" si="0"/>
        <v>25.649230769230773</v>
      </c>
      <c r="U12" s="6">
        <f t="shared" si="0"/>
        <v>25.608205128205132</v>
      </c>
      <c r="V12" s="61">
        <f t="shared" si="6"/>
        <v>5.639488365379035E-4</v>
      </c>
      <c r="W12" s="61">
        <f t="shared" si="3"/>
        <v>5.5154356696717106E-4</v>
      </c>
      <c r="X12" s="61">
        <f t="shared" si="4"/>
        <v>5.7865797705993448E-4</v>
      </c>
      <c r="Y12" s="61">
        <f t="shared" si="5"/>
        <v>5.5446851040453788E-4</v>
      </c>
      <c r="Z12" s="5"/>
      <c r="AA12" s="169">
        <v>39.299999999999997</v>
      </c>
    </row>
    <row r="13" spans="1:28" s="53" customFormat="1" ht="13.15" customHeight="1" x14ac:dyDescent="0.2">
      <c r="A13" s="156" t="s">
        <v>62</v>
      </c>
      <c r="B13" s="160"/>
      <c r="C13" s="157" t="s">
        <v>70</v>
      </c>
      <c r="D13" s="103">
        <v>42</v>
      </c>
      <c r="E13" s="120">
        <v>28.431097463652971</v>
      </c>
      <c r="F13" s="120">
        <v>0.32599360628639562</v>
      </c>
      <c r="H13" s="155" t="s">
        <v>74</v>
      </c>
      <c r="I13" s="4"/>
      <c r="J13" s="169">
        <v>34.6</v>
      </c>
      <c r="K13" s="169">
        <v>38.799999999999997</v>
      </c>
      <c r="L13" s="170">
        <v>39.6</v>
      </c>
      <c r="M13" s="170">
        <v>40.299999999999997</v>
      </c>
      <c r="N13" s="85">
        <f>F27</f>
        <v>0.34078237989736693</v>
      </c>
      <c r="O13" s="85">
        <f>F28</f>
        <v>0.33702668659901108</v>
      </c>
      <c r="P13" s="85">
        <f>F29</f>
        <v>0.33482709052396148</v>
      </c>
      <c r="Q13" s="85">
        <f>F30</f>
        <v>0.33201909553453662</v>
      </c>
      <c r="R13" s="6">
        <f t="shared" si="0"/>
        <v>25.23897435897436</v>
      </c>
      <c r="S13" s="6">
        <f t="shared" si="0"/>
        <v>25.583589743589744</v>
      </c>
      <c r="T13" s="6">
        <f t="shared" si="0"/>
        <v>25.649230769230773</v>
      </c>
      <c r="U13" s="6">
        <f t="shared" si="0"/>
        <v>25.706666666666667</v>
      </c>
      <c r="V13" s="61">
        <f t="shared" si="6"/>
        <v>5.942870520596001E-4</v>
      </c>
      <c r="W13" s="61">
        <f t="shared" si="3"/>
        <v>5.7982060893880898E-4</v>
      </c>
      <c r="X13" s="61">
        <f t="shared" si="4"/>
        <v>5.7456224301277975E-4</v>
      </c>
      <c r="Y13" s="61">
        <f t="shared" si="5"/>
        <v>5.6847076520450312E-4</v>
      </c>
      <c r="AA13" s="169">
        <v>40.1</v>
      </c>
    </row>
    <row r="14" spans="1:28" s="33" customFormat="1" x14ac:dyDescent="0.2">
      <c r="A14" s="156" t="s">
        <v>62</v>
      </c>
      <c r="B14" s="160"/>
      <c r="C14" s="157" t="s">
        <v>70</v>
      </c>
      <c r="D14" s="103">
        <v>63</v>
      </c>
      <c r="E14" s="120">
        <v>40.600399893815798</v>
      </c>
      <c r="F14" s="120">
        <v>0.32815810242407728</v>
      </c>
      <c r="H14" s="155" t="s">
        <v>75</v>
      </c>
      <c r="I14" s="4"/>
      <c r="J14" s="170">
        <v>35.299999999999997</v>
      </c>
      <c r="K14" s="170">
        <v>37.6</v>
      </c>
      <c r="L14" s="170">
        <v>39.200000000000003</v>
      </c>
      <c r="M14" s="170">
        <v>39.200000000000003</v>
      </c>
      <c r="N14" s="85">
        <f>F31</f>
        <v>0.32870800144283968</v>
      </c>
      <c r="O14" s="85">
        <f>F32</f>
        <v>0.32717530417777863</v>
      </c>
      <c r="P14" s="85">
        <f>F33</f>
        <v>0.32551390714236889</v>
      </c>
      <c r="Q14" s="85">
        <f>F34</f>
        <v>0.33125859689156739</v>
      </c>
      <c r="R14" s="6">
        <f t="shared" si="0"/>
        <v>25.296410256410258</v>
      </c>
      <c r="S14" s="6">
        <f t="shared" si="0"/>
        <v>25.485128205128206</v>
      </c>
      <c r="T14" s="6">
        <f t="shared" si="0"/>
        <v>25.616410256410255</v>
      </c>
      <c r="U14" s="6">
        <f t="shared" si="0"/>
        <v>25.616410256410255</v>
      </c>
      <c r="V14" s="61">
        <f t="shared" si="6"/>
        <v>5.7192913258666538E-4</v>
      </c>
      <c r="W14" s="61">
        <f t="shared" si="3"/>
        <v>5.6504694511142666E-4</v>
      </c>
      <c r="X14" s="61">
        <f t="shared" si="4"/>
        <v>5.5929651990871713E-4</v>
      </c>
      <c r="Y14" s="61">
        <f t="shared" si="5"/>
        <v>5.6916701979883931E-4</v>
      </c>
      <c r="Z14" s="24"/>
      <c r="AA14" s="169">
        <v>41.6</v>
      </c>
    </row>
    <row r="15" spans="1:28" s="53" customFormat="1" x14ac:dyDescent="0.2">
      <c r="A15" s="156" t="s">
        <v>62</v>
      </c>
      <c r="B15" s="160"/>
      <c r="C15" s="157" t="s">
        <v>71</v>
      </c>
      <c r="D15" s="103">
        <v>0</v>
      </c>
      <c r="E15" s="120">
        <v>11.276949778245861</v>
      </c>
      <c r="F15" s="120">
        <v>0.33577478883289241</v>
      </c>
      <c r="H15" s="155" t="s">
        <v>76</v>
      </c>
      <c r="I15" s="4"/>
      <c r="J15" s="170">
        <v>37.1</v>
      </c>
      <c r="K15" s="170">
        <v>38.799999999999997</v>
      </c>
      <c r="L15" s="170">
        <v>39.6</v>
      </c>
      <c r="M15" s="170">
        <v>40</v>
      </c>
      <c r="N15" s="85">
        <f>F35</f>
        <v>0.33062679801894668</v>
      </c>
      <c r="O15" s="85">
        <f>F36</f>
        <v>0.32797090275811558</v>
      </c>
      <c r="P15" s="85">
        <f>F37</f>
        <v>0.32680090484585528</v>
      </c>
      <c r="Q15" s="85">
        <f>F38</f>
        <v>0.33759998557601861</v>
      </c>
      <c r="R15" s="6">
        <f t="shared" si="0"/>
        <v>25.444102564102565</v>
      </c>
      <c r="S15" s="6">
        <f t="shared" si="0"/>
        <v>25.583589743589744</v>
      </c>
      <c r="T15" s="6">
        <f t="shared" si="0"/>
        <v>25.649230769230773</v>
      </c>
      <c r="U15" s="6">
        <f t="shared" si="0"/>
        <v>25.682051282051283</v>
      </c>
      <c r="V15" s="61">
        <f t="shared" si="6"/>
        <v>5.7192851865550502E-4</v>
      </c>
      <c r="W15" s="61">
        <f t="shared" si="3"/>
        <v>5.6424104117807109E-4</v>
      </c>
      <c r="X15" s="61">
        <f t="shared" si="4"/>
        <v>5.6078933342283807E-4</v>
      </c>
      <c r="Y15" s="61">
        <f t="shared" si="5"/>
        <v>5.7858017655807944E-4</v>
      </c>
      <c r="Z15" s="24"/>
      <c r="AA15" s="169">
        <v>37.200000000000003</v>
      </c>
    </row>
    <row r="16" spans="1:28" s="53" customFormat="1" ht="13.5" thickBot="1" x14ac:dyDescent="0.25">
      <c r="A16" s="156" t="s">
        <v>62</v>
      </c>
      <c r="B16" s="160"/>
      <c r="C16" s="157" t="s">
        <v>71</v>
      </c>
      <c r="D16" s="103">
        <v>21</v>
      </c>
      <c r="E16" s="120">
        <v>25.188811200135049</v>
      </c>
      <c r="F16" s="120">
        <v>0.3317733959729619</v>
      </c>
      <c r="H16" s="162" t="s">
        <v>77</v>
      </c>
      <c r="I16" s="4"/>
      <c r="J16" s="170">
        <v>39.200000000000003</v>
      </c>
      <c r="K16" s="170">
        <v>40.299999999999997</v>
      </c>
      <c r="L16" s="170">
        <v>40.6</v>
      </c>
      <c r="M16" s="170">
        <v>42.3</v>
      </c>
      <c r="N16" s="85">
        <f>F39</f>
        <v>0.34082917981385741</v>
      </c>
      <c r="O16" s="85">
        <f>F40</f>
        <v>0.34222147732944719</v>
      </c>
      <c r="P16" s="85">
        <f>F41</f>
        <v>0.34047818044017919</v>
      </c>
      <c r="Q16" s="85">
        <f>F42</f>
        <v>0.33969428183896472</v>
      </c>
      <c r="R16" s="6">
        <f t="shared" si="0"/>
        <v>25.616410256410255</v>
      </c>
      <c r="S16" s="6">
        <f t="shared" si="0"/>
        <v>25.706666666666667</v>
      </c>
      <c r="T16" s="6">
        <f t="shared" si="0"/>
        <v>25.731282051282054</v>
      </c>
      <c r="U16" s="6">
        <f t="shared" si="0"/>
        <v>25.870769230769231</v>
      </c>
      <c r="V16" s="61">
        <f t="shared" si="6"/>
        <v>5.8561115199867644E-4</v>
      </c>
      <c r="W16" s="61">
        <f t="shared" si="3"/>
        <v>5.8593890442861592E-4</v>
      </c>
      <c r="X16" s="61">
        <f t="shared" si="4"/>
        <v>5.8239642331181019E-4</v>
      </c>
      <c r="Y16" s="61">
        <f t="shared" si="5"/>
        <v>5.779226735584637E-4</v>
      </c>
      <c r="Z16" s="34"/>
      <c r="AA16" s="169">
        <v>38.700000000000003</v>
      </c>
      <c r="AB16" s="34"/>
    </row>
    <row r="17" spans="1:28" s="53" customFormat="1" x14ac:dyDescent="0.2">
      <c r="A17" s="156" t="s">
        <v>62</v>
      </c>
      <c r="B17" s="160"/>
      <c r="C17" s="157" t="s">
        <v>71</v>
      </c>
      <c r="D17" s="103">
        <v>42</v>
      </c>
      <c r="E17" s="120">
        <v>38.977110973662718</v>
      </c>
      <c r="F17" s="120">
        <v>0.33056829812333371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169">
        <v>39.700000000000003</v>
      </c>
      <c r="AB17" s="34"/>
    </row>
    <row r="18" spans="1:28" s="33" customFormat="1" x14ac:dyDescent="0.2">
      <c r="A18" s="156" t="s">
        <v>62</v>
      </c>
      <c r="B18" s="160"/>
      <c r="C18" s="157" t="s">
        <v>71</v>
      </c>
      <c r="D18" s="103">
        <v>63</v>
      </c>
      <c r="E18" s="120">
        <v>58.006856531231733</v>
      </c>
      <c r="F18" s="120">
        <v>0.33081399768490838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169">
        <v>40.1</v>
      </c>
    </row>
    <row r="19" spans="1:28" s="33" customFormat="1" x14ac:dyDescent="0.2">
      <c r="A19" s="156" t="s">
        <v>62</v>
      </c>
      <c r="B19" s="160"/>
      <c r="C19" s="157" t="s">
        <v>72</v>
      </c>
      <c r="D19" s="103">
        <v>0</v>
      </c>
      <c r="E19" s="120">
        <v>10.74819175479437</v>
      </c>
      <c r="F19" s="120">
        <v>0.33607898829008009</v>
      </c>
      <c r="H19" s="15"/>
      <c r="Z19" s="53"/>
      <c r="AA19" s="169">
        <v>38.6</v>
      </c>
    </row>
    <row r="20" spans="1:28" s="33" customFormat="1" x14ac:dyDescent="0.2">
      <c r="A20" s="156" t="s">
        <v>62</v>
      </c>
      <c r="B20" s="160"/>
      <c r="C20" s="157" t="s">
        <v>72</v>
      </c>
      <c r="D20" s="103">
        <v>21</v>
      </c>
      <c r="E20" s="120">
        <v>18.86374227706224</v>
      </c>
      <c r="F20" s="120">
        <v>0.32988969933422269</v>
      </c>
      <c r="M20" s="104"/>
      <c r="Z20" s="53"/>
      <c r="AA20" s="169">
        <v>40.1</v>
      </c>
    </row>
    <row r="21" spans="1:28" s="33" customFormat="1" x14ac:dyDescent="0.2">
      <c r="A21" s="156" t="s">
        <v>62</v>
      </c>
      <c r="B21" s="160"/>
      <c r="C21" s="157" t="s">
        <v>72</v>
      </c>
      <c r="D21" s="103">
        <v>42</v>
      </c>
      <c r="E21" s="120">
        <v>31.759215262935768</v>
      </c>
      <c r="F21" s="120">
        <v>0.32893030104616922</v>
      </c>
      <c r="H21" s="186" t="s">
        <v>15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53"/>
      <c r="AA21" s="169">
        <v>40.799999999999997</v>
      </c>
    </row>
    <row r="22" spans="1:28" s="33" customFormat="1" x14ac:dyDescent="0.2">
      <c r="A22" s="156" t="s">
        <v>62</v>
      </c>
      <c r="B22" s="160"/>
      <c r="C22" s="157" t="s">
        <v>72</v>
      </c>
      <c r="D22" s="103">
        <v>63</v>
      </c>
      <c r="E22" s="120">
        <v>45.247819924084439</v>
      </c>
      <c r="F22" s="120">
        <v>0.33492069035694227</v>
      </c>
      <c r="H22" s="191" t="s">
        <v>39</v>
      </c>
      <c r="I22" s="191" t="s">
        <v>61</v>
      </c>
      <c r="J22" s="189" t="s">
        <v>28</v>
      </c>
      <c r="K22" s="189"/>
      <c r="L22" s="189"/>
      <c r="M22" s="87"/>
      <c r="N22" s="181" t="s">
        <v>48</v>
      </c>
      <c r="O22" s="192"/>
      <c r="P22" s="192"/>
      <c r="Q22" s="192"/>
      <c r="R22" s="182" t="s">
        <v>47</v>
      </c>
      <c r="S22" s="182"/>
      <c r="T22" s="182"/>
      <c r="U22" s="182"/>
      <c r="V22" s="181" t="s">
        <v>43</v>
      </c>
      <c r="W22" s="181"/>
      <c r="X22" s="181"/>
      <c r="Y22" s="181"/>
      <c r="Z22" s="53"/>
      <c r="AA22" s="169">
        <v>41.1</v>
      </c>
    </row>
    <row r="23" spans="1:28" s="33" customFormat="1" x14ac:dyDescent="0.2">
      <c r="A23" s="156" t="s">
        <v>62</v>
      </c>
      <c r="B23" s="160"/>
      <c r="C23" s="157" t="s">
        <v>73</v>
      </c>
      <c r="D23" s="103">
        <v>0</v>
      </c>
      <c r="E23" s="120">
        <v>9.6527667795952254</v>
      </c>
      <c r="F23" s="120">
        <v>0.3240163098146755</v>
      </c>
      <c r="H23" s="191"/>
      <c r="I23" s="191"/>
      <c r="J23" s="88"/>
      <c r="K23" s="88"/>
      <c r="L23" s="88"/>
      <c r="M23" s="88"/>
      <c r="N23" s="192"/>
      <c r="O23" s="192"/>
      <c r="P23" s="192"/>
      <c r="Q23" s="192"/>
      <c r="R23" s="182"/>
      <c r="S23" s="182"/>
      <c r="T23" s="182"/>
      <c r="U23" s="182"/>
      <c r="V23" s="181"/>
      <c r="W23" s="181"/>
      <c r="X23" s="181"/>
      <c r="Y23" s="181"/>
      <c r="Z23" s="53"/>
      <c r="AA23" s="169">
        <v>38.6</v>
      </c>
    </row>
    <row r="24" spans="1:28" s="33" customFormat="1" x14ac:dyDescent="0.2">
      <c r="A24" s="156" t="s">
        <v>62</v>
      </c>
      <c r="B24" s="160"/>
      <c r="C24" s="157" t="s">
        <v>73</v>
      </c>
      <c r="D24" s="103">
        <v>21</v>
      </c>
      <c r="E24" s="120">
        <v>32.372374296556053</v>
      </c>
      <c r="F24" s="120">
        <v>0.31873961923038108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169">
        <v>39.1</v>
      </c>
    </row>
    <row r="25" spans="1:28" s="33" customFormat="1" ht="13.5" thickBot="1" x14ac:dyDescent="0.25">
      <c r="A25" s="156" t="s">
        <v>62</v>
      </c>
      <c r="B25" s="160"/>
      <c r="C25" s="157" t="s">
        <v>73</v>
      </c>
      <c r="D25" s="103">
        <v>42</v>
      </c>
      <c r="E25" s="120">
        <v>56.256072017327909</v>
      </c>
      <c r="F25" s="120">
        <v>0.33721388626497267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169">
        <v>40.9</v>
      </c>
    </row>
    <row r="26" spans="1:28" s="33" customFormat="1" x14ac:dyDescent="0.2">
      <c r="A26" s="156" t="s">
        <v>62</v>
      </c>
      <c r="B26" s="160"/>
      <c r="C26" s="157" t="s">
        <v>73</v>
      </c>
      <c r="D26" s="103">
        <v>63</v>
      </c>
      <c r="E26" s="120">
        <v>78.92543232272638</v>
      </c>
      <c r="F26" s="120">
        <v>0.32260061234084042</v>
      </c>
      <c r="H26" s="154" t="s">
        <v>68</v>
      </c>
      <c r="I26" s="4"/>
      <c r="J26" s="90">
        <f t="shared" ref="J26:M29" si="7">J7</f>
        <v>35.4</v>
      </c>
      <c r="K26" s="90">
        <f t="shared" si="7"/>
        <v>37.6</v>
      </c>
      <c r="L26" s="90">
        <f t="shared" si="7"/>
        <v>39.9</v>
      </c>
      <c r="M26" s="90">
        <f t="shared" si="7"/>
        <v>37.299999999999997</v>
      </c>
      <c r="N26" s="85">
        <f>E3</f>
        <v>6.2057365401381848</v>
      </c>
      <c r="O26" s="85">
        <f>E4</f>
        <v>20.747923302800629</v>
      </c>
      <c r="P26" s="85">
        <f>E5</f>
        <v>35.327482546660683</v>
      </c>
      <c r="Q26" s="85">
        <f>E6</f>
        <v>49.748968712153783</v>
      </c>
      <c r="R26" s="6">
        <f t="shared" ref="R26:U37" si="8">(((760*22.4)*(273+J26))/(760*273))</f>
        <v>25.304615384615381</v>
      </c>
      <c r="S26" s="6">
        <f t="shared" si="8"/>
        <v>25.485128205128206</v>
      </c>
      <c r="T26" s="6">
        <f t="shared" si="8"/>
        <v>25.673846153846153</v>
      </c>
      <c r="U26" s="6">
        <f t="shared" si="8"/>
        <v>25.460512820512822</v>
      </c>
      <c r="V26" s="61">
        <f>((N26/(R26))*(0.016043))</f>
        <v>3.9344060283155397E-3</v>
      </c>
      <c r="W26" s="61">
        <f t="shared" ref="W26:Y37" si="9">((O26/(S26))*(0.016043))</f>
        <v>1.3060908733425617E-2</v>
      </c>
      <c r="X26" s="61">
        <f t="shared" si="9"/>
        <v>2.2075336866158334E-2</v>
      </c>
      <c r="Y26" s="61">
        <f t="shared" si="9"/>
        <v>3.1347471697665809E-2</v>
      </c>
      <c r="Z26" s="53"/>
      <c r="AA26" s="169">
        <v>40.5</v>
      </c>
    </row>
    <row r="27" spans="1:28" s="33" customFormat="1" x14ac:dyDescent="0.2">
      <c r="A27" s="156" t="s">
        <v>62</v>
      </c>
      <c r="B27" s="160"/>
      <c r="C27" s="157" t="s">
        <v>74</v>
      </c>
      <c r="D27" s="103">
        <v>0</v>
      </c>
      <c r="E27" s="120">
        <v>7.607115177199181</v>
      </c>
      <c r="F27" s="120">
        <v>0.34078237989736693</v>
      </c>
      <c r="H27" s="155" t="s">
        <v>69</v>
      </c>
      <c r="I27" s="4"/>
      <c r="J27" s="90">
        <f t="shared" si="7"/>
        <v>37.700000000000003</v>
      </c>
      <c r="K27" s="90">
        <f t="shared" si="7"/>
        <v>39.299999999999997</v>
      </c>
      <c r="L27" s="90">
        <f t="shared" si="7"/>
        <v>40.1</v>
      </c>
      <c r="M27" s="90">
        <f t="shared" si="7"/>
        <v>41.6</v>
      </c>
      <c r="N27" s="85">
        <f>E7</f>
        <v>6.9699948398445386</v>
      </c>
      <c r="O27" s="85">
        <f>E8</f>
        <v>16.747279657660179</v>
      </c>
      <c r="P27" s="85">
        <f>E9</f>
        <v>28.226353487713862</v>
      </c>
      <c r="Q27" s="85">
        <f>E10</f>
        <v>41.896992530963857</v>
      </c>
      <c r="R27" s="6">
        <f t="shared" si="8"/>
        <v>25.493333333333332</v>
      </c>
      <c r="S27" s="6">
        <f t="shared" si="8"/>
        <v>25.624615384615385</v>
      </c>
      <c r="T27" s="6">
        <f t="shared" si="8"/>
        <v>25.690256410256413</v>
      </c>
      <c r="U27" s="6">
        <f t="shared" si="8"/>
        <v>25.813333333333336</v>
      </c>
      <c r="V27" s="61">
        <f t="shared" ref="V27:V37" si="10">((N27/(R27))*(0.016043))</f>
        <v>4.3862301470564578E-3</v>
      </c>
      <c r="W27" s="61">
        <f t="shared" si="9"/>
        <v>1.0485098157186448E-2</v>
      </c>
      <c r="X27" s="61">
        <f t="shared" si="9"/>
        <v>1.7626736836406445E-2</v>
      </c>
      <c r="Y27" s="61">
        <f t="shared" si="9"/>
        <v>2.6039002499002577E-2</v>
      </c>
      <c r="Z27" s="53"/>
      <c r="AA27" s="169">
        <v>35.200000000000003</v>
      </c>
    </row>
    <row r="28" spans="1:28" s="33" customFormat="1" x14ac:dyDescent="0.2">
      <c r="A28" s="156" t="s">
        <v>62</v>
      </c>
      <c r="B28" s="160"/>
      <c r="C28" s="157" t="s">
        <v>74</v>
      </c>
      <c r="D28" s="103">
        <v>21</v>
      </c>
      <c r="E28" s="120">
        <v>22.549670291064839</v>
      </c>
      <c r="F28" s="120">
        <v>0.33702668659901108</v>
      </c>
      <c r="H28" s="155" t="s">
        <v>70</v>
      </c>
      <c r="I28" s="4"/>
      <c r="J28" s="90">
        <f t="shared" si="7"/>
        <v>37.200000000000003</v>
      </c>
      <c r="K28" s="90">
        <f t="shared" si="7"/>
        <v>38.700000000000003</v>
      </c>
      <c r="L28" s="90">
        <f t="shared" si="7"/>
        <v>39.700000000000003</v>
      </c>
      <c r="M28" s="90">
        <f t="shared" si="7"/>
        <v>40.1</v>
      </c>
      <c r="N28" s="85">
        <f>E11</f>
        <v>6.4407003692945137</v>
      </c>
      <c r="O28" s="85">
        <f>E12</f>
        <v>15.3092438021996</v>
      </c>
      <c r="P28" s="85">
        <f>E13</f>
        <v>28.431097463652971</v>
      </c>
      <c r="Q28" s="85">
        <f>E14</f>
        <v>40.600399893815798</v>
      </c>
      <c r="R28" s="6">
        <f t="shared" si="8"/>
        <v>25.452307692307691</v>
      </c>
      <c r="S28" s="6">
        <f t="shared" si="8"/>
        <v>25.575384615384614</v>
      </c>
      <c r="T28" s="6">
        <f t="shared" si="8"/>
        <v>25.657435897435896</v>
      </c>
      <c r="U28" s="6">
        <f t="shared" si="8"/>
        <v>25.690256410256413</v>
      </c>
      <c r="V28" s="61">
        <f t="shared" si="10"/>
        <v>4.0596773099603927E-3</v>
      </c>
      <c r="W28" s="61">
        <f t="shared" si="9"/>
        <v>9.6032259929708444E-3</v>
      </c>
      <c r="X28" s="61">
        <f t="shared" si="9"/>
        <v>1.7777306291739289E-2</v>
      </c>
      <c r="Y28" s="61">
        <f t="shared" si="9"/>
        <v>2.5354056615660918E-2</v>
      </c>
      <c r="Z28" s="53"/>
      <c r="AA28" s="169">
        <v>37</v>
      </c>
    </row>
    <row r="29" spans="1:28" s="33" customFormat="1" x14ac:dyDescent="0.2">
      <c r="A29" s="156" t="s">
        <v>62</v>
      </c>
      <c r="B29" s="160"/>
      <c r="C29" s="157" t="s">
        <v>74</v>
      </c>
      <c r="D29" s="103">
        <v>42</v>
      </c>
      <c r="E29" s="120">
        <v>35.232889041619821</v>
      </c>
      <c r="F29" s="120">
        <v>0.33482709052396148</v>
      </c>
      <c r="H29" s="155" t="s">
        <v>71</v>
      </c>
      <c r="I29" s="4"/>
      <c r="J29" s="90">
        <f t="shared" si="7"/>
        <v>38.6</v>
      </c>
      <c r="K29" s="90">
        <f t="shared" si="7"/>
        <v>40.1</v>
      </c>
      <c r="L29" s="90">
        <f t="shared" si="7"/>
        <v>40.799999999999997</v>
      </c>
      <c r="M29" s="90">
        <f t="shared" si="7"/>
        <v>41.1</v>
      </c>
      <c r="N29" s="85">
        <f>E15</f>
        <v>11.276949778245861</v>
      </c>
      <c r="O29" s="85">
        <f>E16</f>
        <v>25.188811200135049</v>
      </c>
      <c r="P29" s="85">
        <f>E17</f>
        <v>38.977110973662718</v>
      </c>
      <c r="Q29" s="85">
        <f>E18</f>
        <v>58.006856531231733</v>
      </c>
      <c r="R29" s="6">
        <f t="shared" si="8"/>
        <v>25.567179487179487</v>
      </c>
      <c r="S29" s="6">
        <f t="shared" si="8"/>
        <v>25.690256410256413</v>
      </c>
      <c r="T29" s="6">
        <f t="shared" si="8"/>
        <v>25.747692307692308</v>
      </c>
      <c r="U29" s="6">
        <f t="shared" si="8"/>
        <v>25.772307692307695</v>
      </c>
      <c r="V29" s="61">
        <f t="shared" si="10"/>
        <v>7.07610729541433E-3</v>
      </c>
      <c r="W29" s="61">
        <f t="shared" si="9"/>
        <v>1.5729858496952746E-2</v>
      </c>
      <c r="X29" s="61">
        <f t="shared" si="9"/>
        <v>2.4286051886819204E-2</v>
      </c>
      <c r="Y29" s="61">
        <f t="shared" si="9"/>
        <v>3.6108679534673949E-2</v>
      </c>
      <c r="Z29" s="53"/>
      <c r="AA29" s="169">
        <v>39.6</v>
      </c>
    </row>
    <row r="30" spans="1:28" s="33" customFormat="1" x14ac:dyDescent="0.2">
      <c r="A30" s="156" t="s">
        <v>62</v>
      </c>
      <c r="B30" s="160"/>
      <c r="C30" s="157" t="s">
        <v>74</v>
      </c>
      <c r="D30" s="103">
        <v>63</v>
      </c>
      <c r="E30" s="120">
        <v>53.887121630217521</v>
      </c>
      <c r="F30" s="120">
        <v>0.33201909553453662</v>
      </c>
      <c r="H30" s="155" t="s">
        <v>72</v>
      </c>
      <c r="I30" s="4"/>
      <c r="J30" s="90">
        <f t="shared" ref="J30:M30" si="11">J11</f>
        <v>38.6</v>
      </c>
      <c r="K30" s="90">
        <f t="shared" si="11"/>
        <v>39.1</v>
      </c>
      <c r="L30" s="90">
        <f t="shared" si="11"/>
        <v>40.9</v>
      </c>
      <c r="M30" s="90">
        <f t="shared" si="11"/>
        <v>40.5</v>
      </c>
      <c r="N30" s="85">
        <f>E19</f>
        <v>10.74819175479437</v>
      </c>
      <c r="O30" s="85">
        <f>E20</f>
        <v>18.86374227706224</v>
      </c>
      <c r="P30" s="85">
        <f>E21</f>
        <v>31.759215262935768</v>
      </c>
      <c r="Q30" s="85">
        <f>E22</f>
        <v>45.247819924084439</v>
      </c>
      <c r="R30" s="6">
        <f t="shared" si="8"/>
        <v>25.567179487179487</v>
      </c>
      <c r="S30" s="6">
        <f t="shared" si="8"/>
        <v>25.608205128205132</v>
      </c>
      <c r="T30" s="6">
        <f t="shared" si="8"/>
        <v>25.755897435897435</v>
      </c>
      <c r="U30" s="6">
        <f t="shared" si="8"/>
        <v>25.723076923076924</v>
      </c>
      <c r="V30" s="61">
        <f t="shared" si="10"/>
        <v>6.7443200142053884E-3</v>
      </c>
      <c r="W30" s="61">
        <f t="shared" si="9"/>
        <v>1.1817736379250912E-2</v>
      </c>
      <c r="X30" s="61">
        <f t="shared" si="9"/>
        <v>1.9782385441290882E-2</v>
      </c>
      <c r="Y30" s="61">
        <f t="shared" si="9"/>
        <v>2.8220215536923228E-2</v>
      </c>
      <c r="Z30" s="53"/>
      <c r="AA30" s="169">
        <v>39.1</v>
      </c>
    </row>
    <row r="31" spans="1:28" s="33" customFormat="1" x14ac:dyDescent="0.2">
      <c r="A31" s="156" t="s">
        <v>62</v>
      </c>
      <c r="B31" s="160"/>
      <c r="C31" s="157" t="s">
        <v>75</v>
      </c>
      <c r="D31" s="103">
        <v>0</v>
      </c>
      <c r="E31" s="120">
        <v>9.4229886057246901</v>
      </c>
      <c r="F31" s="120">
        <v>0.32870800144283968</v>
      </c>
      <c r="H31" s="155" t="s">
        <v>73</v>
      </c>
      <c r="I31" s="4"/>
      <c r="J31" s="90">
        <f t="shared" ref="J31:M31" si="12">J12</f>
        <v>35.200000000000003</v>
      </c>
      <c r="K31" s="90">
        <f t="shared" si="12"/>
        <v>37</v>
      </c>
      <c r="L31" s="90">
        <f t="shared" si="12"/>
        <v>39.6</v>
      </c>
      <c r="M31" s="90">
        <f t="shared" si="12"/>
        <v>39.1</v>
      </c>
      <c r="N31" s="85">
        <f>E23</f>
        <v>9.6527667795952254</v>
      </c>
      <c r="O31" s="85">
        <f>E24</f>
        <v>32.372374296556053</v>
      </c>
      <c r="P31" s="85">
        <f>E25</f>
        <v>56.256072017327909</v>
      </c>
      <c r="Q31" s="85">
        <f>E26</f>
        <v>78.92543232272638</v>
      </c>
      <c r="R31" s="6">
        <f t="shared" si="8"/>
        <v>25.288205128205128</v>
      </c>
      <c r="S31" s="6">
        <f t="shared" si="8"/>
        <v>25.435897435897434</v>
      </c>
      <c r="T31" s="6">
        <f t="shared" si="8"/>
        <v>25.649230769230773</v>
      </c>
      <c r="U31" s="6">
        <f t="shared" si="8"/>
        <v>25.608205128205132</v>
      </c>
      <c r="V31" s="61">
        <f t="shared" si="10"/>
        <v>6.1237773365071411E-3</v>
      </c>
      <c r="W31" s="61">
        <f t="shared" si="9"/>
        <v>2.0417993984623291E-2</v>
      </c>
      <c r="X31" s="61">
        <f t="shared" si="9"/>
        <v>3.5186870573002314E-2</v>
      </c>
      <c r="Y31" s="61">
        <f t="shared" si="9"/>
        <v>4.9445117469747751E-2</v>
      </c>
      <c r="Z31" s="53"/>
      <c r="AA31" s="169">
        <v>34.6</v>
      </c>
    </row>
    <row r="32" spans="1:28" s="33" customFormat="1" x14ac:dyDescent="0.2">
      <c r="A32" s="156" t="s">
        <v>62</v>
      </c>
      <c r="B32" s="160"/>
      <c r="C32" s="157" t="s">
        <v>75</v>
      </c>
      <c r="D32" s="103">
        <v>21</v>
      </c>
      <c r="E32" s="120">
        <v>17.613105274688291</v>
      </c>
      <c r="F32" s="120">
        <v>0.32717530417777863</v>
      </c>
      <c r="H32" s="155" t="s">
        <v>74</v>
      </c>
      <c r="I32" s="4"/>
      <c r="J32" s="90">
        <f t="shared" ref="J32:L32" si="13">J13</f>
        <v>34.6</v>
      </c>
      <c r="K32" s="90">
        <f t="shared" si="13"/>
        <v>38.799999999999997</v>
      </c>
      <c r="L32" s="90">
        <f t="shared" si="13"/>
        <v>39.6</v>
      </c>
      <c r="M32" s="90">
        <f>M13</f>
        <v>40.299999999999997</v>
      </c>
      <c r="N32" s="85">
        <f>E27</f>
        <v>7.607115177199181</v>
      </c>
      <c r="O32" s="85">
        <f>E28</f>
        <v>22.549670291064839</v>
      </c>
      <c r="P32" s="85">
        <f>E29</f>
        <v>35.232889041619821</v>
      </c>
      <c r="Q32" s="85">
        <f>E30</f>
        <v>53.887121630217521</v>
      </c>
      <c r="R32" s="6">
        <f t="shared" si="8"/>
        <v>25.23897435897436</v>
      </c>
      <c r="S32" s="6">
        <f t="shared" si="8"/>
        <v>25.583589743589744</v>
      </c>
      <c r="T32" s="6">
        <f t="shared" si="8"/>
        <v>25.649230769230773</v>
      </c>
      <c r="U32" s="6">
        <f t="shared" si="8"/>
        <v>25.706666666666667</v>
      </c>
      <c r="V32" s="61">
        <f t="shared" si="10"/>
        <v>4.8354163307912593E-3</v>
      </c>
      <c r="W32" s="61">
        <f t="shared" si="9"/>
        <v>1.4140484744530323E-2</v>
      </c>
      <c r="X32" s="61">
        <f t="shared" si="9"/>
        <v>2.203735636285745E-2</v>
      </c>
      <c r="Y32" s="61">
        <f t="shared" si="9"/>
        <v>3.3629840209293813E-2</v>
      </c>
      <c r="Z32" s="53"/>
      <c r="AA32" s="169">
        <v>38.799999999999997</v>
      </c>
    </row>
    <row r="33" spans="1:27" s="33" customFormat="1" x14ac:dyDescent="0.2">
      <c r="A33" s="156" t="s">
        <v>62</v>
      </c>
      <c r="B33" s="160"/>
      <c r="C33" s="157" t="s">
        <v>75</v>
      </c>
      <c r="D33" s="103">
        <v>42</v>
      </c>
      <c r="E33" s="120">
        <v>29.690317619603409</v>
      </c>
      <c r="F33" s="120">
        <v>0.32551390714236889</v>
      </c>
      <c r="H33" s="155" t="s">
        <v>75</v>
      </c>
      <c r="I33" s="4"/>
      <c r="J33" s="90">
        <f t="shared" ref="J33:M33" si="14">J14</f>
        <v>35.299999999999997</v>
      </c>
      <c r="K33" s="90">
        <f t="shared" si="14"/>
        <v>37.6</v>
      </c>
      <c r="L33" s="90">
        <f t="shared" si="14"/>
        <v>39.200000000000003</v>
      </c>
      <c r="M33" s="90">
        <f t="shared" si="14"/>
        <v>39.200000000000003</v>
      </c>
      <c r="N33" s="85">
        <f>E31</f>
        <v>9.4229886057246901</v>
      </c>
      <c r="O33" s="85">
        <f>E32</f>
        <v>17.613105274688291</v>
      </c>
      <c r="P33" s="85">
        <f>E33</f>
        <v>29.690317619603409</v>
      </c>
      <c r="Q33" s="85">
        <f>E34</f>
        <v>42.968098571029607</v>
      </c>
      <c r="R33" s="6">
        <f t="shared" si="8"/>
        <v>25.296410256410258</v>
      </c>
      <c r="S33" s="6">
        <f t="shared" si="8"/>
        <v>25.485128205128206</v>
      </c>
      <c r="T33" s="6">
        <f t="shared" si="8"/>
        <v>25.616410256410255</v>
      </c>
      <c r="U33" s="6">
        <f t="shared" si="8"/>
        <v>25.616410256410255</v>
      </c>
      <c r="V33" s="61">
        <f t="shared" si="10"/>
        <v>5.976065563031146E-3</v>
      </c>
      <c r="W33" s="61">
        <f t="shared" si="9"/>
        <v>1.1087527033313694E-2</v>
      </c>
      <c r="X33" s="61">
        <f t="shared" si="9"/>
        <v>1.8594399480782155E-2</v>
      </c>
      <c r="Y33" s="61">
        <f t="shared" si="9"/>
        <v>2.6909984594837143E-2</v>
      </c>
      <c r="Z33" s="53"/>
      <c r="AA33" s="170">
        <v>39.6</v>
      </c>
    </row>
    <row r="34" spans="1:27" s="33" customFormat="1" ht="13.5" thickBot="1" x14ac:dyDescent="0.25">
      <c r="A34" s="156" t="s">
        <v>62</v>
      </c>
      <c r="B34" s="161"/>
      <c r="C34" s="157" t="s">
        <v>75</v>
      </c>
      <c r="D34" s="103">
        <v>63</v>
      </c>
      <c r="E34" s="120">
        <v>42.968098571029607</v>
      </c>
      <c r="F34" s="120">
        <v>0.33125859689156739</v>
      </c>
      <c r="H34" s="155" t="s">
        <v>76</v>
      </c>
      <c r="I34" s="4"/>
      <c r="J34" s="90">
        <f t="shared" ref="J34:M34" si="15">J15</f>
        <v>37.1</v>
      </c>
      <c r="K34" s="90">
        <f t="shared" si="15"/>
        <v>38.799999999999997</v>
      </c>
      <c r="L34" s="90">
        <f t="shared" si="15"/>
        <v>39.6</v>
      </c>
      <c r="M34" s="90">
        <f t="shared" si="15"/>
        <v>40</v>
      </c>
      <c r="N34" s="85">
        <f>E35</f>
        <v>14.349897574327681</v>
      </c>
      <c r="O34" s="85">
        <f>E36</f>
        <v>31.629752696490421</v>
      </c>
      <c r="P34" s="85">
        <f>E37</f>
        <v>50.578137110782308</v>
      </c>
      <c r="Q34" s="85">
        <f>E38</f>
        <v>67.373222871573049</v>
      </c>
      <c r="R34" s="6">
        <f t="shared" si="8"/>
        <v>25.444102564102565</v>
      </c>
      <c r="S34" s="6">
        <f t="shared" si="8"/>
        <v>25.583589743589744</v>
      </c>
      <c r="T34" s="6">
        <f t="shared" si="8"/>
        <v>25.649230769230773</v>
      </c>
      <c r="U34" s="6">
        <f t="shared" si="8"/>
        <v>25.682051282051283</v>
      </c>
      <c r="V34" s="61">
        <f t="shared" si="10"/>
        <v>9.0478886494403232E-3</v>
      </c>
      <c r="W34" s="61">
        <f t="shared" si="9"/>
        <v>1.9834437918820197E-2</v>
      </c>
      <c r="X34" s="61">
        <f t="shared" si="9"/>
        <v>3.1635453747863626E-2</v>
      </c>
      <c r="Y34" s="61">
        <f t="shared" si="9"/>
        <v>4.2086537506606646E-2</v>
      </c>
      <c r="Z34" s="53"/>
      <c r="AA34" s="170">
        <v>40.299999999999997</v>
      </c>
    </row>
    <row r="35" spans="1:27" s="33" customFormat="1" ht="13.5" thickBot="1" x14ac:dyDescent="0.25">
      <c r="A35" s="119" t="s">
        <v>62</v>
      </c>
      <c r="B35" s="158"/>
      <c r="C35" s="123" t="s">
        <v>76</v>
      </c>
      <c r="D35" s="103">
        <v>0</v>
      </c>
      <c r="E35" s="120">
        <v>14.349897574327681</v>
      </c>
      <c r="F35" s="120">
        <v>0.33062679801894668</v>
      </c>
      <c r="H35" s="162" t="s">
        <v>77</v>
      </c>
      <c r="I35" s="4"/>
      <c r="J35" s="90">
        <f t="shared" ref="J35:M35" si="16">J16</f>
        <v>39.200000000000003</v>
      </c>
      <c r="K35" s="90">
        <f t="shared" si="16"/>
        <v>40.299999999999997</v>
      </c>
      <c r="L35" s="90">
        <f t="shared" si="16"/>
        <v>40.6</v>
      </c>
      <c r="M35" s="90">
        <f t="shared" si="16"/>
        <v>42.3</v>
      </c>
      <c r="N35" s="85">
        <f>E39</f>
        <v>16.17864573321792</v>
      </c>
      <c r="O35" s="85">
        <f>E40</f>
        <v>37.135130453008728</v>
      </c>
      <c r="P35" s="85">
        <f>E41</f>
        <v>63.063049250580548</v>
      </c>
      <c r="Q35" s="85">
        <f>E42</f>
        <v>80.20950786090873</v>
      </c>
      <c r="R35" s="6">
        <f t="shared" si="8"/>
        <v>25.616410256410255</v>
      </c>
      <c r="S35" s="6">
        <f t="shared" si="8"/>
        <v>25.706666666666667</v>
      </c>
      <c r="T35" s="6">
        <f t="shared" si="8"/>
        <v>25.731282051282054</v>
      </c>
      <c r="U35" s="6">
        <f t="shared" si="8"/>
        <v>25.870769230769231</v>
      </c>
      <c r="V35" s="61">
        <f t="shared" si="10"/>
        <v>1.0132333566646572E-2</v>
      </c>
      <c r="W35" s="61">
        <f t="shared" si="9"/>
        <v>2.3175268329523564E-2</v>
      </c>
      <c r="X35" s="61">
        <f t="shared" si="9"/>
        <v>3.9318697650226685E-2</v>
      </c>
      <c r="Y35" s="61">
        <f t="shared" si="9"/>
        <v>4.9739577634286589E-2</v>
      </c>
      <c r="Z35" s="53"/>
      <c r="AA35" s="170">
        <v>35.299999999999997</v>
      </c>
    </row>
    <row r="36" spans="1:27" s="33" customFormat="1" x14ac:dyDescent="0.2">
      <c r="A36" s="119" t="s">
        <v>62</v>
      </c>
      <c r="B36" s="106"/>
      <c r="C36" s="123" t="s">
        <v>76</v>
      </c>
      <c r="D36" s="103">
        <v>21</v>
      </c>
      <c r="E36" s="120">
        <v>31.629752696490421</v>
      </c>
      <c r="F36" s="120">
        <v>0.32797090275811558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170">
        <v>37.6</v>
      </c>
    </row>
    <row r="37" spans="1:27" s="33" customFormat="1" x14ac:dyDescent="0.2">
      <c r="A37" s="119" t="s">
        <v>62</v>
      </c>
      <c r="B37" s="106"/>
      <c r="C37" s="123" t="s">
        <v>76</v>
      </c>
      <c r="D37" s="103">
        <v>42</v>
      </c>
      <c r="E37" s="120">
        <v>50.578137110782308</v>
      </c>
      <c r="F37" s="120">
        <v>0.32680090484585528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170">
        <v>39.200000000000003</v>
      </c>
    </row>
    <row r="38" spans="1:27" s="33" customFormat="1" x14ac:dyDescent="0.2">
      <c r="A38" s="119" t="s">
        <v>62</v>
      </c>
      <c r="B38" s="106"/>
      <c r="C38" s="123" t="s">
        <v>76</v>
      </c>
      <c r="D38" s="103">
        <v>63</v>
      </c>
      <c r="E38" s="120">
        <v>67.373222871573049</v>
      </c>
      <c r="F38" s="120">
        <v>0.33759998557601861</v>
      </c>
      <c r="Z38" s="53"/>
      <c r="AA38" s="170">
        <v>39.200000000000003</v>
      </c>
    </row>
    <row r="39" spans="1:27" s="33" customFormat="1" x14ac:dyDescent="0.2">
      <c r="A39" s="119" t="s">
        <v>62</v>
      </c>
      <c r="B39" s="106"/>
      <c r="C39" s="123" t="s">
        <v>77</v>
      </c>
      <c r="D39" s="103">
        <v>0</v>
      </c>
      <c r="E39" s="120">
        <v>16.17864573321792</v>
      </c>
      <c r="F39" s="120">
        <v>0.34082917981385741</v>
      </c>
      <c r="Z39" s="53"/>
      <c r="AA39" s="170">
        <v>37.1</v>
      </c>
    </row>
    <row r="40" spans="1:27" s="33" customFormat="1" x14ac:dyDescent="0.2">
      <c r="A40" s="119" t="s">
        <v>62</v>
      </c>
      <c r="B40" s="106"/>
      <c r="C40" s="123" t="s">
        <v>77</v>
      </c>
      <c r="D40" s="103">
        <v>21</v>
      </c>
      <c r="E40" s="120">
        <v>37.135130453008728</v>
      </c>
      <c r="F40" s="120">
        <v>0.34222147732944719</v>
      </c>
      <c r="Z40" s="53"/>
      <c r="AA40" s="170">
        <v>38.799999999999997</v>
      </c>
    </row>
    <row r="41" spans="1:27" s="33" customFormat="1" x14ac:dyDescent="0.2">
      <c r="A41" s="119" t="s">
        <v>62</v>
      </c>
      <c r="B41" s="106"/>
      <c r="C41" s="123" t="s">
        <v>77</v>
      </c>
      <c r="D41" s="103">
        <v>42</v>
      </c>
      <c r="E41" s="120">
        <v>63.063049250580548</v>
      </c>
      <c r="F41" s="120">
        <v>0.34047818044017919</v>
      </c>
      <c r="Z41" s="53"/>
      <c r="AA41" s="170">
        <v>39.6</v>
      </c>
    </row>
    <row r="42" spans="1:27" s="33" customFormat="1" x14ac:dyDescent="0.2">
      <c r="A42" s="119" t="s">
        <v>62</v>
      </c>
      <c r="B42" s="106"/>
      <c r="C42" s="123" t="s">
        <v>77</v>
      </c>
      <c r="D42" s="103">
        <v>63</v>
      </c>
      <c r="E42" s="120">
        <v>80.20950786090873</v>
      </c>
      <c r="F42" s="120">
        <v>0.33969428183896472</v>
      </c>
      <c r="Z42" s="53"/>
      <c r="AA42" s="170">
        <v>40</v>
      </c>
    </row>
    <row r="43" spans="1:27" s="33" customFormat="1" x14ac:dyDescent="0.2">
      <c r="A43" s="119" t="s">
        <v>62</v>
      </c>
      <c r="B43" s="121"/>
      <c r="C43" s="123" t="s">
        <v>66</v>
      </c>
      <c r="D43" s="103">
        <v>0</v>
      </c>
      <c r="E43" s="122"/>
      <c r="F43" s="122"/>
      <c r="Z43" s="53"/>
      <c r="AA43" s="170">
        <v>39.200000000000003</v>
      </c>
    </row>
    <row r="44" spans="1:27" s="33" customFormat="1" x14ac:dyDescent="0.2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170">
        <v>40.299999999999997</v>
      </c>
    </row>
    <row r="45" spans="1:27" s="33" customFormat="1" x14ac:dyDescent="0.2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170">
        <v>40.6</v>
      </c>
    </row>
    <row r="46" spans="1:27" s="33" customFormat="1" x14ac:dyDescent="0.2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170">
        <v>42.3</v>
      </c>
    </row>
    <row r="47" spans="1:27" s="33" customFormat="1" x14ac:dyDescent="0.2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7" s="33" customFormat="1" x14ac:dyDescent="0.2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">
      <c r="B51" s="107"/>
      <c r="Z51" s="53"/>
      <c r="AA51" s="53"/>
    </row>
    <row r="52" spans="1:27" s="33" customFormat="1" x14ac:dyDescent="0.2">
      <c r="B52" s="107"/>
      <c r="Z52" s="53"/>
      <c r="AA52" s="53"/>
    </row>
    <row r="53" spans="1:27" s="33" customFormat="1" x14ac:dyDescent="0.2">
      <c r="B53" s="107"/>
      <c r="Z53" s="53"/>
      <c r="AA53" s="53"/>
    </row>
    <row r="54" spans="1:27" s="33" customFormat="1" x14ac:dyDescent="0.2">
      <c r="B54" s="107"/>
      <c r="Z54" s="53"/>
      <c r="AA54" s="53"/>
    </row>
    <row r="55" spans="1:27" s="33" customFormat="1" x14ac:dyDescent="0.2">
      <c r="B55" s="107"/>
      <c r="Z55" s="53"/>
      <c r="AA55" s="53"/>
    </row>
    <row r="56" spans="1:27" s="33" customFormat="1" x14ac:dyDescent="0.2">
      <c r="B56" s="107"/>
      <c r="Z56" s="53"/>
      <c r="AA56" s="53"/>
    </row>
    <row r="57" spans="1:27" s="33" customFormat="1" x14ac:dyDescent="0.2">
      <c r="B57" s="107"/>
      <c r="Z57" s="53"/>
      <c r="AA57" s="53"/>
    </row>
    <row r="58" spans="1:27" s="33" customFormat="1" x14ac:dyDescent="0.2">
      <c r="B58" s="107"/>
      <c r="Z58" s="53"/>
      <c r="AA58" s="53"/>
    </row>
    <row r="59" spans="1:27" s="33" customFormat="1" x14ac:dyDescent="0.2">
      <c r="B59" s="107"/>
      <c r="Z59" s="53"/>
      <c r="AA59" s="53"/>
    </row>
    <row r="60" spans="1:27" s="33" customFormat="1" x14ac:dyDescent="0.2">
      <c r="B60" s="107"/>
      <c r="Z60" s="53"/>
      <c r="AA60" s="53"/>
    </row>
    <row r="61" spans="1:27" s="33" customFormat="1" x14ac:dyDescent="0.2">
      <c r="B61" s="107"/>
      <c r="Z61" s="53"/>
      <c r="AA61" s="53"/>
    </row>
    <row r="62" spans="1:27" s="33" customFormat="1" x14ac:dyDescent="0.2">
      <c r="B62" s="107"/>
      <c r="Z62" s="53"/>
      <c r="AA62" s="53"/>
    </row>
    <row r="63" spans="1:27" s="33" customFormat="1" x14ac:dyDescent="0.2">
      <c r="B63" s="107"/>
      <c r="Z63" s="53"/>
      <c r="AA63" s="53"/>
    </row>
    <row r="64" spans="1:27" s="33" customFormat="1" x14ac:dyDescent="0.2">
      <c r="B64" s="107"/>
      <c r="Z64" s="53"/>
      <c r="AA64" s="53"/>
    </row>
    <row r="65" spans="2:27" s="33" customFormat="1" x14ac:dyDescent="0.2">
      <c r="B65" s="107"/>
      <c r="Z65" s="53"/>
      <c r="AA65" s="53"/>
    </row>
    <row r="66" spans="2:27" s="33" customFormat="1" x14ac:dyDescent="0.2">
      <c r="B66" s="107"/>
      <c r="Z66" s="53"/>
      <c r="AA66" s="53"/>
    </row>
    <row r="67" spans="2:27" s="33" customFormat="1" x14ac:dyDescent="0.2">
      <c r="B67" s="107"/>
      <c r="Z67" s="53"/>
      <c r="AA67" s="53"/>
    </row>
    <row r="68" spans="2:27" s="33" customFormat="1" x14ac:dyDescent="0.2">
      <c r="B68" s="107"/>
      <c r="Z68" s="53"/>
      <c r="AA68" s="53"/>
    </row>
    <row r="69" spans="2:27" s="33" customFormat="1" x14ac:dyDescent="0.2">
      <c r="B69" s="107"/>
      <c r="Z69" s="53"/>
      <c r="AA69" s="53"/>
    </row>
    <row r="70" spans="2:27" s="33" customFormat="1" x14ac:dyDescent="0.2">
      <c r="B70" s="107"/>
      <c r="Z70" s="53"/>
      <c r="AA70" s="53"/>
    </row>
    <row r="71" spans="2:27" s="33" customFormat="1" x14ac:dyDescent="0.2">
      <c r="B71" s="107"/>
      <c r="Z71" s="53"/>
      <c r="AA71" s="53"/>
    </row>
    <row r="72" spans="2:27" s="33" customFormat="1" x14ac:dyDescent="0.2">
      <c r="B72" s="107"/>
      <c r="Z72" s="53"/>
      <c r="AA72" s="53"/>
    </row>
    <row r="73" spans="2:27" s="33" customFormat="1" x14ac:dyDescent="0.2">
      <c r="B73" s="107"/>
      <c r="Z73" s="53"/>
      <c r="AA73" s="53"/>
    </row>
    <row r="74" spans="2:27" s="33" customFormat="1" x14ac:dyDescent="0.2">
      <c r="B74" s="107"/>
      <c r="Z74" s="53"/>
      <c r="AA74" s="53"/>
    </row>
    <row r="75" spans="2:27" s="33" customFormat="1" x14ac:dyDescent="0.2">
      <c r="B75" s="107"/>
      <c r="Z75" s="53"/>
      <c r="AA75" s="53"/>
    </row>
    <row r="76" spans="2:27" s="33" customFormat="1" x14ac:dyDescent="0.2">
      <c r="B76" s="107"/>
      <c r="Z76" s="53"/>
      <c r="AA76" s="53"/>
    </row>
    <row r="77" spans="2:27" s="33" customFormat="1" x14ac:dyDescent="0.2">
      <c r="B77" s="107"/>
      <c r="Z77" s="53"/>
      <c r="AA77" s="53"/>
    </row>
    <row r="78" spans="2:27" s="33" customFormat="1" x14ac:dyDescent="0.2">
      <c r="B78" s="107"/>
      <c r="Z78" s="53"/>
      <c r="AA78" s="53"/>
    </row>
    <row r="79" spans="2:27" s="33" customFormat="1" x14ac:dyDescent="0.2">
      <c r="B79" s="107"/>
      <c r="Z79" s="53"/>
      <c r="AA79" s="53"/>
    </row>
    <row r="80" spans="2:27" s="33" customFormat="1" x14ac:dyDescent="0.2">
      <c r="B80" s="107"/>
      <c r="Z80" s="53"/>
      <c r="AA80" s="53"/>
    </row>
    <row r="81" spans="2:27" s="33" customFormat="1" x14ac:dyDescent="0.2">
      <c r="B81" s="107"/>
      <c r="Z81" s="53"/>
      <c r="AA81" s="53"/>
    </row>
    <row r="82" spans="2:27" s="33" customFormat="1" x14ac:dyDescent="0.2">
      <c r="B82" s="107"/>
      <c r="Z82" s="53"/>
      <c r="AA82" s="53"/>
    </row>
    <row r="83" spans="2:27" s="33" customFormat="1" x14ac:dyDescent="0.2">
      <c r="B83" s="107"/>
      <c r="Z83" s="53"/>
      <c r="AA83" s="53"/>
    </row>
    <row r="84" spans="2:27" s="33" customFormat="1" x14ac:dyDescent="0.2">
      <c r="B84" s="107"/>
      <c r="Z84" s="53"/>
      <c r="AA84" s="53"/>
    </row>
    <row r="85" spans="2:27" s="33" customFormat="1" x14ac:dyDescent="0.2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zoomScale="115" zoomScaleNormal="115" zoomScalePageLayoutView="150" workbookViewId="0">
      <selection activeCell="C11" sqref="C11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202" t="s">
        <v>20</v>
      </c>
      <c r="D1" s="202"/>
      <c r="E1" s="202"/>
      <c r="F1" s="202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5" t="s">
        <v>16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5" s="1" customFormat="1" ht="14.25" customHeight="1" x14ac:dyDescent="0.2">
      <c r="A4" s="29"/>
      <c r="B4" s="29"/>
      <c r="C4" s="201" t="s">
        <v>34</v>
      </c>
      <c r="D4" s="201"/>
      <c r="E4" s="201"/>
      <c r="F4" s="201"/>
      <c r="G4" s="204" t="s">
        <v>36</v>
      </c>
      <c r="H4" s="72" t="s">
        <v>35</v>
      </c>
      <c r="I4" s="203" t="s">
        <v>44</v>
      </c>
      <c r="J4" s="203" t="s">
        <v>21</v>
      </c>
      <c r="K4" s="206" t="s">
        <v>23</v>
      </c>
      <c r="L4" s="207" t="s">
        <v>31</v>
      </c>
      <c r="M4" s="29"/>
      <c r="N4" s="31"/>
      <c r="O4" s="31"/>
    </row>
    <row r="5" spans="1:15" ht="12.75" customHeight="1" x14ac:dyDescent="0.2">
      <c r="A5" s="188" t="s">
        <v>39</v>
      </c>
      <c r="B5" s="108"/>
      <c r="C5" s="201"/>
      <c r="D5" s="201"/>
      <c r="E5" s="201"/>
      <c r="F5" s="201"/>
      <c r="G5" s="204"/>
      <c r="H5" s="72"/>
      <c r="I5" s="203"/>
      <c r="J5" s="203"/>
      <c r="K5" s="206"/>
      <c r="L5" s="207"/>
      <c r="M5" s="205" t="s">
        <v>22</v>
      </c>
      <c r="N5" s="205"/>
      <c r="O5" s="205"/>
    </row>
    <row r="6" spans="1:15" ht="16.5" customHeight="1" x14ac:dyDescent="0.2">
      <c r="A6" s="188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206"/>
      <c r="L6" s="207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54" t="s">
        <v>68</v>
      </c>
      <c r="B8" s="100"/>
      <c r="C8" s="68">
        <f>'GC rawdata'!V7</f>
        <v>5.4009857441659841E-4</v>
      </c>
      <c r="D8" s="68">
        <f>'GC rawdata'!W7</f>
        <v>5.5651984122260113E-4</v>
      </c>
      <c r="E8" s="68">
        <f>'GC rawdata'!X7</f>
        <v>5.5704240335516047E-4</v>
      </c>
      <c r="F8" s="68">
        <f>'GC rawdata'!Y7</f>
        <v>5.5810963715642418E-4</v>
      </c>
      <c r="G8" s="84" t="str">
        <f>+IF((ABS(F8-C8))&gt;0.000183,"PASS","FAIL")</f>
        <v>FAIL</v>
      </c>
      <c r="H8" s="26">
        <f>+RSQ(C8:F8,$C$2:$F$2)</f>
        <v>0.67254911311510568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54.624740722727132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55" t="s">
        <v>69</v>
      </c>
      <c r="B9" s="100"/>
      <c r="C9" s="68">
        <f>'GC rawdata'!V8</f>
        <v>5.5276534017915057E-4</v>
      </c>
      <c r="D9" s="68">
        <f>'GC rawdata'!W8</f>
        <v>5.649051976566457E-4</v>
      </c>
      <c r="E9" s="68">
        <f>'GC rawdata'!X8</f>
        <v>5.6292059487418643E-4</v>
      </c>
      <c r="F9" s="68">
        <f>'GC rawdata'!Y8</f>
        <v>5.5644620894327798E-4</v>
      </c>
      <c r="G9" s="84" t="str">
        <f t="shared" ref="G9:G19" si="0">+IF((ABS(F9-C9))&gt;0.000183,"PASS","FAIL")</f>
        <v>FAIL</v>
      </c>
      <c r="H9" s="26">
        <f t="shared" ref="H9:H19" si="1">+RSQ(C9:F9,$C$2:$F$2)</f>
        <v>4.3017021050453352E-2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54.317168984423489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55" t="s">
        <v>70</v>
      </c>
      <c r="B10" s="100"/>
      <c r="C10" s="68">
        <f>'GC rawdata'!V9</f>
        <v>5.4936704013415223E-4</v>
      </c>
      <c r="D10" s="68">
        <f>'GC rawdata'!W9</f>
        <v>5.5767680382201525E-4</v>
      </c>
      <c r="E10" s="68">
        <f>'GC rawdata'!X9</f>
        <v>5.5922511682172135E-4</v>
      </c>
      <c r="F10" s="68">
        <f>'GC rawdata'!Y9</f>
        <v>5.622190175699058E-4</v>
      </c>
      <c r="G10" s="84" t="str">
        <f t="shared" si="0"/>
        <v>FAIL</v>
      </c>
      <c r="H10" s="26">
        <f t="shared" si="1"/>
        <v>0.88516912080900534</v>
      </c>
      <c r="I10" s="84" t="str">
        <f t="shared" si="2"/>
        <v>LIN</v>
      </c>
      <c r="J10" s="84" t="str">
        <f t="shared" si="3"/>
        <v>0</v>
      </c>
      <c r="K10" s="27">
        <f>'Field data'!K12</f>
        <v>53.411541088307203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55" t="s">
        <v>71</v>
      </c>
      <c r="B11" s="100"/>
      <c r="C11" s="68">
        <f>'GC rawdata'!V10</f>
        <v>5.7803761901470841E-4</v>
      </c>
      <c r="D11" s="68">
        <f>'GC rawdata'!W10</f>
        <v>5.6841294291341002E-4</v>
      </c>
      <c r="E11" s="68">
        <f>'GC rawdata'!X10</f>
        <v>5.6508493653443278E-4</v>
      </c>
      <c r="F11" s="68">
        <f>'GC rawdata'!Y10</f>
        <v>5.6496482456824923E-4</v>
      </c>
      <c r="G11" s="84" t="str">
        <f t="shared" si="0"/>
        <v>FAIL</v>
      </c>
      <c r="H11" s="26">
        <f t="shared" si="1"/>
        <v>0.79694449735653838</v>
      </c>
      <c r="I11" s="84" t="str">
        <f t="shared" si="2"/>
        <v>MISS</v>
      </c>
      <c r="J11" s="86" t="str">
        <f t="shared" si="3"/>
        <v>0</v>
      </c>
      <c r="K11" s="27">
        <f>'Field data'!K13</f>
        <v>53.633676232637612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55" t="s">
        <v>72</v>
      </c>
      <c r="B12" s="100"/>
      <c r="C12" s="68">
        <f>'GC rawdata'!V11</f>
        <v>5.7856129957616314E-4</v>
      </c>
      <c r="D12" s="68">
        <f>'GC rawdata'!W11</f>
        <v>5.6699659948069789E-4</v>
      </c>
      <c r="E12" s="68">
        <f>'GC rawdata'!X11</f>
        <v>5.621057587404404E-4</v>
      </c>
      <c r="F12" s="68">
        <f>'GC rawdata'!Y11</f>
        <v>5.7307293794801417E-4</v>
      </c>
      <c r="G12" s="84" t="str">
        <f t="shared" si="0"/>
        <v>FAIL</v>
      </c>
      <c r="H12" s="26">
        <f t="shared" si="1"/>
        <v>0.14813167907138541</v>
      </c>
      <c r="I12" s="84" t="str">
        <f t="shared" si="2"/>
        <v>MISS</v>
      </c>
      <c r="J12" s="86" t="str">
        <f t="shared" si="3"/>
        <v>0</v>
      </c>
      <c r="K12" s="27">
        <f>'Field data'!K14</f>
        <v>52.81348493049456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55" t="s">
        <v>73</v>
      </c>
      <c r="B13" s="100"/>
      <c r="C13" s="68">
        <f>'GC rawdata'!V12</f>
        <v>5.639488365379035E-4</v>
      </c>
      <c r="D13" s="68">
        <f>'GC rawdata'!W12</f>
        <v>5.5154356696717106E-4</v>
      </c>
      <c r="E13" s="68">
        <f>'GC rawdata'!X12</f>
        <v>5.7865797705993448E-4</v>
      </c>
      <c r="F13" s="68">
        <f>'GC rawdata'!Y12</f>
        <v>5.5446851040453788E-4</v>
      </c>
      <c r="G13" s="84" t="str">
        <f t="shared" si="0"/>
        <v>FAIL</v>
      </c>
      <c r="H13" s="26">
        <f t="shared" si="1"/>
        <v>1.9673343594427408E-4</v>
      </c>
      <c r="I13" s="84" t="str">
        <f t="shared" si="2"/>
        <v>MISS</v>
      </c>
      <c r="J13" s="86" t="str">
        <f t="shared" si="3"/>
        <v>0</v>
      </c>
      <c r="K13" s="27">
        <f>'Field data'!K15</f>
        <v>53.753287464200142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55" t="s">
        <v>74</v>
      </c>
      <c r="B14" s="153"/>
      <c r="C14" s="68">
        <f>'GC rawdata'!V13</f>
        <v>5.942870520596001E-4</v>
      </c>
      <c r="D14" s="68">
        <f>'GC rawdata'!W13</f>
        <v>5.7982060893880898E-4</v>
      </c>
      <c r="E14" s="68">
        <f>'GC rawdata'!X13</f>
        <v>5.7456224301277975E-4</v>
      </c>
      <c r="F14" s="68">
        <f>'GC rawdata'!Y13</f>
        <v>5.6847076520450312E-4</v>
      </c>
      <c r="G14" s="84" t="str">
        <f t="shared" si="0"/>
        <v>FAIL</v>
      </c>
      <c r="H14" s="26">
        <f t="shared" si="1"/>
        <v>0.93807939987024769</v>
      </c>
      <c r="I14" s="84" t="str">
        <f t="shared" si="2"/>
        <v>LIN</v>
      </c>
      <c r="J14" s="86" t="str">
        <f t="shared" si="3"/>
        <v>0</v>
      </c>
      <c r="K14" s="26">
        <f>'Field data'!K16</f>
        <v>53.309017175539324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">
      <c r="A15" s="155" t="s">
        <v>75</v>
      </c>
      <c r="B15" s="153"/>
      <c r="C15" s="68">
        <f>'GC rawdata'!V14</f>
        <v>5.7192913258666538E-4</v>
      </c>
      <c r="D15" s="68">
        <f>'GC rawdata'!W14</f>
        <v>5.6504694511142666E-4</v>
      </c>
      <c r="E15" s="68">
        <f>'GC rawdata'!X14</f>
        <v>5.5929651990871713E-4</v>
      </c>
      <c r="F15" s="68">
        <f>'GC rawdata'!Y14</f>
        <v>5.6916701979883931E-4</v>
      </c>
      <c r="G15" s="84" t="str">
        <f t="shared" si="0"/>
        <v>FAIL</v>
      </c>
      <c r="H15" s="26">
        <f t="shared" si="1"/>
        <v>0.10884297248654065</v>
      </c>
      <c r="I15" s="84" t="str">
        <f t="shared" si="2"/>
        <v>MISS</v>
      </c>
      <c r="J15" s="86" t="str">
        <f t="shared" si="3"/>
        <v>0</v>
      </c>
      <c r="K15" s="26">
        <f>'Field data'!K17</f>
        <v>53.633676232637612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55" t="s">
        <v>76</v>
      </c>
      <c r="B16" s="153"/>
      <c r="C16" s="68">
        <f>'GC rawdata'!V15</f>
        <v>5.7192851865550502E-4</v>
      </c>
      <c r="D16" s="68">
        <f>'GC rawdata'!W15</f>
        <v>5.6424104117807109E-4</v>
      </c>
      <c r="E16" s="68">
        <f>'GC rawdata'!X15</f>
        <v>5.6078933342283807E-4</v>
      </c>
      <c r="F16" s="68">
        <f>'GC rawdata'!Y15</f>
        <v>5.7858017655807944E-4</v>
      </c>
      <c r="G16" s="84" t="str">
        <f t="shared" si="0"/>
        <v>FAIL</v>
      </c>
      <c r="H16" s="26">
        <f t="shared" si="1"/>
        <v>7.1535443221182243E-2</v>
      </c>
      <c r="I16" s="84" t="str">
        <f t="shared" si="2"/>
        <v>MISS</v>
      </c>
      <c r="J16" s="86" t="str">
        <f t="shared" si="3"/>
        <v>0</v>
      </c>
      <c r="K16" s="26">
        <f>'Field data'!K18</f>
        <v>53.958335289735906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15" s="138" customFormat="1" ht="13.5" thickBot="1" x14ac:dyDescent="0.25">
      <c r="A17" s="162" t="s">
        <v>77</v>
      </c>
      <c r="B17" s="153"/>
      <c r="C17" s="68">
        <f>'GC rawdata'!V16</f>
        <v>5.8561115199867644E-4</v>
      </c>
      <c r="D17" s="68">
        <f>'GC rawdata'!W16</f>
        <v>5.8593890442861592E-4</v>
      </c>
      <c r="E17" s="68">
        <f>'GC rawdata'!X16</f>
        <v>5.8239642331181019E-4</v>
      </c>
      <c r="F17" s="68">
        <f>'GC rawdata'!Y16</f>
        <v>5.779226735584637E-4</v>
      </c>
      <c r="G17" s="84" t="str">
        <f t="shared" si="0"/>
        <v>FAIL</v>
      </c>
      <c r="H17" s="26">
        <f t="shared" si="1"/>
        <v>0.85105061423997053</v>
      </c>
      <c r="I17" s="84" t="str">
        <f t="shared" si="2"/>
        <v>LIN</v>
      </c>
      <c r="J17" s="86" t="str">
        <f t="shared" si="3"/>
        <v>0</v>
      </c>
      <c r="K17" s="26">
        <f>'Field data'!K19</f>
        <v>51.20727696379776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</row>
    <row r="18" spans="1:15" s="138" customFormat="1" x14ac:dyDescent="0.2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15" s="138" customFormat="1" x14ac:dyDescent="0.2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193" t="s">
        <v>15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</row>
    <row r="24" spans="1:15" x14ac:dyDescent="0.2">
      <c r="A24" s="46"/>
      <c r="B24" s="46"/>
      <c r="C24" s="194" t="s">
        <v>45</v>
      </c>
      <c r="D24" s="194"/>
      <c r="E24" s="194"/>
      <c r="F24" s="194"/>
      <c r="G24" s="195" t="s">
        <v>36</v>
      </c>
      <c r="H24" s="48" t="s">
        <v>35</v>
      </c>
      <c r="I24" s="196" t="s">
        <v>44</v>
      </c>
      <c r="J24" s="196" t="s">
        <v>21</v>
      </c>
      <c r="K24" s="197" t="s">
        <v>23</v>
      </c>
      <c r="L24" s="198" t="s">
        <v>31</v>
      </c>
      <c r="M24" s="46"/>
      <c r="N24" s="47"/>
      <c r="O24" s="47"/>
    </row>
    <row r="25" spans="1:15" x14ac:dyDescent="0.2">
      <c r="A25" s="199" t="s">
        <v>39</v>
      </c>
      <c r="B25" s="109"/>
      <c r="C25" s="194"/>
      <c r="D25" s="194"/>
      <c r="E25" s="194"/>
      <c r="F25" s="194"/>
      <c r="G25" s="195"/>
      <c r="H25" s="48"/>
      <c r="I25" s="196"/>
      <c r="J25" s="196"/>
      <c r="K25" s="197"/>
      <c r="L25" s="198"/>
      <c r="M25" s="200" t="s">
        <v>46</v>
      </c>
      <c r="N25" s="200"/>
      <c r="O25" s="200"/>
    </row>
    <row r="26" spans="1:15" ht="22.5" x14ac:dyDescent="0.2">
      <c r="A26" s="199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97"/>
      <c r="L26" s="198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54" t="s">
        <v>68</v>
      </c>
      <c r="B28" s="100"/>
      <c r="C28" s="68">
        <f>'GC rawdata'!V26</f>
        <v>3.9344060283155397E-3</v>
      </c>
      <c r="D28" s="68">
        <f>'GC rawdata'!W26</f>
        <v>1.3060908733425617E-2</v>
      </c>
      <c r="E28" s="68">
        <f>'GC rawdata'!X26</f>
        <v>2.2075336866158334E-2</v>
      </c>
      <c r="F28" s="68">
        <f>'GC rawdata'!Y26</f>
        <v>3.1347471697665809E-2</v>
      </c>
      <c r="G28" s="84" t="str">
        <f>+IF((ABS(F28-C28))&gt;0.000183,"PASS","FAIL")</f>
        <v>PASS</v>
      </c>
      <c r="H28" s="26">
        <f>+RSQ(C28:F28,$C$2:$F$2)</f>
        <v>0.99997084566374217</v>
      </c>
      <c r="I28" s="84" t="str">
        <f>IF(H28&gt;0.845,"LIN","MISS")</f>
        <v>LIN</v>
      </c>
      <c r="J28" s="86">
        <f>IF(G28="FAIL","0",IF(I28="LIN",+SLOPE(C28:F28,$C$2:$F$2),"MISS"))</f>
        <v>4.345410720989692E-4</v>
      </c>
      <c r="K28" s="27">
        <f>'Field data'!K10</f>
        <v>54.624740722727132</v>
      </c>
      <c r="L28" s="27">
        <f>'Field data'!L10*0.0001</f>
        <v>6.8349275178587507E-2</v>
      </c>
      <c r="M28" s="28">
        <f>IF(J28="MISS","MISS",((K28/L28)*J28))</f>
        <v>0.34728522482149615</v>
      </c>
      <c r="N28" s="28">
        <f>IF(M28="MISS","MISS",M28*60)</f>
        <v>20.83711348928977</v>
      </c>
      <c r="O28" s="28">
        <f>IF(N28="MISS","MISS",N28*240)</f>
        <v>5000.9072374295447</v>
      </c>
    </row>
    <row r="29" spans="1:15" x14ac:dyDescent="0.2">
      <c r="A29" s="155" t="s">
        <v>69</v>
      </c>
      <c r="B29" s="100"/>
      <c r="C29" s="68">
        <f>'GC rawdata'!V27</f>
        <v>4.3862301470564578E-3</v>
      </c>
      <c r="D29" s="68">
        <f>'GC rawdata'!W27</f>
        <v>1.0485098157186448E-2</v>
      </c>
      <c r="E29" s="68">
        <f>'GC rawdata'!X27</f>
        <v>1.7626736836406445E-2</v>
      </c>
      <c r="F29" s="68">
        <f>'GC rawdata'!Y27</f>
        <v>2.6039002499002577E-2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0.99486892612985811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3.4333312254789693E-4</v>
      </c>
      <c r="K29" s="27">
        <f>'Field data'!K11</f>
        <v>54.317168984423489</v>
      </c>
      <c r="L29" s="27">
        <f>'Field data'!L11*0.0001</f>
        <v>6.8349275178587507E-2</v>
      </c>
      <c r="M29" s="28">
        <f t="shared" ref="M29:M39" si="11">IF(J29="MISS","MISS",((K29/L29)*J29))</f>
        <v>0.2728468324888137</v>
      </c>
      <c r="N29" s="28">
        <f t="shared" ref="N29:N39" si="12">IF(M29="MISS","MISS",M29*60)</f>
        <v>16.370809949328823</v>
      </c>
      <c r="O29" s="28">
        <f t="shared" ref="O29" si="13">IF(N29="MISS","MISS",N29*240)</f>
        <v>3928.9943878389176</v>
      </c>
    </row>
    <row r="30" spans="1:15" x14ac:dyDescent="0.2">
      <c r="A30" s="155" t="s">
        <v>70</v>
      </c>
      <c r="B30" s="100"/>
      <c r="C30" s="68">
        <f>'GC rawdata'!V28</f>
        <v>4.0596773099603927E-3</v>
      </c>
      <c r="D30" s="68">
        <f>'GC rawdata'!W28</f>
        <v>9.6032259929708444E-3</v>
      </c>
      <c r="E30" s="68">
        <f>'GC rawdata'!X28</f>
        <v>1.7777306291739289E-2</v>
      </c>
      <c r="F30" s="68">
        <f>'GC rawdata'!Y28</f>
        <v>2.5354056615660918E-2</v>
      </c>
      <c r="G30" s="84" t="str">
        <f t="shared" si="7"/>
        <v>PASS</v>
      </c>
      <c r="H30" s="26">
        <f t="shared" si="8"/>
        <v>0.99404812120178254</v>
      </c>
      <c r="I30" s="84" t="str">
        <f t="shared" si="9"/>
        <v>LIN</v>
      </c>
      <c r="J30" s="86">
        <f t="shared" si="10"/>
        <v>3.4312961055176205E-4</v>
      </c>
      <c r="K30" s="27">
        <f>'Field data'!K12</f>
        <v>53.411541088307203</v>
      </c>
      <c r="L30" s="27">
        <f>'Field data'!L12*0.0001</f>
        <v>6.8349275178587507E-2</v>
      </c>
      <c r="M30" s="28">
        <f t="shared" si="11"/>
        <v>0.26813863416567441</v>
      </c>
      <c r="N30" s="28">
        <f t="shared" si="12"/>
        <v>16.088318049940465</v>
      </c>
      <c r="O30" s="28">
        <f t="shared" ref="O30" si="14">IF(N30="MISS","MISS",N30*240)</f>
        <v>3861.1963319857118</v>
      </c>
    </row>
    <row r="31" spans="1:15" x14ac:dyDescent="0.2">
      <c r="A31" s="155" t="s">
        <v>71</v>
      </c>
      <c r="B31" s="100"/>
      <c r="C31" s="68">
        <f>'GC rawdata'!V29</f>
        <v>7.07610729541433E-3</v>
      </c>
      <c r="D31" s="68">
        <f>'GC rawdata'!W29</f>
        <v>1.5729858496952746E-2</v>
      </c>
      <c r="E31" s="68">
        <f>'GC rawdata'!X29</f>
        <v>2.4286051886819204E-2</v>
      </c>
      <c r="F31" s="68">
        <f>'GC rawdata'!Y29</f>
        <v>3.6108679534673949E-2</v>
      </c>
      <c r="G31" s="84" t="str">
        <f t="shared" si="7"/>
        <v>PASS</v>
      </c>
      <c r="H31" s="26">
        <f>+RSQ(C31:F31,$C$2:$F$2)</f>
        <v>0.99332059232060488</v>
      </c>
      <c r="I31" s="84" t="str">
        <f t="shared" si="9"/>
        <v>LIN</v>
      </c>
      <c r="J31" s="86">
        <f t="shared" si="10"/>
        <v>4.5549481003640631E-4</v>
      </c>
      <c r="K31" s="27">
        <f>'Field data'!K13</f>
        <v>53.633676232637612</v>
      </c>
      <c r="L31" s="27">
        <f>'Field data'!L13*0.0001</f>
        <v>6.8349275178587507E-2</v>
      </c>
      <c r="M31" s="28">
        <f t="shared" si="11"/>
        <v>0.357426777435568</v>
      </c>
      <c r="N31" s="28">
        <f t="shared" si="12"/>
        <v>21.445606646134081</v>
      </c>
      <c r="O31" s="28">
        <f t="shared" ref="O31:O39" si="15">IF(N31="MISS","MISS",N31*240)</f>
        <v>5146.9455950721795</v>
      </c>
    </row>
    <row r="32" spans="1:15" x14ac:dyDescent="0.2">
      <c r="A32" s="155" t="s">
        <v>72</v>
      </c>
      <c r="B32" s="100"/>
      <c r="C32" s="68">
        <f>'GC rawdata'!V30</f>
        <v>6.7443200142053884E-3</v>
      </c>
      <c r="D32" s="68">
        <f>'GC rawdata'!W30</f>
        <v>1.1817736379250912E-2</v>
      </c>
      <c r="E32" s="68">
        <f>'GC rawdata'!X30</f>
        <v>1.9782385441290882E-2</v>
      </c>
      <c r="F32" s="68">
        <f>'GC rawdata'!Y30</f>
        <v>2.8220215536923228E-2</v>
      </c>
      <c r="G32" s="84" t="str">
        <f t="shared" si="7"/>
        <v>PASS</v>
      </c>
      <c r="H32" s="26">
        <f t="shared" ref="H32:H39" si="16">+RSQ(C32:F32,$C$2:$F$2)</f>
        <v>0.98822510463714219</v>
      </c>
      <c r="I32" s="84" t="str">
        <f t="shared" si="9"/>
        <v>LIN</v>
      </c>
      <c r="J32" s="86">
        <f t="shared" si="10"/>
        <v>3.4472540776282615E-4</v>
      </c>
      <c r="K32" s="27">
        <f>'Field data'!K14</f>
        <v>52.81348493049456</v>
      </c>
      <c r="L32" s="27">
        <f>'Field data'!L14*0.0001</f>
        <v>6.8349275178587507E-2</v>
      </c>
      <c r="M32" s="28">
        <f t="shared" si="11"/>
        <v>0.26636932257833573</v>
      </c>
      <c r="N32" s="28">
        <f t="shared" si="12"/>
        <v>15.982159354700144</v>
      </c>
      <c r="O32" s="28">
        <f t="shared" si="15"/>
        <v>3835.7182451280346</v>
      </c>
    </row>
    <row r="33" spans="1:15" x14ac:dyDescent="0.2">
      <c r="A33" s="155" t="s">
        <v>73</v>
      </c>
      <c r="B33" s="100"/>
      <c r="C33" s="68">
        <f>'GC rawdata'!V31</f>
        <v>6.1237773365071411E-3</v>
      </c>
      <c r="D33" s="68">
        <f>'GC rawdata'!W31</f>
        <v>2.0417993984623291E-2</v>
      </c>
      <c r="E33" s="68">
        <f>'GC rawdata'!X31</f>
        <v>3.5186870573002314E-2</v>
      </c>
      <c r="F33" s="68">
        <f>'GC rawdata'!Y31</f>
        <v>4.9445117469747751E-2</v>
      </c>
      <c r="G33" s="84" t="str">
        <f t="shared" si="7"/>
        <v>PASS</v>
      </c>
      <c r="H33" s="26">
        <f t="shared" si="16"/>
        <v>0.99995334937421643</v>
      </c>
      <c r="I33" s="84" t="str">
        <f t="shared" si="9"/>
        <v>LIN</v>
      </c>
      <c r="J33" s="86">
        <f t="shared" si="10"/>
        <v>6.892042713719089E-4</v>
      </c>
      <c r="K33" s="27">
        <f>'Field data'!K15</f>
        <v>53.753287464200142</v>
      </c>
      <c r="L33" s="27">
        <f>'Field data'!L15*0.0001</f>
        <v>6.8349275178587507E-2</v>
      </c>
      <c r="M33" s="28">
        <f t="shared" si="11"/>
        <v>0.54202469922043772</v>
      </c>
      <c r="N33" s="28">
        <f t="shared" si="12"/>
        <v>32.521481953226264</v>
      </c>
      <c r="O33" s="28">
        <f t="shared" si="15"/>
        <v>7805.1556687743032</v>
      </c>
    </row>
    <row r="34" spans="1:15" s="1" customFormat="1" x14ac:dyDescent="0.2">
      <c r="A34" s="155" t="s">
        <v>74</v>
      </c>
      <c r="B34" s="153"/>
      <c r="C34" s="68">
        <f>'GC rawdata'!V32</f>
        <v>4.8354163307912593E-3</v>
      </c>
      <c r="D34" s="68">
        <f>'GC rawdata'!W32</f>
        <v>1.4140484744530323E-2</v>
      </c>
      <c r="E34" s="68">
        <f>'GC rawdata'!X32</f>
        <v>2.203735636285745E-2</v>
      </c>
      <c r="F34" s="68">
        <f>'GC rawdata'!Y32</f>
        <v>3.3629840209293813E-2</v>
      </c>
      <c r="G34" s="84" t="str">
        <f t="shared" si="7"/>
        <v>PASS</v>
      </c>
      <c r="H34" s="26">
        <f t="shared" si="16"/>
        <v>0.99416055558877614</v>
      </c>
      <c r="I34" s="84" t="str">
        <f t="shared" si="9"/>
        <v>LIN</v>
      </c>
      <c r="J34" s="86">
        <f t="shared" si="10"/>
        <v>4.48953063113499E-4</v>
      </c>
      <c r="K34" s="26">
        <f>'Field data'!K16</f>
        <v>53.309017175539324</v>
      </c>
      <c r="L34" s="26">
        <f>'Field data'!L16*0.0001</f>
        <v>6.8349275178587507E-2</v>
      </c>
      <c r="M34" s="6">
        <f t="shared" si="11"/>
        <v>0.35016094157537353</v>
      </c>
      <c r="N34" s="6">
        <f t="shared" si="12"/>
        <v>21.00965649452241</v>
      </c>
      <c r="O34" s="6">
        <f t="shared" si="15"/>
        <v>5042.3175586853786</v>
      </c>
    </row>
    <row r="35" spans="1:15" s="1" customFormat="1" x14ac:dyDescent="0.2">
      <c r="A35" s="155" t="s">
        <v>75</v>
      </c>
      <c r="B35" s="153"/>
      <c r="C35" s="68">
        <f>'GC rawdata'!V33</f>
        <v>5.976065563031146E-3</v>
      </c>
      <c r="D35" s="68">
        <f>'GC rawdata'!W33</f>
        <v>1.1087527033313694E-2</v>
      </c>
      <c r="E35" s="68">
        <f>'GC rawdata'!X33</f>
        <v>1.8594399480782155E-2</v>
      </c>
      <c r="F35" s="68">
        <f>'GC rawdata'!Y33</f>
        <v>2.6909984594837143E-2</v>
      </c>
      <c r="G35" s="84" t="str">
        <f t="shared" si="7"/>
        <v>PASS</v>
      </c>
      <c r="H35" s="26">
        <f t="shared" si="16"/>
        <v>0.98922393356653904</v>
      </c>
      <c r="I35" s="84" t="str">
        <f t="shared" si="9"/>
        <v>LIN</v>
      </c>
      <c r="J35" s="86">
        <f t="shared" si="10"/>
        <v>3.3480299782326887E-4</v>
      </c>
      <c r="K35" s="26">
        <f>'Field data'!K17</f>
        <v>53.633676232637612</v>
      </c>
      <c r="L35" s="26">
        <f>'Field data'!L17*0.0001</f>
        <v>6.8349275178587507E-2</v>
      </c>
      <c r="M35" s="6">
        <f t="shared" si="11"/>
        <v>0.26271991239191905</v>
      </c>
      <c r="N35" s="6">
        <f t="shared" si="12"/>
        <v>15.763194743515143</v>
      </c>
      <c r="O35" s="6">
        <f t="shared" si="15"/>
        <v>3783.1667384436341</v>
      </c>
    </row>
    <row r="36" spans="1:15" s="1" customFormat="1" x14ac:dyDescent="0.2">
      <c r="A36" s="155" t="s">
        <v>76</v>
      </c>
      <c r="B36" s="153"/>
      <c r="C36" s="68">
        <f>'GC rawdata'!V34</f>
        <v>9.0478886494403232E-3</v>
      </c>
      <c r="D36" s="68">
        <f>'GC rawdata'!W34</f>
        <v>1.9834437918820197E-2</v>
      </c>
      <c r="E36" s="68">
        <f>'GC rawdata'!X34</f>
        <v>3.1635453747863626E-2</v>
      </c>
      <c r="F36" s="68">
        <f>'GC rawdata'!Y34</f>
        <v>4.2086537506606646E-2</v>
      </c>
      <c r="G36" s="84" t="str">
        <f t="shared" si="7"/>
        <v>PASS</v>
      </c>
      <c r="H36" s="26">
        <f t="shared" si="16"/>
        <v>0.99950010532217792</v>
      </c>
      <c r="I36" s="84" t="str">
        <f t="shared" si="9"/>
        <v>LIN</v>
      </c>
      <c r="J36" s="86">
        <f t="shared" si="10"/>
        <v>5.281760114311543E-4</v>
      </c>
      <c r="K36" s="26">
        <f>'Field data'!K18</f>
        <v>53.958335289735906</v>
      </c>
      <c r="L36" s="26">
        <f>'Field data'!L18*0.0001</f>
        <v>6.8349275178587507E-2</v>
      </c>
      <c r="M36" s="6">
        <f t="shared" si="11"/>
        <v>0.41696855222432472</v>
      </c>
      <c r="N36" s="6">
        <f t="shared" si="12"/>
        <v>25.018113133459483</v>
      </c>
      <c r="O36" s="6">
        <f t="shared" si="15"/>
        <v>6004.3471520302755</v>
      </c>
    </row>
    <row r="37" spans="1:15" s="138" customFormat="1" ht="13.5" thickBot="1" x14ac:dyDescent="0.25">
      <c r="A37" s="162" t="s">
        <v>77</v>
      </c>
      <c r="B37" s="153"/>
      <c r="C37" s="68">
        <f>'GC rawdata'!V35</f>
        <v>1.0132333566646572E-2</v>
      </c>
      <c r="D37" s="68">
        <f>'GC rawdata'!W35</f>
        <v>2.3175268329523564E-2</v>
      </c>
      <c r="E37" s="68">
        <f>'GC rawdata'!X35</f>
        <v>3.9318697650226685E-2</v>
      </c>
      <c r="F37" s="68">
        <f>'GC rawdata'!Y35</f>
        <v>4.9739577634286589E-2</v>
      </c>
      <c r="G37" s="84" t="str">
        <f t="shared" si="7"/>
        <v>PASS</v>
      </c>
      <c r="H37" s="26">
        <f t="shared" si="16"/>
        <v>0.99387695974943913</v>
      </c>
      <c r="I37" s="84" t="str">
        <f t="shared" si="9"/>
        <v>LIN</v>
      </c>
      <c r="J37" s="86">
        <f t="shared" si="10"/>
        <v>6.4269124535058656E-4</v>
      </c>
      <c r="K37" s="26">
        <f>'Field data'!K19</f>
        <v>51.20727696379776</v>
      </c>
      <c r="L37" s="26">
        <f>'Field data'!L19*0.0001</f>
        <v>6.8349275178587507E-2</v>
      </c>
      <c r="M37" s="6">
        <f t="shared" si="11"/>
        <v>0.48150428101665949</v>
      </c>
      <c r="N37" s="6">
        <f t="shared" si="12"/>
        <v>28.890256860999568</v>
      </c>
      <c r="O37" s="6">
        <f t="shared" si="15"/>
        <v>6933.6616466398964</v>
      </c>
    </row>
    <row r="38" spans="1:15" s="138" customFormat="1" x14ac:dyDescent="0.2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15" s="138" customFormat="1" x14ac:dyDescent="0.2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2024-10-01T22:27:41Z</dcterms:modified>
  <cp:category/>
</cp:coreProperties>
</file>