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vap _rev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<sst xmlns="http://schemas.openxmlformats.org/spreadsheetml/2006/main" count="65" uniqueCount="39">
  <si>
    <t xml:space="preserve">Psat SPCE (300K)</t>
  </si>
  <si>
    <t xml:space="preserve">Chem pot SPCE ~ (298K)</t>
  </si>
  <si>
    <t xml:space="preserve">Psat Exp (298K)</t>
  </si>
  <si>
    <t xml:space="preserve">Rho SPCE ~ (298K)</t>
  </si>
  <si>
    <t xml:space="preserve">1.8006*10^(-5)</t>
  </si>
  <si>
    <t xml:space="preserve">h (J s)</t>
  </si>
  <si>
    <t xml:space="preserve">k (J/K)</t>
  </si>
  <si>
    <t xml:space="preserve">Mw water (g/mol)</t>
  </si>
  <si>
    <t xml:space="preserve">Na</t>
  </si>
  <si>
    <t xml:space="preserve">Temp (298K)</t>
  </si>
  <si>
    <t xml:space="preserve">arbitraty scalar for  Rho (molecule/Ang^3)</t>
  </si>
  <si>
    <t xml:space="preserve">70.81 or 100 </t>
  </si>
  <si>
    <t xml:space="preserve">Constants</t>
  </si>
  <si>
    <t xml:space="preserve">debroglie (Ang)</t>
  </si>
  <si>
    <t xml:space="preserve">R (  Ang^3⋅bar⋅K−1⋅mol−1)</t>
  </si>
  <si>
    <t xml:space="preserve">R (J/mol/K)</t>
  </si>
  <si>
    <t xml:space="preserve">mw water (kg/mol)</t>
  </si>
  <si>
    <t xml:space="preserve">water density (kg/Ang^3)</t>
  </si>
  <si>
    <t xml:space="preserve">use paper data SPCE  (1=yes, 0=no)  No is use our simulation data</t>
  </si>
  <si>
    <t xml:space="preserve">Reference for our Simulations Psat point (1=SPCE, 0=Exp)</t>
  </si>
  <si>
    <t xml:space="preserve">SPCE: Rho_vap molecule/Ang^3 </t>
  </si>
  <si>
    <t xml:space="preserve">SPCE: Activity (1/Ang^3) Reference only</t>
  </si>
  <si>
    <t xml:space="preserve">Exp: Rho_vap molecule/Ang^3 Reference only</t>
  </si>
  <si>
    <t xml:space="preserve">Compare P_virial to Gubbins paper pressure equation which uses activity</t>
  </si>
  <si>
    <t xml:space="preserve">Molecule</t>
  </si>
  <si>
    <t xml:space="preserve">ChemPot cassandra (kJ/mol)</t>
  </si>
  <si>
    <t xml:space="preserve">ChemPot_K (50M to 100M steps)</t>
  </si>
  <si>
    <t xml:space="preserve">Pvap_bar (50M to 100M steps)</t>
  </si>
  <si>
    <t xml:space="preserve">Rho (kg/m^3)</t>
  </si>
  <si>
    <t xml:space="preserve">Rho (molecule/Ang^3)</t>
  </si>
  <si>
    <t xml:space="preserve">Activity (1/Ang^3)</t>
  </si>
  <si>
    <t xml:space="preserve">P/Po calc from eqn (Gubbins)</t>
  </si>
  <si>
    <t xml:space="preserve">P_virial/Po_virial (simulation)</t>
  </si>
  <si>
    <t xml:space="preserve">(P/Po – P_virial/Po_virial)^2</t>
  </si>
  <si>
    <t xml:space="preserve">Fake Water</t>
  </si>
  <si>
    <t xml:space="preserve">Water</t>
  </si>
  <si>
    <t xml:space="preserve">Water at SPCE Psat</t>
  </si>
  <si>
    <t xml:space="preserve">Water at Experimental Psat</t>
  </si>
  <si>
    <t xml:space="preserve">sum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</si>
</sst>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0000"/>
    <numFmt numFmtId="167" formatCode="0.000E+00"/>
    <numFmt numFmtId="168" formatCode="0.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B2B2B2"/>
        <bgColor rgb="FF999999"/>
      </patternFill>
    </fill>
    <fill>
      <patternFill patternType="solid">
        <fgColor rgb="FFBCE4E5"/>
        <bgColor rgb="FFCCFFCC"/>
      </patternFill>
    </fill>
    <fill>
      <patternFill patternType="solid">
        <fgColor rgb="FF00AAAD"/>
        <bgColor rgb="FF00A65D"/>
      </patternFill>
    </fill>
    <fill>
      <patternFill patternType="solid">
        <fgColor rgb="FF1C1C1C"/>
        <bgColor rgb="FF333333"/>
      </patternFill>
    </fill>
    <fill>
      <patternFill patternType="solid">
        <fgColor rgb="FF999999"/>
        <bgColor rgb="FFB2B2B2"/>
      </patternFill>
    </fill>
    <fill>
      <patternFill patternType="solid">
        <fgColor rgb="FF333333"/>
        <bgColor rgb="FF1C1C1C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A65D"/>
        <bgColor rgb="FF00AAA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AAAD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00A65D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true" showOutlineSymbols="true" defaultGridColor="true" view="normal" topLeftCell="A22" colorId="64" zoomScale="90" zoomScaleNormal="90" zoomScalePageLayoutView="100" workbookViewId="0">
      <selection pane="topLeft" activeCell="F48" activeCellId="0" sqref="F4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03"/>
    <col collapsed="false" customWidth="false" hidden="false" outlineLevel="0" max="4" min="3" style="0" width="11.52"/>
    <col collapsed="false" customWidth="true" hidden="false" outlineLevel="0" max="5" min="5" style="0" width="14.03"/>
    <col collapsed="false" customWidth="false" hidden="false" outlineLevel="0" max="6" min="6" style="0" width="11.52"/>
    <col collapsed="false" customWidth="true" hidden="false" outlineLevel="0" max="7" min="7" style="0" width="13.19"/>
    <col collapsed="false" customWidth="false" hidden="false" outlineLevel="0" max="1025" min="8" style="0" width="11.52"/>
  </cols>
  <sheetData>
    <row r="1" customFormat="false" ht="23.85" hidden="false" customHeight="false" outlineLevel="0" collapsed="false">
      <c r="B1" s="1" t="s">
        <v>0</v>
      </c>
      <c r="C1" s="2" t="n">
        <f aca="false">0.01017</f>
        <v>0.01017</v>
      </c>
      <c r="E1" s="1" t="s">
        <v>1</v>
      </c>
      <c r="F1" s="3" t="n">
        <v>-4544.9834825673</v>
      </c>
    </row>
    <row r="2" customFormat="false" ht="23.85" hidden="false" customHeight="false" outlineLevel="0" collapsed="false">
      <c r="B2" s="1" t="s">
        <v>2</v>
      </c>
      <c r="C2" s="2" t="n">
        <v>0.031505367196597</v>
      </c>
      <c r="E2" s="1" t="s">
        <v>3</v>
      </c>
      <c r="F2" s="3" t="n">
        <v>0.00745022900312973</v>
      </c>
      <c r="H2" s="0" t="n">
        <v>1</v>
      </c>
    </row>
    <row r="3" customFormat="false" ht="12.8" hidden="false" customHeight="false" outlineLevel="0" collapsed="false">
      <c r="B3" s="4"/>
      <c r="E3" s="4"/>
      <c r="H3" s="0" t="s">
        <v>4</v>
      </c>
    </row>
    <row r="4" customFormat="false" ht="23.85" hidden="false" customHeight="false" outlineLevel="0" collapsed="false">
      <c r="B4" s="1" t="s">
        <v>5</v>
      </c>
      <c r="C4" s="2" t="n">
        <f aca="false">6.6260755*10^(-34)</f>
        <v>6.6260755E-034</v>
      </c>
      <c r="E4" s="1" t="s">
        <v>1</v>
      </c>
      <c r="F4" s="3" t="n">
        <v>-4202.40108324628</v>
      </c>
    </row>
    <row r="5" customFormat="false" ht="23.85" hidden="false" customHeight="false" outlineLevel="0" collapsed="false">
      <c r="B5" s="1" t="s">
        <v>6</v>
      </c>
      <c r="C5" s="2" t="n">
        <f aca="false">1.380658*10^(-23)</f>
        <v>1.380658E-023</v>
      </c>
      <c r="E5" s="1" t="s">
        <v>3</v>
      </c>
      <c r="F5" s="3" t="n">
        <v>0.0233979232993202</v>
      </c>
    </row>
    <row r="6" customFormat="false" ht="23.85" hidden="false" customHeight="false" outlineLevel="0" collapsed="false">
      <c r="B6" s="1" t="s">
        <v>7</v>
      </c>
      <c r="C6" s="5" t="n">
        <v>18.01528</v>
      </c>
      <c r="E6" s="4"/>
    </row>
    <row r="7" customFormat="false" ht="12.8" hidden="false" customHeight="false" outlineLevel="0" collapsed="false">
      <c r="B7" s="1" t="s">
        <v>8</v>
      </c>
      <c r="C7" s="6" t="n">
        <v>6.022E+023</v>
      </c>
      <c r="E7" s="4"/>
    </row>
    <row r="8" customFormat="false" ht="46.25" hidden="false" customHeight="false" outlineLevel="0" collapsed="false">
      <c r="B8" s="1" t="s">
        <v>9</v>
      </c>
      <c r="C8" s="2" t="n">
        <v>298</v>
      </c>
      <c r="E8" s="1" t="s">
        <v>10</v>
      </c>
      <c r="F8" s="7" t="n">
        <v>70.81</v>
      </c>
      <c r="G8" s="8" t="s">
        <v>11</v>
      </c>
      <c r="H8" s="9" t="s">
        <v>12</v>
      </c>
      <c r="I8" s="10"/>
    </row>
    <row r="9" customFormat="false" ht="35.05" hidden="false" customHeight="false" outlineLevel="0" collapsed="false">
      <c r="B9" s="1" t="s">
        <v>13</v>
      </c>
      <c r="C9" s="2" t="n">
        <f aca="false">( ($C$4)^2/ (2*3.1415* $C$6/($C$7)*$C$5*$C$8) )^0.5 *3.16228*10^11</f>
        <v>0.238271363488315</v>
      </c>
      <c r="H9" s="1" t="s">
        <v>14</v>
      </c>
      <c r="I9" s="11" t="n">
        <f aca="false">0.0000831446261815324*10^30</f>
        <v>8.31446261815324E+025</v>
      </c>
    </row>
    <row r="10" customFormat="false" ht="23.85" hidden="false" customHeight="false" outlineLevel="0" collapsed="false">
      <c r="B10" s="1" t="s">
        <v>15</v>
      </c>
      <c r="C10" s="2" t="n">
        <v>8.3144598</v>
      </c>
      <c r="H10" s="1" t="s">
        <v>16</v>
      </c>
      <c r="I10" s="12" t="n">
        <v>0.018</v>
      </c>
    </row>
    <row r="11" customFormat="false" ht="23.85" hidden="false" customHeight="false" outlineLevel="0" collapsed="false">
      <c r="B11" s="4"/>
      <c r="H11" s="1" t="s">
        <v>17</v>
      </c>
      <c r="I11" s="12" t="n">
        <f aca="false">998/(10^(30))</f>
        <v>9.98E-028</v>
      </c>
    </row>
    <row r="12" customFormat="false" ht="12.8" hidden="false" customHeight="false" outlineLevel="0" collapsed="false">
      <c r="B12" s="4"/>
    </row>
    <row r="13" customFormat="false" ht="57.45" hidden="false" customHeight="false" outlineLevel="0" collapsed="false">
      <c r="B13" s="13" t="s">
        <v>18</v>
      </c>
      <c r="C13" s="7" t="n">
        <v>0</v>
      </c>
      <c r="E13" s="13" t="s">
        <v>19</v>
      </c>
      <c r="F13" s="7" t="n">
        <v>1</v>
      </c>
    </row>
    <row r="14" customFormat="false" ht="23.85" hidden="false" customHeight="false" outlineLevel="0" collapsed="false">
      <c r="B14" s="13" t="s">
        <v>20</v>
      </c>
      <c r="C14" s="14" t="n">
        <v>1.806E-005</v>
      </c>
    </row>
    <row r="15" customFormat="false" ht="35.05" hidden="false" customHeight="false" outlineLevel="0" collapsed="false">
      <c r="B15" s="13" t="s">
        <v>21</v>
      </c>
      <c r="C15" s="14" t="n">
        <v>1.67E-005</v>
      </c>
    </row>
    <row r="16" customFormat="false" ht="35.05" hidden="false" customHeight="false" outlineLevel="0" collapsed="false">
      <c r="B16" s="13" t="s">
        <v>22</v>
      </c>
      <c r="C16" s="14" t="n">
        <v>8.5484E-006</v>
      </c>
    </row>
    <row r="22" customFormat="false" ht="12.8" hidden="false" customHeight="false" outlineLevel="0" collapsed="false">
      <c r="A22" s="15" t="s">
        <v>23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customFormat="false" ht="35.05" hidden="false" customHeight="false" outlineLevel="0" collapsed="false">
      <c r="A23" s="16" t="s">
        <v>24</v>
      </c>
      <c r="B23" s="1" t="s">
        <v>25</v>
      </c>
      <c r="C23" s="1" t="s">
        <v>26</v>
      </c>
      <c r="D23" s="1" t="s">
        <v>27</v>
      </c>
      <c r="E23" s="1" t="s">
        <v>28</v>
      </c>
      <c r="F23" s="1" t="s">
        <v>29</v>
      </c>
      <c r="G23" s="1" t="s">
        <v>30</v>
      </c>
      <c r="H23" s="17"/>
      <c r="I23" s="1" t="s">
        <v>31</v>
      </c>
      <c r="J23" s="1" t="s">
        <v>32</v>
      </c>
      <c r="K23" s="1" t="s">
        <v>33</v>
      </c>
      <c r="L23" s="1"/>
    </row>
    <row r="24" customFormat="false" ht="12.8" hidden="false" customHeight="false" outlineLevel="0" collapsed="false">
      <c r="A24" s="18" t="s">
        <v>34</v>
      </c>
      <c r="B24" s="18" t="n">
        <v>-66</v>
      </c>
      <c r="C24" s="19" t="n">
        <f aca="false">ROUND(( B24-3*$C$10/1000*$C$8*LN($C$9) )*1000/$C$10,0)</f>
        <v>-6656</v>
      </c>
      <c r="D24" s="20" t="n">
        <v>8.18128308610778E-006</v>
      </c>
      <c r="E24" s="20" t="n">
        <v>5.96687180363273E-006</v>
      </c>
      <c r="F24" s="21" t="n">
        <f aca="false">E24*1000/10^30/($C$6)*$C$7*$F$8</f>
        <v>1.41234577909671E-008</v>
      </c>
      <c r="G24" s="21" t="n">
        <f aca="false">EXP((C24)/$C$8)/$C$9^3</f>
        <v>1.47424425715752E-008</v>
      </c>
      <c r="H24" s="22"/>
      <c r="I24" s="23" t="n">
        <f aca="false">IF($F$13=1,(2*G24*$G$51^2+($F$51-$G$51)*G24^2)/(($F$51+$G$51)*$G$51^2),IF($F$13=0,(2*G24*$G$52^2+($F$52-$G$52)*G24^2)/(($F$52+$G$52)*$G$52^2),"Error"))</f>
        <v>0.000837226644323533</v>
      </c>
      <c r="J24" s="23" t="n">
        <f aca="false">IF($F$13=1,D24/$C$1, IF($F$13=0,D24/$C$2 ,"Error"))</f>
        <v>0.00080445261416989</v>
      </c>
      <c r="K24" s="23" t="n">
        <f aca="false">(I24-J24)^2</f>
        <v>1.07413705251194E-009</v>
      </c>
      <c r="L24" s="23"/>
    </row>
    <row r="25" customFormat="false" ht="12.8" hidden="false" customHeight="false" outlineLevel="0" collapsed="false">
      <c r="A25" s="18" t="s">
        <v>34</v>
      </c>
      <c r="B25" s="18" t="n">
        <f aca="false">B24+1.5</f>
        <v>-64.5</v>
      </c>
      <c r="C25" s="19" t="n">
        <f aca="false">ROUND(( B25-3*$C$10/1000*$C$8*LN($C$9) )*1000/$C$10,0)</f>
        <v>-6475</v>
      </c>
      <c r="D25" s="20" t="n">
        <v>1.51007046588822E-005</v>
      </c>
      <c r="E25" s="20" t="n">
        <v>1.09515723942116E-005</v>
      </c>
      <c r="F25" s="21" t="n">
        <f aca="false">E25*1000/10^30/($C$6)*$C$7*$F$8</f>
        <v>2.5922137351803E-008</v>
      </c>
      <c r="G25" s="21" t="n">
        <f aca="false">EXP((C25)/$C$8)/$C$9^3</f>
        <v>2.70615292320758E-008</v>
      </c>
      <c r="H25" s="22"/>
      <c r="I25" s="23" t="n">
        <f aca="false">IF($F$13=1,(2*G25*$G$51^2+($F$51-$G$51)*G25^2)/(($F$51+$G$51)*$G$51^2),IF($F$13=0,(2*G25*$G$52^2+($F$52-$G$52)*G25^2)/(($F$52+$G$52)*$G$52^2),"Error"))</f>
        <v>0.00153683194179346</v>
      </c>
      <c r="J25" s="23" t="n">
        <f aca="false">IF($F$13=1,D25/$C$1, IF($F$13=0,D25/$C$2 ,"Error"))</f>
        <v>0.00148482838337091</v>
      </c>
      <c r="K25" s="23" t="n">
        <f aca="false">(I25-J25)^2</f>
        <v>2.70437008860756E-009</v>
      </c>
      <c r="L25" s="23"/>
    </row>
    <row r="26" customFormat="false" ht="12.8" hidden="false" customHeight="false" outlineLevel="0" collapsed="false">
      <c r="A26" s="18" t="s">
        <v>34</v>
      </c>
      <c r="B26" s="18" t="n">
        <f aca="false">B25+1.5</f>
        <v>-63</v>
      </c>
      <c r="C26" s="19" t="n">
        <f aca="false">ROUND(( B26-3*$C$10/1000*$C$8*LN($C$9) )*1000/$C$10,0)</f>
        <v>-6295</v>
      </c>
      <c r="D26" s="20" t="n">
        <v>2.7463701105988E-005</v>
      </c>
      <c r="E26" s="20" t="n">
        <v>2.00403202023952E-005</v>
      </c>
      <c r="F26" s="21" t="n">
        <f aca="false">E26*1000/10^30/($C$6)*$C$7*$F$8</f>
        <v>4.74350087970174E-008</v>
      </c>
      <c r="G26" s="21" t="n">
        <f aca="false">EXP((C26)/$C$8)/$C$9^3</f>
        <v>4.95082825304393E-008</v>
      </c>
      <c r="H26" s="22"/>
      <c r="I26" s="23" t="n">
        <f aca="false">IF($F$13=1,(2*G26*$G$51^2+($F$51-$G$51)*G26^2)/(($F$51+$G$51)*$G$51^2),IF($F$13=0,(2*G26*$G$52^2+($F$52-$G$52)*G26^2)/(($F$52+$G$52)*$G$52^2),"Error"))</f>
        <v>0.00281159472217359</v>
      </c>
      <c r="J26" s="23" t="n">
        <f aca="false">IF($F$13=1,D26/$C$1, IF($F$13=0,D26/$C$2 ,"Error"))</f>
        <v>0.00270046225230954</v>
      </c>
      <c r="K26" s="23" t="n">
        <f aca="false">(I26-J26)^2</f>
        <v>1.23504258580835E-008</v>
      </c>
      <c r="L26" s="23"/>
    </row>
    <row r="27" customFormat="false" ht="12.8" hidden="false" customHeight="false" outlineLevel="0" collapsed="false">
      <c r="A27" s="18" t="s">
        <v>34</v>
      </c>
      <c r="B27" s="18" t="n">
        <f aca="false">B26+1.5</f>
        <v>-61.5</v>
      </c>
      <c r="C27" s="19" t="n">
        <f aca="false">ROUND(( B27-3*$C$10/1000*$C$8*LN($C$9) )*1000/$C$10,0)</f>
        <v>-6114</v>
      </c>
      <c r="D27" s="20" t="n">
        <v>5.04770911001996E-005</v>
      </c>
      <c r="E27" s="20" t="n">
        <v>3.67909887307385E-005</v>
      </c>
      <c r="F27" s="21" t="n">
        <f aca="false">E27*1000/10^30/($C$6)*$C$7*$F$8</f>
        <v>8.70834825226479E-008</v>
      </c>
      <c r="G27" s="21" t="n">
        <f aca="false">EXP((C27)/$C$8)/$C$9^3</f>
        <v>9.08784164104907E-008</v>
      </c>
      <c r="H27" s="22"/>
      <c r="I27" s="23" t="n">
        <f aca="false">IF($F$13=1,(2*G27*$G$51^2+($F$51-$G$51)*G27^2)/(($F$51+$G$51)*$G$51^2),IF($F$13=0,(2*G27*$G$52^2+($F$52-$G$52)*G27^2)/(($F$52+$G$52)*$G$52^2),"Error"))</f>
        <v>0.00516103865111128</v>
      </c>
      <c r="J27" s="23" t="n">
        <f aca="false">IF($F$13=1,D27/$C$1, IF($F$13=0,D27/$C$2 ,"Error"))</f>
        <v>0.00496333245823005</v>
      </c>
      <c r="K27" s="23" t="n">
        <f aca="false">(I27-J27)^2</f>
        <v>3.90877387035907E-008</v>
      </c>
      <c r="L27" s="23"/>
    </row>
    <row r="28" customFormat="false" ht="12.8" hidden="false" customHeight="false" outlineLevel="0" collapsed="false">
      <c r="A28" s="18" t="s">
        <v>34</v>
      </c>
      <c r="B28" s="18" t="n">
        <f aca="false">B27+1.5</f>
        <v>-60</v>
      </c>
      <c r="C28" s="19" t="n">
        <f aca="false">ROUND(( B28-3*$C$10/1000*$C$8*LN($C$9) )*1000/$C$10,0)</f>
        <v>-5934</v>
      </c>
      <c r="D28" s="20" t="n">
        <v>9.22109023924152E-005</v>
      </c>
      <c r="E28" s="20" t="n">
        <v>6.7304983849501E-005</v>
      </c>
      <c r="F28" s="21" t="n">
        <f aca="false">E28*1000/10^30/($C$6)*$C$7*$F$8</f>
        <v>1.59309455574598E-007</v>
      </c>
      <c r="G28" s="21" t="n">
        <f aca="false">EXP((C28)/$C$8)/$C$9^3</f>
        <v>1.66259425954265E-007</v>
      </c>
      <c r="H28" s="22"/>
      <c r="I28" s="23" t="n">
        <f aca="false">IF($F$13=1,(2*G28*$G$51^2+($F$51-$G$51)*G28^2)/(($F$51+$G$51)*$G$51^2),IF($F$13=0,(2*G28*$G$52^2+($F$52-$G$52)*G28^2)/(($F$52+$G$52)*$G$52^2),"Error"))</f>
        <v>0.00944202996773395</v>
      </c>
      <c r="J28" s="23" t="n">
        <f aca="false">IF($F$13=1,D28/$C$1, IF($F$13=0,D28/$C$2 ,"Error"))</f>
        <v>0.00906695205431811</v>
      </c>
      <c r="K28" s="23" t="n">
        <f aca="false">(I28-J28)^2</f>
        <v>1.40683441132378E-007</v>
      </c>
    </row>
    <row r="29" customFormat="false" ht="12.8" hidden="false" customHeight="false" outlineLevel="0" collapsed="false">
      <c r="A29" s="18" t="s">
        <v>34</v>
      </c>
      <c r="B29" s="18" t="n">
        <f aca="false">B28+1.5</f>
        <v>-58.5</v>
      </c>
      <c r="C29" s="19" t="n">
        <f aca="false">ROUND(( B29-3*$C$10/1000*$C$8*LN($C$9) )*1000/$C$10,0)</f>
        <v>-5754</v>
      </c>
      <c r="D29" s="20" t="n">
        <v>0.000168771090171657</v>
      </c>
      <c r="E29" s="20" t="n">
        <v>0.000123038169794411</v>
      </c>
      <c r="F29" s="21" t="n">
        <f aca="false">E29*1000/10^30/($C$6)*$C$7*$F$8</f>
        <v>2.91228713295173E-007</v>
      </c>
      <c r="G29" s="21" t="n">
        <f aca="false">EXP((C29)/$C$8)/$C$9^3</f>
        <v>3.041667957085E-007</v>
      </c>
      <c r="H29" s="22"/>
      <c r="I29" s="23" t="n">
        <f aca="false">IF($F$13=1,(2*G29*$G$51^2+($F$51-$G$51)*G29^2)/(($F$51+$G$51)*$G$51^2),IF($F$13=0,(2*G29*$G$52^2+($F$52-$G$52)*G29^2)/(($F$52+$G$52)*$G$52^2),"Error"))</f>
        <v>0.0172741190227948</v>
      </c>
      <c r="J29" s="23" t="n">
        <f aca="false">IF($F$13=1,D29/$C$1, IF($F$13=0,D29/$C$2 ,"Error"))</f>
        <v>0.0165949941171737</v>
      </c>
      <c r="K29" s="23" t="n">
        <f aca="false">(I29-J29)^2</f>
        <v>4.61210637434739E-007</v>
      </c>
      <c r="L29" s="23"/>
    </row>
    <row r="30" customFormat="false" ht="12.8" hidden="false" customHeight="false" outlineLevel="0" collapsed="false">
      <c r="A30" s="18" t="s">
        <v>34</v>
      </c>
      <c r="B30" s="18" t="n">
        <f aca="false">B29+1.5</f>
        <v>-57</v>
      </c>
      <c r="C30" s="19" t="n">
        <f aca="false">ROUND(( B30-3*$C$10/1000*$C$8*LN($C$9) )*1000/$C$10,0)</f>
        <v>-5573</v>
      </c>
      <c r="D30" s="20" t="n">
        <v>0.000309489485748503</v>
      </c>
      <c r="E30" s="20" t="n">
        <v>0.000226007983582834</v>
      </c>
      <c r="F30" s="21" t="n">
        <f aca="false">E30*1000/10^30/($C$6)*$C$7*$F$8</f>
        <v>5.34956057646553E-007</v>
      </c>
      <c r="G30" s="21" t="n">
        <f aca="false">EXP((C30)/$C$8)/$C$9^3</f>
        <v>5.58334793812455E-007</v>
      </c>
      <c r="H30" s="22"/>
      <c r="I30" s="23" t="n">
        <f aca="false">IF($F$13=1,(2*G30*$G$51^2+($F$51-$G$51)*G30^2)/(($F$51+$G$51)*$G$51^2),IF($F$13=0,(2*G30*$G$52^2+($F$52-$G$52)*G30^2)/(($F$52+$G$52)*$G$52^2),"Error"))</f>
        <v>0.0317094001094643</v>
      </c>
      <c r="J30" s="23" t="n">
        <f aca="false">IF($F$13=1,D30/$C$1, IF($F$13=0,D30/$C$2 ,"Error"))</f>
        <v>0.0304316111847102</v>
      </c>
      <c r="K30" s="23" t="n">
        <f aca="false">(I30-J30)^2</f>
        <v>1.63274453622422E-006</v>
      </c>
    </row>
    <row r="31" customFormat="false" ht="12.8" hidden="false" customHeight="false" outlineLevel="0" collapsed="false">
      <c r="A31" s="18" t="s">
        <v>34</v>
      </c>
      <c r="B31" s="18" t="n">
        <f aca="false">B30+1.5</f>
        <v>-55.5</v>
      </c>
      <c r="C31" s="19" t="n">
        <f aca="false">ROUND(( B31-3*$C$10/1000*$C$8*LN($C$9) )*1000/$C$10,0)</f>
        <v>-5393</v>
      </c>
      <c r="D31" s="20" t="n">
        <v>0.000572137524075848</v>
      </c>
      <c r="E31" s="20" t="n">
        <v>0.000413389022105788</v>
      </c>
      <c r="F31" s="21" t="n">
        <f aca="false">E31*1000/10^30/($C$6)*$C$7*$F$8</f>
        <v>9.78482963452591E-007</v>
      </c>
      <c r="G31" s="21" t="n">
        <f aca="false">EXP((C31)/$C$8)/$C$9^3</f>
        <v>1.02145730500247E-006</v>
      </c>
      <c r="H31" s="22"/>
      <c r="I31" s="23" t="n">
        <f aca="false">IF($F$13=1,(2*G31*$G$51^2+($F$51-$G$51)*G31^2)/(($F$51+$G$51)*$G$51^2),IF($F$13=0,(2*G31*$G$52^2+($F$52-$G$52)*G31^2)/(($F$52+$G$52)*$G$52^2),"Error"))</f>
        <v>0.0580136734953184</v>
      </c>
      <c r="J31" s="23" t="n">
        <f aca="false">IF($F$13=1,D31/$C$1, IF($F$13=0,D31/$C$2 ,"Error"))</f>
        <v>0.0562573769986085</v>
      </c>
      <c r="K31" s="23" t="n">
        <f aca="false">(I31-J31)^2</f>
        <v>3.08457738435561E-006</v>
      </c>
      <c r="L31" s="23"/>
    </row>
    <row r="32" customFormat="false" ht="12.8" hidden="false" customHeight="false" outlineLevel="0" collapsed="false">
      <c r="A32" s="18" t="s">
        <v>34</v>
      </c>
      <c r="B32" s="18" t="n">
        <f aca="false">B31+1.5</f>
        <v>-54</v>
      </c>
      <c r="C32" s="19" t="n">
        <f aca="false">ROUND(( B32-3*$C$10/1000*$C$8*LN($C$9) )*1000/$C$10,0)</f>
        <v>-5212</v>
      </c>
      <c r="D32" s="20" t="n">
        <v>0.00103798131188623</v>
      </c>
      <c r="E32" s="20" t="n">
        <v>0.000758595325279441</v>
      </c>
      <c r="F32" s="21" t="n">
        <f aca="false">E32*1000/10^30/($C$6)*$C$7*$F$8</f>
        <v>1.79557889118487E-006</v>
      </c>
      <c r="G32" s="21" t="n">
        <f aca="false">EXP((C32)/$C$8)/$C$9^3</f>
        <v>1.87500792927886E-006</v>
      </c>
      <c r="H32" s="22"/>
      <c r="I32" s="23" t="n">
        <f aca="false">IF($F$13=1,(2*G32*$G$51^2+($F$51-$G$51)*G32^2)/(($F$51+$G$51)*$G$51^2),IF($F$13=0,(2*G32*$G$52^2+($F$52-$G$52)*G32^2)/(($F$52+$G$52)*$G$52^2),"Error"))</f>
        <v>0.106498684747478</v>
      </c>
      <c r="J32" s="23" t="n">
        <f aca="false">IF($F$13=1,D32/$C$1, IF($F$13=0,D32/$C$2 ,"Error"))</f>
        <v>0.10206305918252</v>
      </c>
      <c r="K32" s="23" t="n">
        <f aca="false">(I32-J32)^2</f>
        <v>1.96747741525108E-005</v>
      </c>
    </row>
    <row r="33" customFormat="false" ht="12.8" hidden="false" customHeight="false" outlineLevel="0" collapsed="false">
      <c r="A33" s="18" t="s">
        <v>34</v>
      </c>
      <c r="B33" s="18" t="n">
        <f aca="false">B32+1.5</f>
        <v>-52.5</v>
      </c>
      <c r="C33" s="19" t="n">
        <f aca="false">ROUND(( B33-3*$C$10/1000*$C$8*LN($C$9) )*1000/$C$10,0)</f>
        <v>-5032</v>
      </c>
      <c r="D33" s="20" t="n">
        <v>0.00192271457359281</v>
      </c>
      <c r="E33" s="20" t="n">
        <v>0.00138856285800399</v>
      </c>
      <c r="F33" s="21" t="n">
        <f aca="false">E33*1000/10^30/($C$6)*$C$7*$F$8</f>
        <v>3.28669855169074E-006</v>
      </c>
      <c r="G33" s="21" t="n">
        <f aca="false">EXP((C33)/$C$8)/$C$9^3</f>
        <v>3.4302726026112E-006</v>
      </c>
      <c r="H33" s="22"/>
      <c r="I33" s="23" t="n">
        <f aca="false">IF($F$13=1,(2*G33*$G$51^2+($F$51-$G$51)*G33^2)/(($F$51+$G$51)*$G$51^2),IF($F$13=0,(2*G33*$G$52^2+($F$52-$G$52)*G33^2)/(($F$52+$G$52)*$G$52^2),"Error"))</f>
        <v>0.19486158375951</v>
      </c>
      <c r="J33" s="23" t="n">
        <f aca="false">IF($F$13=1,D33/$C$1, IF($F$13=0,D33/$C$2 ,"Error"))</f>
        <v>0.18905748019595</v>
      </c>
      <c r="K33" s="23" t="n">
        <f aca="false">(I33-J33)^2</f>
        <v>3.36876181765281E-005</v>
      </c>
      <c r="L33" s="23"/>
    </row>
    <row r="34" customFormat="false" ht="12.8" hidden="false" customHeight="false" outlineLevel="0" collapsed="false">
      <c r="A34" s="24"/>
      <c r="B34" s="24"/>
      <c r="C34" s="25"/>
      <c r="D34" s="25"/>
      <c r="E34" s="25"/>
      <c r="F34" s="26"/>
      <c r="G34" s="26"/>
      <c r="H34" s="22"/>
      <c r="I34" s="27"/>
      <c r="J34" s="27"/>
      <c r="K34" s="27"/>
      <c r="L34" s="27"/>
    </row>
    <row r="35" customFormat="false" ht="13.3" hidden="false" customHeight="false" outlineLevel="0" collapsed="false">
      <c r="A35" s="18" t="s">
        <v>35</v>
      </c>
      <c r="B35" s="18" t="n">
        <v>-63</v>
      </c>
      <c r="C35" s="19" t="n">
        <f aca="false">ROUND(( B35-3*$C$10/1000*$C$8*LN($C$9) )*1000/$C$10,0)</f>
        <v>-6295</v>
      </c>
      <c r="D35" s="20" t="n">
        <v>2.73875983542914E-005</v>
      </c>
      <c r="E35" s="20" t="n">
        <v>2.00361656618762E-005</v>
      </c>
      <c r="F35" s="21" t="n">
        <f aca="false">E35*1000/10^30/($C$6)*$C$7*$F$8</f>
        <v>4.74251750885698E-008</v>
      </c>
      <c r="G35" s="21" t="n">
        <f aca="false">EXP((C35)/$C$8)/$C$9^3</f>
        <v>4.95082825304393E-008</v>
      </c>
      <c r="H35" s="22"/>
      <c r="I35" s="23" t="n">
        <f aca="false">IF($F$13=1,(2*G35*$G$51^2+($F$51-$G$51)*G35^2)/(($F$51+$G$51)*$G$51^2),IF($F$13=0,(2*G35*$G$52^2+($F$52-$G$52)*G35^2)/(($F$52+$G$52)*$G$52^2),"Error"))</f>
        <v>0.00281159472217359</v>
      </c>
      <c r="J35" s="23" t="n">
        <f aca="false">IF($F$13=1,D35/$C$1, IF($F$13=0,D35/$C$2 ,"Error"))</f>
        <v>0.00269297918921253</v>
      </c>
      <c r="K35" s="23" t="n">
        <f aca="false">(I35-J35)^2</f>
        <v>1.4069644659636E-008</v>
      </c>
      <c r="L35" s="23"/>
    </row>
    <row r="36" customFormat="false" ht="13.3" hidden="false" customHeight="false" outlineLevel="0" collapsed="false">
      <c r="A36" s="18" t="s">
        <v>35</v>
      </c>
      <c r="B36" s="18" t="n">
        <v>-60</v>
      </c>
      <c r="C36" s="19" t="n">
        <f aca="false">ROUND(( B36-3*$C$10/1000*$C$8*LN($C$9) )*1000/$C$10,0)</f>
        <v>-5934</v>
      </c>
      <c r="D36" s="20" t="n">
        <v>9.19464682854292E-005</v>
      </c>
      <c r="E36" s="20" t="n">
        <v>6.72739179021956E-005</v>
      </c>
      <c r="F36" s="21" t="n">
        <f aca="false">E36*1000/10^30/($C$6)*$C$7*$F$8</f>
        <v>1.59235923142539E-007</v>
      </c>
      <c r="G36" s="21" t="n">
        <f aca="false">EXP((C36)/$C$8)/$C$9^3</f>
        <v>1.66259425954265E-007</v>
      </c>
      <c r="H36" s="22"/>
      <c r="I36" s="23" t="n">
        <f aca="false">IF($F$13=1,(2*G36*$G$51^2+($F$51-$G$51)*G36^2)/(($F$51+$G$51)*$G$51^2),IF($F$13=0,(2*G36*$G$52^2+($F$52-$G$52)*G36^2)/(($F$52+$G$52)*$G$52^2),"Error"))</f>
        <v>0.00944202996773395</v>
      </c>
      <c r="J36" s="23" t="n">
        <f aca="false">IF($F$13=1,D36/$C$1, IF($F$13=0,D36/$C$2 ,"Error"))</f>
        <v>0.00904095066720051</v>
      </c>
      <c r="K36" s="23" t="n">
        <f aca="false">(I36-J36)^2</f>
        <v>1.60864605316391E-007</v>
      </c>
      <c r="L36" s="23"/>
    </row>
    <row r="37" customFormat="false" ht="13.3" hidden="false" customHeight="false" outlineLevel="0" collapsed="false">
      <c r="A37" s="18" t="s">
        <v>35</v>
      </c>
      <c r="B37" s="18" t="n">
        <v>-57</v>
      </c>
      <c r="C37" s="19" t="n">
        <f aca="false">ROUND(( B37-3*$C$10/1000*$C$8*LN($C$9) )*1000/$C$10,0)</f>
        <v>-5573</v>
      </c>
      <c r="D37" s="20" t="n">
        <v>0.000309190214361277</v>
      </c>
      <c r="E37" s="20" t="n">
        <v>0.000226225193954092</v>
      </c>
      <c r="F37" s="21" t="n">
        <f aca="false">E37*1000/10^30/($C$6)*$C$7*$F$8</f>
        <v>5.35470189944209E-007</v>
      </c>
      <c r="G37" s="21" t="n">
        <f aca="false">EXP((C37)/$C$8)/$C$9^3</f>
        <v>5.58334793812455E-007</v>
      </c>
      <c r="H37" s="22"/>
      <c r="I37" s="23" t="n">
        <f aca="false">IF($F$13=1,(2*G37*$G$51^2+($F$51-$G$51)*G37^2)/(($F$51+$G$51)*$G$51^2),IF($F$13=0,(2*G37*$G$52^2+($F$52-$G$52)*G37^2)/(($F$52+$G$52)*$G$52^2),"Error"))</f>
        <v>0.0317094001094643</v>
      </c>
      <c r="J37" s="23" t="n">
        <f aca="false">IF($F$13=1,D37/$C$1, IF($F$13=0,D37/$C$2 ,"Error"))</f>
        <v>0.0304021843029771</v>
      </c>
      <c r="K37" s="23" t="n">
        <f aca="false">(I37-J37)^2</f>
        <v>1.70881316473005E-006</v>
      </c>
      <c r="L37" s="23"/>
    </row>
    <row r="38" customFormat="false" ht="13.3" hidden="false" customHeight="false" outlineLevel="0" collapsed="false">
      <c r="A38" s="18" t="s">
        <v>35</v>
      </c>
      <c r="B38" s="18" t="n">
        <v>-54</v>
      </c>
      <c r="C38" s="19" t="n">
        <f aca="false">ROUND(( B38-3*$C$10/1000*$C$8*LN($C$9) )*1000/$C$10,0)</f>
        <v>-5212</v>
      </c>
      <c r="D38" s="20" t="n">
        <v>0.00103621009565868</v>
      </c>
      <c r="E38" s="20" t="n">
        <v>0.00075958607860479</v>
      </c>
      <c r="F38" s="21" t="n">
        <f aca="false">E38*1000/10^30/($C$6)*$C$7*$F$8</f>
        <v>1.79792398309104E-006</v>
      </c>
      <c r="G38" s="21" t="n">
        <f aca="false">EXP((C38)/$C$8)/$C$9^3</f>
        <v>1.87500792927886E-006</v>
      </c>
      <c r="H38" s="22"/>
      <c r="I38" s="23" t="n">
        <f aca="false">IF($F$13=1,(2*G38*$G$51^2+($F$51-$G$51)*G38^2)/(($F$51+$G$51)*$G$51^2),IF($F$13=0,(2*G38*$G$52^2+($F$52-$G$52)*G38^2)/(($F$52+$G$52)*$G$52^2),"Error"))</f>
        <v>0.106498684747478</v>
      </c>
      <c r="J38" s="23" t="n">
        <f aca="false">IF($F$13=1,D38/$C$1, IF($F$13=0,D38/$C$2 ,"Error"))</f>
        <v>0.101888898294855</v>
      </c>
      <c r="K38" s="23" t="n">
        <f aca="false">(I38-J38)^2</f>
        <v>2.12501311387856E-005</v>
      </c>
      <c r="L38" s="23"/>
    </row>
    <row r="39" customFormat="false" ht="13.3" hidden="false" customHeight="false" outlineLevel="0" collapsed="false">
      <c r="A39" s="18" t="s">
        <v>35</v>
      </c>
      <c r="B39" s="18" t="n">
        <v>-51</v>
      </c>
      <c r="C39" s="19" t="n">
        <f aca="false">ROUND(( B39-3*$C$10/1000*$C$8*LN($C$9) )*1000/$C$10,0)</f>
        <v>-4852</v>
      </c>
      <c r="D39" s="20" t="n">
        <v>0.00349415826848303</v>
      </c>
      <c r="E39" s="20" t="n">
        <v>0.00254650644824351</v>
      </c>
      <c r="F39" s="21" t="n">
        <f aca="false">E39*1000/10^30/($C$6)*$C$7*$F$8</f>
        <v>6.02752623481811E-006</v>
      </c>
      <c r="G39" s="21" t="n">
        <f aca="false">EXP((C39)/$C$8)/$C$9^3</f>
        <v>6.27558419592955E-006</v>
      </c>
      <c r="H39" s="22"/>
      <c r="I39" s="23" t="n">
        <f aca="false">IF($F$13=1,(2*G39*$G$51^2+($F$51-$G$51)*G39^2)/(($F$51+$G$51)*$G$51^2),IF($F$13=0,(2*G39*$G$52^2+($F$52-$G$52)*G39^2)/(($F$52+$G$52)*$G$52^2),"Error"))</f>
        <v>0.356578392480828</v>
      </c>
      <c r="J39" s="23" t="n">
        <f aca="false">IF($F$13=1,D39/$C$1, IF($F$13=0,D39/$C$2 ,"Error"))</f>
        <v>0.343575050981616</v>
      </c>
      <c r="K39" s="23" t="n">
        <f aca="false">(I39-J39)^2</f>
        <v>0.000169086890145136</v>
      </c>
    </row>
    <row r="40" customFormat="false" ht="13.3" hidden="false" customHeight="false" outlineLevel="0" collapsed="false">
      <c r="A40" s="18" t="s">
        <v>35</v>
      </c>
      <c r="B40" s="18" t="n">
        <v>-49.5</v>
      </c>
      <c r="C40" s="19" t="n">
        <f aca="false">ROUND(( B40-3*$C$10/1000*$C$8*LN($C$9) )*1000/$C$10,0)</f>
        <v>-4671</v>
      </c>
      <c r="D40" s="20" t="n">
        <v>0.00650823882255489</v>
      </c>
      <c r="E40" s="20" t="n">
        <v>0.00468549879399202</v>
      </c>
      <c r="F40" s="21" t="n">
        <f aca="false">E40*1000/10^30/($C$6)*$C$7*$F$8</f>
        <v>1.10904753151031E-005</v>
      </c>
      <c r="G40" s="21" t="n">
        <f aca="false">EXP((C40)/$C$8)/$C$9^3</f>
        <v>1.15195907558726E-005</v>
      </c>
      <c r="H40" s="22"/>
      <c r="I40" s="23" t="n">
        <f aca="false">IF($F$13=1,(2*G40*$G$51^2+($F$51-$G$51)*G40^2)/(($F$51+$G$51)*$G$51^2),IF($F$13=0,(2*G40*$G$52^2+($F$52-$G$52)*G40^2)/(($F$52+$G$52)*$G$52^2),"Error"))</f>
        <v>0.654829409937213</v>
      </c>
      <c r="J40" s="23" t="n">
        <f aca="false">IF($F$13=1,D40/$C$1, IF($F$13=0,D40/$C$2 ,"Error"))</f>
        <v>0.639944820310215</v>
      </c>
      <c r="K40" s="23" t="n">
        <f aca="false">(I40-J40)^2</f>
        <v>0.000221551008364134</v>
      </c>
      <c r="L40" s="23"/>
    </row>
    <row r="41" customFormat="false" ht="13.3" hidden="false" customHeight="false" outlineLevel="0" collapsed="false">
      <c r="A41" s="18" t="s">
        <v>35</v>
      </c>
      <c r="B41" s="18" t="n">
        <v>-48</v>
      </c>
      <c r="C41" s="19" t="n">
        <f aca="false">ROUND(( B41-3*$C$10/1000*$C$8*LN($C$9) )*1000/$C$10,0)</f>
        <v>-4491</v>
      </c>
      <c r="D41" s="20" t="n">
        <v>0.0116488978223353</v>
      </c>
      <c r="E41" s="20" t="n">
        <v>0.00861183574323353</v>
      </c>
      <c r="F41" s="21" t="n">
        <f aca="false">E41*1000/10^30/($C$6)*$C$7*$F$8</f>
        <v>2.03840307995642E-005</v>
      </c>
      <c r="G41" s="21" t="n">
        <f aca="false">EXP((C41)/$C$8)/$C$9^3</f>
        <v>2.10747570429534E-005</v>
      </c>
      <c r="H41" s="22"/>
      <c r="I41" s="23" t="n">
        <f aca="false">IF($F$13=1,(2*G41*$G$51^2+($F$51-$G$51)*G41^2)/(($F$51+$G$51)*$G$51^2),IF($F$13=0,(2*G41*$G$52^2+($F$52-$G$52)*G41^2)/(($F$52+$G$52)*$G$52^2),"Error"))</f>
        <v>1.19894750900025</v>
      </c>
      <c r="J41" s="23" t="n">
        <f aca="false">IF($F$13=1,D41/$C$1, IF($F$13=0,D41/$C$2 ,"Error"))</f>
        <v>1.14541768164556</v>
      </c>
      <c r="K41" s="23" t="n">
        <f aca="false">(I41-J41)^2</f>
        <v>0.00286544241662373</v>
      </c>
      <c r="L41" s="28"/>
    </row>
    <row r="42" customFormat="false" ht="13.3" hidden="false" customHeight="false" outlineLevel="0" collapsed="false">
      <c r="A42" s="18" t="s">
        <v>35</v>
      </c>
      <c r="B42" s="18" t="n">
        <v>-47.625</v>
      </c>
      <c r="C42" s="19" t="n">
        <f aca="false">ROUND(( B42-3*$C$10/1000*$C$8*LN($C$9) )*1000/$C$10,0)</f>
        <v>-4446</v>
      </c>
      <c r="D42" s="20"/>
      <c r="E42" s="20"/>
      <c r="F42" s="21" t="n">
        <f aca="false">E42*1000/10^30/($C$6)*$C$7*$F$8</f>
        <v>0</v>
      </c>
      <c r="G42" s="21" t="n">
        <f aca="false">EXP((C42)/$C$8)/$C$9^3</f>
        <v>2.45100365071784E-005</v>
      </c>
      <c r="H42" s="22"/>
      <c r="I42" s="23" t="n">
        <f aca="false">IF($F$13=1,(2*G42*$G$51^2+($F$51-$G$51)*G42^2)/(($F$51+$G$51)*$G$51^2),IF($F$13=0,(2*G42*$G$52^2+($F$52-$G$52)*G42^2)/(($F$52+$G$52)*$G$52^2),"Error"))</f>
        <v>1.39478107438636</v>
      </c>
      <c r="J42" s="23" t="n">
        <f aca="false">IF($F$13=1,D42/$C$1, IF($F$13=0,D42/$C$2 ,"Error"))</f>
        <v>0</v>
      </c>
      <c r="K42" s="23" t="n">
        <f aca="false">(I42-J42)^2</f>
        <v>1.94541424546638</v>
      </c>
      <c r="L42" s="23"/>
    </row>
    <row r="43" customFormat="false" ht="13.3" hidden="false" customHeight="false" outlineLevel="0" collapsed="false">
      <c r="A43" s="18" t="s">
        <v>35</v>
      </c>
      <c r="B43" s="18" t="n">
        <v>-47.25</v>
      </c>
      <c r="C43" s="19" t="n">
        <f aca="false">ROUND(( B43-3*$C$10/1000*$C$8*LN($C$9) )*1000/$C$10,0)</f>
        <v>-4401</v>
      </c>
      <c r="D43" s="20" t="n">
        <v>0.016535945146507</v>
      </c>
      <c r="E43" s="20" t="n">
        <v>0.0116967694862275</v>
      </c>
      <c r="F43" s="21" t="n">
        <f aca="false">E43*1000/10^30/($C$6)*$C$7*$F$8</f>
        <v>2.76860029117485E-005</v>
      </c>
      <c r="G43" s="21" t="n">
        <f aca="false">EXP((C43)/$C$8)/$C$9^3</f>
        <v>2.85052818572864E-005</v>
      </c>
      <c r="H43" s="22"/>
      <c r="I43" s="23" t="n">
        <f aca="false">IF($F$13=1,(2*G43*$G$51^2+($F$51-$G$51)*G43^2)/(($F$51+$G$51)*$G$51^2),IF($F$13=0,(2*G43*$G$52^2+($F$52-$G$52)*G43^2)/(($F$52+$G$52)*$G$52^2),"Error"))</f>
        <v>1.62267733567404</v>
      </c>
      <c r="J43" s="23" t="n">
        <f aca="false">IF($F$13=1,D43/$C$1, IF($F$13=0,D43/$C$2 ,"Error"))</f>
        <v>1.62595330840777</v>
      </c>
      <c r="K43" s="23" t="n">
        <f aca="false">(I43-J43)^2</f>
        <v>1.07319973521448E-005</v>
      </c>
      <c r="L43" s="23"/>
    </row>
    <row r="44" customFormat="false" ht="12.8" hidden="false" customHeight="false" outlineLevel="0" collapsed="false">
      <c r="A44" s="18" t="s">
        <v>35</v>
      </c>
      <c r="B44" s="18" t="n">
        <v>-46.5</v>
      </c>
      <c r="C44" s="19" t="n">
        <f aca="false">ROUND(( B44-3*$C$10/1000*$C$8*LN($C$9) )*1000/$C$10,0)</f>
        <v>-4310</v>
      </c>
      <c r="D44" s="20" t="n">
        <v>0.0213840720291816</v>
      </c>
      <c r="E44" s="20" t="n">
        <v>0.0159371913149701</v>
      </c>
      <c r="F44" s="21" t="n">
        <f aca="false">E44*1000/10^30/($C$6)*$C$7*$F$8</f>
        <v>3.77229905805099E-005</v>
      </c>
      <c r="G44" s="21" t="n">
        <f aca="false">EXP((C44)/$C$8)/$C$9^3</f>
        <v>3.86852552423301E-005</v>
      </c>
      <c r="H44" s="22"/>
      <c r="I44" s="23" t="n">
        <f aca="false">IF($F$13=1,(2*G44*$G$51^2+($F$51-$G$51)*G44^2)/(($F$51+$G$51)*$G$51^2),IF($F$13=0,(2*G44*$G$52^2+($F$52-$G$52)*G44^2)/(($F$52+$G$52)*$G$52^2),"Error"))</f>
        <v>2.20404718434236</v>
      </c>
      <c r="J44" s="23" t="n">
        <f aca="false">IF($F$13=1,D44/$C$1, IF($F$13=0,D44/$C$2 ,"Error"))</f>
        <v>2.10266194977204</v>
      </c>
      <c r="K44" s="23" t="n">
        <f aca="false">(I44-J44)^2</f>
        <v>0.0102789657888796</v>
      </c>
      <c r="L44" s="23"/>
    </row>
    <row r="45" customFormat="false" ht="12.8" hidden="false" customHeight="false" outlineLevel="0" collapsed="false">
      <c r="A45" s="18" t="s">
        <v>35</v>
      </c>
      <c r="B45" s="18" t="n">
        <v>-45</v>
      </c>
      <c r="C45" s="19" t="n">
        <f aca="false">ROUND(( B45-3*$C$10/1000*$C$8*LN($C$9) )*1000/$C$10,0)</f>
        <v>-4130</v>
      </c>
      <c r="D45" s="20" t="n">
        <v>0.0402549221934132</v>
      </c>
      <c r="E45" s="20" t="n">
        <v>0.0298341893187625</v>
      </c>
      <c r="F45" s="21" t="n">
        <f aca="false">E45*1000/10^30/($C$6)*$C$7*$F$8</f>
        <v>7.06168872799867E-005</v>
      </c>
      <c r="G45" s="21" t="n">
        <f aca="false">EXP((C45)/$C$8)/$C$9^3</f>
        <v>7.07735519997634E-005</v>
      </c>
      <c r="H45" s="22"/>
      <c r="I45" s="23" t="n">
        <f aca="false">IF($F$13=1,(2*G45*$G$51^2+($F$51-$G$51)*G45^2)/(($F$51+$G$51)*$G$51^2),IF($F$13=0,(2*G45*$G$52^2+($F$52-$G$52)*G45^2)/(($F$52+$G$52)*$G$52^2),"Error"))</f>
        <v>4.04302293037868</v>
      </c>
      <c r="J45" s="23" t="n">
        <f aca="false">IF($F$13=1,D45/$C$1, IF($F$13=0,D45/$C$2 ,"Error"))</f>
        <v>3.95820277221369</v>
      </c>
      <c r="K45" s="23" t="n">
        <f aca="false">(I45-J45)^2</f>
        <v>0.00719445923113356</v>
      </c>
      <c r="L45" s="28"/>
    </row>
    <row r="46" customFormat="false" ht="12.8" hidden="false" customHeight="false" outlineLevel="0" collapsed="false">
      <c r="A46" s="18" t="s">
        <v>35</v>
      </c>
      <c r="B46" s="18" t="n">
        <v>-44.625</v>
      </c>
      <c r="C46" s="19" t="n">
        <f aca="false">ROUND(( B46-3*$C$10/1000*$C$8*LN($C$9) )*1000/$C$10,0)</f>
        <v>-4085</v>
      </c>
      <c r="D46" s="20" t="n">
        <v>0.0424468016266068</v>
      </c>
      <c r="E46" s="20" t="n">
        <v>0.0352308602606786</v>
      </c>
      <c r="F46" s="21" t="n">
        <f aca="false">E46*1000/10^30/($C$6)*$C$7*$F$8</f>
        <v>8.33906918409439E-005</v>
      </c>
      <c r="G46" s="21" t="n">
        <f aca="false">EXP((C46)/$C$8)/$C$9^3</f>
        <v>8.2309956870269E-005</v>
      </c>
      <c r="H46" s="22"/>
      <c r="I46" s="23" t="n">
        <f aca="false">IF($F$13=1,(2*G46*$G$51^2+($F$51-$G$51)*G46^2)/(($F$51+$G$51)*$G$51^2),IF($F$13=0,(2*G46*$G$52^2+($F$52-$G$52)*G46^2)/(($F$52+$G$52)*$G$52^2),"Error"))</f>
        <v>4.70656216121485</v>
      </c>
      <c r="J46" s="23" t="n">
        <f aca="false">IF($F$13=1,D46/$C$1, IF($F$13=0,D46/$C$2 ,"Error"))</f>
        <v>4.17372680694266</v>
      </c>
      <c r="K46" s="23" t="n">
        <f aca="false">(I46-J46)^2</f>
        <v>0.283913514762377</v>
      </c>
      <c r="L46" s="23"/>
    </row>
    <row r="47" customFormat="false" ht="12.8" hidden="false" customHeight="false" outlineLevel="0" collapsed="false">
      <c r="A47" s="18" t="s">
        <v>35</v>
      </c>
      <c r="B47" s="18" t="n">
        <v>-44.25</v>
      </c>
      <c r="C47" s="19" t="n">
        <f aca="false">ROUND(( B47-3*$C$10/1000*$C$8*LN($C$9) )*1000/$C$10,0)</f>
        <v>-4040</v>
      </c>
      <c r="D47" s="20" t="n">
        <v>0.0554634454568403</v>
      </c>
      <c r="E47" s="20" t="n">
        <v>0.0450245328696607</v>
      </c>
      <c r="F47" s="21" t="n">
        <f aca="false">E47*1000/10^30/($C$6)*$C$7*$F$8</f>
        <v>0.00010657210519514</v>
      </c>
      <c r="G47" s="21" t="n">
        <f aca="false">EXP((C47)/$C$8)/$C$9^3</f>
        <v>9.57268472268876E-005</v>
      </c>
      <c r="H47" s="22"/>
      <c r="I47" s="23" t="n">
        <f aca="false">IF($F$13=1,(2*G47*$G$51^2+($F$51-$G$51)*G47^2)/(($F$51+$G$51)*$G$51^2),IF($F$13=0,(2*G47*$G$52^2+($F$52-$G$52)*G47^2)/(($F$52+$G$52)*$G$52^2),"Error"))</f>
        <v>5.47985083392975</v>
      </c>
      <c r="J47" s="23" t="n">
        <f aca="false">IF($F$13=1,D47/$C$1, IF($F$13=0,D47/$C$2 ,"Error"))</f>
        <v>5.45363278828322</v>
      </c>
      <c r="K47" s="23" t="n">
        <f aca="false">(I47-J47)^2</f>
        <v>0.00068738591752368</v>
      </c>
      <c r="L47" s="23"/>
    </row>
    <row r="48" customFormat="false" ht="12.8" hidden="false" customHeight="false" outlineLevel="0" collapsed="false">
      <c r="A48" s="18" t="s">
        <v>35</v>
      </c>
      <c r="B48" s="18" t="n">
        <f aca="false">B47+0.75/2</f>
        <v>-43.875</v>
      </c>
      <c r="C48" s="19" t="n">
        <f aca="false">ROUND(( B48-3*$C$10/1000*$C$8*LN($C$9) )*1000/$C$10,0)</f>
        <v>-3995</v>
      </c>
      <c r="D48" s="20"/>
      <c r="E48" s="20"/>
      <c r="F48" s="21" t="n">
        <f aca="false">E48*1000/10^30/($C$6)*$C$7*$F$8</f>
        <v>0</v>
      </c>
      <c r="G48" s="21" t="n">
        <f aca="false">EXP((C48)/$C$8)/$C$9^3</f>
        <v>0.000111330750597318</v>
      </c>
      <c r="H48" s="22"/>
      <c r="I48" s="23" t="n">
        <f aca="false">IF($F$13=1,(2*G48*$G$51^2+($F$51-$G$51)*G48^2)/(($F$51+$G$51)*$G$51^2),IF($F$13=0,(2*G48*$G$52^2+($F$52-$G$52)*G48^2)/(($F$52+$G$52)*$G$52^2),"Error"))</f>
        <v>6.381339052511</v>
      </c>
      <c r="J48" s="23" t="n">
        <f aca="false">IF($F$13=1,D48/$C$1, IF($F$13=0,D48/$C$2 ,"Error"))</f>
        <v>0</v>
      </c>
      <c r="K48" s="23" t="n">
        <f aca="false">(I48-J48)^2</f>
        <v>40.721488103102</v>
      </c>
      <c r="L48" s="23"/>
    </row>
    <row r="49" customFormat="false" ht="12.8" hidden="false" customHeight="false" outlineLevel="0" collapsed="false">
      <c r="A49" s="18" t="s">
        <v>35</v>
      </c>
      <c r="B49" s="18" t="n">
        <v>-43.5</v>
      </c>
      <c r="C49" s="19" t="n">
        <f aca="false">ROUND(( B49-3*$C$10/1000*$C$8*LN($C$9) )*1000/$C$10,0)</f>
        <v>-3950</v>
      </c>
      <c r="D49" s="20" t="n">
        <v>0.0771008162617964</v>
      </c>
      <c r="E49" s="20" t="n">
        <v>0.0588993053347305</v>
      </c>
      <c r="F49" s="21" t="n">
        <f aca="false">E49*1000/10^30/($C$6)*$C$7*$F$8</f>
        <v>0.000139413394520375</v>
      </c>
      <c r="G49" s="21" t="n">
        <f aca="false">EXP((C49)/$C$8)/$C$9^3</f>
        <v>0.000129478159864444</v>
      </c>
      <c r="H49" s="22"/>
      <c r="I49" s="23" t="n">
        <f aca="false">IF($F$13=1,(2*G49*$G$51^2+($F$51-$G$51)*G49^2)/(($F$51+$G$51)*$G$51^2),IF($F$13=0,(2*G49*$G$52^2+($F$52-$G$52)*G49^2)/(($F$52+$G$52)*$G$52^2),"Error"))</f>
        <v>7.43268197516014</v>
      </c>
      <c r="J49" s="23" t="n">
        <f aca="false">IF($F$13=1,D49/$C$1, IF($F$13=0,D49/$C$2 ,"Error"))</f>
        <v>7.58120120568303</v>
      </c>
      <c r="K49" s="23" t="n">
        <f aca="false">(I49-J49)^2</f>
        <v>0.0220579618351103</v>
      </c>
      <c r="L49" s="23"/>
    </row>
    <row r="50" customFormat="false" ht="12.8" hidden="false" customHeight="false" outlineLevel="0" collapsed="false">
      <c r="A50" s="18" t="s">
        <v>35</v>
      </c>
      <c r="B50" s="18" t="n">
        <v>-42</v>
      </c>
      <c r="C50" s="19" t="n">
        <f aca="false">ROUND(( B50-3*$C$10/1000*$C$8*LN($C$9) )*1000/$C$10,0)</f>
        <v>-3769</v>
      </c>
      <c r="D50" s="20"/>
      <c r="E50" s="20"/>
      <c r="F50" s="21" t="n">
        <f aca="false">E50*1000/10^30/($C$6)*$C$7*$F$8</f>
        <v>0</v>
      </c>
      <c r="G50" s="21" t="n">
        <f aca="false">EXP((C50)/$C$8)/$C$9^3</f>
        <v>0.000237672759522417</v>
      </c>
      <c r="H50" s="22"/>
      <c r="I50" s="23" t="n">
        <f aca="false">IF($F$13=1,(2*G50*$G$51^2+($F$51-$G$51)*G50^2)/(($F$51+$G$51)*$G$51^2),IF($F$13=0,(2*G50*$G$52^2+($F$52-$G$52)*G50^2)/(($F$52+$G$52)*$G$52^2),"Error"))</f>
        <v>13.7656756554435</v>
      </c>
      <c r="J50" s="23" t="n">
        <f aca="false">IF($F$13=1,D50/$C$1, IF($F$13=0,D50/$C$2 ,"Error"))</f>
        <v>0</v>
      </c>
      <c r="K50" s="23" t="n">
        <f aca="false">(I50-J50)^2</f>
        <v>189.49382625087</v>
      </c>
      <c r="L50" s="23"/>
    </row>
    <row r="51" customFormat="false" ht="23.85" hidden="false" customHeight="false" outlineLevel="0" collapsed="false">
      <c r="A51" s="29" t="s">
        <v>36</v>
      </c>
      <c r="B51" s="29"/>
      <c r="C51" s="30" t="n">
        <f aca="false">$F$1</f>
        <v>-4544.9834825673</v>
      </c>
      <c r="D51" s="30" t="n">
        <f aca="false">$C$1</f>
        <v>0.01017</v>
      </c>
      <c r="E51" s="30" t="n">
        <f aca="false">$F$2</f>
        <v>0.00745022900312973</v>
      </c>
      <c r="F51" s="31" t="n">
        <f aca="false">IF($C$13=1,$C$14,IF($C$13=0, E51*1000/10^30/($C$6)*$C$7*$F$8,"Error"))</f>
        <v>1.76345325191468E-005</v>
      </c>
      <c r="G51" s="3" t="n">
        <f aca="false">EXP((C51)/$C$8)/$C$9^3</f>
        <v>1.75828386482891E-005</v>
      </c>
      <c r="H51" s="22"/>
      <c r="I51" s="23" t="n">
        <f aca="false">IF($F$13=1,(2*G51*$G$51^2+($F$51-$G$51)*G51^2)/(($F$51+$G$51)*$G$51^2),IF($F$13=0,(2*G51*$G$52^2+($F$52-$G$52)*G51^2)/(($F$52+$G$52)*$G$52^2),"Error"))</f>
        <v>1</v>
      </c>
      <c r="J51" s="3" t="n">
        <f aca="false">IF($F$13=1,D51/$C$1, IF($F$13=0,D51/$C$2 ,"Error"))</f>
        <v>1</v>
      </c>
      <c r="K51" s="3" t="n">
        <f aca="false">(I51-J51)^2</f>
        <v>0</v>
      </c>
      <c r="L51" s="3"/>
    </row>
    <row r="52" customFormat="false" ht="35.05" hidden="false" customHeight="false" outlineLevel="0" collapsed="false">
      <c r="A52" s="29" t="s">
        <v>37</v>
      </c>
      <c r="B52" s="29"/>
      <c r="C52" s="30" t="n">
        <f aca="false">$F$4</f>
        <v>-4202.40108324628</v>
      </c>
      <c r="D52" s="30" t="n">
        <f aca="false">$C$2</f>
        <v>0.031505367196597</v>
      </c>
      <c r="E52" s="30" t="n">
        <f aca="false">$F$5</f>
        <v>0.0233979232993202</v>
      </c>
      <c r="F52" s="31" t="n">
        <f aca="false">IF($C$13=1,$C$14,IF($C$13=0, E52*1000/10^30/($C$6)*$C$7*$F$8,"Error"))</f>
        <v>5.53823834313057E-005</v>
      </c>
      <c r="G52" s="3" t="n">
        <f aca="false">EXP((C52)/$C$8)/$C$9^3</f>
        <v>5.55080866972363E-005</v>
      </c>
      <c r="H52" s="22"/>
      <c r="I52" s="23" t="n">
        <f aca="false">IF($F$13=1,(2*G52*$G$51^2+($F$51-$G$51)*G52^2)/(($F$51+$G$51)*$G$51^2),IF($F$13=0,(2*G52*$G$52^2+($F$52-$G$52)*G52^2)/(($F$52+$G$52)*$G$52^2),"Error"))</f>
        <v>3.16694196666626</v>
      </c>
      <c r="J52" s="3" t="n">
        <f aca="false">IF($F$13=1,D52/$C$1, IF($F$13=0,D52/$C$2 ,"Error"))</f>
        <v>3.097872880688</v>
      </c>
      <c r="K52" s="3" t="n">
        <f aca="false">(I52-J52)^2</f>
        <v>0.00477053863787263</v>
      </c>
      <c r="L52" s="3"/>
    </row>
    <row r="53" customFormat="false" ht="12.8" hidden="false" customHeight="false" outlineLevel="0" collapsed="false">
      <c r="C53" s="3"/>
      <c r="D53" s="3"/>
      <c r="E53" s="3"/>
      <c r="F53" s="3"/>
      <c r="G53" s="3"/>
      <c r="H53" s="22"/>
      <c r="I53" s="3"/>
      <c r="J53" s="3"/>
      <c r="K53" s="3"/>
      <c r="L53" s="3"/>
    </row>
    <row r="54" customFormat="false" ht="12.8" hidden="false" customHeight="false" outlineLevel="0" collapsed="false">
      <c r="B54" s="0" t="n">
        <f aca="false">B50-B47</f>
        <v>2.25</v>
      </c>
      <c r="J54" s="0" t="s">
        <v>38</v>
      </c>
      <c r="K54" s="0" t="n">
        <f aca="false">SUM(K24:K50)</f>
        <v>232.488209569989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2020-07-15T13:38:17Z</dcterms:created>
  <dc:creator/>
  <dc:description/>
  <dc:language>en-US</dc:language>
  <cp:lastModifiedBy/>
  <dcterms:modified xsi:type="dcterms:W3CDTF">2020-07-15T13:42:31Z</dcterms:modified>
  <cp:revision>4</cp:revision>
  <dc:subject/>
  <dc:title/>
</cp:coreProperties>
</file>