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25107B1C-2941-4251-981B-DE9620A83E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彙總" sheetId="6" r:id="rId1"/>
    <sheet name="彙總查詢" sheetId="7" r:id="rId2"/>
    <sheet name="總表" sheetId="1" r:id="rId3"/>
    <sheet name="代1-南山" sheetId="2" r:id="rId4"/>
    <sheet name="代2-景平" sheetId="3" r:id="rId5"/>
    <sheet name="代3-天母雅砌" sheetId="4" r:id="rId6"/>
    <sheet name="代-張宇音" sheetId="5" r:id="rId7"/>
  </sheets>
  <calcPr calcId="191029"/>
  <pivotCaches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3" i="6" l="1"/>
  <c r="K432" i="6"/>
  <c r="K431" i="6"/>
  <c r="K430" i="6"/>
  <c r="K429" i="6"/>
  <c r="K428" i="6"/>
  <c r="K427" i="6"/>
  <c r="K426" i="6"/>
  <c r="K425" i="6"/>
  <c r="K424" i="6"/>
  <c r="K423" i="6"/>
  <c r="K421" i="6"/>
  <c r="K420" i="6"/>
  <c r="K419" i="6"/>
  <c r="K418" i="6"/>
  <c r="K417" i="6"/>
  <c r="K416" i="6"/>
  <c r="K415" i="6"/>
  <c r="K414" i="6"/>
  <c r="K413" i="6"/>
  <c r="K412" i="6"/>
  <c r="K411" i="6"/>
  <c r="L423" i="6"/>
  <c r="L424" i="6"/>
  <c r="L425" i="6"/>
  <c r="L426" i="6"/>
  <c r="L427" i="6"/>
  <c r="L428" i="6"/>
  <c r="L429" i="6"/>
  <c r="L430" i="6"/>
  <c r="L431" i="6"/>
  <c r="L432" i="6"/>
  <c r="L433" i="6"/>
  <c r="L422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H445" i="6"/>
  <c r="H44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K361" i="6"/>
  <c r="L326" i="6"/>
  <c r="L327" i="6"/>
  <c r="K312" i="6"/>
  <c r="K311" i="6"/>
  <c r="K310" i="6"/>
  <c r="K309" i="6"/>
  <c r="K308" i="6"/>
  <c r="K307" i="6"/>
  <c r="K305" i="6"/>
  <c r="K304" i="6"/>
  <c r="K303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242" i="6"/>
  <c r="L243" i="6"/>
  <c r="L244" i="6"/>
  <c r="L245" i="6"/>
  <c r="L246" i="6"/>
  <c r="L247" i="6"/>
  <c r="L248" i="6"/>
  <c r="L249" i="6"/>
  <c r="L250" i="6"/>
  <c r="L251" i="6"/>
  <c r="L252" i="6"/>
  <c r="L254" i="6"/>
  <c r="L255" i="6"/>
  <c r="L256" i="6"/>
  <c r="L257" i="6"/>
  <c r="L258" i="6"/>
  <c r="L259" i="6"/>
  <c r="L260" i="6"/>
  <c r="L261" i="6"/>
  <c r="L262" i="6"/>
  <c r="L263" i="6"/>
  <c r="L264" i="6"/>
  <c r="L266" i="6"/>
  <c r="L267" i="6"/>
  <c r="L268" i="6"/>
  <c r="L269" i="6"/>
  <c r="L270" i="6"/>
  <c r="L271" i="6"/>
  <c r="L272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1" i="6"/>
  <c r="L195" i="6"/>
  <c r="L196" i="6"/>
  <c r="L197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9" i="6"/>
  <c r="L240" i="6"/>
  <c r="L241" i="6"/>
  <c r="L194" i="6"/>
  <c r="H300" i="6"/>
  <c r="L300" i="6" s="1"/>
  <c r="H276" i="6"/>
  <c r="L276" i="6" s="1"/>
  <c r="H275" i="6"/>
  <c r="L275" i="6" s="1"/>
  <c r="H274" i="6"/>
  <c r="L274" i="6" s="1"/>
  <c r="H273" i="6"/>
  <c r="L273" i="6" s="1"/>
  <c r="H265" i="6"/>
  <c r="L265" i="6" s="1"/>
  <c r="H253" i="6"/>
  <c r="L253" i="6" s="1"/>
  <c r="H238" i="6"/>
  <c r="L238" i="6" s="1"/>
  <c r="K193" i="6"/>
  <c r="H216" i="6"/>
  <c r="L216" i="6" s="1"/>
  <c r="H215" i="6"/>
  <c r="L215" i="6" s="1"/>
  <c r="H198" i="6"/>
  <c r="L198" i="6" s="1"/>
  <c r="H165" i="6"/>
  <c r="L122" i="6" l="1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G14" i="4"/>
  <c r="G15" i="4" s="1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86" i="6"/>
  <c r="H105" i="6"/>
  <c r="L105" i="6" s="1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50" i="6"/>
  <c r="L51" i="6"/>
  <c r="L52" i="6"/>
  <c r="L53" i="6"/>
  <c r="L54" i="6"/>
  <c r="L56" i="6"/>
  <c r="L58" i="6"/>
  <c r="L59" i="6"/>
  <c r="L60" i="6"/>
  <c r="L61" i="6"/>
  <c r="L38" i="6"/>
  <c r="L39" i="6"/>
  <c r="L40" i="6"/>
  <c r="L41" i="6"/>
  <c r="L42" i="6"/>
  <c r="L43" i="6"/>
  <c r="L46" i="6"/>
  <c r="L47" i="6"/>
  <c r="L48" i="6"/>
  <c r="L49" i="6"/>
  <c r="H60" i="6"/>
  <c r="H57" i="6"/>
  <c r="L57" i="6" s="1"/>
  <c r="H55" i="6"/>
  <c r="L55" i="6" s="1"/>
  <c r="H45" i="6"/>
  <c r="L45" i="6" s="1"/>
  <c r="H44" i="6"/>
  <c r="L44" i="6" s="1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14" i="6"/>
  <c r="L15" i="6"/>
  <c r="L16" i="6"/>
  <c r="L17" i="6"/>
  <c r="L19" i="6"/>
  <c r="L20" i="6"/>
  <c r="L21" i="6"/>
  <c r="L22" i="6"/>
  <c r="L23" i="6"/>
  <c r="L24" i="6"/>
  <c r="L2" i="6"/>
  <c r="L3" i="6"/>
  <c r="H18" i="6"/>
  <c r="L18" i="6" s="1"/>
  <c r="L4" i="6"/>
  <c r="L5" i="6"/>
  <c r="L6" i="6"/>
  <c r="L7" i="6"/>
  <c r="L8" i="6"/>
  <c r="L9" i="6"/>
  <c r="L10" i="6"/>
  <c r="L11" i="6"/>
  <c r="L12" i="6"/>
  <c r="L13" i="6"/>
  <c r="K13" i="6"/>
  <c r="G37" i="4"/>
  <c r="R37" i="4" l="1"/>
  <c r="F28" i="3"/>
  <c r="R46" i="5" l="1"/>
  <c r="R44" i="5"/>
  <c r="M29" i="1" l="1"/>
  <c r="N29" i="1"/>
  <c r="M28" i="1"/>
  <c r="N28" i="1"/>
  <c r="Q6" i="3" l="1"/>
  <c r="Q91" i="5"/>
  <c r="P91" i="5"/>
  <c r="O91" i="5"/>
  <c r="N91" i="5"/>
  <c r="M91" i="5"/>
  <c r="Q89" i="5"/>
  <c r="P89" i="5"/>
  <c r="O89" i="5"/>
  <c r="N89" i="5"/>
  <c r="M89" i="5"/>
  <c r="L89" i="5"/>
  <c r="K89" i="5"/>
  <c r="Q87" i="5"/>
  <c r="P87" i="5"/>
  <c r="O87" i="5"/>
  <c r="N87" i="5"/>
  <c r="M87" i="5"/>
  <c r="L87" i="5"/>
  <c r="K87" i="5"/>
  <c r="Q85" i="5"/>
  <c r="P85" i="5"/>
  <c r="O85" i="5"/>
  <c r="N85" i="5"/>
  <c r="M85" i="5"/>
  <c r="L85" i="5"/>
  <c r="K85" i="5"/>
  <c r="J85" i="5"/>
  <c r="Q83" i="5"/>
  <c r="P83" i="5"/>
  <c r="O83" i="5"/>
  <c r="N83" i="5"/>
  <c r="M83" i="5"/>
  <c r="L83" i="5"/>
  <c r="K83" i="5"/>
  <c r="J83" i="5"/>
  <c r="Q52" i="5"/>
  <c r="R52" i="5" s="1"/>
  <c r="Q24" i="5"/>
  <c r="Q61" i="5"/>
  <c r="P61" i="5"/>
  <c r="Q48" i="5"/>
  <c r="P17" i="5"/>
  <c r="L13" i="1" l="1"/>
  <c r="L28" i="1" s="1"/>
  <c r="L14" i="1"/>
  <c r="L29" i="1" s="1"/>
  <c r="P24" i="5"/>
  <c r="X46" i="5" l="1"/>
  <c r="X47" i="5"/>
  <c r="X50" i="5"/>
  <c r="P11" i="3" l="1"/>
  <c r="Q11" i="3"/>
  <c r="R11" i="3"/>
  <c r="P48" i="5" l="1"/>
  <c r="O17" i="5" l="1"/>
  <c r="O15" i="5"/>
  <c r="O103" i="5"/>
  <c r="O48" i="5"/>
  <c r="O28" i="5" l="1"/>
  <c r="K6" i="1"/>
  <c r="K21" i="1" s="1"/>
  <c r="L11" i="1"/>
  <c r="M11" i="1"/>
  <c r="N11" i="1"/>
  <c r="K11" i="1"/>
  <c r="K14" i="1" l="1"/>
  <c r="K29" i="1" s="1"/>
  <c r="K13" i="1"/>
  <c r="K28" i="1" s="1"/>
  <c r="O11" i="3"/>
  <c r="E14" i="4"/>
  <c r="O107" i="5"/>
  <c r="N48" i="5"/>
  <c r="N39" i="5"/>
  <c r="N65" i="5"/>
  <c r="N107" i="5"/>
  <c r="N4" i="3" l="1"/>
  <c r="N5" i="4"/>
  <c r="N6" i="3"/>
  <c r="N122" i="5"/>
  <c r="J14" i="1" s="1"/>
  <c r="J29" i="1" s="1"/>
  <c r="R122" i="5"/>
  <c r="N4" i="5"/>
  <c r="J13" i="1" s="1"/>
  <c r="J28" i="1" s="1"/>
  <c r="G13" i="1"/>
  <c r="G14" i="1"/>
  <c r="H14" i="1"/>
  <c r="I14" i="1"/>
  <c r="I13" i="1"/>
  <c r="J11" i="1"/>
  <c r="J6" i="1"/>
  <c r="I6" i="1"/>
  <c r="I11" i="1"/>
  <c r="M123" i="5"/>
  <c r="M9" i="5"/>
  <c r="N11" i="3" l="1"/>
  <c r="J21" i="1"/>
  <c r="N35" i="5"/>
  <c r="M107" i="5"/>
  <c r="L37" i="5"/>
  <c r="L35" i="5"/>
  <c r="M33" i="5"/>
  <c r="N63" i="5"/>
  <c r="M63" i="5"/>
  <c r="I29" i="1"/>
  <c r="M126" i="5"/>
  <c r="I28" i="1"/>
  <c r="L6" i="3"/>
  <c r="M4" i="3"/>
  <c r="M11" i="3" s="1"/>
  <c r="M14" i="4"/>
  <c r="M39" i="5"/>
  <c r="L39" i="5"/>
  <c r="L63" i="5" l="1"/>
  <c r="G28" i="1"/>
  <c r="G11" i="1"/>
  <c r="G26" i="1" s="1"/>
  <c r="H11" i="1"/>
  <c r="H26" i="1" s="1"/>
  <c r="U18" i="1"/>
  <c r="R17" i="1"/>
  <c r="G29" i="1"/>
  <c r="G6" i="1"/>
  <c r="G21" i="1" s="1"/>
  <c r="H6" i="1"/>
  <c r="H21" i="1" s="1"/>
  <c r="U14" i="1"/>
  <c r="U9" i="1"/>
  <c r="U4" i="1"/>
  <c r="R20" i="1"/>
  <c r="R11" i="1"/>
  <c r="R7" i="1"/>
  <c r="R4" i="1"/>
  <c r="L11" i="3"/>
  <c r="H13" i="1"/>
  <c r="H28" i="1" s="1"/>
  <c r="H29" i="1"/>
  <c r="Q2" i="1"/>
  <c r="A13" i="1" s="1"/>
  <c r="L61" i="5" l="1"/>
  <c r="E103" i="5" l="1"/>
  <c r="D103" i="5"/>
  <c r="K63" i="5"/>
  <c r="G123" i="5"/>
  <c r="C11" i="1" s="1"/>
  <c r="C26" i="1" s="1"/>
  <c r="H123" i="5"/>
  <c r="I123" i="5"/>
  <c r="E11" i="1" s="1"/>
  <c r="E26" i="1" s="1"/>
  <c r="J123" i="5"/>
  <c r="F11" i="1" s="1"/>
  <c r="F26" i="1" s="1"/>
  <c r="K123" i="5"/>
  <c r="L123" i="5"/>
  <c r="I26" i="1"/>
  <c r="N123" i="5"/>
  <c r="O123" i="5"/>
  <c r="P123" i="5"/>
  <c r="Q123" i="5"/>
  <c r="R123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G126" i="5"/>
  <c r="H126" i="5"/>
  <c r="I126" i="5"/>
  <c r="J126" i="5"/>
  <c r="K126" i="5"/>
  <c r="L126" i="5"/>
  <c r="N126" i="5"/>
  <c r="O126" i="5"/>
  <c r="P126" i="5"/>
  <c r="Q126" i="5"/>
  <c r="R126" i="5"/>
  <c r="H130" i="5"/>
  <c r="I130" i="5"/>
  <c r="J130" i="5"/>
  <c r="K130" i="5"/>
  <c r="L130" i="5"/>
  <c r="M130" i="5"/>
  <c r="N130" i="5"/>
  <c r="O130" i="5"/>
  <c r="P130" i="5"/>
  <c r="Q130" i="5"/>
  <c r="R130" i="5"/>
  <c r="H132" i="5"/>
  <c r="I132" i="5"/>
  <c r="J132" i="5"/>
  <c r="K132" i="5"/>
  <c r="L132" i="5"/>
  <c r="M132" i="5"/>
  <c r="N132" i="5"/>
  <c r="O132" i="5"/>
  <c r="P132" i="5"/>
  <c r="Q132" i="5"/>
  <c r="R132" i="5"/>
  <c r="H134" i="5"/>
  <c r="I134" i="5"/>
  <c r="J134" i="5"/>
  <c r="K134" i="5"/>
  <c r="L134" i="5"/>
  <c r="M134" i="5"/>
  <c r="N134" i="5"/>
  <c r="O134" i="5"/>
  <c r="P134" i="5"/>
  <c r="Q134" i="5"/>
  <c r="R134" i="5"/>
  <c r="G103" i="5"/>
  <c r="G104" i="5" s="1"/>
  <c r="H103" i="5"/>
  <c r="H104" i="5" s="1"/>
  <c r="I103" i="5"/>
  <c r="I104" i="5" s="1"/>
  <c r="J103" i="5"/>
  <c r="J104" i="5" s="1"/>
  <c r="K103" i="5"/>
  <c r="G10" i="1" s="1"/>
  <c r="G25" i="1" s="1"/>
  <c r="L103" i="5"/>
  <c r="H10" i="1" s="1"/>
  <c r="H25" i="1" s="1"/>
  <c r="M103" i="5"/>
  <c r="M104" i="5" s="1"/>
  <c r="N103" i="5"/>
  <c r="N104" i="5" s="1"/>
  <c r="O104" i="5"/>
  <c r="P103" i="5"/>
  <c r="P104" i="5" s="1"/>
  <c r="Q103" i="5"/>
  <c r="Q104" i="5" s="1"/>
  <c r="R103" i="5"/>
  <c r="R104" i="5" s="1"/>
  <c r="H107" i="5"/>
  <c r="I107" i="5"/>
  <c r="J107" i="5"/>
  <c r="J114" i="5" s="1"/>
  <c r="K107" i="5"/>
  <c r="L107" i="5"/>
  <c r="P107" i="5"/>
  <c r="Q107" i="5"/>
  <c r="R107" i="5"/>
  <c r="H109" i="5"/>
  <c r="I109" i="5"/>
  <c r="K109" i="5"/>
  <c r="L109" i="5"/>
  <c r="M109" i="5"/>
  <c r="N109" i="5"/>
  <c r="O109" i="5"/>
  <c r="P109" i="5"/>
  <c r="Q109" i="5"/>
  <c r="R109" i="5"/>
  <c r="H111" i="5"/>
  <c r="I111" i="5"/>
  <c r="K111" i="5"/>
  <c r="L111" i="5"/>
  <c r="M111" i="5"/>
  <c r="N111" i="5"/>
  <c r="O111" i="5"/>
  <c r="P111" i="5"/>
  <c r="Q111" i="5"/>
  <c r="R111" i="5"/>
  <c r="H113" i="5"/>
  <c r="I113" i="5"/>
  <c r="K113" i="5"/>
  <c r="L113" i="5"/>
  <c r="M113" i="5"/>
  <c r="N113" i="5"/>
  <c r="O113" i="5"/>
  <c r="P113" i="5"/>
  <c r="Q113" i="5"/>
  <c r="R113" i="5"/>
  <c r="D79" i="5"/>
  <c r="E79" i="5"/>
  <c r="G79" i="5"/>
  <c r="G80" i="5" s="1"/>
  <c r="H79" i="5"/>
  <c r="H80" i="5" s="1"/>
  <c r="I79" i="5"/>
  <c r="I80" i="5" s="1"/>
  <c r="J79" i="5"/>
  <c r="K79" i="5"/>
  <c r="K80" i="5" s="1"/>
  <c r="L79" i="5"/>
  <c r="L80" i="5" s="1"/>
  <c r="M79" i="5"/>
  <c r="M80" i="5" s="1"/>
  <c r="N79" i="5"/>
  <c r="O79" i="5"/>
  <c r="O80" i="5" s="1"/>
  <c r="P79" i="5"/>
  <c r="P80" i="5" s="1"/>
  <c r="Q79" i="5"/>
  <c r="Q80" i="5" s="1"/>
  <c r="R79" i="5"/>
  <c r="R80" i="5" s="1"/>
  <c r="H83" i="5"/>
  <c r="I83" i="5"/>
  <c r="H85" i="5"/>
  <c r="I85" i="5"/>
  <c r="H87" i="5"/>
  <c r="I87" i="5"/>
  <c r="H89" i="5"/>
  <c r="I89" i="5"/>
  <c r="H91" i="5"/>
  <c r="I91" i="5"/>
  <c r="R91" i="5"/>
  <c r="G53" i="5"/>
  <c r="H53" i="5"/>
  <c r="I53" i="5"/>
  <c r="J53" i="5"/>
  <c r="K53" i="5"/>
  <c r="L53" i="5"/>
  <c r="L54" i="5" s="1"/>
  <c r="M53" i="5"/>
  <c r="N53" i="5"/>
  <c r="O53" i="5"/>
  <c r="P53" i="5"/>
  <c r="P54" i="5" s="1"/>
  <c r="Q53" i="5"/>
  <c r="R53" i="5"/>
  <c r="H57" i="5"/>
  <c r="I57" i="5"/>
  <c r="J57" i="5"/>
  <c r="K57" i="5"/>
  <c r="L57" i="5"/>
  <c r="M57" i="5"/>
  <c r="N57" i="5"/>
  <c r="O57" i="5"/>
  <c r="P57" i="5"/>
  <c r="R57" i="5"/>
  <c r="H59" i="5"/>
  <c r="I59" i="5"/>
  <c r="J59" i="5"/>
  <c r="K59" i="5"/>
  <c r="L59" i="5"/>
  <c r="M59" i="5"/>
  <c r="N59" i="5"/>
  <c r="O59" i="5"/>
  <c r="P59" i="5"/>
  <c r="R59" i="5"/>
  <c r="H61" i="5"/>
  <c r="I61" i="5"/>
  <c r="J61" i="5"/>
  <c r="M61" i="5"/>
  <c r="N61" i="5"/>
  <c r="R61" i="5"/>
  <c r="H63" i="5"/>
  <c r="I63" i="5"/>
  <c r="J63" i="5"/>
  <c r="O63" i="5"/>
  <c r="P63" i="5"/>
  <c r="R63" i="5"/>
  <c r="H65" i="5"/>
  <c r="I65" i="5"/>
  <c r="J65" i="5"/>
  <c r="K65" i="5"/>
  <c r="L65" i="5"/>
  <c r="M65" i="5"/>
  <c r="O65" i="5"/>
  <c r="P65" i="5"/>
  <c r="Q65" i="5"/>
  <c r="R65" i="5"/>
  <c r="K22" i="5"/>
  <c r="K29" i="5" s="1"/>
  <c r="K30" i="5" s="1"/>
  <c r="G29" i="5"/>
  <c r="H29" i="5"/>
  <c r="I29" i="5"/>
  <c r="I30" i="5" s="1"/>
  <c r="J29" i="5"/>
  <c r="L29" i="5"/>
  <c r="L30" i="5" s="1"/>
  <c r="M29" i="5"/>
  <c r="M30" i="5" s="1"/>
  <c r="N29" i="5"/>
  <c r="O29" i="5"/>
  <c r="O30" i="5" s="1"/>
  <c r="P29" i="5"/>
  <c r="P30" i="5" s="1"/>
  <c r="Q29" i="5"/>
  <c r="Q30" i="5" s="1"/>
  <c r="R29" i="5"/>
  <c r="H33" i="5"/>
  <c r="I33" i="5"/>
  <c r="J33" i="5"/>
  <c r="L33" i="5"/>
  <c r="N33" i="5"/>
  <c r="O33" i="5"/>
  <c r="P33" i="5"/>
  <c r="Q33" i="5"/>
  <c r="R33" i="5"/>
  <c r="H35" i="5"/>
  <c r="I35" i="5"/>
  <c r="J35" i="5"/>
  <c r="K35" i="5"/>
  <c r="O35" i="5"/>
  <c r="P35" i="5"/>
  <c r="Q35" i="5"/>
  <c r="R35" i="5"/>
  <c r="H37" i="5"/>
  <c r="I37" i="5"/>
  <c r="J37" i="5"/>
  <c r="K37" i="5"/>
  <c r="N37" i="5"/>
  <c r="O37" i="5"/>
  <c r="P37" i="5"/>
  <c r="Q37" i="5"/>
  <c r="R37" i="5"/>
  <c r="H39" i="5"/>
  <c r="I39" i="5"/>
  <c r="J39" i="5"/>
  <c r="K39" i="5"/>
  <c r="O39" i="5"/>
  <c r="P39" i="5"/>
  <c r="Q39" i="5"/>
  <c r="R39" i="5"/>
  <c r="D11" i="1"/>
  <c r="D26" i="1" s="1"/>
  <c r="D4" i="1"/>
  <c r="D19" i="1" s="1"/>
  <c r="H4" i="1"/>
  <c r="H19" i="1" s="1"/>
  <c r="I4" i="1"/>
  <c r="I19" i="1" s="1"/>
  <c r="J4" i="1"/>
  <c r="K4" i="1"/>
  <c r="L4" i="1"/>
  <c r="M4" i="1"/>
  <c r="N4" i="1"/>
  <c r="C4" i="1"/>
  <c r="C19" i="1" s="1"/>
  <c r="K104" i="5" l="1"/>
  <c r="L9" i="1"/>
  <c r="H9" i="1"/>
  <c r="H24" i="1" s="1"/>
  <c r="D9" i="1"/>
  <c r="D24" i="1" s="1"/>
  <c r="K10" i="1"/>
  <c r="K9" i="1"/>
  <c r="N124" i="5"/>
  <c r="C9" i="1"/>
  <c r="C24" i="1" s="1"/>
  <c r="G9" i="1"/>
  <c r="G24" i="1" s="1"/>
  <c r="J9" i="1"/>
  <c r="N80" i="5"/>
  <c r="F9" i="1"/>
  <c r="F24" i="1" s="1"/>
  <c r="J80" i="5"/>
  <c r="D7" i="1"/>
  <c r="D22" i="1" s="1"/>
  <c r="H30" i="5"/>
  <c r="K8" i="1"/>
  <c r="O54" i="5"/>
  <c r="G8" i="1"/>
  <c r="G23" i="1" s="1"/>
  <c r="K54" i="5"/>
  <c r="C8" i="1"/>
  <c r="C23" i="1" s="1"/>
  <c r="G54" i="5"/>
  <c r="N7" i="1"/>
  <c r="R30" i="5"/>
  <c r="J7" i="1"/>
  <c r="N30" i="5"/>
  <c r="D8" i="1"/>
  <c r="D23" i="1" s="1"/>
  <c r="H54" i="5"/>
  <c r="F7" i="1"/>
  <c r="F22" i="1" s="1"/>
  <c r="J30" i="5"/>
  <c r="M8" i="1"/>
  <c r="Q54" i="5"/>
  <c r="E8" i="1"/>
  <c r="E23" i="1" s="1"/>
  <c r="I54" i="5"/>
  <c r="C7" i="1"/>
  <c r="C22" i="1" s="1"/>
  <c r="G30" i="5"/>
  <c r="N8" i="1"/>
  <c r="R54" i="5"/>
  <c r="J8" i="1"/>
  <c r="N54" i="5"/>
  <c r="F8" i="1"/>
  <c r="F23" i="1" s="1"/>
  <c r="J54" i="5"/>
  <c r="M9" i="1"/>
  <c r="M10" i="1"/>
  <c r="I9" i="1"/>
  <c r="I24" i="1" s="1"/>
  <c r="H8" i="1"/>
  <c r="H23" i="1" s="1"/>
  <c r="E9" i="1"/>
  <c r="E24" i="1" s="1"/>
  <c r="I10" i="1"/>
  <c r="I25" i="1" s="1"/>
  <c r="I8" i="1"/>
  <c r="M54" i="5"/>
  <c r="L8" i="1"/>
  <c r="N10" i="1"/>
  <c r="K40" i="5"/>
  <c r="M40" i="5"/>
  <c r="L40" i="5"/>
  <c r="J10" i="1"/>
  <c r="K92" i="5"/>
  <c r="L10" i="1"/>
  <c r="N9" i="1"/>
  <c r="M7" i="1"/>
  <c r="L104" i="5"/>
  <c r="J135" i="5"/>
  <c r="R114" i="5"/>
  <c r="N114" i="5"/>
  <c r="K114" i="5"/>
  <c r="H7" i="1"/>
  <c r="H22" i="1" s="1"/>
  <c r="R124" i="5"/>
  <c r="J124" i="5"/>
  <c r="O124" i="5"/>
  <c r="K124" i="5"/>
  <c r="G124" i="5"/>
  <c r="O92" i="5"/>
  <c r="O114" i="5"/>
  <c r="P124" i="5"/>
  <c r="L124" i="5"/>
  <c r="H124" i="5"/>
  <c r="Q124" i="5"/>
  <c r="M124" i="5"/>
  <c r="I124" i="5"/>
  <c r="N66" i="5"/>
  <c r="K66" i="5"/>
  <c r="L7" i="1"/>
  <c r="H114" i="5"/>
  <c r="I7" i="1"/>
  <c r="P114" i="5"/>
  <c r="L114" i="5"/>
  <c r="Q114" i="5"/>
  <c r="M114" i="5"/>
  <c r="I114" i="5"/>
  <c r="E7" i="1"/>
  <c r="E22" i="1" s="1"/>
  <c r="J92" i="5"/>
  <c r="Q92" i="5"/>
  <c r="M92" i="5"/>
  <c r="I92" i="5"/>
  <c r="O66" i="5"/>
  <c r="R66" i="5"/>
  <c r="J66" i="5"/>
  <c r="R92" i="5"/>
  <c r="N92" i="5"/>
  <c r="P92" i="5"/>
  <c r="L92" i="5"/>
  <c r="H92" i="5"/>
  <c r="K7" i="1"/>
  <c r="Q66" i="5"/>
  <c r="M66" i="5"/>
  <c r="I66" i="5"/>
  <c r="P40" i="5"/>
  <c r="P66" i="5"/>
  <c r="L66" i="5"/>
  <c r="H66" i="5"/>
  <c r="G7" i="1"/>
  <c r="G22" i="1" s="1"/>
  <c r="O40" i="5"/>
  <c r="R40" i="5"/>
  <c r="N40" i="5"/>
  <c r="J40" i="5"/>
  <c r="Q40" i="5"/>
  <c r="I40" i="5"/>
  <c r="H40" i="5"/>
  <c r="K5" i="2"/>
  <c r="H23" i="4"/>
  <c r="I23" i="4"/>
  <c r="J23" i="4"/>
  <c r="K23" i="4"/>
  <c r="L23" i="4"/>
  <c r="M23" i="4"/>
  <c r="N23" i="4"/>
  <c r="O23" i="4"/>
  <c r="P23" i="4"/>
  <c r="Q23" i="4"/>
  <c r="R23" i="4"/>
  <c r="I22" i="1" l="1"/>
  <c r="I23" i="1"/>
  <c r="I11" i="3"/>
  <c r="J11" i="3"/>
  <c r="K11" i="3"/>
  <c r="G4" i="1" s="1"/>
  <c r="G19" i="1" s="1"/>
  <c r="F4" i="1" l="1"/>
  <c r="F19" i="1" s="1"/>
  <c r="E4" i="1"/>
  <c r="E19" i="1" s="1"/>
  <c r="K26" i="1"/>
  <c r="M26" i="1"/>
  <c r="L26" i="1" l="1"/>
  <c r="N26" i="1"/>
  <c r="J26" i="1"/>
  <c r="I22" i="2"/>
  <c r="J22" i="2"/>
  <c r="K22" i="2"/>
  <c r="L22" i="2"/>
  <c r="M22" i="2"/>
  <c r="N22" i="2"/>
  <c r="O22" i="2"/>
  <c r="P22" i="2"/>
  <c r="Q22" i="2"/>
  <c r="R22" i="2"/>
  <c r="H22" i="2"/>
  <c r="G22" i="2"/>
  <c r="J17" i="5"/>
  <c r="K17" i="5"/>
  <c r="L17" i="5"/>
  <c r="M17" i="5"/>
  <c r="N17" i="5"/>
  <c r="Q17" i="5"/>
  <c r="R17" i="5"/>
  <c r="I17" i="5"/>
  <c r="H17" i="5"/>
  <c r="J15" i="5"/>
  <c r="K15" i="5"/>
  <c r="L15" i="5"/>
  <c r="M15" i="5"/>
  <c r="N15" i="5"/>
  <c r="P15" i="5"/>
  <c r="Q15" i="5"/>
  <c r="R15" i="5"/>
  <c r="I15" i="5"/>
  <c r="H15" i="5"/>
  <c r="H9" i="5"/>
  <c r="D6" i="1" s="1"/>
  <c r="D21" i="1" s="1"/>
  <c r="I9" i="5"/>
  <c r="E6" i="1" s="1"/>
  <c r="E21" i="1" s="1"/>
  <c r="J9" i="5"/>
  <c r="F6" i="1" s="1"/>
  <c r="F21" i="1" s="1"/>
  <c r="K9" i="5"/>
  <c r="L9" i="5"/>
  <c r="I21" i="1"/>
  <c r="N9" i="5"/>
  <c r="O9" i="5"/>
  <c r="P9" i="5"/>
  <c r="L6" i="1" s="1"/>
  <c r="L21" i="1" s="1"/>
  <c r="Q9" i="5"/>
  <c r="M6" i="1" s="1"/>
  <c r="M21" i="1" s="1"/>
  <c r="R9" i="5"/>
  <c r="N6" i="1" s="1"/>
  <c r="N21" i="1" s="1"/>
  <c r="G9" i="5"/>
  <c r="C6" i="1" s="1"/>
  <c r="C21" i="1" s="1"/>
  <c r="K14" i="4" l="1"/>
  <c r="G5" i="1" s="1"/>
  <c r="G20" i="1" s="1"/>
  <c r="L14" i="4"/>
  <c r="I5" i="1"/>
  <c r="I20" i="1" s="1"/>
  <c r="N14" i="4"/>
  <c r="O14" i="4"/>
  <c r="K5" i="1" s="1"/>
  <c r="P14" i="4"/>
  <c r="Q14" i="4"/>
  <c r="M5" i="1" s="1"/>
  <c r="R14" i="4"/>
  <c r="C10" i="1"/>
  <c r="C25" i="1" s="1"/>
  <c r="D10" i="1"/>
  <c r="D25" i="1" s="1"/>
  <c r="E10" i="1"/>
  <c r="E25" i="1" s="1"/>
  <c r="F10" i="1"/>
  <c r="F25" i="1" s="1"/>
  <c r="N5" i="1" l="1"/>
  <c r="R38" i="4"/>
  <c r="L5" i="1"/>
  <c r="J5" i="1"/>
  <c r="H5" i="1"/>
  <c r="H20" i="1" s="1"/>
  <c r="I37" i="4"/>
  <c r="J37" i="4"/>
  <c r="K37" i="4"/>
  <c r="K38" i="4" s="1"/>
  <c r="O37" i="4"/>
  <c r="O38" i="4" s="1"/>
  <c r="Q37" i="4"/>
  <c r="Q38" i="4" s="1"/>
  <c r="P37" i="4"/>
  <c r="P38" i="4" s="1"/>
  <c r="N37" i="4"/>
  <c r="N38" i="4" s="1"/>
  <c r="L37" i="4"/>
  <c r="L38" i="4" s="1"/>
  <c r="H37" i="4" l="1"/>
  <c r="M37" i="4"/>
  <c r="M38" i="4" s="1"/>
  <c r="G17" i="2"/>
  <c r="M17" i="2" l="1"/>
  <c r="Q17" i="2"/>
  <c r="P17" i="2"/>
  <c r="L17" i="2"/>
  <c r="H17" i="2"/>
  <c r="O17" i="2"/>
  <c r="K17" i="2"/>
  <c r="R17" i="2"/>
  <c r="N17" i="2"/>
  <c r="J17" i="2"/>
  <c r="I17" i="2"/>
  <c r="H14" i="4" l="1"/>
  <c r="I14" i="4"/>
  <c r="J14" i="4"/>
  <c r="F5" i="1" l="1"/>
  <c r="F20" i="1" s="1"/>
  <c r="J38" i="4"/>
  <c r="E5" i="1"/>
  <c r="E20" i="1" s="1"/>
  <c r="I38" i="4"/>
  <c r="D5" i="1"/>
  <c r="D20" i="1" s="1"/>
  <c r="H38" i="4"/>
  <c r="C5" i="1"/>
  <c r="C20" i="1" s="1"/>
  <c r="J25" i="1"/>
  <c r="K25" i="1"/>
  <c r="L25" i="1"/>
  <c r="M25" i="1"/>
  <c r="N25" i="1"/>
  <c r="J24" i="1"/>
  <c r="K24" i="1"/>
  <c r="L24" i="1"/>
  <c r="M24" i="1"/>
  <c r="N24" i="1"/>
  <c r="J23" i="1"/>
  <c r="K23" i="1"/>
  <c r="L23" i="1"/>
  <c r="M23" i="1"/>
  <c r="N23" i="1"/>
  <c r="J22" i="1"/>
  <c r="K22" i="1"/>
  <c r="L22" i="1"/>
  <c r="M22" i="1"/>
  <c r="N22" i="1"/>
  <c r="K12" i="3"/>
  <c r="K17" i="3" s="1"/>
  <c r="K28" i="3" s="1"/>
  <c r="L12" i="3"/>
  <c r="L17" i="3" s="1"/>
  <c r="L28" i="3" s="1"/>
  <c r="M12" i="3"/>
  <c r="M17" i="3" s="1"/>
  <c r="M28" i="3" s="1"/>
  <c r="N12" i="3"/>
  <c r="O12" i="3"/>
  <c r="P12" i="3"/>
  <c r="Q12" i="3"/>
  <c r="R12" i="3"/>
  <c r="J12" i="3"/>
  <c r="J17" i="3" s="1"/>
  <c r="J28" i="3" s="1"/>
  <c r="I12" i="3"/>
  <c r="I17" i="3" s="1"/>
  <c r="I28" i="3" s="1"/>
  <c r="G12" i="3"/>
  <c r="G17" i="3" s="1"/>
  <c r="G28" i="3" s="1"/>
  <c r="H12" i="3"/>
  <c r="H17" i="3" s="1"/>
  <c r="H28" i="3" s="1"/>
  <c r="H15" i="4"/>
  <c r="I15" i="4"/>
  <c r="J15" i="4"/>
  <c r="K15" i="4"/>
  <c r="L15" i="4"/>
  <c r="M15" i="4"/>
  <c r="N15" i="4"/>
  <c r="J20" i="1" s="1"/>
  <c r="O15" i="4"/>
  <c r="K20" i="1" s="1"/>
  <c r="P15" i="4"/>
  <c r="L20" i="1" s="1"/>
  <c r="Q15" i="4"/>
  <c r="M20" i="1" s="1"/>
  <c r="R15" i="4"/>
  <c r="N20" i="1" s="1"/>
  <c r="G23" i="4"/>
  <c r="G38" i="4" s="1"/>
  <c r="S38" i="4" s="1"/>
  <c r="H8" i="2"/>
  <c r="D3" i="1" s="1"/>
  <c r="I8" i="2"/>
  <c r="E3" i="1" s="1"/>
  <c r="J8" i="2"/>
  <c r="F3" i="1" s="1"/>
  <c r="K8" i="2"/>
  <c r="G3" i="1" s="1"/>
  <c r="L8" i="2"/>
  <c r="H3" i="1" s="1"/>
  <c r="M8" i="2"/>
  <c r="I3" i="1" s="1"/>
  <c r="I12" i="1" s="1"/>
  <c r="N8" i="2"/>
  <c r="J3" i="1" s="1"/>
  <c r="J12" i="1" s="1"/>
  <c r="J15" i="1" s="1"/>
  <c r="O8" i="2"/>
  <c r="K3" i="1" s="1"/>
  <c r="K12" i="1" s="1"/>
  <c r="K15" i="1" s="1"/>
  <c r="P8" i="2"/>
  <c r="L3" i="1" s="1"/>
  <c r="L12" i="1" s="1"/>
  <c r="L15" i="1" s="1"/>
  <c r="Q8" i="2"/>
  <c r="M3" i="1" s="1"/>
  <c r="M12" i="1" s="1"/>
  <c r="M15" i="1" s="1"/>
  <c r="R8" i="2"/>
  <c r="N3" i="1" s="1"/>
  <c r="N12" i="1" s="1"/>
  <c r="N15" i="1" s="1"/>
  <c r="G8" i="2"/>
  <c r="C3" i="1" s="1"/>
  <c r="J19" i="1" l="1"/>
  <c r="N17" i="3"/>
  <c r="N28" i="3" s="1"/>
  <c r="N19" i="1"/>
  <c r="R17" i="3"/>
  <c r="R28" i="3" s="1"/>
  <c r="M19" i="1"/>
  <c r="Q17" i="3"/>
  <c r="Q28" i="3" s="1"/>
  <c r="L19" i="1"/>
  <c r="P17" i="3"/>
  <c r="P28" i="3" s="1"/>
  <c r="K19" i="1"/>
  <c r="O17" i="3"/>
  <c r="O28" i="3" s="1"/>
  <c r="E12" i="1"/>
  <c r="E18" i="1"/>
  <c r="C12" i="1"/>
  <c r="C18" i="1"/>
  <c r="G12" i="1"/>
  <c r="G15" i="1" s="1"/>
  <c r="G18" i="1"/>
  <c r="H12" i="1"/>
  <c r="H15" i="1" s="1"/>
  <c r="H18" i="1"/>
  <c r="D12" i="1"/>
  <c r="D18" i="1"/>
  <c r="I18" i="1"/>
  <c r="I27" i="1" s="1"/>
  <c r="I30" i="1" s="1"/>
  <c r="I15" i="1"/>
  <c r="F12" i="1"/>
  <c r="F18" i="1"/>
  <c r="P9" i="2"/>
  <c r="L18" i="1" s="1"/>
  <c r="L27" i="1" s="1"/>
  <c r="L30" i="1" s="1"/>
  <c r="L9" i="2"/>
  <c r="R9" i="2"/>
  <c r="N18" i="1" s="1"/>
  <c r="N27" i="1" s="1"/>
  <c r="N30" i="1" s="1"/>
  <c r="N9" i="2"/>
  <c r="J18" i="1" s="1"/>
  <c r="J27" i="1" s="1"/>
  <c r="J30" i="1" s="1"/>
  <c r="J9" i="2"/>
  <c r="G9" i="2"/>
  <c r="O9" i="2"/>
  <c r="K18" i="1" s="1"/>
  <c r="K27" i="1" s="1"/>
  <c r="K30" i="1" s="1"/>
  <c r="K9" i="2"/>
  <c r="H9" i="2"/>
  <c r="Q9" i="2"/>
  <c r="M18" i="1" s="1"/>
  <c r="M27" i="1" s="1"/>
  <c r="M30" i="1" s="1"/>
  <c r="M9" i="2"/>
  <c r="I9" i="2"/>
  <c r="S28" i="3" l="1"/>
  <c r="H27" i="1"/>
  <c r="H30" i="1" s="1"/>
  <c r="C27" i="1"/>
  <c r="C30" i="1" s="1"/>
  <c r="E27" i="1"/>
  <c r="E30" i="1" s="1"/>
  <c r="G27" i="1"/>
  <c r="G30" i="1" s="1"/>
  <c r="D27" i="1"/>
  <c r="D30" i="1" s="1"/>
  <c r="F27" i="1"/>
  <c r="F30" i="1" s="1"/>
  <c r="N23" i="2"/>
  <c r="R23" i="2"/>
  <c r="I23" i="2"/>
  <c r="H23" i="2"/>
  <c r="J23" i="2"/>
  <c r="M23" i="2"/>
  <c r="L23" i="2"/>
  <c r="G23" i="2"/>
  <c r="P23" i="2"/>
  <c r="O23" i="2"/>
  <c r="Q23" i="2"/>
  <c r="K23" i="2"/>
  <c r="F23" i="2" l="1"/>
  <c r="K30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R28" authorId="0" shapeId="0" xr:uid="{00000000-0006-0000-0300-000001000000}">
      <text>
        <r>
          <rPr>
            <b/>
            <sz val="9"/>
            <color indexed="81"/>
            <rFont val="細明體"/>
            <family val="3"/>
            <charset val="136"/>
          </rPr>
          <t>瓦斯費</t>
        </r>
        <r>
          <rPr>
            <b/>
            <sz val="9"/>
            <color indexed="81"/>
            <rFont val="Tahoma"/>
            <family val="2"/>
          </rPr>
          <t>196</t>
        </r>
      </text>
    </comment>
    <comment ref="P34" authorId="0" shapeId="0" xr:uid="{00000000-0006-0000-0300-000002000000}">
      <text>
        <r>
          <rPr>
            <b/>
            <sz val="9"/>
            <color indexed="81"/>
            <rFont val="細明體"/>
            <family val="3"/>
            <charset val="136"/>
          </rPr>
          <t>瓦斯費</t>
        </r>
        <r>
          <rPr>
            <b/>
            <sz val="9"/>
            <color indexed="81"/>
            <rFont val="Tahoma"/>
            <family val="2"/>
          </rPr>
          <t>154</t>
        </r>
      </text>
    </comment>
    <comment ref="R34" authorId="0" shapeId="0" xr:uid="{00000000-0006-0000-0300-000003000000}">
      <text>
        <r>
          <rPr>
            <sz val="9"/>
            <color indexed="81"/>
            <rFont val="細明體"/>
            <family val="3"/>
            <charset val="136"/>
          </rPr>
          <t>瓦斯費</t>
        </r>
        <r>
          <rPr>
            <sz val="9"/>
            <color indexed="81"/>
            <rFont val="Tahoma"/>
            <family val="2"/>
          </rPr>
          <t xml:space="preserve">196
</t>
        </r>
      </text>
    </comment>
    <comment ref="Q36" authorId="0" shapeId="0" xr:uid="{00000000-0006-0000-0300-000004000000}">
      <text>
        <r>
          <rPr>
            <b/>
            <sz val="9"/>
            <color indexed="81"/>
            <rFont val="細明體"/>
            <family val="3"/>
            <charset val="136"/>
          </rPr>
          <t>補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細明體"/>
            <family val="3"/>
            <charset val="136"/>
          </rPr>
          <t>月瓦斯費</t>
        </r>
        <r>
          <rPr>
            <b/>
            <sz val="9"/>
            <color indexed="81"/>
            <rFont val="Tahoma"/>
            <family val="2"/>
          </rPr>
          <t>154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6" authorId="0" shapeId="0" xr:uid="{00000000-0006-0000-0300-000005000000}">
      <text>
        <r>
          <rPr>
            <sz val="9"/>
            <color indexed="81"/>
            <rFont val="細明體"/>
            <family val="3"/>
            <charset val="136"/>
          </rPr>
          <t>瓦斯費</t>
        </r>
        <r>
          <rPr>
            <sz val="9"/>
            <color indexed="81"/>
            <rFont val="Tahoma"/>
            <family val="2"/>
          </rPr>
          <t>196</t>
        </r>
      </text>
    </comment>
  </commentList>
</comments>
</file>

<file path=xl/sharedStrings.xml><?xml version="1.0" encoding="utf-8"?>
<sst xmlns="http://schemas.openxmlformats.org/spreadsheetml/2006/main" count="2257" uniqueCount="315">
  <si>
    <t>代1</t>
  </si>
  <si>
    <t>南山風情</t>
  </si>
  <si>
    <t>代2</t>
  </si>
  <si>
    <t>景安工藝</t>
  </si>
  <si>
    <t>代3</t>
  </si>
  <si>
    <t>天母雅砌</t>
  </si>
  <si>
    <t>代4</t>
  </si>
  <si>
    <t>代5</t>
  </si>
  <si>
    <t>代6</t>
  </si>
  <si>
    <t>7樓</t>
  </si>
  <si>
    <t>代7</t>
  </si>
  <si>
    <t>八德</t>
  </si>
  <si>
    <t>代8</t>
  </si>
  <si>
    <t>代9</t>
  </si>
  <si>
    <t>106/01</t>
  </si>
  <si>
    <t>106/02</t>
  </si>
  <si>
    <t>106/03</t>
  </si>
  <si>
    <t>106/04</t>
  </si>
  <si>
    <t>106/05</t>
  </si>
  <si>
    <t>106/06</t>
  </si>
  <si>
    <t>106/07</t>
  </si>
  <si>
    <t>106/08</t>
  </si>
  <si>
    <t>106/09</t>
  </si>
  <si>
    <t>106/10</t>
  </si>
  <si>
    <t>106/11</t>
  </si>
  <si>
    <t>106/12</t>
  </si>
  <si>
    <t>姓名</t>
  </si>
  <si>
    <t>聯絡電話</t>
  </si>
  <si>
    <t>租金</t>
  </si>
  <si>
    <t>押金</t>
  </si>
  <si>
    <t>租期</t>
  </si>
  <si>
    <t>A</t>
  </si>
  <si>
    <t>B</t>
  </si>
  <si>
    <t>C</t>
  </si>
  <si>
    <t>張榮倉</t>
  </si>
  <si>
    <t>0989119199</t>
  </si>
  <si>
    <t>106/03/01-106/08/31</t>
  </si>
  <si>
    <t>D</t>
  </si>
  <si>
    <t>陳靜慧</t>
  </si>
  <si>
    <t>0930988441</t>
  </si>
  <si>
    <t>106/02/17-107/03/31</t>
  </si>
  <si>
    <t>租金合計</t>
  </si>
  <si>
    <t>管理費</t>
  </si>
  <si>
    <t>水號:C130139648</t>
  </si>
  <si>
    <t>電號:01462216407</t>
  </si>
  <si>
    <t>合計費用支出</t>
  </si>
  <si>
    <t>抄表度數</t>
  </si>
  <si>
    <t>應收電費</t>
  </si>
  <si>
    <t>合計電費收入</t>
  </si>
  <si>
    <t>租金淨收</t>
  </si>
  <si>
    <t>3/4-3/31</t>
  </si>
  <si>
    <t>E</t>
  </si>
  <si>
    <t>F</t>
  </si>
  <si>
    <t>水號:T090381582</t>
  </si>
  <si>
    <t>電號:16041157606</t>
  </si>
  <si>
    <t>中華網路第四台288Y086635</t>
  </si>
  <si>
    <t>中華網路第四台288Y086637</t>
  </si>
  <si>
    <t>房號</t>
  </si>
  <si>
    <t>收入：</t>
  </si>
  <si>
    <t>現金</t>
  </si>
  <si>
    <t>方珪瑄</t>
  </si>
  <si>
    <t>105/05/01-106/04/30</t>
  </si>
  <si>
    <t>0911-766-655</t>
  </si>
  <si>
    <t>項目</t>
  </si>
  <si>
    <t>洪梓菀</t>
  </si>
  <si>
    <t>水號:C-12-0676684</t>
  </si>
  <si>
    <t>電號:01-45-2862-40-9</t>
  </si>
  <si>
    <t>欣欣瓦斯0723066</t>
  </si>
  <si>
    <t>網路754293第四台754291.754294.754296</t>
  </si>
  <si>
    <t>管理費</t>
    <phoneticPr fontId="5" type="noConversion"/>
  </si>
  <si>
    <t>LINE官方</t>
  </si>
  <si>
    <t>簡綺瑩</t>
    <phoneticPr fontId="5" type="noConversion"/>
  </si>
  <si>
    <t>梁凱婷</t>
    <phoneticPr fontId="5" type="noConversion"/>
  </si>
  <si>
    <t>0988-392-806</t>
    <phoneticPr fontId="5" type="noConversion"/>
  </si>
  <si>
    <t>103/07/01-106/06/30</t>
    <phoneticPr fontId="5" type="noConversion"/>
  </si>
  <si>
    <t>0989-916-316</t>
    <phoneticPr fontId="5" type="noConversion"/>
  </si>
  <si>
    <t>106/03/04-107/06/30</t>
    <phoneticPr fontId="5" type="noConversion"/>
  </si>
  <si>
    <t>Robert William</t>
    <phoneticPr fontId="5" type="noConversion"/>
  </si>
  <si>
    <t>0966-145-646</t>
    <phoneticPr fontId="5" type="noConversion"/>
  </si>
  <si>
    <t>106/01/01-106/12/31</t>
    <phoneticPr fontId="5" type="noConversion"/>
  </si>
  <si>
    <t>瓦斯費</t>
    <phoneticPr fontId="5" type="noConversion"/>
  </si>
  <si>
    <t>大樓管理費</t>
    <phoneticPr fontId="5" type="noConversion"/>
  </si>
  <si>
    <t>瓦斯</t>
    <phoneticPr fontId="5" type="noConversion"/>
  </si>
  <si>
    <t>4/19-5/3</t>
    <phoneticPr fontId="5" type="noConversion"/>
  </si>
  <si>
    <t>3/7-9/6</t>
    <phoneticPr fontId="5" type="noConversion"/>
  </si>
  <si>
    <t>國泰世華(013) 館前分行  0156-6313177(張宇音)</t>
    <phoneticPr fontId="5" type="noConversion"/>
  </si>
  <si>
    <t>16304-16340</t>
    <phoneticPr fontId="5" type="noConversion"/>
  </si>
  <si>
    <t>airbnb</t>
    <phoneticPr fontId="5" type="noConversion"/>
  </si>
  <si>
    <t>AB房</t>
    <phoneticPr fontId="5" type="noConversion"/>
  </si>
  <si>
    <t>C房</t>
    <phoneticPr fontId="5" type="noConversion"/>
  </si>
  <si>
    <t xml:space="preserve"> 退租結</t>
    <phoneticPr fontId="5" type="noConversion"/>
  </si>
  <si>
    <t>周雅雯</t>
    <phoneticPr fontId="5" type="noConversion"/>
  </si>
  <si>
    <t>0936-337-443</t>
    <phoneticPr fontId="5" type="noConversion"/>
  </si>
  <si>
    <t>104/09/01-105/08/31</t>
    <phoneticPr fontId="5" type="noConversion"/>
  </si>
  <si>
    <t>台新-中和02010111578900張宇音</t>
    <phoneticPr fontId="5" type="noConversion"/>
  </si>
  <si>
    <t>國泰世華館前 0156-6313177張宇音</t>
  </si>
  <si>
    <t>國泰世華館前 0156-6313177張宇音</t>
    <phoneticPr fontId="5" type="noConversion"/>
  </si>
  <si>
    <t>104/06/01-105/05/31</t>
    <phoneticPr fontId="5" type="noConversion"/>
  </si>
  <si>
    <t>許浩晟 李佩璇</t>
    <phoneticPr fontId="5" type="noConversion"/>
  </si>
  <si>
    <t>0926-167-325</t>
    <phoneticPr fontId="5" type="noConversion"/>
  </si>
  <si>
    <t>106/04/01-107/03/31</t>
    <phoneticPr fontId="5" type="noConversion"/>
  </si>
  <si>
    <t>106/05/01-107/04/30</t>
    <phoneticPr fontId="5" type="noConversion"/>
  </si>
  <si>
    <t>鍾委憲</t>
    <phoneticPr fontId="5" type="noConversion"/>
  </si>
  <si>
    <t>0975-053-112</t>
    <phoneticPr fontId="5" type="noConversion"/>
  </si>
  <si>
    <t>退租結</t>
    <phoneticPr fontId="5" type="noConversion"/>
  </si>
  <si>
    <t>5/3收訂金5000</t>
    <phoneticPr fontId="5" type="noConversion"/>
  </si>
  <si>
    <t>高吉良</t>
    <phoneticPr fontId="5" type="noConversion"/>
  </si>
  <si>
    <t>0983-618-887</t>
    <phoneticPr fontId="5" type="noConversion"/>
  </si>
  <si>
    <t>LINE: Alan</t>
    <phoneticPr fontId="5" type="noConversion"/>
  </si>
  <si>
    <t>106/5/5-106/8/5</t>
    <phoneticPr fontId="5" type="noConversion"/>
  </si>
  <si>
    <t>0952-258-642</t>
    <phoneticPr fontId="5" type="noConversion"/>
  </si>
  <si>
    <t>0909-915-559</t>
    <phoneticPr fontId="5" type="noConversion"/>
  </si>
  <si>
    <t>5/8退租點交</t>
    <phoneticPr fontId="5" type="noConversion"/>
  </si>
  <si>
    <t>airbnb</t>
    <phoneticPr fontId="5" type="noConversion"/>
  </si>
  <si>
    <t>其他費用</t>
    <phoneticPr fontId="5" type="noConversion"/>
  </si>
  <si>
    <t>106/05/11-107/05/31</t>
    <phoneticPr fontId="5" type="noConversion"/>
  </si>
  <si>
    <t>0966-663-791</t>
    <phoneticPr fontId="5" type="noConversion"/>
  </si>
  <si>
    <t>朱秀霞</t>
    <phoneticPr fontId="5" type="noConversion"/>
  </si>
  <si>
    <t>LINE</t>
    <phoneticPr fontId="5" type="noConversion"/>
  </si>
  <si>
    <t>林詩婷</t>
    <phoneticPr fontId="5" type="noConversion"/>
  </si>
  <si>
    <t>許浩晟 李佩璇</t>
    <phoneticPr fontId="5" type="noConversion"/>
  </si>
  <si>
    <t>0926-167-325</t>
    <phoneticPr fontId="5" type="noConversion"/>
  </si>
  <si>
    <t>租金收入</t>
    <phoneticPr fontId="5" type="noConversion"/>
  </si>
  <si>
    <t>代4-269</t>
    <phoneticPr fontId="5" type="noConversion"/>
  </si>
  <si>
    <t>代5-121</t>
    <phoneticPr fontId="5" type="noConversion"/>
  </si>
  <si>
    <t>代6-7樓</t>
    <phoneticPr fontId="5" type="noConversion"/>
  </si>
  <si>
    <t>代7-八德</t>
    <phoneticPr fontId="5" type="noConversion"/>
  </si>
  <si>
    <t>代8-159</t>
    <phoneticPr fontId="5" type="noConversion"/>
  </si>
  <si>
    <t>代9-243</t>
    <phoneticPr fontId="5" type="noConversion"/>
  </si>
  <si>
    <t>LINE</t>
    <phoneticPr fontId="5" type="noConversion"/>
  </si>
  <si>
    <t>1504~1558</t>
    <phoneticPr fontId="5" type="noConversion"/>
  </si>
  <si>
    <t>蔡涵任</t>
    <phoneticPr fontId="5" type="noConversion"/>
  </si>
  <si>
    <t>Line@</t>
    <phoneticPr fontId="5" type="noConversion"/>
  </si>
  <si>
    <t>269B</t>
    <phoneticPr fontId="5" type="noConversion"/>
  </si>
  <si>
    <t>269C</t>
    <phoneticPr fontId="5" type="noConversion"/>
  </si>
  <si>
    <t>121A</t>
    <phoneticPr fontId="5" type="noConversion"/>
  </si>
  <si>
    <t>121B</t>
    <phoneticPr fontId="5" type="noConversion"/>
  </si>
  <si>
    <t>121C</t>
    <phoneticPr fontId="5" type="noConversion"/>
  </si>
  <si>
    <t>121D</t>
    <phoneticPr fontId="5" type="noConversion"/>
  </si>
  <si>
    <t>7樓A</t>
    <phoneticPr fontId="5" type="noConversion"/>
  </si>
  <si>
    <t>7樓B</t>
    <phoneticPr fontId="5" type="noConversion"/>
  </si>
  <si>
    <t>7樓C</t>
    <phoneticPr fontId="5" type="noConversion"/>
  </si>
  <si>
    <t>7樓D</t>
    <phoneticPr fontId="5" type="noConversion"/>
  </si>
  <si>
    <t>7樓E</t>
    <phoneticPr fontId="5" type="noConversion"/>
  </si>
  <si>
    <t>八德A</t>
    <phoneticPr fontId="5" type="noConversion"/>
  </si>
  <si>
    <t>八德B</t>
    <phoneticPr fontId="5" type="noConversion"/>
  </si>
  <si>
    <t>八德C</t>
    <phoneticPr fontId="5" type="noConversion"/>
  </si>
  <si>
    <t>八德D</t>
    <phoneticPr fontId="5" type="noConversion"/>
  </si>
  <si>
    <t>八德E</t>
    <phoneticPr fontId="5" type="noConversion"/>
  </si>
  <si>
    <t>159A</t>
    <phoneticPr fontId="5" type="noConversion"/>
  </si>
  <si>
    <t>159B</t>
    <phoneticPr fontId="5" type="noConversion"/>
  </si>
  <si>
    <t>159D</t>
    <phoneticPr fontId="5" type="noConversion"/>
  </si>
  <si>
    <t>159C</t>
    <phoneticPr fontId="5" type="noConversion"/>
  </si>
  <si>
    <t>243A</t>
    <phoneticPr fontId="5" type="noConversion"/>
  </si>
  <si>
    <t>243B</t>
    <phoneticPr fontId="5" type="noConversion"/>
  </si>
  <si>
    <t>243C</t>
    <phoneticPr fontId="5" type="noConversion"/>
  </si>
  <si>
    <t>核算點</t>
    <phoneticPr fontId="5" type="noConversion"/>
  </si>
  <si>
    <t>代管物件</t>
    <phoneticPr fontId="5" type="noConversion"/>
  </si>
  <si>
    <t>租金</t>
    <phoneticPr fontId="5" type="noConversion"/>
  </si>
  <si>
    <t>南山A</t>
    <phoneticPr fontId="5" type="noConversion"/>
  </si>
  <si>
    <t>南山B</t>
    <phoneticPr fontId="5" type="noConversion"/>
  </si>
  <si>
    <t>南山C</t>
    <phoneticPr fontId="5" type="noConversion"/>
  </si>
  <si>
    <t>景平A</t>
    <phoneticPr fontId="5" type="noConversion"/>
  </si>
  <si>
    <t>景平B</t>
    <phoneticPr fontId="5" type="noConversion"/>
  </si>
  <si>
    <t>景平C</t>
    <phoneticPr fontId="5" type="noConversion"/>
  </si>
  <si>
    <t>景平D</t>
    <phoneticPr fontId="5" type="noConversion"/>
  </si>
  <si>
    <t>天西A</t>
    <phoneticPr fontId="5" type="noConversion"/>
  </si>
  <si>
    <t>天西B</t>
    <phoneticPr fontId="5" type="noConversion"/>
  </si>
  <si>
    <t>天西C</t>
    <phoneticPr fontId="5" type="noConversion"/>
  </si>
  <si>
    <t>天西D</t>
    <phoneticPr fontId="5" type="noConversion"/>
  </si>
  <si>
    <t>天西E</t>
    <phoneticPr fontId="5" type="noConversion"/>
  </si>
  <si>
    <t>天西F</t>
    <phoneticPr fontId="5" type="noConversion"/>
  </si>
  <si>
    <t>269A</t>
    <phoneticPr fontId="5" type="noConversion"/>
  </si>
  <si>
    <t>243C</t>
    <phoneticPr fontId="5" type="noConversion"/>
  </si>
  <si>
    <t>核算點</t>
    <phoneticPr fontId="5" type="noConversion"/>
  </si>
  <si>
    <t>小計</t>
    <phoneticPr fontId="5" type="noConversion"/>
  </si>
  <si>
    <t>合計</t>
    <phoneticPr fontId="5" type="noConversion"/>
  </si>
  <si>
    <t>269BC</t>
    <phoneticPr fontId="5" type="noConversion"/>
  </si>
  <si>
    <t>243AB</t>
    <phoneticPr fontId="5" type="noConversion"/>
  </si>
  <si>
    <t>269A</t>
    <phoneticPr fontId="5" type="noConversion"/>
  </si>
  <si>
    <t>小計</t>
    <phoneticPr fontId="5" type="noConversion"/>
  </si>
  <si>
    <t>269A</t>
    <phoneticPr fontId="5" type="noConversion"/>
  </si>
  <si>
    <t>243C</t>
    <phoneticPr fontId="5" type="noConversion"/>
  </si>
  <si>
    <t>合計</t>
    <phoneticPr fontId="5" type="noConversion"/>
  </si>
  <si>
    <t>6/1-6/19</t>
    <phoneticPr fontId="5" type="noConversion"/>
  </si>
  <si>
    <t>6/1-7/9</t>
    <phoneticPr fontId="5" type="noConversion"/>
  </si>
  <si>
    <t>106/07/11~106/10/11</t>
    <phoneticPr fontId="5" type="noConversion"/>
  </si>
  <si>
    <t>106/7/11~106/10/11</t>
    <phoneticPr fontId="5" type="noConversion"/>
  </si>
  <si>
    <t>許雅惠</t>
    <phoneticPr fontId="5" type="noConversion"/>
  </si>
  <si>
    <t>7759~7881</t>
    <phoneticPr fontId="5" type="noConversion"/>
  </si>
  <si>
    <t>5371~5663</t>
    <phoneticPr fontId="5" type="noConversion"/>
  </si>
  <si>
    <t>Matthieu Brs</t>
    <phoneticPr fontId="5" type="noConversion"/>
  </si>
  <si>
    <t>107/8/4~</t>
    <phoneticPr fontId="5" type="noConversion"/>
  </si>
  <si>
    <t>Jack Bee</t>
    <phoneticPr fontId="5" type="noConversion"/>
  </si>
  <si>
    <t>106/8/3~107/2/3</t>
    <phoneticPr fontId="5" type="noConversion"/>
  </si>
  <si>
    <t>關仁軒</t>
  </si>
  <si>
    <t>106/8/20-107/3/31</t>
    <phoneticPr fontId="5" type="noConversion"/>
  </si>
  <si>
    <t>566~662</t>
    <phoneticPr fontId="5" type="noConversion"/>
  </si>
  <si>
    <t>7497~7603</t>
    <phoneticPr fontId="5" type="noConversion"/>
  </si>
  <si>
    <t>十川小姐</t>
    <phoneticPr fontId="5" type="noConversion"/>
  </si>
  <si>
    <t>0905076287</t>
    <phoneticPr fontId="5" type="noConversion"/>
  </si>
  <si>
    <t>106/08/28-107/08/27</t>
    <phoneticPr fontId="5" type="noConversion"/>
  </si>
  <si>
    <t>Marco</t>
    <phoneticPr fontId="5" type="noConversion"/>
  </si>
  <si>
    <t>Fobida Pina</t>
    <phoneticPr fontId="5" type="noConversion"/>
  </si>
  <si>
    <t>劉京魯</t>
    <phoneticPr fontId="5" type="noConversion"/>
  </si>
  <si>
    <t>106/9/7~107/1/14</t>
    <phoneticPr fontId="5" type="noConversion"/>
  </si>
  <si>
    <t>許瑩</t>
    <phoneticPr fontId="5" type="noConversion"/>
  </si>
  <si>
    <t>106/09/10-107/09/30</t>
    <phoneticPr fontId="5" type="noConversion"/>
  </si>
  <si>
    <t>0933-781-142</t>
    <phoneticPr fontId="5" type="noConversion"/>
  </si>
  <si>
    <t>106/09/01-107/09/01</t>
    <phoneticPr fontId="5" type="noConversion"/>
  </si>
  <si>
    <t>9/10-9/30</t>
    <phoneticPr fontId="5" type="noConversion"/>
  </si>
  <si>
    <t>9/1,9/20-30</t>
    <phoneticPr fontId="5" type="noConversion"/>
  </si>
  <si>
    <t>1/7-1/14</t>
    <phoneticPr fontId="5" type="noConversion"/>
  </si>
  <si>
    <t>9/5,9/25-10/7</t>
    <phoneticPr fontId="5" type="noConversion"/>
  </si>
  <si>
    <t>1192~1488</t>
    <phoneticPr fontId="5" type="noConversion"/>
  </si>
  <si>
    <t>106/9/14-107/3/14</t>
    <phoneticPr fontId="5" type="noConversion"/>
  </si>
  <si>
    <t>李秉融</t>
    <phoneticPr fontId="5" type="noConversion"/>
  </si>
  <si>
    <t>3800~3940</t>
    <phoneticPr fontId="5" type="noConversion"/>
  </si>
  <si>
    <t>Nicolas Baroud</t>
    <phoneticPr fontId="5" type="noConversion"/>
  </si>
  <si>
    <t>106/10/11~107/1/31</t>
    <phoneticPr fontId="5" type="noConversion"/>
  </si>
  <si>
    <t>電費2030</t>
    <phoneticPr fontId="25" type="noConversion"/>
  </si>
  <si>
    <t>代收</t>
  </si>
  <si>
    <t>方珪瑄</t>
    <phoneticPr fontId="25" type="noConversion"/>
  </si>
  <si>
    <t>押金28000</t>
    <phoneticPr fontId="25" type="noConversion"/>
  </si>
  <si>
    <t>Nicolas Baroud</t>
    <phoneticPr fontId="25" type="noConversion"/>
  </si>
  <si>
    <t>電費1496</t>
    <phoneticPr fontId="25" type="noConversion"/>
  </si>
  <si>
    <t>電費1947</t>
    <phoneticPr fontId="25" type="noConversion"/>
  </si>
  <si>
    <t>10/1-10/17</t>
    <phoneticPr fontId="5" type="noConversion"/>
  </si>
  <si>
    <t>5884~5982</t>
    <phoneticPr fontId="5" type="noConversion"/>
  </si>
  <si>
    <t>曾如玉</t>
    <phoneticPr fontId="5" type="noConversion"/>
  </si>
  <si>
    <t>106/12/1~107/5/31</t>
    <phoneticPr fontId="5" type="noConversion"/>
  </si>
  <si>
    <t>11/25~12/6</t>
    <phoneticPr fontId="5" type="noConversion"/>
  </si>
  <si>
    <t>Ramon 短租</t>
    <phoneticPr fontId="5" type="noConversion"/>
  </si>
  <si>
    <t>12/4-1/14</t>
    <phoneticPr fontId="5" type="noConversion"/>
  </si>
  <si>
    <t>短租</t>
    <phoneticPr fontId="5" type="noConversion"/>
  </si>
  <si>
    <t>李勇賢</t>
    <phoneticPr fontId="5" type="noConversion"/>
  </si>
  <si>
    <t>謝邵臻</t>
    <phoneticPr fontId="5" type="noConversion"/>
  </si>
  <si>
    <t>12/11~1/11</t>
    <phoneticPr fontId="5" type="noConversion"/>
  </si>
  <si>
    <t>詹雅嵐</t>
    <phoneticPr fontId="5" type="noConversion"/>
  </si>
  <si>
    <t>12/1-12/5</t>
    <phoneticPr fontId="5" type="noConversion"/>
  </si>
  <si>
    <t>網路527331</t>
    <phoneticPr fontId="5" type="noConversion"/>
  </si>
  <si>
    <t>第四台527331</t>
    <phoneticPr fontId="5" type="noConversion"/>
  </si>
  <si>
    <t>年租金淨收</t>
    <phoneticPr fontId="5" type="noConversion"/>
  </si>
  <si>
    <t>租金總淨收</t>
    <phoneticPr fontId="5" type="noConversion"/>
  </si>
  <si>
    <t>12/4-12/31</t>
    <phoneticPr fontId="5" type="noConversion"/>
  </si>
  <si>
    <t>地點</t>
    <phoneticPr fontId="5" type="noConversion"/>
  </si>
  <si>
    <t>日期</t>
    <phoneticPr fontId="5" type="noConversion"/>
  </si>
  <si>
    <t>南山</t>
    <phoneticPr fontId="5" type="noConversion"/>
  </si>
  <si>
    <t>A</t>
    <phoneticPr fontId="5" type="noConversion"/>
  </si>
  <si>
    <t>收租日</t>
    <phoneticPr fontId="5" type="noConversion"/>
  </si>
  <si>
    <t>林詩婷</t>
  </si>
  <si>
    <t>0966-663-791</t>
  </si>
  <si>
    <t>106/05/11-107/05/31</t>
  </si>
  <si>
    <t>景平</t>
  </si>
  <si>
    <t>Marco</t>
  </si>
  <si>
    <t>106/08/28-107/08/27</t>
  </si>
  <si>
    <t>5/3收訂金5000</t>
  </si>
  <si>
    <t>備註</t>
    <phoneticPr fontId="5" type="noConversion"/>
  </si>
  <si>
    <t>106/8/20-107/3/31</t>
  </si>
  <si>
    <t>天母雅砌</t>
    <phoneticPr fontId="5" type="noConversion"/>
  </si>
  <si>
    <t>B</t>
    <phoneticPr fontId="5" type="noConversion"/>
  </si>
  <si>
    <t>C</t>
    <phoneticPr fontId="5" type="noConversion"/>
  </si>
  <si>
    <t>十川小姐</t>
  </si>
  <si>
    <t>106/09/01-107/09/01</t>
  </si>
  <si>
    <t>李秉融</t>
  </si>
  <si>
    <t>簡綺瑩</t>
  </si>
  <si>
    <t>0988-392-806</t>
  </si>
  <si>
    <t>103/07/01-106/06/30</t>
  </si>
  <si>
    <t>D</t>
    <phoneticPr fontId="5" type="noConversion"/>
  </si>
  <si>
    <t>E</t>
    <phoneticPr fontId="5" type="noConversion"/>
  </si>
  <si>
    <t>F</t>
    <phoneticPr fontId="5" type="noConversion"/>
  </si>
  <si>
    <t>梁凱婷</t>
  </si>
  <si>
    <t>0989-916-316</t>
  </si>
  <si>
    <t>106/03/04-107/06/30</t>
  </si>
  <si>
    <t>Robert William</t>
  </si>
  <si>
    <t>0966-145-646</t>
  </si>
  <si>
    <t>106/01/01-106/12/31</t>
  </si>
  <si>
    <t>許瑩</t>
  </si>
  <si>
    <t>0933-781-142</t>
  </si>
  <si>
    <t>106/09/10-107/09/30</t>
  </si>
  <si>
    <t>0989-119-199</t>
    <phoneticPr fontId="5" type="noConversion"/>
  </si>
  <si>
    <t>0930-988-441</t>
    <phoneticPr fontId="5" type="noConversion"/>
  </si>
  <si>
    <t>0905-076-287</t>
  </si>
  <si>
    <t>airbnb</t>
  </si>
  <si>
    <t>7樓</t>
    <phoneticPr fontId="5" type="noConversion"/>
  </si>
  <si>
    <r>
      <rPr>
        <sz val="12"/>
        <color rgb="FF000000"/>
        <rFont val="Microsoft JhengHei"/>
        <family val="1"/>
      </rPr>
      <t>押金</t>
    </r>
    <r>
      <rPr>
        <sz val="12"/>
        <color rgb="FF000000"/>
        <rFont val="Calibri"/>
        <family val="1"/>
      </rPr>
      <t>:</t>
    </r>
    <r>
      <rPr>
        <sz val="12"/>
        <color indexed="8"/>
        <rFont val="jf open 粉圓 2.0"/>
        <family val="1"/>
        <charset val="136"/>
        <scheme val="minor"/>
      </rPr>
      <t>2017/5/22</t>
    </r>
    <phoneticPr fontId="5" type="noConversion"/>
  </si>
  <si>
    <t>106/8/4~</t>
    <phoneticPr fontId="5" type="noConversion"/>
  </si>
  <si>
    <t>八德</t>
    <phoneticPr fontId="5" type="noConversion"/>
  </si>
  <si>
    <t>收入：國泰世華(013) 館前分行  0156-6313177(張宇音)</t>
    <phoneticPr fontId="5" type="noConversion"/>
  </si>
  <si>
    <t>列標籤</t>
  </si>
  <si>
    <t>Fobida Pina</t>
  </si>
  <si>
    <t>Jack Bee</t>
  </si>
  <si>
    <t>Matthieu Brs</t>
  </si>
  <si>
    <t>Nicolas Baroud</t>
  </si>
  <si>
    <t>Ramon 短租</t>
  </si>
  <si>
    <t>朱秀霞</t>
  </si>
  <si>
    <t>李勇賢</t>
  </si>
  <si>
    <t>周雅雯</t>
  </si>
  <si>
    <t>高吉良</t>
  </si>
  <si>
    <t>許浩晟 李佩璇</t>
  </si>
  <si>
    <t>許雅惠</t>
  </si>
  <si>
    <t>曾如玉</t>
  </si>
  <si>
    <t>短租</t>
  </si>
  <si>
    <t>詹雅嵐</t>
  </si>
  <si>
    <t>劉京魯</t>
  </si>
  <si>
    <t>蔡涵任</t>
  </si>
  <si>
    <t>謝邵臻</t>
  </si>
  <si>
    <t>鍾委憲</t>
  </si>
  <si>
    <t>(空白)</t>
  </si>
  <si>
    <t>總計</t>
  </si>
  <si>
    <t>12/4-1/14</t>
  </si>
  <si>
    <t>欄標籤</t>
  </si>
  <si>
    <t>地點</t>
  </si>
  <si>
    <t>(全部)</t>
  </si>
  <si>
    <t>加總 - 押金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</si>
</sst>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0_ "/>
    <numFmt numFmtId="177" formatCode="&quot;$&quot;#,##0;;"/>
    <numFmt numFmtId="178" formatCode="#&quot;萬&quot;#&quot;&quot;#&quot;&quot;#&quot;&quot;#"/>
    <numFmt numFmtId="179" formatCode="m/d;@"/>
    <numFmt numFmtId="180" formatCode="0.00;;"/>
    <numFmt numFmtId="181" formatCode="&quot;$&quot;#,##0"/>
    <numFmt numFmtId="182" formatCode="&quot;$&quot;#,##0.0;;"/>
    <numFmt numFmtId="183" formatCode="0_ ;[Red]\-0\ "/>
    <numFmt numFmtId="184" formatCode="m/d"/>
    <numFmt numFmtId="185" formatCode="#,##0.0_ "/>
    <numFmt numFmtId="186" formatCode="#,##0_ ;[Red]\-#,##0\ "/>
    <numFmt numFmtId="187" formatCode="&quot;$&quot;#,##0_);[Red]\(&quot;$&quot;#,##0\)"/>
    <numFmt numFmtId="188" formatCode="&quot;$&quot;#,##0;;0"/>
    <numFmt numFmtId="189" formatCode="m&quot;月&quot;d&quot;日&quot;"/>
    <numFmt numFmtId="190" formatCode="#,##0_);[Red]\(#,##0\)"/>
    <numFmt numFmtId="191" formatCode="0_);[Red]\(0\)"/>
    <numFmt numFmtId="192" formatCode="mm/dd"/>
  </numFmts>
  <fonts count="33">
    <font>
      <sz val="12"/>
      <color theme="1"/>
      <name val="jf open 粉圓 2.0"/>
      <family val="2"/>
      <charset val="136"/>
      <scheme val="minor"/>
    </font>
    <font>
      <sz val="12"/>
      <color theme="1"/>
      <name val="jf open 粉圓 2.0"/>
      <family val="2"/>
      <charset val="136"/>
      <scheme val="minor"/>
    </font>
    <font>
      <sz val="12"/>
      <color theme="1"/>
      <name val="jf open 粉圓 2.0"/>
      <family val="2"/>
      <scheme val="minor"/>
    </font>
    <font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9"/>
      <name val="jf open 粉圓 2.0"/>
      <family val="2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jf open 粉圓 2.0"/>
      <family val="1"/>
      <charset val="136"/>
      <scheme val="minor"/>
    </font>
    <font>
      <sz val="12"/>
      <color indexed="8"/>
      <name val="jf open 粉圓 2.0"/>
      <family val="1"/>
      <charset val="136"/>
      <scheme val="minor"/>
    </font>
    <font>
      <b/>
      <sz val="12"/>
      <color rgb="FFFF0000"/>
      <name val="jf open 粉圓 2.0"/>
      <family val="1"/>
      <charset val="136"/>
      <scheme val="minor"/>
    </font>
    <font>
      <sz val="12"/>
      <color theme="3" tint="0.39997558519241921"/>
      <name val="jf open 粉圓 2.0"/>
      <family val="1"/>
      <charset val="136"/>
      <scheme val="minor"/>
    </font>
    <font>
      <sz val="12"/>
      <name val="jf open 粉圓 2.0"/>
      <family val="1"/>
      <charset val="136"/>
      <scheme val="minor"/>
    </font>
    <font>
      <b/>
      <sz val="12"/>
      <color theme="3" tint="0.39997558519241921"/>
      <name val="jf open 粉圓 2.0"/>
      <family val="1"/>
      <charset val="136"/>
      <scheme val="minor"/>
    </font>
    <font>
      <b/>
      <sz val="12"/>
      <color theme="7" tint="-0.249977111117893"/>
      <name val="jf open 粉圓 2.0"/>
      <family val="1"/>
      <charset val="136"/>
      <scheme val="minor"/>
    </font>
    <font>
      <b/>
      <sz val="12"/>
      <name val="jf open 粉圓 2.0"/>
      <family val="1"/>
      <charset val="136"/>
      <scheme val="minor"/>
    </font>
    <font>
      <sz val="12"/>
      <color rgb="FFFF0000"/>
      <name val="jf open 粉圓 2.0"/>
      <family val="1"/>
      <charset val="136"/>
      <scheme val="minor"/>
    </font>
    <font>
      <sz val="12"/>
      <color indexed="8"/>
      <name val="jf open 粉圓 2.0"/>
      <family val="2"/>
      <charset val="136"/>
      <scheme val="minor"/>
    </font>
    <font>
      <sz val="12"/>
      <color theme="7" tint="-0.249977111117893"/>
      <name val="jf open 粉圓 2.0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000000"/>
      <name val="jf open 粉圓 2.0"/>
      <family val="1"/>
      <charset val="136"/>
      <scheme val="minor"/>
    </font>
    <font>
      <sz val="10"/>
      <name val="jf open 粉圓 2.0"/>
      <family val="1"/>
      <charset val="136"/>
      <scheme val="minor"/>
    </font>
    <font>
      <b/>
      <sz val="12"/>
      <color theme="1"/>
      <name val="jf open 粉圓 2.0"/>
      <family val="1"/>
      <charset val="136"/>
      <scheme val="minor"/>
    </font>
    <font>
      <sz val="12"/>
      <color rgb="FFFF0000"/>
      <name val="jf open 粉圓 2.0"/>
      <family val="2"/>
      <charset val="136"/>
      <scheme val="minor"/>
    </font>
    <font>
      <sz val="12"/>
      <color rgb="FF000000"/>
      <name val="PMingLiu"/>
      <family val="1"/>
      <charset val="136"/>
    </font>
    <font>
      <sz val="9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rgb="FF000000"/>
      <name val="Microsoft JhengHei"/>
      <family val="1"/>
    </font>
    <font>
      <sz val="12"/>
      <color rgb="FF000000"/>
      <name val="Calibri"/>
      <family val="1"/>
    </font>
    <font>
      <sz val="8"/>
      <name val="jf open 粉圓 2.0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3" fillId="0" borderId="0"/>
    <xf numFmtId="0" fontId="2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/>
    <xf numFmtId="44" fontId="1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32">
    <xf numFmtId="0" fontId="0" fillId="0" borderId="0" xfId="0">
      <alignment vertical="center"/>
    </xf>
    <xf numFmtId="0" fontId="7" fillId="0" borderId="1" xfId="5" applyFont="1" applyBorder="1" applyAlignment="1">
      <alignment vertical="center"/>
    </xf>
    <xf numFmtId="0" fontId="8" fillId="0" borderId="0" xfId="0" applyFont="1">
      <alignment vertical="center"/>
    </xf>
    <xf numFmtId="183" fontId="8" fillId="0" borderId="0" xfId="0" applyNumberFormat="1" applyFont="1" applyAlignment="1">
      <alignment horizontal="center" vertical="center"/>
    </xf>
    <xf numFmtId="0" fontId="9" fillId="0" borderId="0" xfId="4" applyFont="1" applyAlignment="1">
      <alignment horizontal="center" vertical="center" wrapText="1"/>
    </xf>
    <xf numFmtId="0" fontId="9" fillId="0" borderId="0" xfId="4" applyFont="1" applyAlignment="1">
      <alignment horizontal="center" vertical="center"/>
    </xf>
    <xf numFmtId="49" fontId="9" fillId="0" borderId="0" xfId="4" applyNumberFormat="1" applyFont="1" applyAlignment="1">
      <alignment horizontal="center" vertical="center" wrapText="1"/>
    </xf>
    <xf numFmtId="178" fontId="10" fillId="0" borderId="0" xfId="4" applyNumberFormat="1" applyFont="1" applyAlignment="1">
      <alignment horizontal="center" vertical="center"/>
    </xf>
    <xf numFmtId="178" fontId="11" fillId="0" borderId="0" xfId="4" applyNumberFormat="1" applyFont="1" applyAlignment="1">
      <alignment horizontal="center" vertical="center"/>
    </xf>
    <xf numFmtId="179" fontId="9" fillId="0" borderId="0" xfId="4" applyNumberFormat="1" applyFont="1" applyAlignment="1">
      <alignment horizontal="center" vertical="center" wrapText="1"/>
    </xf>
    <xf numFmtId="179" fontId="12" fillId="0" borderId="0" xfId="4" applyNumberFormat="1" applyFont="1" applyAlignment="1">
      <alignment horizontal="center" vertical="center"/>
    </xf>
    <xf numFmtId="178" fontId="9" fillId="2" borderId="0" xfId="4" applyNumberFormat="1" applyFont="1" applyFill="1" applyAlignment="1">
      <alignment horizontal="center" vertical="center"/>
    </xf>
    <xf numFmtId="178" fontId="9" fillId="0" borderId="0" xfId="4" applyNumberFormat="1" applyFont="1" applyAlignment="1">
      <alignment horizontal="center" vertical="center"/>
    </xf>
    <xf numFmtId="178" fontId="12" fillId="0" borderId="0" xfId="4" applyNumberFormat="1" applyFont="1" applyAlignment="1">
      <alignment horizontal="center" vertical="center"/>
    </xf>
    <xf numFmtId="178" fontId="9" fillId="0" borderId="0" xfId="4" applyNumberFormat="1" applyFont="1" applyAlignment="1">
      <alignment horizontal="center" vertical="center" wrapText="1"/>
    </xf>
    <xf numFmtId="178" fontId="9" fillId="2" borderId="0" xfId="4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49" fontId="15" fillId="0" borderId="0" xfId="4" applyNumberFormat="1" applyFont="1" applyAlignment="1">
      <alignment vertical="center" wrapText="1"/>
    </xf>
    <xf numFmtId="178" fontId="15" fillId="0" borderId="0" xfId="4" applyNumberFormat="1" applyFont="1" applyAlignment="1">
      <alignment horizontal="center" vertical="center" wrapText="1"/>
    </xf>
    <xf numFmtId="9" fontId="15" fillId="0" borderId="0" xfId="1" applyFont="1" applyBorder="1" applyAlignment="1">
      <alignment horizontal="center" vertical="center" wrapText="1"/>
    </xf>
    <xf numFmtId="179" fontId="8" fillId="0" borderId="0" xfId="0" applyNumberFormat="1" applyFont="1" applyAlignment="1">
      <alignment horizontal="center" vertical="center"/>
    </xf>
    <xf numFmtId="182" fontId="12" fillId="2" borderId="2" xfId="0" applyNumberFormat="1" applyFont="1" applyFill="1" applyBorder="1" applyAlignment="1">
      <alignment horizontal="center" vertical="center"/>
    </xf>
    <xf numFmtId="182" fontId="12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 wrapText="1"/>
    </xf>
    <xf numFmtId="177" fontId="12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183" fontId="12" fillId="0" borderId="0" xfId="4" applyNumberFormat="1" applyFont="1" applyAlignment="1">
      <alignment horizontal="center" vertical="center"/>
    </xf>
    <xf numFmtId="183" fontId="12" fillId="2" borderId="0" xfId="4" applyNumberFormat="1" applyFont="1" applyFill="1" applyAlignment="1">
      <alignment horizontal="center" vertical="center"/>
    </xf>
    <xf numFmtId="183" fontId="15" fillId="0" borderId="0" xfId="4" applyNumberFormat="1" applyFont="1" applyAlignment="1">
      <alignment horizontal="center" vertical="center"/>
    </xf>
    <xf numFmtId="183" fontId="10" fillId="0" borderId="0" xfId="0" applyNumberFormat="1" applyFont="1" applyAlignment="1">
      <alignment horizontal="center" vertical="center"/>
    </xf>
    <xf numFmtId="183" fontId="8" fillId="2" borderId="0" xfId="0" applyNumberFormat="1" applyFont="1" applyFill="1" applyAlignment="1">
      <alignment horizontal="center" vertical="center"/>
    </xf>
    <xf numFmtId="6" fontId="8" fillId="0" borderId="0" xfId="0" applyNumberFormat="1" applyFont="1" applyAlignment="1">
      <alignment horizontal="center" vertical="center"/>
    </xf>
    <xf numFmtId="178" fontId="15" fillId="0" borderId="0" xfId="1" applyNumberFormat="1" applyFont="1" applyBorder="1" applyAlignment="1">
      <alignment horizontal="center" vertical="center" wrapText="1"/>
    </xf>
    <xf numFmtId="6" fontId="15" fillId="0" borderId="0" xfId="4" applyNumberFormat="1" applyFont="1" applyAlignment="1">
      <alignment horizontal="center" vertical="center"/>
    </xf>
    <xf numFmtId="178" fontId="12" fillId="2" borderId="0" xfId="4" applyNumberFormat="1" applyFont="1" applyFill="1" applyAlignment="1">
      <alignment horizontal="center" vertical="center" wrapText="1"/>
    </xf>
    <xf numFmtId="186" fontId="14" fillId="0" borderId="0" xfId="4" applyNumberFormat="1" applyFont="1" applyAlignment="1">
      <alignment horizontal="center" vertical="center"/>
    </xf>
    <xf numFmtId="0" fontId="17" fillId="0" borderId="0" xfId="4" applyFont="1" applyAlignment="1">
      <alignment horizontal="center" vertical="center" wrapText="1"/>
    </xf>
    <xf numFmtId="0" fontId="17" fillId="0" borderId="0" xfId="4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179" fontId="9" fillId="0" borderId="0" xfId="4" quotePrefix="1" applyNumberFormat="1" applyFont="1" applyAlignment="1">
      <alignment horizontal="center" vertical="center" wrapText="1"/>
    </xf>
    <xf numFmtId="179" fontId="9" fillId="0" borderId="0" xfId="4" applyNumberFormat="1" applyFont="1" applyAlignment="1">
      <alignment horizontal="center" vertical="center" shrinkToFit="1"/>
    </xf>
    <xf numFmtId="0" fontId="9" fillId="0" borderId="0" xfId="4" applyFont="1" applyAlignment="1">
      <alignment horizontal="center" vertical="center" shrinkToFit="1"/>
    </xf>
    <xf numFmtId="179" fontId="9" fillId="0" borderId="0" xfId="18" applyNumberFormat="1" applyFont="1" applyAlignment="1">
      <alignment horizontal="center" vertical="center" wrapText="1"/>
    </xf>
    <xf numFmtId="0" fontId="9" fillId="0" borderId="0" xfId="18" applyFont="1" applyAlignment="1">
      <alignment horizontal="center" vertical="center" wrapText="1"/>
    </xf>
    <xf numFmtId="49" fontId="9" fillId="0" borderId="0" xfId="18" quotePrefix="1" applyNumberFormat="1" applyFont="1" applyAlignment="1">
      <alignment horizontal="center" vertical="center" wrapText="1"/>
    </xf>
    <xf numFmtId="178" fontId="9" fillId="0" borderId="0" xfId="4" applyNumberFormat="1" applyFont="1" applyAlignment="1">
      <alignment horizontal="center" vertical="center" shrinkToFit="1"/>
    </xf>
    <xf numFmtId="179" fontId="9" fillId="0" borderId="0" xfId="18" quotePrefix="1" applyNumberFormat="1" applyFont="1" applyAlignment="1">
      <alignment horizontal="center" vertical="center" wrapText="1"/>
    </xf>
    <xf numFmtId="0" fontId="9" fillId="0" borderId="0" xfId="5" applyFont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178" fontId="11" fillId="0" borderId="0" xfId="5" applyNumberFormat="1" applyFont="1" applyAlignment="1">
      <alignment horizontal="center" vertical="center" wrapText="1"/>
    </xf>
    <xf numFmtId="178" fontId="9" fillId="0" borderId="0" xfId="5" applyNumberFormat="1" applyFont="1" applyAlignment="1">
      <alignment horizontal="center" vertical="center" wrapText="1"/>
    </xf>
    <xf numFmtId="178" fontId="18" fillId="0" borderId="0" xfId="5" applyNumberFormat="1" applyFont="1" applyAlignment="1">
      <alignment horizontal="center" vertical="center" wrapText="1"/>
    </xf>
    <xf numFmtId="178" fontId="16" fillId="0" borderId="0" xfId="5" applyNumberFormat="1" applyFont="1" applyAlignment="1">
      <alignment horizontal="center" vertical="center"/>
    </xf>
    <xf numFmtId="9" fontId="9" fillId="0" borderId="0" xfId="20" applyFont="1" applyFill="1" applyBorder="1" applyAlignment="1" applyProtection="1">
      <alignment horizontal="center" vertical="center" wrapText="1"/>
    </xf>
    <xf numFmtId="6" fontId="12" fillId="2" borderId="0" xfId="4" applyNumberFormat="1" applyFont="1" applyFill="1" applyAlignment="1">
      <alignment horizontal="center" vertical="center"/>
    </xf>
    <xf numFmtId="6" fontId="12" fillId="0" borderId="0" xfId="4" applyNumberFormat="1" applyFont="1" applyAlignment="1">
      <alignment horizontal="center" vertical="center"/>
    </xf>
    <xf numFmtId="0" fontId="8" fillId="0" borderId="0" xfId="5" applyFont="1"/>
    <xf numFmtId="179" fontId="8" fillId="0" borderId="0" xfId="18" applyNumberFormat="1" applyFont="1" applyAlignment="1">
      <alignment horizontal="center" vertical="center"/>
    </xf>
    <xf numFmtId="180" fontId="9" fillId="0" borderId="4" xfId="4" applyNumberFormat="1" applyFont="1" applyBorder="1" applyAlignment="1">
      <alignment horizontal="center" vertical="center" wrapText="1"/>
    </xf>
    <xf numFmtId="0" fontId="9" fillId="0" borderId="4" xfId="4" applyFont="1" applyBorder="1" applyAlignment="1">
      <alignment horizontal="center" vertical="center"/>
    </xf>
    <xf numFmtId="0" fontId="8" fillId="0" borderId="0" xfId="18" applyFont="1" applyAlignment="1">
      <alignment horizontal="center" vertical="center"/>
    </xf>
    <xf numFmtId="49" fontId="8" fillId="0" borderId="0" xfId="18" applyNumberFormat="1" applyFont="1" applyAlignment="1">
      <alignment horizontal="center" vertical="center"/>
    </xf>
    <xf numFmtId="0" fontId="16" fillId="0" borderId="0" xfId="18" applyFont="1" applyAlignment="1">
      <alignment horizontal="center" vertical="center"/>
    </xf>
    <xf numFmtId="176" fontId="12" fillId="3" borderId="1" xfId="4" applyNumberFormat="1" applyFont="1" applyFill="1" applyBorder="1" applyAlignment="1">
      <alignment horizontal="center" vertical="center"/>
    </xf>
    <xf numFmtId="176" fontId="12" fillId="0" borderId="1" xfId="4" applyNumberFormat="1" applyFont="1" applyBorder="1" applyAlignment="1">
      <alignment horizontal="center" vertical="center"/>
    </xf>
    <xf numFmtId="177" fontId="9" fillId="0" borderId="1" xfId="4" quotePrefix="1" applyNumberFormat="1" applyFont="1" applyBorder="1" applyAlignment="1">
      <alignment horizontal="center" vertical="center" wrapText="1"/>
    </xf>
    <xf numFmtId="177" fontId="12" fillId="0" borderId="1" xfId="4" applyNumberFormat="1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181" fontId="8" fillId="0" borderId="1" xfId="3" applyNumberFormat="1" applyFont="1" applyBorder="1" applyAlignment="1">
      <alignment horizontal="center" vertical="center"/>
    </xf>
    <xf numFmtId="6" fontId="8" fillId="0" borderId="0" xfId="18" applyNumberFormat="1" applyFont="1" applyAlignment="1">
      <alignment horizontal="center" vertical="center"/>
    </xf>
    <xf numFmtId="178" fontId="16" fillId="0" borderId="0" xfId="3" applyNumberFormat="1" applyFont="1" applyAlignment="1">
      <alignment horizontal="center" vertical="center"/>
    </xf>
    <xf numFmtId="178" fontId="11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49" fontId="19" fillId="0" borderId="0" xfId="25" applyNumberFormat="1" applyFill="1" applyBorder="1" applyAlignment="1" applyProtection="1">
      <alignment horizontal="center" vertical="center" wrapText="1"/>
    </xf>
    <xf numFmtId="49" fontId="9" fillId="0" borderId="0" xfId="18" applyNumberFormat="1" applyFont="1" applyAlignment="1">
      <alignment horizontal="center" vertical="center" wrapText="1"/>
    </xf>
    <xf numFmtId="0" fontId="7" fillId="0" borderId="0" xfId="4" applyFont="1" applyAlignment="1">
      <alignment horizontal="center" vertical="center"/>
    </xf>
    <xf numFmtId="182" fontId="12" fillId="2" borderId="1" xfId="0" applyNumberFormat="1" applyFont="1" applyFill="1" applyBorder="1" applyAlignment="1">
      <alignment horizontal="center" vertical="center"/>
    </xf>
    <xf numFmtId="182" fontId="12" fillId="0" borderId="1" xfId="0" applyNumberFormat="1" applyFont="1" applyBorder="1" applyAlignment="1">
      <alignment horizontal="center" vertical="center"/>
    </xf>
    <xf numFmtId="180" fontId="9" fillId="0" borderId="9" xfId="4" applyNumberFormat="1" applyFont="1" applyBorder="1" applyAlignment="1">
      <alignment horizontal="center" vertical="center" wrapText="1"/>
    </xf>
    <xf numFmtId="176" fontId="12" fillId="3" borderId="3" xfId="4" applyNumberFormat="1" applyFont="1" applyFill="1" applyBorder="1" applyAlignment="1">
      <alignment horizontal="center" vertical="center"/>
    </xf>
    <xf numFmtId="177" fontId="9" fillId="0" borderId="3" xfId="4" quotePrefix="1" applyNumberFormat="1" applyFont="1" applyBorder="1" applyAlignment="1">
      <alignment horizontal="center" vertical="center" wrapText="1"/>
    </xf>
    <xf numFmtId="177" fontId="9" fillId="3" borderId="3" xfId="4" applyNumberFormat="1" applyFont="1" applyFill="1" applyBorder="1" applyAlignment="1">
      <alignment horizontal="center" vertical="center" wrapText="1"/>
    </xf>
    <xf numFmtId="177" fontId="9" fillId="0" borderId="3" xfId="3" quotePrefix="1" applyNumberFormat="1" applyFont="1" applyBorder="1" applyAlignment="1">
      <alignment horizontal="center" vertical="center" wrapText="1"/>
    </xf>
    <xf numFmtId="177" fontId="9" fillId="0" borderId="3" xfId="3" applyNumberFormat="1" applyFont="1" applyBorder="1" applyAlignment="1">
      <alignment horizontal="center" vertical="center" wrapText="1"/>
    </xf>
    <xf numFmtId="180" fontId="9" fillId="0" borderId="10" xfId="4" applyNumberFormat="1" applyFont="1" applyBorder="1" applyAlignment="1">
      <alignment horizontal="center" vertical="center" wrapText="1"/>
    </xf>
    <xf numFmtId="180" fontId="9" fillId="0" borderId="13" xfId="4" applyNumberFormat="1" applyFont="1" applyBorder="1" applyAlignment="1">
      <alignment horizontal="center" vertical="center" wrapText="1"/>
    </xf>
    <xf numFmtId="0" fontId="9" fillId="0" borderId="13" xfId="4" applyFont="1" applyBorder="1" applyAlignment="1">
      <alignment horizontal="center" vertical="center"/>
    </xf>
    <xf numFmtId="0" fontId="16" fillId="0" borderId="7" xfId="5" applyFont="1" applyBorder="1" applyAlignment="1">
      <alignment horizontal="center" vertical="center"/>
    </xf>
    <xf numFmtId="177" fontId="8" fillId="0" borderId="8" xfId="5" applyNumberFormat="1" applyFont="1" applyBorder="1" applyAlignment="1">
      <alignment horizontal="center" vertical="center"/>
    </xf>
    <xf numFmtId="177" fontId="12" fillId="0" borderId="8" xfId="5" applyNumberFormat="1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176" fontId="12" fillId="0" borderId="2" xfId="4" applyNumberFormat="1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177" fontId="12" fillId="0" borderId="6" xfId="5" applyNumberFormat="1" applyFont="1" applyBorder="1" applyAlignment="1">
      <alignment horizontal="center" vertical="center"/>
    </xf>
    <xf numFmtId="0" fontId="8" fillId="0" borderId="0" xfId="5" applyFont="1" applyAlignment="1">
      <alignment horizontal="center"/>
    </xf>
    <xf numFmtId="0" fontId="9" fillId="0" borderId="1" xfId="4" applyFont="1" applyBorder="1" applyAlignment="1">
      <alignment horizontal="center" vertical="center" wrapText="1"/>
    </xf>
    <xf numFmtId="0" fontId="9" fillId="0" borderId="8" xfId="4" applyFont="1" applyBorder="1" applyAlignment="1">
      <alignment horizontal="center" vertical="center" wrapText="1"/>
    </xf>
    <xf numFmtId="179" fontId="12" fillId="0" borderId="2" xfId="4" applyNumberFormat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0" fontId="9" fillId="0" borderId="8" xfId="4" quotePrefix="1" applyFont="1" applyBorder="1" applyAlignment="1">
      <alignment horizontal="center" vertical="center" wrapText="1"/>
    </xf>
    <xf numFmtId="178" fontId="12" fillId="0" borderId="8" xfId="4" applyNumberFormat="1" applyFont="1" applyBorder="1" applyAlignment="1">
      <alignment horizontal="center" vertical="center"/>
    </xf>
    <xf numFmtId="0" fontId="9" fillId="0" borderId="13" xfId="4" quotePrefix="1" applyFont="1" applyBorder="1" applyAlignment="1">
      <alignment horizontal="center" vertical="center" wrapText="1"/>
    </xf>
    <xf numFmtId="178" fontId="12" fillId="0" borderId="13" xfId="4" applyNumberFormat="1" applyFont="1" applyBorder="1" applyAlignment="1">
      <alignment horizontal="center" vertical="center"/>
    </xf>
    <xf numFmtId="179" fontId="12" fillId="0" borderId="7" xfId="4" applyNumberFormat="1" applyFont="1" applyBorder="1" applyAlignment="1">
      <alignment horizontal="center" vertical="center"/>
    </xf>
    <xf numFmtId="179" fontId="12" fillId="0" borderId="10" xfId="4" applyNumberFormat="1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 wrapText="1"/>
    </xf>
    <xf numFmtId="0" fontId="9" fillId="0" borderId="12" xfId="4" applyFont="1" applyBorder="1" applyAlignment="1">
      <alignment horizontal="center" vertical="center"/>
    </xf>
    <xf numFmtId="185" fontId="12" fillId="0" borderId="1" xfId="21" applyNumberFormat="1" applyFont="1" applyFill="1" applyBorder="1" applyAlignment="1">
      <alignment horizontal="center" vertical="center"/>
    </xf>
    <xf numFmtId="0" fontId="12" fillId="0" borderId="3" xfId="5" applyFont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187" fontId="8" fillId="0" borderId="0" xfId="5" applyNumberFormat="1" applyFont="1" applyAlignment="1">
      <alignment horizontal="center" vertical="center"/>
    </xf>
    <xf numFmtId="0" fontId="8" fillId="0" borderId="3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8" fillId="0" borderId="8" xfId="5" applyFont="1" applyBorder="1" applyAlignment="1">
      <alignment horizontal="center" vertical="center"/>
    </xf>
    <xf numFmtId="178" fontId="8" fillId="0" borderId="0" xfId="5" applyNumberFormat="1" applyFont="1" applyAlignment="1">
      <alignment horizontal="center" vertical="center"/>
    </xf>
    <xf numFmtId="185" fontId="12" fillId="2" borderId="1" xfId="21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5"/>
    <xf numFmtId="49" fontId="9" fillId="0" borderId="0" xfId="5" applyNumberFormat="1" applyFont="1" applyAlignment="1">
      <alignment horizontal="center" vertical="center" wrapText="1"/>
    </xf>
    <xf numFmtId="184" fontId="20" fillId="0" borderId="1" xfId="22" applyNumberFormat="1" applyFont="1" applyBorder="1" applyAlignment="1">
      <alignment horizontal="center" vertical="center" shrinkToFit="1"/>
    </xf>
    <xf numFmtId="49" fontId="9" fillId="0" borderId="0" xfId="5" quotePrefix="1" applyNumberFormat="1" applyFont="1" applyAlignment="1">
      <alignment horizontal="center" vertical="center" wrapText="1"/>
    </xf>
    <xf numFmtId="178" fontId="9" fillId="0" borderId="0" xfId="4" applyNumberFormat="1" applyFont="1" applyAlignment="1">
      <alignment horizontal="center" shrinkToFit="1"/>
    </xf>
    <xf numFmtId="182" fontId="12" fillId="0" borderId="1" xfId="5" applyNumberFormat="1" applyFont="1" applyBorder="1" applyAlignment="1">
      <alignment horizontal="center" vertical="center"/>
    </xf>
    <xf numFmtId="182" fontId="12" fillId="0" borderId="1" xfId="4" applyNumberFormat="1" applyFont="1" applyBorder="1" applyAlignment="1">
      <alignment horizontal="center" vertical="center"/>
    </xf>
    <xf numFmtId="0" fontId="15" fillId="0" borderId="0" xfId="4" applyFont="1" applyAlignment="1">
      <alignment vertical="center"/>
    </xf>
    <xf numFmtId="0" fontId="12" fillId="0" borderId="0" xfId="22" applyFont="1" applyAlignment="1">
      <alignment horizontal="center" vertical="center" wrapText="1"/>
    </xf>
    <xf numFmtId="178" fontId="12" fillId="0" borderId="0" xfId="22" applyNumberFormat="1" applyFont="1" applyAlignment="1">
      <alignment horizontal="center" vertical="center"/>
    </xf>
    <xf numFmtId="182" fontId="12" fillId="2" borderId="1" xfId="5" applyNumberFormat="1" applyFont="1" applyFill="1" applyBorder="1" applyAlignment="1">
      <alignment horizontal="center" vertical="center"/>
    </xf>
    <xf numFmtId="182" fontId="12" fillId="0" borderId="2" xfId="4" applyNumberFormat="1" applyFont="1" applyBorder="1" applyAlignment="1">
      <alignment horizontal="center" vertical="center"/>
    </xf>
    <xf numFmtId="179" fontId="12" fillId="0" borderId="0" xfId="4" applyNumberFormat="1" applyFont="1" applyAlignment="1">
      <alignment horizontal="center" vertical="center" shrinkToFit="1"/>
    </xf>
    <xf numFmtId="178" fontId="12" fillId="2" borderId="0" xfId="4" applyNumberFormat="1" applyFont="1" applyFill="1" applyAlignment="1">
      <alignment horizontal="center" vertical="center" shrinkToFit="1"/>
    </xf>
    <xf numFmtId="178" fontId="12" fillId="0" borderId="0" xfId="4" applyNumberFormat="1" applyFont="1" applyAlignment="1">
      <alignment horizontal="center" vertical="center" shrinkToFit="1"/>
    </xf>
    <xf numFmtId="178" fontId="18" fillId="0" borderId="0" xfId="5" applyNumberFormat="1" applyFont="1" applyAlignment="1">
      <alignment horizontal="center" vertical="center" shrinkToFit="1"/>
    </xf>
    <xf numFmtId="6" fontId="18" fillId="0" borderId="0" xfId="5" applyNumberFormat="1" applyFont="1" applyAlignment="1">
      <alignment horizontal="center" vertical="center" shrinkToFit="1"/>
    </xf>
    <xf numFmtId="6" fontId="8" fillId="0" borderId="0" xfId="18" applyNumberFormat="1" applyFont="1" applyAlignment="1">
      <alignment horizontal="center" vertical="center" shrinkToFit="1"/>
    </xf>
    <xf numFmtId="6" fontId="16" fillId="0" borderId="0" xfId="18" applyNumberFormat="1" applyFont="1" applyAlignment="1">
      <alignment horizontal="center" vertical="center" shrinkToFit="1"/>
    </xf>
    <xf numFmtId="6" fontId="8" fillId="2" borderId="0" xfId="18" applyNumberFormat="1" applyFont="1" applyFill="1" applyAlignment="1">
      <alignment horizontal="center" vertical="center" shrinkToFit="1"/>
    </xf>
    <xf numFmtId="6" fontId="12" fillId="2" borderId="0" xfId="4" applyNumberFormat="1" applyFont="1" applyFill="1" applyAlignment="1">
      <alignment horizontal="center" vertical="center" shrinkToFit="1"/>
    </xf>
    <xf numFmtId="0" fontId="9" fillId="0" borderId="13" xfId="4" applyFont="1" applyBorder="1" applyAlignment="1">
      <alignment horizontal="center" vertical="center" shrinkToFit="1"/>
    </xf>
    <xf numFmtId="0" fontId="9" fillId="0" borderId="11" xfId="4" applyFont="1" applyBorder="1" applyAlignment="1">
      <alignment horizontal="center" vertical="center" shrinkToFit="1"/>
    </xf>
    <xf numFmtId="176" fontId="12" fillId="0" borderId="1" xfId="4" applyNumberFormat="1" applyFont="1" applyBorder="1" applyAlignment="1">
      <alignment horizontal="center" vertical="center" shrinkToFit="1"/>
    </xf>
    <xf numFmtId="176" fontId="12" fillId="0" borderId="2" xfId="4" applyNumberFormat="1" applyFont="1" applyBorder="1" applyAlignment="1">
      <alignment horizontal="center" vertical="center" shrinkToFit="1"/>
    </xf>
    <xf numFmtId="177" fontId="12" fillId="2" borderId="1" xfId="4" applyNumberFormat="1" applyFont="1" applyFill="1" applyBorder="1" applyAlignment="1">
      <alignment horizontal="center" vertical="center" shrinkToFit="1"/>
    </xf>
    <xf numFmtId="182" fontId="12" fillId="2" borderId="1" xfId="0" applyNumberFormat="1" applyFont="1" applyFill="1" applyBorder="1" applyAlignment="1">
      <alignment horizontal="center" vertical="center" shrinkToFit="1"/>
    </xf>
    <xf numFmtId="182" fontId="12" fillId="0" borderId="1" xfId="0" applyNumberFormat="1" applyFont="1" applyBorder="1" applyAlignment="1">
      <alignment horizontal="center" vertical="center" shrinkToFit="1"/>
    </xf>
    <xf numFmtId="182" fontId="12" fillId="0" borderId="2" xfId="0" applyNumberFormat="1" applyFont="1" applyBorder="1" applyAlignment="1">
      <alignment horizontal="center" vertical="center" shrinkToFit="1"/>
    </xf>
    <xf numFmtId="0" fontId="8" fillId="0" borderId="1" xfId="3" applyFont="1" applyBorder="1" applyAlignment="1">
      <alignment horizontal="center" vertical="center" shrinkToFit="1"/>
    </xf>
    <xf numFmtId="181" fontId="8" fillId="0" borderId="1" xfId="3" applyNumberFormat="1" applyFont="1" applyBorder="1" applyAlignment="1">
      <alignment horizontal="center" vertical="center" shrinkToFit="1"/>
    </xf>
    <xf numFmtId="0" fontId="8" fillId="0" borderId="2" xfId="3" applyFont="1" applyBorder="1" applyAlignment="1">
      <alignment horizontal="center" vertical="center" shrinkToFit="1"/>
    </xf>
    <xf numFmtId="0" fontId="8" fillId="2" borderId="1" xfId="3" applyFont="1" applyFill="1" applyBorder="1" applyAlignment="1">
      <alignment horizontal="center" vertical="center" shrinkToFit="1"/>
    </xf>
    <xf numFmtId="0" fontId="12" fillId="0" borderId="1" xfId="4" applyFont="1" applyBorder="1" applyAlignment="1">
      <alignment horizontal="center" vertical="center" shrinkToFit="1"/>
    </xf>
    <xf numFmtId="181" fontId="12" fillId="0" borderId="1" xfId="4" applyNumberFormat="1" applyFont="1" applyBorder="1" applyAlignment="1">
      <alignment horizontal="center" vertical="center" shrinkToFit="1"/>
    </xf>
    <xf numFmtId="0" fontId="12" fillId="0" borderId="2" xfId="4" applyFont="1" applyBorder="1" applyAlignment="1">
      <alignment horizontal="center" vertical="center" shrinkToFit="1"/>
    </xf>
    <xf numFmtId="177" fontId="12" fillId="0" borderId="6" xfId="5" applyNumberFormat="1" applyFont="1" applyBorder="1" applyAlignment="1">
      <alignment horizontal="center" vertical="center" shrinkToFit="1"/>
    </xf>
    <xf numFmtId="188" fontId="8" fillId="0" borderId="0" xfId="18" applyNumberFormat="1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179" fontId="12" fillId="0" borderId="0" xfId="4" applyNumberFormat="1" applyFont="1" applyAlignment="1">
      <alignment horizontal="center" shrinkToFit="1"/>
    </xf>
    <xf numFmtId="178" fontId="12" fillId="0" borderId="0" xfId="4" applyNumberFormat="1" applyFont="1" applyAlignment="1">
      <alignment horizontal="center" shrinkToFit="1"/>
    </xf>
    <xf numFmtId="0" fontId="12" fillId="0" borderId="0" xfId="4" applyFont="1" applyAlignment="1">
      <alignment horizontal="center" shrinkToFit="1"/>
    </xf>
    <xf numFmtId="0" fontId="12" fillId="0" borderId="0" xfId="4" applyFont="1" applyAlignment="1">
      <alignment shrinkToFit="1"/>
    </xf>
    <xf numFmtId="0" fontId="12" fillId="0" borderId="0" xfId="4" applyFont="1" applyAlignment="1">
      <alignment horizontal="center" vertical="center" shrinkToFit="1"/>
    </xf>
    <xf numFmtId="178" fontId="9" fillId="2" borderId="0" xfId="4" applyNumberFormat="1" applyFont="1" applyFill="1" applyAlignment="1">
      <alignment horizontal="center" vertical="center" shrinkToFit="1"/>
    </xf>
    <xf numFmtId="178" fontId="12" fillId="2" borderId="0" xfId="4" applyNumberFormat="1" applyFont="1" applyFill="1" applyAlignment="1">
      <alignment horizontal="center" vertical="center"/>
    </xf>
    <xf numFmtId="178" fontId="11" fillId="2" borderId="0" xfId="4" applyNumberFormat="1" applyFont="1" applyFill="1" applyAlignment="1">
      <alignment horizontal="center" vertical="center"/>
    </xf>
    <xf numFmtId="177" fontId="9" fillId="2" borderId="3" xfId="4" applyNumberFormat="1" applyFont="1" applyFill="1" applyBorder="1" applyAlignment="1">
      <alignment horizontal="center" vertical="center" wrapText="1"/>
    </xf>
    <xf numFmtId="177" fontId="9" fillId="2" borderId="3" xfId="3" applyNumberFormat="1" applyFont="1" applyFill="1" applyBorder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178" fontId="12" fillId="0" borderId="0" xfId="5" applyNumberFormat="1" applyFont="1" applyAlignment="1">
      <alignment horizontal="center" vertical="center"/>
    </xf>
    <xf numFmtId="49" fontId="12" fillId="0" borderId="0" xfId="4" applyNumberFormat="1" applyFont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12" fillId="0" borderId="0" xfId="0" applyFont="1">
      <alignment vertical="center"/>
    </xf>
    <xf numFmtId="179" fontId="12" fillId="0" borderId="0" xfId="4" applyNumberFormat="1" applyFont="1" applyAlignment="1">
      <alignment horizontal="center" vertical="center" wrapText="1"/>
    </xf>
    <xf numFmtId="179" fontId="12" fillId="0" borderId="0" xfId="4" quotePrefix="1" applyNumberFormat="1" applyFont="1" applyAlignment="1">
      <alignment horizontal="center" vertical="center" wrapText="1"/>
    </xf>
    <xf numFmtId="179" fontId="12" fillId="0" borderId="0" xfId="18" applyNumberFormat="1" applyFont="1" applyAlignment="1">
      <alignment horizontal="center" vertical="center" wrapText="1"/>
    </xf>
    <xf numFmtId="179" fontId="12" fillId="0" borderId="0" xfId="18" quotePrefix="1" applyNumberFormat="1" applyFont="1" applyAlignment="1">
      <alignment horizontal="center" vertical="center" wrapText="1"/>
    </xf>
    <xf numFmtId="0" fontId="12" fillId="0" borderId="0" xfId="18" applyFont="1" applyAlignment="1">
      <alignment horizontal="center" vertical="center" wrapText="1"/>
    </xf>
    <xf numFmtId="49" fontId="12" fillId="0" borderId="0" xfId="18" quotePrefix="1" applyNumberFormat="1" applyFont="1" applyAlignment="1">
      <alignment horizontal="center" vertical="center" wrapText="1"/>
    </xf>
    <xf numFmtId="178" fontId="12" fillId="0" borderId="0" xfId="4" applyNumberFormat="1" applyFont="1" applyAlignment="1">
      <alignment horizontal="center" vertical="center" wrapText="1"/>
    </xf>
    <xf numFmtId="49" fontId="12" fillId="0" borderId="0" xfId="18" applyNumberFormat="1" applyFont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0" fontId="12" fillId="0" borderId="0" xfId="5" applyFont="1" applyAlignment="1">
      <alignment horizontal="center" vertical="center"/>
    </xf>
    <xf numFmtId="178" fontId="12" fillId="0" borderId="0" xfId="5" applyNumberFormat="1" applyFont="1" applyAlignment="1">
      <alignment horizontal="center" vertical="center" wrapText="1"/>
    </xf>
    <xf numFmtId="178" fontId="12" fillId="2" borderId="0" xfId="5" applyNumberFormat="1" applyFont="1" applyFill="1" applyAlignment="1">
      <alignment horizontal="center" vertical="center" wrapText="1"/>
    </xf>
    <xf numFmtId="9" fontId="12" fillId="0" borderId="0" xfId="20" applyFont="1" applyFill="1" applyBorder="1" applyAlignment="1" applyProtection="1">
      <alignment horizontal="center" vertical="center" wrapText="1"/>
    </xf>
    <xf numFmtId="0" fontId="12" fillId="0" borderId="0" xfId="5" applyFont="1"/>
    <xf numFmtId="0" fontId="12" fillId="2" borderId="0" xfId="18" applyFont="1" applyFill="1" applyAlignment="1">
      <alignment horizontal="center" vertical="center"/>
    </xf>
    <xf numFmtId="183" fontId="12" fillId="0" borderId="0" xfId="18" applyNumberFormat="1" applyFont="1" applyAlignment="1">
      <alignment horizontal="center" vertical="center"/>
    </xf>
    <xf numFmtId="179" fontId="12" fillId="0" borderId="0" xfId="18" applyNumberFormat="1" applyFont="1" applyAlignment="1">
      <alignment horizontal="center" vertical="center"/>
    </xf>
    <xf numFmtId="6" fontId="12" fillId="2" borderId="0" xfId="18" applyNumberFormat="1" applyFont="1" applyFill="1" applyAlignment="1">
      <alignment horizontal="center" vertical="center"/>
    </xf>
    <xf numFmtId="6" fontId="12" fillId="0" borderId="0" xfId="18" applyNumberFormat="1" applyFont="1" applyAlignment="1">
      <alignment horizontal="center" vertical="center"/>
    </xf>
    <xf numFmtId="183" fontId="12" fillId="2" borderId="0" xfId="18" applyNumberFormat="1" applyFont="1" applyFill="1" applyAlignment="1">
      <alignment horizontal="center" vertical="center"/>
    </xf>
    <xf numFmtId="0" fontId="12" fillId="0" borderId="0" xfId="18" applyFont="1" applyAlignment="1">
      <alignment horizontal="center" vertical="center"/>
    </xf>
    <xf numFmtId="49" fontId="12" fillId="0" borderId="0" xfId="18" applyNumberFormat="1" applyFont="1" applyAlignment="1">
      <alignment horizontal="center" vertical="center"/>
    </xf>
    <xf numFmtId="180" fontId="12" fillId="0" borderId="9" xfId="4" applyNumberFormat="1" applyFont="1" applyBorder="1" applyAlignment="1">
      <alignment horizontal="center" vertical="center" wrapText="1"/>
    </xf>
    <xf numFmtId="180" fontId="12" fillId="0" borderId="4" xfId="4" applyNumberFormat="1" applyFont="1" applyBorder="1" applyAlignment="1">
      <alignment horizontal="center" vertical="center" wrapText="1"/>
    </xf>
    <xf numFmtId="0" fontId="12" fillId="0" borderId="4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177" fontId="12" fillId="0" borderId="3" xfId="4" quotePrefix="1" applyNumberFormat="1" applyFont="1" applyBorder="1" applyAlignment="1">
      <alignment horizontal="center" vertical="center" wrapText="1"/>
    </xf>
    <xf numFmtId="177" fontId="12" fillId="0" borderId="1" xfId="4" quotePrefix="1" applyNumberFormat="1" applyFont="1" applyBorder="1" applyAlignment="1">
      <alignment horizontal="center" vertical="center" wrapText="1"/>
    </xf>
    <xf numFmtId="177" fontId="12" fillId="3" borderId="3" xfId="4" applyNumberFormat="1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177" fontId="12" fillId="0" borderId="3" xfId="3" quotePrefix="1" applyNumberFormat="1" applyFont="1" applyBorder="1" applyAlignment="1">
      <alignment horizontal="center" vertical="center" wrapText="1"/>
    </xf>
    <xf numFmtId="0" fontId="12" fillId="0" borderId="7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12" fillId="0" borderId="7" xfId="5" applyNumberFormat="1" applyFont="1" applyBorder="1" applyAlignment="1">
      <alignment horizontal="center" vertical="center" wrapText="1"/>
    </xf>
    <xf numFmtId="0" fontId="12" fillId="0" borderId="8" xfId="5" applyFont="1" applyBorder="1" applyAlignment="1">
      <alignment horizontal="center" vertical="center" wrapText="1"/>
    </xf>
    <xf numFmtId="0" fontId="12" fillId="0" borderId="7" xfId="5" applyFont="1" applyBorder="1" applyAlignment="1">
      <alignment horizontal="center" vertical="center" wrapText="1"/>
    </xf>
    <xf numFmtId="18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16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181" fontId="0" fillId="0" borderId="19" xfId="0" applyNumberForma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81" fontId="0" fillId="3" borderId="19" xfId="0" applyNumberFormat="1" applyFill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9" fillId="0" borderId="0" xfId="4" applyNumberFormat="1" applyFont="1" applyAlignment="1">
      <alignment horizontal="center" vertical="center" shrinkToFit="1"/>
    </xf>
    <xf numFmtId="178" fontId="10" fillId="0" borderId="0" xfId="4" applyNumberFormat="1" applyFont="1" applyAlignment="1">
      <alignment horizontal="center" vertical="center" shrinkToFit="1"/>
    </xf>
    <xf numFmtId="178" fontId="11" fillId="0" borderId="0" xfId="4" applyNumberFormat="1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49" fontId="9" fillId="0" borderId="0" xfId="0" applyNumberFormat="1" applyFont="1" applyAlignment="1">
      <alignment horizontal="center" vertical="center" shrinkToFit="1"/>
    </xf>
    <xf numFmtId="178" fontId="11" fillId="2" borderId="0" xfId="4" applyNumberFormat="1" applyFont="1" applyFill="1" applyAlignment="1">
      <alignment horizontal="center" vertical="center" shrinkToFit="1"/>
    </xf>
    <xf numFmtId="49" fontId="19" fillId="0" borderId="0" xfId="25" applyNumberFormat="1" applyFill="1" applyBorder="1" applyAlignment="1" applyProtection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178" fontId="10" fillId="0" borderId="0" xfId="0" applyNumberFormat="1" applyFont="1" applyAlignment="1">
      <alignment horizontal="center" vertical="center" shrinkToFit="1"/>
    </xf>
    <xf numFmtId="178" fontId="13" fillId="0" borderId="0" xfId="0" applyNumberFormat="1" applyFont="1" applyAlignment="1">
      <alignment horizontal="center" vertical="center" shrinkToFit="1"/>
    </xf>
    <xf numFmtId="178" fontId="9" fillId="0" borderId="0" xfId="0" applyNumberFormat="1" applyFont="1" applyAlignment="1">
      <alignment horizontal="center" vertical="center" shrinkToFit="1"/>
    </xf>
    <xf numFmtId="178" fontId="14" fillId="0" borderId="0" xfId="0" applyNumberFormat="1" applyFont="1" applyAlignment="1">
      <alignment horizontal="center" vertical="center" shrinkToFit="1"/>
    </xf>
    <xf numFmtId="180" fontId="9" fillId="0" borderId="0" xfId="4" applyNumberFormat="1" applyFont="1" applyAlignment="1">
      <alignment horizontal="center" vertical="center" shrinkToFit="1"/>
    </xf>
    <xf numFmtId="176" fontId="12" fillId="3" borderId="0" xfId="4" applyNumberFormat="1" applyFont="1" applyFill="1" applyAlignment="1">
      <alignment horizontal="center" vertical="center" shrinkToFit="1"/>
    </xf>
    <xf numFmtId="176" fontId="12" fillId="0" borderId="0" xfId="4" applyNumberFormat="1" applyFont="1" applyAlignment="1">
      <alignment horizontal="center" vertical="center" shrinkToFit="1"/>
    </xf>
    <xf numFmtId="177" fontId="9" fillId="0" borderId="0" xfId="4" quotePrefix="1" applyNumberFormat="1" applyFont="1" applyAlignment="1">
      <alignment horizontal="center" vertical="center" shrinkToFit="1"/>
    </xf>
    <xf numFmtId="182" fontId="12" fillId="2" borderId="2" xfId="0" applyNumberFormat="1" applyFont="1" applyFill="1" applyBorder="1" applyAlignment="1">
      <alignment horizontal="center" vertical="center" shrinkToFit="1"/>
    </xf>
    <xf numFmtId="177" fontId="9" fillId="0" borderId="5" xfId="4" applyNumberFormat="1" applyFont="1" applyBorder="1" applyAlignment="1">
      <alignment horizontal="center" vertical="center" shrinkToFit="1"/>
    </xf>
    <xf numFmtId="182" fontId="12" fillId="2" borderId="6" xfId="0" applyNumberFormat="1" applyFont="1" applyFill="1" applyBorder="1" applyAlignment="1">
      <alignment horizontal="center" vertical="center" shrinkToFit="1"/>
    </xf>
    <xf numFmtId="182" fontId="12" fillId="0" borderId="6" xfId="0" applyNumberFormat="1" applyFont="1" applyBorder="1" applyAlignment="1">
      <alignment horizontal="center" vertical="center" shrinkToFit="1"/>
    </xf>
    <xf numFmtId="179" fontId="21" fillId="0" borderId="0" xfId="4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2" borderId="3" xfId="5" applyFont="1" applyFill="1" applyBorder="1" applyAlignment="1">
      <alignment horizontal="center" vertical="center" wrapText="1"/>
    </xf>
    <xf numFmtId="0" fontId="12" fillId="2" borderId="1" xfId="5" applyFont="1" applyFill="1" applyBorder="1" applyAlignment="1">
      <alignment horizontal="center" vertical="center" wrapText="1"/>
    </xf>
    <xf numFmtId="0" fontId="8" fillId="2" borderId="3" xfId="5" applyFont="1" applyFill="1" applyBorder="1" applyAlignment="1">
      <alignment horizontal="center" vertical="center"/>
    </xf>
    <xf numFmtId="187" fontId="8" fillId="0" borderId="0" xfId="0" applyNumberFormat="1" applyFont="1">
      <alignment vertical="center"/>
    </xf>
    <xf numFmtId="187" fontId="8" fillId="2" borderId="0" xfId="5" applyNumberFormat="1" applyFont="1" applyFill="1" applyAlignment="1">
      <alignment horizontal="center" vertical="center"/>
    </xf>
    <xf numFmtId="187" fontId="8" fillId="2" borderId="0" xfId="0" applyNumberFormat="1" applyFont="1" applyFill="1" applyAlignment="1">
      <alignment horizontal="center" vertical="center"/>
    </xf>
    <xf numFmtId="6" fontId="18" fillId="2" borderId="0" xfId="5" applyNumberFormat="1" applyFont="1" applyFill="1" applyAlignment="1">
      <alignment horizontal="center" vertical="center" shrinkToFit="1"/>
    </xf>
    <xf numFmtId="49" fontId="12" fillId="0" borderId="0" xfId="4" applyNumberFormat="1" applyFont="1" applyAlignment="1">
      <alignment horizontal="center" vertical="center"/>
    </xf>
    <xf numFmtId="187" fontId="8" fillId="4" borderId="0" xfId="5" applyNumberFormat="1" applyFont="1" applyFill="1" applyAlignment="1">
      <alignment horizontal="center" vertical="center"/>
    </xf>
    <xf numFmtId="184" fontId="24" fillId="0" borderId="1" xfId="0" applyNumberFormat="1" applyFont="1" applyBorder="1" applyAlignment="1">
      <alignment horizontal="left" vertical="center"/>
    </xf>
    <xf numFmtId="187" fontId="0" fillId="0" borderId="1" xfId="0" applyNumberFormat="1" applyBorder="1" applyAlignment="1">
      <alignment horizontal="center" vertical="center" shrinkToFit="1"/>
    </xf>
    <xf numFmtId="184" fontId="0" fillId="0" borderId="1" xfId="0" applyNumberForma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6" fontId="0" fillId="0" borderId="1" xfId="0" applyNumberFormat="1" applyBorder="1" applyAlignment="1">
      <alignment horizontal="center" vertical="center" shrinkToFi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178" fontId="12" fillId="0" borderId="0" xfId="4" applyNumberFormat="1" applyFont="1" applyAlignment="1">
      <alignment vertical="center" wrapText="1"/>
    </xf>
    <xf numFmtId="6" fontId="12" fillId="0" borderId="0" xfId="0" applyNumberFormat="1" applyFont="1">
      <alignment vertical="center"/>
    </xf>
    <xf numFmtId="6" fontId="12" fillId="0" borderId="0" xfId="0" applyNumberFormat="1" applyFont="1" applyAlignment="1">
      <alignment horizontal="center" vertical="center"/>
    </xf>
    <xf numFmtId="6" fontId="10" fillId="0" borderId="0" xfId="0" applyNumberFormat="1" applyFont="1" applyAlignment="1">
      <alignment horizontal="center" vertical="center"/>
    </xf>
    <xf numFmtId="183" fontId="12" fillId="0" borderId="0" xfId="0" applyNumberFormat="1" applyFont="1" applyAlignment="1">
      <alignment horizontal="center" vertical="center"/>
    </xf>
    <xf numFmtId="6" fontId="16" fillId="2" borderId="0" xfId="18" applyNumberFormat="1" applyFont="1" applyFill="1" applyAlignment="1">
      <alignment horizontal="center" vertical="center" shrinkToFit="1"/>
    </xf>
    <xf numFmtId="188" fontId="8" fillId="0" borderId="0" xfId="0" applyNumberFormat="1" applyFont="1">
      <alignment vertical="center"/>
    </xf>
    <xf numFmtId="190" fontId="0" fillId="0" borderId="0" xfId="0" applyNumberFormat="1">
      <alignment vertical="center"/>
    </xf>
    <xf numFmtId="0" fontId="0" fillId="0" borderId="27" xfId="0" applyBorder="1">
      <alignment vertical="center"/>
    </xf>
    <xf numFmtId="0" fontId="0" fillId="0" borderId="27" xfId="0" applyBorder="1" applyAlignment="1">
      <alignment horizontal="center" vertical="center"/>
    </xf>
    <xf numFmtId="190" fontId="0" fillId="0" borderId="27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27" xfId="0" applyNumberFormat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90" fontId="0" fillId="0" borderId="27" xfId="0" applyNumberFormat="1" applyBorder="1" applyAlignment="1">
      <alignment horizontal="right" vertical="center"/>
    </xf>
    <xf numFmtId="179" fontId="9" fillId="0" borderId="1" xfId="4" applyNumberFormat="1" applyFont="1" applyBorder="1" applyAlignment="1">
      <alignment horizontal="center" vertical="center" wrapText="1"/>
    </xf>
    <xf numFmtId="0" fontId="32" fillId="0" borderId="27" xfId="4" applyFont="1" applyBorder="1" applyAlignment="1">
      <alignment horizontal="left" vertical="center"/>
    </xf>
    <xf numFmtId="0" fontId="0" fillId="0" borderId="0" xfId="0" pivotButton="1">
      <alignment vertical="center"/>
    </xf>
    <xf numFmtId="192" fontId="0" fillId="0" borderId="0" xfId="0" applyNumberFormat="1">
      <alignment vertical="center"/>
    </xf>
    <xf numFmtId="192" fontId="9" fillId="0" borderId="0" xfId="4" applyNumberFormat="1" applyFont="1" applyAlignment="1">
      <alignment horizontal="center" vertical="center" shrinkToFit="1"/>
    </xf>
    <xf numFmtId="192" fontId="12" fillId="0" borderId="0" xfId="4" applyNumberFormat="1" applyFont="1" applyAlignment="1">
      <alignment horizontal="center" vertical="center" shrinkToFit="1"/>
    </xf>
    <xf numFmtId="192" fontId="12" fillId="0" borderId="27" xfId="4" applyNumberFormat="1" applyFont="1" applyBorder="1" applyAlignment="1">
      <alignment horizontal="center" vertical="center" shrinkToFit="1"/>
    </xf>
    <xf numFmtId="191" fontId="0" fillId="0" borderId="0" xfId="0" applyNumberFormat="1" applyAlignment="1">
      <alignment horizontal="right" vertical="center"/>
    </xf>
    <xf numFmtId="190" fontId="0" fillId="0" borderId="0" xfId="0" applyNumberFormat="1" applyAlignment="1">
      <alignment horizontal="right" vertical="center"/>
    </xf>
    <xf numFmtId="191" fontId="12" fillId="0" borderId="0" xfId="4" applyNumberFormat="1" applyFont="1" applyAlignment="1">
      <alignment horizontal="right" vertical="center" shrinkToFit="1"/>
    </xf>
    <xf numFmtId="190" fontId="12" fillId="0" borderId="0" xfId="0" applyNumberFormat="1" applyFont="1" applyAlignment="1">
      <alignment horizontal="right" vertical="center" shrinkToFit="1"/>
    </xf>
    <xf numFmtId="191" fontId="12" fillId="0" borderId="27" xfId="4" applyNumberFormat="1" applyFont="1" applyBorder="1" applyAlignment="1">
      <alignment horizontal="right" vertical="center" shrinkToFit="1"/>
    </xf>
    <xf numFmtId="190" fontId="12" fillId="0" borderId="27" xfId="0" applyNumberFormat="1" applyFont="1" applyBorder="1" applyAlignment="1">
      <alignment horizontal="right" vertical="center" shrinkToFit="1"/>
    </xf>
    <xf numFmtId="191" fontId="12" fillId="0" borderId="27" xfId="0" applyNumberFormat="1" applyFont="1" applyBorder="1" applyAlignment="1">
      <alignment horizontal="right" vertical="center" shrinkToFit="1"/>
    </xf>
    <xf numFmtId="190" fontId="9" fillId="0" borderId="0" xfId="4" applyNumberFormat="1" applyFont="1" applyAlignment="1">
      <alignment horizontal="right" vertical="center" shrinkToFit="1"/>
    </xf>
    <xf numFmtId="190" fontId="12" fillId="0" borderId="0" xfId="4" applyNumberFormat="1" applyFont="1" applyAlignment="1">
      <alignment horizontal="right" vertical="center" shrinkToFit="1"/>
    </xf>
    <xf numFmtId="190" fontId="12" fillId="0" borderId="27" xfId="4" applyNumberFormat="1" applyFont="1" applyBorder="1" applyAlignment="1">
      <alignment horizontal="right" vertical="center" shrinkToFit="1"/>
    </xf>
    <xf numFmtId="192" fontId="0" fillId="0" borderId="0" xfId="0" applyNumberFormat="1" applyAlignment="1">
      <alignment horizontal="center" vertical="center"/>
    </xf>
    <xf numFmtId="190" fontId="0" fillId="0" borderId="0" xfId="0" applyNumberFormat="1" applyAlignment="1">
      <alignment horizontal="center" vertical="center"/>
    </xf>
    <xf numFmtId="19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27" xfId="5" applyFont="1" applyBorder="1" applyAlignment="1">
      <alignment horizontal="left" vertical="center" wrapText="1"/>
    </xf>
    <xf numFmtId="181" fontId="22" fillId="0" borderId="4" xfId="0" applyNumberFormat="1" applyFont="1" applyBorder="1" applyAlignment="1">
      <alignment horizontal="center" vertical="center"/>
    </xf>
    <xf numFmtId="181" fontId="22" fillId="0" borderId="15" xfId="0" applyNumberFormat="1" applyFont="1" applyBorder="1" applyAlignment="1">
      <alignment horizontal="center" vertical="center"/>
    </xf>
    <xf numFmtId="181" fontId="0" fillId="3" borderId="2" xfId="0" applyNumberFormat="1" applyFill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3" borderId="22" xfId="0" applyNumberFormat="1" applyFill="1" applyBorder="1" applyAlignment="1">
      <alignment horizontal="center" vertical="center"/>
    </xf>
    <xf numFmtId="181" fontId="8" fillId="0" borderId="17" xfId="0" applyNumberFormat="1" applyFont="1" applyBorder="1" applyAlignment="1">
      <alignment horizontal="center" vertical="center"/>
    </xf>
    <xf numFmtId="181" fontId="8" fillId="3" borderId="17" xfId="0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 wrapText="1"/>
    </xf>
    <xf numFmtId="0" fontId="12" fillId="0" borderId="24" xfId="0" applyFont="1" applyBorder="1" applyAlignment="1">
      <alignment horizontal="center" vertical="center" textRotation="255"/>
    </xf>
    <xf numFmtId="0" fontId="12" fillId="0" borderId="25" xfId="0" applyFont="1" applyBorder="1" applyAlignment="1">
      <alignment horizontal="center" vertical="center" textRotation="255"/>
    </xf>
    <xf numFmtId="0" fontId="12" fillId="0" borderId="26" xfId="0" applyFont="1" applyBorder="1" applyAlignment="1">
      <alignment horizontal="center" vertical="center" textRotation="255"/>
    </xf>
    <xf numFmtId="178" fontId="12" fillId="0" borderId="0" xfId="5" applyNumberFormat="1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 wrapText="1"/>
    </xf>
    <xf numFmtId="0" fontId="8" fillId="0" borderId="0" xfId="0" applyFont="1" applyAlignment="1">
      <alignment horizontal="center" vertical="center" textRotation="255"/>
    </xf>
    <xf numFmtId="178" fontId="12" fillId="0" borderId="0" xfId="4" applyNumberFormat="1" applyFont="1" applyAlignment="1">
      <alignment horizontal="center" vertical="center" wrapText="1"/>
    </xf>
    <xf numFmtId="0" fontId="9" fillId="0" borderId="0" xfId="5" applyFont="1" applyAlignment="1">
      <alignment horizontal="left" vertical="center" wrapText="1"/>
    </xf>
    <xf numFmtId="178" fontId="16" fillId="0" borderId="0" xfId="5" applyNumberFormat="1" applyFont="1" applyAlignment="1">
      <alignment horizontal="center" vertical="center"/>
    </xf>
    <xf numFmtId="0" fontId="9" fillId="0" borderId="0" xfId="5" applyFont="1" applyAlignment="1">
      <alignment horizontal="center" vertical="center" wrapText="1"/>
    </xf>
    <xf numFmtId="0" fontId="0" fillId="0" borderId="0" xfId="0" applyNumberFormat="1">
      <alignment vertical="center"/>
    </xf>
  </cellXfs>
  <cellStyles count="26">
    <cellStyle name="一般" xfId="0" builtinId="0"/>
    <cellStyle name="一般 2" xfId="3" xr:uid="{00000000-0005-0000-0000-000001000000}"/>
    <cellStyle name="一般 2 2" xfId="4" xr:uid="{00000000-0005-0000-0000-000002000000}"/>
    <cellStyle name="一般 2 3" xfId="5" xr:uid="{00000000-0005-0000-0000-000003000000}"/>
    <cellStyle name="一般 3" xfId="6" xr:uid="{00000000-0005-0000-0000-000004000000}"/>
    <cellStyle name="一般 4" xfId="7" xr:uid="{00000000-0005-0000-0000-000005000000}"/>
    <cellStyle name="一般 5" xfId="8" xr:uid="{00000000-0005-0000-0000-000006000000}"/>
    <cellStyle name="一般 6" xfId="9" xr:uid="{00000000-0005-0000-0000-000007000000}"/>
    <cellStyle name="一般 7" xfId="18" xr:uid="{00000000-0005-0000-0000-000008000000}"/>
    <cellStyle name="一般 8" xfId="22" xr:uid="{00000000-0005-0000-0000-000009000000}"/>
    <cellStyle name="一般 9" xfId="2" xr:uid="{00000000-0005-0000-0000-00000A000000}"/>
    <cellStyle name="千分位 2" xfId="10" xr:uid="{00000000-0005-0000-0000-00000B000000}"/>
    <cellStyle name="千分位 3" xfId="11" xr:uid="{00000000-0005-0000-0000-00000C000000}"/>
    <cellStyle name="千分位 4" xfId="21" xr:uid="{00000000-0005-0000-0000-00000D000000}"/>
    <cellStyle name="百分比" xfId="1" builtinId="5"/>
    <cellStyle name="百分比 2" xfId="12" xr:uid="{00000000-0005-0000-0000-00000F000000}"/>
    <cellStyle name="百分比 3" xfId="13" xr:uid="{00000000-0005-0000-0000-000010000000}"/>
    <cellStyle name="百分比 4" xfId="14" xr:uid="{00000000-0005-0000-0000-000011000000}"/>
    <cellStyle name="百分比 5" xfId="15" xr:uid="{00000000-0005-0000-0000-000012000000}"/>
    <cellStyle name="百分比 6" xfId="16" xr:uid="{00000000-0005-0000-0000-000013000000}"/>
    <cellStyle name="百分比 7" xfId="19" xr:uid="{00000000-0005-0000-0000-000014000000}"/>
    <cellStyle name="百分比 8" xfId="20" xr:uid="{00000000-0005-0000-0000-000015000000}"/>
    <cellStyle name="貨幣 2" xfId="17" xr:uid="{00000000-0005-0000-0000-000016000000}"/>
    <cellStyle name="貨幣 2 2" xfId="23" xr:uid="{00000000-0005-0000-0000-000017000000}"/>
    <cellStyle name="貨幣 3" xfId="24" xr:uid="{00000000-0005-0000-0000-000018000000}"/>
    <cellStyle name="超連結" xfId="25" builtinId="8"/>
  </cellStyles>
  <dxfs count="6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3999755851924192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3999755851924192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7" formatCode="&quot;$&quot;#,##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3999755851924192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7" formatCode="&quot;$&quot;#,##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3999755851924192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3999755851924192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3999755851924192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jf open 粉圓 2.0"/>
        <scheme val="minor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7" formatCode="&quot;$&quot;#,##0;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3999755851924192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新細明體"/>
        <scheme val="none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新細明體"/>
        <scheme val="none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numFmt numFmtId="30" formatCode="@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新細明體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fill>
        <patternFill>
          <fgColor indexed="64"/>
        </patternFill>
      </fill>
      <alignment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1" formatCode="&quot;$&quot;#,##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numFmt numFmtId="182" formatCode="&quot;$&quot;#,##0.0;;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7" formatCode="&quot;$&quot;#,##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177" formatCode="&quot;$&quot;#,##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80" formatCode="0.00;;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39997558519241921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39997558519241921"/>
        <name val="Arial"/>
        <scheme val="none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jf open 粉圓 2.0"/>
        <scheme val="minor"/>
      </font>
      <numFmt numFmtId="178" formatCode="#&quot;萬&quot;#&quot;&quot;#&quot;&quot;#&quot;&quot;#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30" formatCode="@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細明體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jf open 粉圓 2.0"/>
        <scheme val="minor"/>
      </font>
      <fill>
        <patternFill>
          <fgColor indexed="64"/>
        </patternFill>
      </fill>
      <alignment textRotation="0" wrapTex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jf open 粉圓 2.0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1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numFmt numFmtId="178" formatCode="#&quot;萬&quot;#&quot;&quot;#&quot;&quot;#&quot;&quot;#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jf open 粉圓 2.0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name val="jf open 粉圓 2.0"/>
        <scheme val="minor"/>
      </font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jf open 粉圓 2.0"/>
        <scheme val="minor"/>
      </font>
      <alignment horizontal="center" vertical="center" textRotation="0" wrapText="0" relativeIndent="0" justifyLastLine="0" shrinkToFit="0" readingOrder="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自訂" pivot="0" count="4" xr9:uid="{00000000-0011-0000-FFFF-FFFF00000000}">
      <tableStyleElement type="wholeTable" dxfId="617"/>
      <tableStyleElement type="headerRow" dxfId="616"/>
      <tableStyleElement type="firstRowStripe" dxfId="615"/>
      <tableStyleElement type="secondRowStripe" dxfId="614"/>
    </tableStyle>
    <tableStyle name="電錶格式" pivot="0" count="1" xr9:uid="{00000000-0011-0000-FFFF-FFFF01000000}">
      <tableStyleElement type="firstColumnStripe" dxfId="6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" refreshedDate="45412.82879097222" createdVersion="8" refreshedVersion="8" minRefreshableVersion="3" recordCount="446" xr:uid="{F9440647-C017-43A7-89F8-08EAF6C77219}">
  <cacheSource type="worksheet">
    <worksheetSource ref="A1:M455" sheet="彙總"/>
  </cacheSource>
  <cacheFields count="13">
    <cacheField name="地點" numFmtId="0">
      <sharedItems containsBlank="1" containsMixedTypes="1" containsNumber="1" containsInteger="1" minValue="121" maxValue="269" count="10">
        <s v="南山"/>
        <s v="景平"/>
        <s v="天母雅砌"/>
        <n v="269"/>
        <n v="121"/>
        <s v="7樓"/>
        <s v="八德"/>
        <n v="159"/>
        <n v="243"/>
        <m/>
      </sharedItems>
    </cacheField>
    <cacheField name="日期" numFmtId="0">
      <sharedItems containsBlank="1" count="13">
        <s v="106/01"/>
        <s v="106/02"/>
        <s v="106/03"/>
        <s v="106/04"/>
        <s v="106/05"/>
        <s v="106/06"/>
        <s v="106/07"/>
        <s v="106/08"/>
        <s v="106/09"/>
        <s v="106/10"/>
        <s v="106/11"/>
        <s v="106/12"/>
        <m/>
      </sharedItems>
    </cacheField>
    <cacheField name="房號" numFmtId="0">
      <sharedItems containsBlank="1"/>
    </cacheField>
    <cacheField name="姓名" numFmtId="0">
      <sharedItems containsBlank="1" count="32">
        <m/>
        <s v="鍾委憲"/>
        <s v="林詩婷"/>
        <s v="洪梓菀"/>
        <s v="Marco"/>
        <s v="關仁軒"/>
        <s v="張榮倉"/>
        <s v="陳靜慧"/>
        <s v="十川小姐"/>
        <s v="李秉融"/>
        <s v="簡綺瑩"/>
        <s v="梁凱婷"/>
        <s v="Robert William"/>
        <s v="許瑩"/>
        <s v="airbnb"/>
        <s v="劉京魯"/>
        <s v="蔡涵任"/>
        <s v="短租"/>
        <s v="Jack Bee"/>
        <s v="曾如玉"/>
        <s v="謝邵臻"/>
        <s v="李勇賢"/>
        <s v="Nicolas Baroud"/>
        <s v="詹雅嵐"/>
        <s v="Ramon 短租"/>
        <s v="許浩晟 李佩璇"/>
        <s v="高吉良"/>
        <s v="許雅惠"/>
        <s v="Matthieu Brs"/>
        <s v="周雅雯"/>
        <s v="朱秀霞"/>
        <s v="Fobida Pina"/>
      </sharedItems>
    </cacheField>
    <cacheField name="聯絡電話" numFmtId="49">
      <sharedItems containsBlank="1"/>
    </cacheField>
    <cacheField name="租期" numFmtId="0">
      <sharedItems containsBlank="1"/>
    </cacheField>
    <cacheField name="收租日" numFmtId="192">
      <sharedItems containsDate="1" containsBlank="1" containsMixedTypes="1" minDate="2017-01-01T00:00:00" maxDate="2017-12-31T00:00:00"/>
    </cacheField>
    <cacheField name="租金" numFmtId="190">
      <sharedItems containsString="0" containsBlank="1" containsNumber="1" minValue="2500" maxValue="44594"/>
    </cacheField>
    <cacheField name="押金" numFmtId="190">
      <sharedItems containsString="0" containsBlank="1" containsNumber="1" containsInteger="1" minValue="25000" maxValue="64000"/>
    </cacheField>
    <cacheField name="抄表度數" numFmtId="191">
      <sharedItems containsBlank="1" containsMixedTypes="1" containsNumber="1" containsInteger="1" minValue="88" maxValue="19444"/>
    </cacheField>
    <cacheField name="應收電費" numFmtId="190">
      <sharedItems containsBlank="1" containsMixedTypes="1" containsNumber="1" minValue="0" maxValue="7095"/>
    </cacheField>
    <cacheField name="管理費" numFmtId="190">
      <sharedItems containsString="0" containsBlank="1" containsNumber="1" minValue="0" maxValue="3750"/>
    </cacheField>
    <cacheField name="備註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x v="0"/>
    <x v="0"/>
    <s v="A"/>
    <x v="0"/>
    <m/>
    <m/>
    <d v="2017-01-04T00:00:00"/>
    <n v="16000"/>
    <n v="31000"/>
    <n v="777"/>
    <n v="209"/>
    <n v="1600"/>
    <m/>
  </r>
  <r>
    <x v="0"/>
    <x v="1"/>
    <s v="A"/>
    <x v="0"/>
    <m/>
    <m/>
    <d v="2017-02-04T00:00:00"/>
    <n v="16000"/>
    <m/>
    <n v="845"/>
    <n v="374"/>
    <n v="1600"/>
    <m/>
  </r>
  <r>
    <x v="0"/>
    <x v="2"/>
    <s v="A"/>
    <x v="0"/>
    <m/>
    <m/>
    <d v="2017-03-02T00:00:00"/>
    <n v="16000"/>
    <m/>
    <n v="977"/>
    <n v="726"/>
    <n v="1600"/>
    <m/>
  </r>
  <r>
    <x v="0"/>
    <x v="3"/>
    <s v="A"/>
    <x v="0"/>
    <m/>
    <m/>
    <d v="2017-04-04T00:00:00"/>
    <n v="16000"/>
    <m/>
    <n v="978"/>
    <m/>
    <n v="1600"/>
    <m/>
  </r>
  <r>
    <x v="0"/>
    <x v="4"/>
    <s v="A"/>
    <x v="1"/>
    <s v="0975-053-112"/>
    <s v="106/05/01-107/04/30"/>
    <d v="2017-05-02T00:00:00"/>
    <n v="15500"/>
    <m/>
    <n v="1064"/>
    <n v="473"/>
    <n v="1550"/>
    <m/>
  </r>
  <r>
    <x v="0"/>
    <x v="5"/>
    <s v="A"/>
    <x v="1"/>
    <m/>
    <m/>
    <d v="2017-06-01T00:00:00"/>
    <n v="15500"/>
    <m/>
    <n v="1232"/>
    <n v="924"/>
    <n v="1550"/>
    <m/>
  </r>
  <r>
    <x v="0"/>
    <x v="6"/>
    <s v="A"/>
    <x v="1"/>
    <m/>
    <m/>
    <d v="2017-06-30T00:00:00"/>
    <n v="15500"/>
    <m/>
    <n v="1450"/>
    <n v="1199"/>
    <n v="1550"/>
    <m/>
  </r>
  <r>
    <x v="0"/>
    <x v="7"/>
    <s v="A"/>
    <x v="1"/>
    <m/>
    <m/>
    <d v="2017-08-01T00:00:00"/>
    <n v="15500"/>
    <m/>
    <n v="1774"/>
    <n v="1782"/>
    <n v="1550"/>
    <m/>
  </r>
  <r>
    <x v="0"/>
    <x v="8"/>
    <s v="A"/>
    <x v="1"/>
    <m/>
    <m/>
    <d v="2017-09-01T00:00:00"/>
    <n v="15500"/>
    <m/>
    <n v="2032"/>
    <n v="1419"/>
    <n v="1550"/>
    <m/>
  </r>
  <r>
    <x v="0"/>
    <x v="9"/>
    <s v="A"/>
    <x v="1"/>
    <m/>
    <m/>
    <d v="2017-10-02T00:00:00"/>
    <n v="15500"/>
    <m/>
    <n v="2184"/>
    <n v="836"/>
    <n v="1550"/>
    <m/>
  </r>
  <r>
    <x v="0"/>
    <x v="10"/>
    <s v="A"/>
    <x v="1"/>
    <m/>
    <m/>
    <d v="2017-11-01T00:00:00"/>
    <n v="15500"/>
    <m/>
    <n v="2236"/>
    <n v="286"/>
    <n v="1550"/>
    <m/>
  </r>
  <r>
    <x v="0"/>
    <x v="11"/>
    <s v="A"/>
    <x v="1"/>
    <m/>
    <m/>
    <d v="2017-12-01T00:00:00"/>
    <n v="15500"/>
    <m/>
    <m/>
    <n v="0"/>
    <n v="1550"/>
    <m/>
  </r>
  <r>
    <x v="0"/>
    <x v="0"/>
    <s v="B"/>
    <x v="0"/>
    <m/>
    <m/>
    <d v="2017-01-01T00:00:00"/>
    <n v="15500"/>
    <n v="31000"/>
    <n v="1419"/>
    <n v="110"/>
    <n v="1550"/>
    <s v="5/3收訂金5000"/>
  </r>
  <r>
    <x v="0"/>
    <x v="1"/>
    <s v="B"/>
    <x v="0"/>
    <m/>
    <m/>
    <d v="2017-02-04T00:00:00"/>
    <n v="15500"/>
    <m/>
    <n v="1443"/>
    <n v="132"/>
    <n v="1550"/>
    <m/>
  </r>
  <r>
    <x v="0"/>
    <x v="2"/>
    <s v="B"/>
    <x v="0"/>
    <m/>
    <m/>
    <d v="2017-03-02T00:00:00"/>
    <n v="15500"/>
    <m/>
    <n v="1463"/>
    <n v="110"/>
    <n v="1550"/>
    <m/>
  </r>
  <r>
    <x v="0"/>
    <x v="3"/>
    <s v="B"/>
    <x v="0"/>
    <m/>
    <m/>
    <d v="2017-04-05T00:00:00"/>
    <n v="15500"/>
    <m/>
    <n v="1481"/>
    <n v="99"/>
    <n v="1550"/>
    <m/>
  </r>
  <r>
    <x v="0"/>
    <x v="4"/>
    <s v="B"/>
    <x v="2"/>
    <s v="0966-663-791"/>
    <s v="106/05/11-107/05/31"/>
    <d v="2017-05-11T00:00:00"/>
    <n v="23767"/>
    <m/>
    <s v="1504~1558"/>
    <n v="297"/>
    <n v="2376.7000000000003"/>
    <m/>
  </r>
  <r>
    <x v="0"/>
    <x v="5"/>
    <s v="B"/>
    <x v="2"/>
    <m/>
    <m/>
    <d v="2017-06-10T00:00:00"/>
    <n v="15500"/>
    <m/>
    <n v="1736"/>
    <n v="979"/>
    <n v="1550"/>
    <m/>
  </r>
  <r>
    <x v="0"/>
    <x v="6"/>
    <s v="B"/>
    <x v="2"/>
    <m/>
    <m/>
    <d v="2017-07-11T00:00:00"/>
    <n v="15500"/>
    <m/>
    <n v="1882"/>
    <n v="803"/>
    <n v="1550"/>
    <m/>
  </r>
  <r>
    <x v="0"/>
    <x v="7"/>
    <s v="B"/>
    <x v="2"/>
    <m/>
    <m/>
    <d v="2017-07-10T00:00:00"/>
    <n v="15500"/>
    <m/>
    <n v="2056"/>
    <n v="957"/>
    <n v="1550"/>
    <m/>
  </r>
  <r>
    <x v="0"/>
    <x v="8"/>
    <s v="B"/>
    <x v="2"/>
    <m/>
    <m/>
    <d v="2017-09-11T00:00:00"/>
    <n v="15500"/>
    <m/>
    <n v="2214"/>
    <n v="869"/>
    <n v="1550"/>
    <m/>
  </r>
  <r>
    <x v="0"/>
    <x v="9"/>
    <s v="B"/>
    <x v="2"/>
    <m/>
    <m/>
    <d v="2017-10-11T00:00:00"/>
    <n v="15500"/>
    <m/>
    <n v="2344"/>
    <n v="715"/>
    <n v="1550"/>
    <m/>
  </r>
  <r>
    <x v="0"/>
    <x v="10"/>
    <s v="B"/>
    <x v="2"/>
    <m/>
    <m/>
    <d v="2017-11-11T00:00:00"/>
    <n v="15500"/>
    <m/>
    <n v="2396"/>
    <n v="286"/>
    <n v="1550"/>
    <m/>
  </r>
  <r>
    <x v="0"/>
    <x v="11"/>
    <s v="B"/>
    <x v="2"/>
    <m/>
    <m/>
    <d v="2017-12-11T00:00:00"/>
    <n v="15500"/>
    <m/>
    <m/>
    <m/>
    <n v="1550"/>
    <m/>
  </r>
  <r>
    <x v="0"/>
    <x v="0"/>
    <s v="C"/>
    <x v="3"/>
    <s v="0911-766-655"/>
    <s v="105/05/01-106/04/30"/>
    <d v="2017-01-01T00:00:00"/>
    <n v="15000"/>
    <n v="30000"/>
    <n v="860"/>
    <n v="330"/>
    <n v="1500"/>
    <m/>
  </r>
  <r>
    <x v="0"/>
    <x v="1"/>
    <s v="C"/>
    <x v="3"/>
    <m/>
    <m/>
    <d v="2017-01-26T00:00:00"/>
    <n v="15000"/>
    <m/>
    <n v="946"/>
    <n v="473"/>
    <n v="1500"/>
    <m/>
  </r>
  <r>
    <x v="0"/>
    <x v="2"/>
    <s v="C"/>
    <x v="3"/>
    <m/>
    <m/>
    <d v="2017-03-01T00:00:00"/>
    <n v="15000"/>
    <m/>
    <n v="1024"/>
    <n v="429"/>
    <n v="1500"/>
    <m/>
  </r>
  <r>
    <x v="0"/>
    <x v="3"/>
    <s v="C"/>
    <x v="3"/>
    <m/>
    <m/>
    <d v="2017-03-31T00:00:00"/>
    <n v="15000"/>
    <m/>
    <n v="1098"/>
    <n v="407"/>
    <n v="1500"/>
    <m/>
  </r>
  <r>
    <x v="0"/>
    <x v="4"/>
    <s v="C"/>
    <x v="0"/>
    <m/>
    <m/>
    <d v="2017-04-29T00:00:00"/>
    <n v="15000"/>
    <m/>
    <n v="1172"/>
    <n v="407"/>
    <n v="1500"/>
    <m/>
  </r>
  <r>
    <x v="0"/>
    <x v="5"/>
    <s v="C"/>
    <x v="0"/>
    <m/>
    <m/>
    <d v="2017-05-31T00:00:00"/>
    <n v="15000"/>
    <m/>
    <n v="1296"/>
    <n v="682"/>
    <n v="1500"/>
    <m/>
  </r>
  <r>
    <x v="0"/>
    <x v="6"/>
    <s v="C"/>
    <x v="0"/>
    <m/>
    <m/>
    <d v="2017-07-01T00:00:00"/>
    <n v="15000"/>
    <m/>
    <n v="1472"/>
    <n v="968"/>
    <n v="1500"/>
    <m/>
  </r>
  <r>
    <x v="0"/>
    <x v="7"/>
    <s v="C"/>
    <x v="0"/>
    <m/>
    <m/>
    <d v="2017-07-31T00:00:00"/>
    <n v="15000"/>
    <m/>
    <n v="1688"/>
    <n v="1188"/>
    <n v="1500"/>
    <m/>
  </r>
  <r>
    <x v="0"/>
    <x v="8"/>
    <s v="C"/>
    <x v="0"/>
    <m/>
    <m/>
    <d v="2017-09-04T00:00:00"/>
    <n v="15000"/>
    <m/>
    <n v="1848"/>
    <n v="880"/>
    <n v="1500"/>
    <m/>
  </r>
  <r>
    <x v="0"/>
    <x v="9"/>
    <s v="C"/>
    <x v="0"/>
    <m/>
    <m/>
    <d v="2017-09-28T00:00:00"/>
    <n v="15000"/>
    <m/>
    <n v="1960"/>
    <n v="616"/>
    <n v="1500"/>
    <m/>
  </r>
  <r>
    <x v="0"/>
    <x v="10"/>
    <s v="C"/>
    <x v="0"/>
    <m/>
    <m/>
    <d v="2017-11-01T00:00:00"/>
    <n v="15000"/>
    <m/>
    <n v="2002"/>
    <n v="231"/>
    <n v="1500"/>
    <m/>
  </r>
  <r>
    <x v="0"/>
    <x v="11"/>
    <s v="C"/>
    <x v="0"/>
    <m/>
    <m/>
    <d v="2017-12-01T00:00:00"/>
    <n v="15000"/>
    <m/>
    <m/>
    <m/>
    <n v="1500"/>
    <m/>
  </r>
  <r>
    <x v="1"/>
    <x v="0"/>
    <s v="A"/>
    <x v="0"/>
    <m/>
    <m/>
    <m/>
    <m/>
    <n v="32000"/>
    <n v="88"/>
    <m/>
    <n v="0"/>
    <m/>
  </r>
  <r>
    <x v="1"/>
    <x v="1"/>
    <s v="A"/>
    <x v="0"/>
    <m/>
    <m/>
    <m/>
    <m/>
    <m/>
    <n v="88"/>
    <n v="0"/>
    <n v="0"/>
    <m/>
  </r>
  <r>
    <x v="1"/>
    <x v="2"/>
    <s v="A"/>
    <x v="0"/>
    <m/>
    <m/>
    <d v="2017-03-17T00:00:00"/>
    <n v="8200"/>
    <m/>
    <n v="88"/>
    <n v="0"/>
    <n v="820"/>
    <m/>
  </r>
  <r>
    <x v="1"/>
    <x v="3"/>
    <s v="A"/>
    <x v="0"/>
    <m/>
    <m/>
    <d v="2017-04-10T00:00:00"/>
    <n v="17000"/>
    <m/>
    <n v="302"/>
    <n v="1177"/>
    <n v="1700"/>
    <m/>
  </r>
  <r>
    <x v="1"/>
    <x v="4"/>
    <s v="A"/>
    <x v="0"/>
    <m/>
    <m/>
    <d v="2017-05-26T00:00:00"/>
    <n v="17000"/>
    <m/>
    <n v="460"/>
    <n v="869"/>
    <n v="1700"/>
    <m/>
  </r>
  <r>
    <x v="1"/>
    <x v="5"/>
    <s v="A"/>
    <x v="0"/>
    <m/>
    <m/>
    <s v="6/1-6/19"/>
    <n v="10766"/>
    <m/>
    <n v="614"/>
    <n v="847"/>
    <n v="1076.6000000000001"/>
    <m/>
  </r>
  <r>
    <x v="1"/>
    <x v="6"/>
    <s v="A"/>
    <x v="0"/>
    <m/>
    <m/>
    <d v="2017-06-30T00:00:00"/>
    <n v="30000"/>
    <m/>
    <n v="648"/>
    <m/>
    <n v="3000"/>
    <m/>
  </r>
  <r>
    <x v="1"/>
    <x v="7"/>
    <s v="A"/>
    <x v="4"/>
    <m/>
    <s v="106/08/28-107/08/27"/>
    <d v="2017-07-27T00:00:00"/>
    <n v="15650"/>
    <m/>
    <n v="1186"/>
    <n v="2959"/>
    <n v="1565"/>
    <m/>
  </r>
  <r>
    <x v="1"/>
    <x v="8"/>
    <s v="A"/>
    <x v="4"/>
    <m/>
    <m/>
    <d v="2017-08-28T00:00:00"/>
    <n v="16000"/>
    <m/>
    <s v="1192~1488"/>
    <n v="1628"/>
    <n v="1600"/>
    <m/>
  </r>
  <r>
    <x v="1"/>
    <x v="9"/>
    <s v="A"/>
    <x v="4"/>
    <m/>
    <m/>
    <d v="2017-09-27T00:00:00"/>
    <n v="16000"/>
    <m/>
    <n v="1778"/>
    <n v="1595"/>
    <n v="1600"/>
    <m/>
  </r>
  <r>
    <x v="1"/>
    <x v="10"/>
    <s v="A"/>
    <x v="4"/>
    <m/>
    <m/>
    <d v="2017-11-02T00:00:00"/>
    <n v="16000"/>
    <m/>
    <n v="2034"/>
    <n v="1408"/>
    <n v="1600"/>
    <m/>
  </r>
  <r>
    <x v="1"/>
    <x v="11"/>
    <s v="A"/>
    <x v="4"/>
    <m/>
    <m/>
    <d v="2017-11-28T00:00:00"/>
    <n v="16000"/>
    <m/>
    <n v="2234"/>
    <n v="1100"/>
    <n v="1600"/>
    <m/>
  </r>
  <r>
    <x v="1"/>
    <x v="0"/>
    <s v="B"/>
    <x v="0"/>
    <m/>
    <m/>
    <m/>
    <m/>
    <n v="34000"/>
    <m/>
    <m/>
    <n v="0"/>
    <m/>
  </r>
  <r>
    <x v="1"/>
    <x v="1"/>
    <s v="B"/>
    <x v="0"/>
    <m/>
    <m/>
    <m/>
    <m/>
    <m/>
    <m/>
    <n v="0"/>
    <n v="0"/>
    <m/>
  </r>
  <r>
    <x v="1"/>
    <x v="2"/>
    <s v="B"/>
    <x v="0"/>
    <m/>
    <m/>
    <m/>
    <m/>
    <m/>
    <m/>
    <n v="0"/>
    <n v="0"/>
    <m/>
  </r>
  <r>
    <x v="1"/>
    <x v="3"/>
    <s v="B"/>
    <x v="0"/>
    <m/>
    <m/>
    <m/>
    <m/>
    <m/>
    <n v="152"/>
    <m/>
    <n v="0"/>
    <m/>
  </r>
  <r>
    <x v="1"/>
    <x v="4"/>
    <s v="B"/>
    <x v="0"/>
    <m/>
    <m/>
    <d v="2017-04-29T00:00:00"/>
    <n v="16000"/>
    <m/>
    <n v="248"/>
    <n v="528"/>
    <n v="1600"/>
    <m/>
  </r>
  <r>
    <x v="1"/>
    <x v="5"/>
    <s v="B"/>
    <x v="0"/>
    <m/>
    <m/>
    <s v="6/1-7/9"/>
    <n v="20800"/>
    <m/>
    <n v="426"/>
    <n v="979"/>
    <n v="2080"/>
    <m/>
  </r>
  <r>
    <x v="1"/>
    <x v="6"/>
    <s v="B"/>
    <x v="0"/>
    <m/>
    <m/>
    <d v="2017-07-10T00:00:00"/>
    <n v="16000"/>
    <m/>
    <n v="512"/>
    <n v="473"/>
    <n v="1600"/>
    <m/>
  </r>
  <r>
    <x v="1"/>
    <x v="7"/>
    <s v="B"/>
    <x v="5"/>
    <m/>
    <s v="106/8/20-107/3/31"/>
    <d v="2017-08-10T00:00:00"/>
    <n v="22032"/>
    <m/>
    <s v="566~662"/>
    <n v="528"/>
    <n v="2203.2000000000003"/>
    <m/>
  </r>
  <r>
    <x v="1"/>
    <x v="8"/>
    <s v="B"/>
    <x v="5"/>
    <m/>
    <m/>
    <d v="2017-09-08T00:00:00"/>
    <n v="17000"/>
    <m/>
    <n v="998"/>
    <n v="1848"/>
    <n v="1700"/>
    <m/>
  </r>
  <r>
    <x v="1"/>
    <x v="9"/>
    <s v="B"/>
    <x v="5"/>
    <m/>
    <m/>
    <d v="2017-10-10T00:00:00"/>
    <n v="17000"/>
    <m/>
    <m/>
    <m/>
    <n v="1700"/>
    <m/>
  </r>
  <r>
    <x v="1"/>
    <x v="10"/>
    <s v="B"/>
    <x v="5"/>
    <m/>
    <m/>
    <d v="2017-11-09T00:00:00"/>
    <n v="25500"/>
    <m/>
    <n v="1189"/>
    <n v="1050.5"/>
    <n v="2550"/>
    <m/>
  </r>
  <r>
    <x v="1"/>
    <x v="11"/>
    <s v="B"/>
    <x v="5"/>
    <m/>
    <m/>
    <m/>
    <m/>
    <m/>
    <m/>
    <n v="0"/>
    <n v="0"/>
    <m/>
  </r>
  <r>
    <x v="1"/>
    <x v="0"/>
    <s v="C"/>
    <x v="0"/>
    <m/>
    <m/>
    <m/>
    <m/>
    <n v="34000"/>
    <n v="113"/>
    <m/>
    <n v="0"/>
    <m/>
  </r>
  <r>
    <x v="1"/>
    <x v="1"/>
    <s v="C"/>
    <x v="0"/>
    <m/>
    <m/>
    <m/>
    <m/>
    <m/>
    <n v="113"/>
    <n v="0"/>
    <n v="0"/>
    <m/>
  </r>
  <r>
    <x v="1"/>
    <x v="2"/>
    <s v="C"/>
    <x v="6"/>
    <s v="0989-119-199"/>
    <s v="106/03/01-106/08/31"/>
    <d v="2017-03-01T00:00:00"/>
    <n v="17000"/>
    <m/>
    <n v="355"/>
    <n v="1331"/>
    <n v="1700"/>
    <m/>
  </r>
  <r>
    <x v="1"/>
    <x v="3"/>
    <s v="C"/>
    <x v="6"/>
    <m/>
    <m/>
    <d v="2017-04-09T00:00:00"/>
    <n v="17000"/>
    <m/>
    <n v="571"/>
    <n v="1188"/>
    <n v="1700"/>
    <m/>
  </r>
  <r>
    <x v="1"/>
    <x v="4"/>
    <s v="C"/>
    <x v="6"/>
    <m/>
    <m/>
    <d v="2017-05-04T00:00:00"/>
    <n v="17000"/>
    <m/>
    <n v="779"/>
    <n v="1144"/>
    <n v="1700"/>
    <m/>
  </r>
  <r>
    <x v="1"/>
    <x v="5"/>
    <s v="C"/>
    <x v="6"/>
    <m/>
    <m/>
    <d v="2017-06-06T00:00:00"/>
    <n v="17000"/>
    <m/>
    <n v="1061"/>
    <n v="1551"/>
    <n v="1700"/>
    <m/>
  </r>
  <r>
    <x v="1"/>
    <x v="6"/>
    <s v="C"/>
    <x v="6"/>
    <m/>
    <m/>
    <d v="2017-07-07T00:00:00"/>
    <n v="17000"/>
    <m/>
    <n v="1365"/>
    <n v="1672"/>
    <n v="1700"/>
    <m/>
  </r>
  <r>
    <x v="1"/>
    <x v="7"/>
    <s v="C"/>
    <x v="6"/>
    <m/>
    <m/>
    <d v="2017-08-09T00:00:00"/>
    <n v="17000"/>
    <m/>
    <n v="1697"/>
    <n v="1826"/>
    <n v="1700"/>
    <m/>
  </r>
  <r>
    <x v="1"/>
    <x v="8"/>
    <s v="C"/>
    <x v="6"/>
    <m/>
    <m/>
    <d v="2017-09-05T00:00:00"/>
    <n v="17000"/>
    <m/>
    <n v="1993"/>
    <n v="1628"/>
    <n v="1700"/>
    <m/>
  </r>
  <r>
    <x v="1"/>
    <x v="9"/>
    <s v="C"/>
    <x v="6"/>
    <m/>
    <m/>
    <d v="2017-10-07T00:00:00"/>
    <n v="17000"/>
    <m/>
    <n v="2263"/>
    <n v="1485"/>
    <n v="1700"/>
    <m/>
  </r>
  <r>
    <x v="1"/>
    <x v="10"/>
    <s v="C"/>
    <x v="6"/>
    <m/>
    <m/>
    <d v="2017-11-05T00:00:00"/>
    <n v="17000"/>
    <m/>
    <m/>
    <n v="0"/>
    <n v="1700"/>
    <m/>
  </r>
  <r>
    <x v="1"/>
    <x v="11"/>
    <s v="C"/>
    <x v="6"/>
    <m/>
    <m/>
    <s v="12/1-12/5"/>
    <n v="2833"/>
    <m/>
    <n v="2495"/>
    <n v="1276"/>
    <n v="283.3"/>
    <m/>
  </r>
  <r>
    <x v="1"/>
    <x v="0"/>
    <s v="D"/>
    <x v="0"/>
    <m/>
    <m/>
    <m/>
    <m/>
    <n v="34000"/>
    <n v="244"/>
    <m/>
    <n v="0"/>
    <m/>
  </r>
  <r>
    <x v="1"/>
    <x v="1"/>
    <s v="D"/>
    <x v="7"/>
    <s v="0930-988-441"/>
    <s v="106/02/17-107/03/31"/>
    <d v="2017-02-17T00:00:00"/>
    <n v="6677"/>
    <m/>
    <n v="244"/>
    <n v="0"/>
    <n v="667.7"/>
    <m/>
  </r>
  <r>
    <x v="1"/>
    <x v="2"/>
    <s v="D"/>
    <x v="7"/>
    <m/>
    <m/>
    <d v="2017-03-06T00:00:00"/>
    <n v="17000"/>
    <m/>
    <n v="450"/>
    <n v="1133"/>
    <n v="1700"/>
    <m/>
  </r>
  <r>
    <x v="1"/>
    <x v="3"/>
    <s v="D"/>
    <x v="7"/>
    <m/>
    <m/>
    <d v="2017-04-10T00:00:00"/>
    <n v="17000"/>
    <m/>
    <n v="546"/>
    <n v="528"/>
    <n v="1700"/>
    <m/>
  </r>
  <r>
    <x v="1"/>
    <x v="4"/>
    <s v="D"/>
    <x v="7"/>
    <m/>
    <m/>
    <d v="2017-05-10T00:00:00"/>
    <n v="17000"/>
    <m/>
    <n v="590"/>
    <n v="242"/>
    <n v="1700"/>
    <m/>
  </r>
  <r>
    <x v="1"/>
    <x v="5"/>
    <s v="D"/>
    <x v="7"/>
    <m/>
    <m/>
    <d v="2017-06-09T00:00:00"/>
    <n v="17000"/>
    <m/>
    <n v="700"/>
    <n v="605"/>
    <n v="1700"/>
    <m/>
  </r>
  <r>
    <x v="1"/>
    <x v="6"/>
    <s v="D"/>
    <x v="7"/>
    <m/>
    <m/>
    <d v="2017-07-07T00:00:00"/>
    <n v="17000"/>
    <m/>
    <n v="840"/>
    <n v="770"/>
    <n v="1700"/>
    <m/>
  </r>
  <r>
    <x v="1"/>
    <x v="7"/>
    <s v="D"/>
    <x v="7"/>
    <m/>
    <m/>
    <d v="2017-08-08T00:00:00"/>
    <n v="17000"/>
    <m/>
    <n v="1070"/>
    <n v="1265"/>
    <n v="1700"/>
    <m/>
  </r>
  <r>
    <x v="1"/>
    <x v="8"/>
    <s v="D"/>
    <x v="7"/>
    <m/>
    <m/>
    <d v="2017-09-08T00:00:00"/>
    <n v="17000"/>
    <m/>
    <n v="1216"/>
    <n v="803"/>
    <n v="1700"/>
    <m/>
  </r>
  <r>
    <x v="1"/>
    <x v="9"/>
    <s v="D"/>
    <x v="7"/>
    <m/>
    <m/>
    <d v="2017-10-10T00:00:00"/>
    <n v="17000"/>
    <m/>
    <n v="1378"/>
    <n v="891"/>
    <n v="1700"/>
    <m/>
  </r>
  <r>
    <x v="1"/>
    <x v="10"/>
    <s v="D"/>
    <x v="7"/>
    <m/>
    <m/>
    <d v="2017-11-09T00:00:00"/>
    <n v="17000"/>
    <m/>
    <n v="1498"/>
    <n v="660"/>
    <n v="1700"/>
    <m/>
  </r>
  <r>
    <x v="1"/>
    <x v="11"/>
    <s v="D"/>
    <x v="7"/>
    <m/>
    <m/>
    <d v="2017-12-01T00:00:00"/>
    <n v="17000"/>
    <m/>
    <n v="1656"/>
    <n v="869"/>
    <n v="1700"/>
    <m/>
  </r>
  <r>
    <x v="2"/>
    <x v="0"/>
    <s v="A"/>
    <x v="0"/>
    <m/>
    <m/>
    <d v="2017-01-23T00:00:00"/>
    <n v="14500"/>
    <n v="28000"/>
    <n v="17533"/>
    <m/>
    <n v="1015.0000000000001"/>
    <m/>
  </r>
  <r>
    <x v="2"/>
    <x v="1"/>
    <s v="A"/>
    <x v="0"/>
    <m/>
    <m/>
    <d v="2017-01-23T00:00:00"/>
    <n v="14500"/>
    <m/>
    <n v="17801"/>
    <n v="1474"/>
    <n v="1015.0000000000001"/>
    <m/>
  </r>
  <r>
    <x v="2"/>
    <x v="2"/>
    <s v="A"/>
    <x v="0"/>
    <m/>
    <m/>
    <d v="2017-03-16T00:00:00"/>
    <n v="14500"/>
    <m/>
    <n v="17801"/>
    <n v="0"/>
    <n v="1015.0000000000001"/>
    <m/>
  </r>
  <r>
    <x v="2"/>
    <x v="3"/>
    <s v="A"/>
    <x v="0"/>
    <m/>
    <m/>
    <d v="2017-04-17T00:00:00"/>
    <n v="14500"/>
    <m/>
    <n v="18055"/>
    <n v="1397"/>
    <n v="1015.0000000000001"/>
    <m/>
  </r>
  <r>
    <x v="2"/>
    <x v="4"/>
    <s v="A"/>
    <x v="0"/>
    <m/>
    <m/>
    <d v="2017-04-26T00:00:00"/>
    <n v="14500"/>
    <m/>
    <m/>
    <n v="0"/>
    <n v="1015.0000000000001"/>
    <m/>
  </r>
  <r>
    <x v="2"/>
    <x v="5"/>
    <s v="A"/>
    <x v="0"/>
    <m/>
    <m/>
    <d v="2017-06-07T00:00:00"/>
    <n v="14500"/>
    <m/>
    <n v="18375"/>
    <n v="1760"/>
    <n v="1015.0000000000001"/>
    <m/>
  </r>
  <r>
    <x v="2"/>
    <x v="6"/>
    <s v="A"/>
    <x v="0"/>
    <m/>
    <m/>
    <d v="2017-07-03T00:00:00"/>
    <n v="14500"/>
    <m/>
    <m/>
    <n v="0"/>
    <n v="1015.0000000000001"/>
    <m/>
  </r>
  <r>
    <x v="2"/>
    <x v="7"/>
    <s v="A"/>
    <x v="0"/>
    <m/>
    <m/>
    <d v="2017-08-09T00:00:00"/>
    <n v="14500"/>
    <m/>
    <n v="18800"/>
    <m/>
    <n v="1015.0000000000001"/>
    <m/>
  </r>
  <r>
    <x v="2"/>
    <x v="8"/>
    <s v="A"/>
    <x v="8"/>
    <s v="0905-076-287"/>
    <s v="106/09/01-107/09/01"/>
    <d v="2017-08-30T00:00:00"/>
    <n v="14000"/>
    <m/>
    <m/>
    <n v="0"/>
    <n v="980.00000000000011"/>
    <m/>
  </r>
  <r>
    <x v="2"/>
    <x v="9"/>
    <s v="A"/>
    <x v="8"/>
    <m/>
    <m/>
    <d v="2017-10-02T00:00:00"/>
    <n v="14000"/>
    <m/>
    <n v="19184"/>
    <n v="2112"/>
    <n v="980.00000000000011"/>
    <m/>
  </r>
  <r>
    <x v="2"/>
    <x v="10"/>
    <s v="A"/>
    <x v="8"/>
    <m/>
    <m/>
    <d v="2017-11-02T00:00:00"/>
    <n v="14000"/>
    <m/>
    <m/>
    <n v="0"/>
    <n v="980.00000000000011"/>
    <m/>
  </r>
  <r>
    <x v="2"/>
    <x v="11"/>
    <s v="A"/>
    <x v="8"/>
    <m/>
    <m/>
    <d v="2017-12-01T00:00:00"/>
    <n v="14000"/>
    <m/>
    <n v="19444"/>
    <n v="1430"/>
    <n v="980.00000000000011"/>
    <m/>
  </r>
  <r>
    <x v="2"/>
    <x v="0"/>
    <s v="B"/>
    <x v="9"/>
    <m/>
    <m/>
    <d v="2017-01-04T00:00:00"/>
    <n v="12000"/>
    <m/>
    <n v="3029"/>
    <m/>
    <n v="840.00000000000011"/>
    <m/>
  </r>
  <r>
    <x v="2"/>
    <x v="1"/>
    <s v="B"/>
    <x v="9"/>
    <m/>
    <m/>
    <d v="2017-02-07T00:00:00"/>
    <n v="12000"/>
    <m/>
    <n v="3069"/>
    <n v="220"/>
    <n v="840.00000000000011"/>
    <m/>
  </r>
  <r>
    <x v="2"/>
    <x v="2"/>
    <s v="B"/>
    <x v="9"/>
    <m/>
    <m/>
    <d v="2017-03-01T00:00:00"/>
    <n v="12000"/>
    <m/>
    <n v="3184"/>
    <n v="632.5"/>
    <n v="840.00000000000011"/>
    <m/>
  </r>
  <r>
    <x v="2"/>
    <x v="3"/>
    <s v="B"/>
    <x v="9"/>
    <m/>
    <m/>
    <d v="2017-04-10T00:00:00"/>
    <n v="12000"/>
    <m/>
    <n v="3284"/>
    <n v="800"/>
    <n v="840.00000000000011"/>
    <m/>
  </r>
  <r>
    <x v="2"/>
    <x v="4"/>
    <s v="B"/>
    <x v="9"/>
    <m/>
    <m/>
    <d v="2017-05-03T00:00:00"/>
    <n v="12000"/>
    <m/>
    <m/>
    <n v="0"/>
    <n v="840.00000000000011"/>
    <m/>
  </r>
  <r>
    <x v="2"/>
    <x v="5"/>
    <s v="B"/>
    <x v="9"/>
    <m/>
    <m/>
    <d v="2017-06-07T00:00:00"/>
    <n v="12000"/>
    <m/>
    <n v="3598"/>
    <n v="1727"/>
    <n v="840.00000000000011"/>
    <m/>
  </r>
  <r>
    <x v="2"/>
    <x v="6"/>
    <s v="B"/>
    <x v="9"/>
    <m/>
    <m/>
    <d v="2017-07-03T00:00:00"/>
    <n v="12000"/>
    <m/>
    <m/>
    <n v="0"/>
    <n v="840.00000000000011"/>
    <m/>
  </r>
  <r>
    <x v="2"/>
    <x v="7"/>
    <s v="B"/>
    <x v="9"/>
    <m/>
    <m/>
    <d v="2017-08-08T00:00:00"/>
    <n v="9290"/>
    <m/>
    <n v="4073"/>
    <n v="2842.5"/>
    <n v="650.30000000000007"/>
    <m/>
  </r>
  <r>
    <x v="2"/>
    <x v="8"/>
    <s v="B"/>
    <x v="9"/>
    <m/>
    <m/>
    <d v="2017-08-20T00:00:00"/>
    <n v="12000"/>
    <m/>
    <m/>
    <n v="0"/>
    <n v="840.00000000000011"/>
    <m/>
  </r>
  <r>
    <x v="2"/>
    <x v="9"/>
    <s v="B"/>
    <x v="9"/>
    <m/>
    <m/>
    <d v="2017-10-02T00:00:00"/>
    <n v="12000"/>
    <m/>
    <n v="4167"/>
    <n v="440"/>
    <n v="840.00000000000011"/>
    <m/>
  </r>
  <r>
    <x v="2"/>
    <x v="10"/>
    <s v="B"/>
    <x v="9"/>
    <m/>
    <m/>
    <d v="2017-10-27T00:00:00"/>
    <n v="12000"/>
    <m/>
    <m/>
    <n v="0"/>
    <n v="840.00000000000011"/>
    <m/>
  </r>
  <r>
    <x v="2"/>
    <x v="11"/>
    <s v="B"/>
    <x v="9"/>
    <m/>
    <m/>
    <d v="2017-12-05T00:00:00"/>
    <n v="12000"/>
    <m/>
    <n v="4289"/>
    <n v="867"/>
    <n v="840.00000000000011"/>
    <m/>
  </r>
  <r>
    <x v="2"/>
    <x v="0"/>
    <s v="C"/>
    <x v="10"/>
    <s v="0988-392-806"/>
    <s v="103/07/01-106/06/30"/>
    <d v="2017-12-30T00:00:00"/>
    <n v="16000"/>
    <n v="32000"/>
    <n v="15346"/>
    <m/>
    <n v="1120"/>
    <m/>
  </r>
  <r>
    <x v="2"/>
    <x v="1"/>
    <s v="C"/>
    <x v="10"/>
    <m/>
    <m/>
    <d v="2017-01-24T00:00:00"/>
    <n v="16000"/>
    <m/>
    <n v="15680"/>
    <n v="1837"/>
    <n v="1120"/>
    <m/>
  </r>
  <r>
    <x v="2"/>
    <x v="2"/>
    <s v="C"/>
    <x v="10"/>
    <m/>
    <m/>
    <d v="2017-03-01T00:00:00"/>
    <n v="16000"/>
    <m/>
    <n v="15680"/>
    <n v="0"/>
    <n v="1120"/>
    <m/>
  </r>
  <r>
    <x v="2"/>
    <x v="3"/>
    <s v="C"/>
    <x v="10"/>
    <m/>
    <m/>
    <d v="2017-03-31T00:00:00"/>
    <n v="16000"/>
    <m/>
    <n v="16046"/>
    <n v="2013"/>
    <n v="1120"/>
    <m/>
  </r>
  <r>
    <x v="2"/>
    <x v="4"/>
    <s v="C"/>
    <x v="10"/>
    <m/>
    <m/>
    <d v="2017-04-28T00:00:00"/>
    <n v="16000"/>
    <m/>
    <m/>
    <n v="0"/>
    <n v="1120"/>
    <m/>
  </r>
  <r>
    <x v="2"/>
    <x v="5"/>
    <s v="C"/>
    <x v="10"/>
    <m/>
    <m/>
    <d v="2017-06-01T00:00:00"/>
    <n v="16000"/>
    <m/>
    <n v="16394"/>
    <n v="1914"/>
    <n v="1120"/>
    <m/>
  </r>
  <r>
    <x v="2"/>
    <x v="6"/>
    <s v="C"/>
    <x v="0"/>
    <m/>
    <m/>
    <d v="2017-06-30T00:00:00"/>
    <n v="16000"/>
    <m/>
    <m/>
    <n v="0"/>
    <n v="1120"/>
    <m/>
  </r>
  <r>
    <x v="2"/>
    <x v="7"/>
    <s v="C"/>
    <x v="0"/>
    <m/>
    <m/>
    <d v="2017-08-01T00:00:00"/>
    <n v="16000"/>
    <m/>
    <n v="16948"/>
    <n v="3047"/>
    <n v="1120"/>
    <m/>
  </r>
  <r>
    <x v="2"/>
    <x v="8"/>
    <s v="C"/>
    <x v="0"/>
    <m/>
    <m/>
    <d v="2017-08-28T00:00:00"/>
    <n v="16000"/>
    <m/>
    <m/>
    <n v="0"/>
    <n v="1120"/>
    <m/>
  </r>
  <r>
    <x v="2"/>
    <x v="9"/>
    <s v="C"/>
    <x v="0"/>
    <m/>
    <m/>
    <d v="2017-10-02T00:00:00"/>
    <n v="16000"/>
    <m/>
    <n v="17340"/>
    <n v="2156"/>
    <n v="1120"/>
    <m/>
  </r>
  <r>
    <x v="2"/>
    <x v="10"/>
    <s v="C"/>
    <x v="0"/>
    <m/>
    <m/>
    <d v="2017-10-31T00:00:00"/>
    <n v="16000"/>
    <m/>
    <m/>
    <n v="0"/>
    <n v="1120"/>
    <m/>
  </r>
  <r>
    <x v="2"/>
    <x v="11"/>
    <s v="C"/>
    <x v="0"/>
    <m/>
    <m/>
    <d v="2017-11-29T00:00:00"/>
    <n v="16000"/>
    <m/>
    <n v="17662"/>
    <n v="1771"/>
    <n v="1120"/>
    <m/>
  </r>
  <r>
    <x v="2"/>
    <x v="0"/>
    <s v="D"/>
    <x v="0"/>
    <m/>
    <m/>
    <d v="2017-01-09T00:00:00"/>
    <n v="13000"/>
    <n v="28000"/>
    <n v="16645"/>
    <m/>
    <n v="910.00000000000011"/>
    <m/>
  </r>
  <r>
    <x v="2"/>
    <x v="1"/>
    <s v="D"/>
    <x v="0"/>
    <m/>
    <m/>
    <d v="2017-02-07T00:00:00"/>
    <n v="13000"/>
    <m/>
    <n v="17017"/>
    <n v="2046"/>
    <n v="910.00000000000011"/>
    <m/>
  </r>
  <r>
    <x v="2"/>
    <x v="2"/>
    <s v="D"/>
    <x v="11"/>
    <s v="0989-916-316"/>
    <s v="106/03/04-107/06/30"/>
    <s v="3/4-3/31"/>
    <n v="12645"/>
    <m/>
    <n v="17026"/>
    <m/>
    <n v="885.15000000000009"/>
    <m/>
  </r>
  <r>
    <x v="2"/>
    <x v="3"/>
    <s v="D"/>
    <x v="11"/>
    <m/>
    <m/>
    <d v="2017-04-14T00:00:00"/>
    <n v="13000"/>
    <m/>
    <n v="17354"/>
    <n v="1804"/>
    <n v="910.00000000000011"/>
    <m/>
  </r>
  <r>
    <x v="2"/>
    <x v="4"/>
    <s v="D"/>
    <x v="11"/>
    <m/>
    <m/>
    <d v="2017-05-02T00:00:00"/>
    <n v="14000"/>
    <m/>
    <m/>
    <n v="0"/>
    <n v="980.00000000000011"/>
    <m/>
  </r>
  <r>
    <x v="2"/>
    <x v="5"/>
    <s v="D"/>
    <x v="11"/>
    <m/>
    <m/>
    <d v="2017-06-08T00:00:00"/>
    <n v="14000"/>
    <m/>
    <n v="17788"/>
    <n v="2387"/>
    <n v="980.00000000000011"/>
    <m/>
  </r>
  <r>
    <x v="2"/>
    <x v="6"/>
    <s v="D"/>
    <x v="11"/>
    <m/>
    <m/>
    <d v="2017-06-28T00:00:00"/>
    <n v="14000"/>
    <m/>
    <m/>
    <n v="0"/>
    <n v="980.00000000000011"/>
    <m/>
  </r>
  <r>
    <x v="2"/>
    <x v="7"/>
    <s v="D"/>
    <x v="11"/>
    <m/>
    <m/>
    <d v="2017-08-02T00:00:00"/>
    <n v="14000"/>
    <m/>
    <n v="17978"/>
    <n v="1045"/>
    <n v="980.00000000000011"/>
    <m/>
  </r>
  <r>
    <x v="2"/>
    <x v="8"/>
    <s v="D"/>
    <x v="11"/>
    <m/>
    <m/>
    <d v="2017-08-31T00:00:00"/>
    <n v="14000"/>
    <m/>
    <m/>
    <n v="0"/>
    <n v="980.00000000000011"/>
    <m/>
  </r>
  <r>
    <x v="2"/>
    <x v="9"/>
    <s v="D"/>
    <x v="11"/>
    <m/>
    <m/>
    <d v="2017-10-11T00:00:00"/>
    <n v="14000"/>
    <m/>
    <n v="18462"/>
    <n v="2662"/>
    <n v="980.00000000000011"/>
    <m/>
  </r>
  <r>
    <x v="2"/>
    <x v="10"/>
    <s v="D"/>
    <x v="11"/>
    <m/>
    <m/>
    <d v="2017-11-01T00:00:00"/>
    <n v="14000"/>
    <m/>
    <m/>
    <n v="0"/>
    <n v="980.00000000000011"/>
    <m/>
  </r>
  <r>
    <x v="2"/>
    <x v="11"/>
    <s v="D"/>
    <x v="11"/>
    <m/>
    <m/>
    <d v="2017-12-06T00:00:00"/>
    <n v="14000"/>
    <m/>
    <n v="18790"/>
    <n v="1804"/>
    <n v="980.00000000000011"/>
    <m/>
  </r>
  <r>
    <x v="2"/>
    <x v="0"/>
    <s v="E"/>
    <x v="12"/>
    <s v="0966-145-646"/>
    <s v="106/01/01-106/12/31"/>
    <d v="2017-01-01T00:00:00"/>
    <n v="13000"/>
    <n v="26000"/>
    <n v="7284"/>
    <m/>
    <n v="910.00000000000011"/>
    <m/>
  </r>
  <r>
    <x v="2"/>
    <x v="1"/>
    <s v="E"/>
    <x v="12"/>
    <m/>
    <m/>
    <d v="2017-02-02T00:00:00"/>
    <n v="13000"/>
    <m/>
    <n v="7532"/>
    <n v="1364"/>
    <n v="910.00000000000011"/>
    <m/>
  </r>
  <r>
    <x v="2"/>
    <x v="2"/>
    <s v="E"/>
    <x v="12"/>
    <m/>
    <m/>
    <d v="2017-03-01T00:00:00"/>
    <n v="13000"/>
    <m/>
    <n v="7532"/>
    <n v="0"/>
    <n v="910.00000000000011"/>
    <m/>
  </r>
  <r>
    <x v="2"/>
    <x v="3"/>
    <s v="E"/>
    <x v="12"/>
    <m/>
    <m/>
    <d v="2017-04-17T00:00:00"/>
    <n v="13000"/>
    <m/>
    <n v="7794"/>
    <n v="1691"/>
    <n v="910.00000000000011"/>
    <m/>
  </r>
  <r>
    <x v="2"/>
    <x v="4"/>
    <s v="E"/>
    <x v="12"/>
    <m/>
    <m/>
    <d v="2017-04-27T00:00:00"/>
    <n v="13000"/>
    <m/>
    <m/>
    <n v="0"/>
    <n v="910.00000000000011"/>
    <m/>
  </r>
  <r>
    <x v="2"/>
    <x v="5"/>
    <s v="E"/>
    <x v="12"/>
    <m/>
    <m/>
    <d v="2017-06-01T00:00:00"/>
    <n v="13000"/>
    <m/>
    <n v="8194"/>
    <n v="2200"/>
    <n v="910.00000000000011"/>
    <m/>
  </r>
  <r>
    <x v="2"/>
    <x v="6"/>
    <s v="E"/>
    <x v="12"/>
    <m/>
    <m/>
    <d v="2017-07-03T00:00:00"/>
    <n v="13000"/>
    <m/>
    <m/>
    <n v="0"/>
    <n v="910.00000000000011"/>
    <m/>
  </r>
  <r>
    <x v="2"/>
    <x v="7"/>
    <s v="E"/>
    <x v="12"/>
    <m/>
    <m/>
    <d v="2017-08-08T00:00:00"/>
    <n v="13000"/>
    <m/>
    <n v="8988"/>
    <n v="4367"/>
    <n v="910.00000000000011"/>
    <m/>
  </r>
  <r>
    <x v="2"/>
    <x v="8"/>
    <s v="E"/>
    <x v="12"/>
    <m/>
    <m/>
    <d v="2017-08-30T00:00:00"/>
    <n v="13000"/>
    <m/>
    <m/>
    <n v="0"/>
    <n v="910.00000000000011"/>
    <m/>
  </r>
  <r>
    <x v="2"/>
    <x v="9"/>
    <s v="E"/>
    <x v="12"/>
    <m/>
    <m/>
    <d v="2017-10-02T00:00:00"/>
    <n v="13000"/>
    <m/>
    <n v="9710"/>
    <n v="4125"/>
    <n v="910.00000000000011"/>
    <m/>
  </r>
  <r>
    <x v="2"/>
    <x v="10"/>
    <s v="E"/>
    <x v="12"/>
    <m/>
    <m/>
    <d v="2017-11-06T00:00:00"/>
    <n v="13000"/>
    <m/>
    <m/>
    <n v="0"/>
    <n v="910.00000000000011"/>
    <m/>
  </r>
  <r>
    <x v="2"/>
    <x v="11"/>
    <s v="E"/>
    <x v="12"/>
    <m/>
    <m/>
    <d v="2017-12-04T00:00:00"/>
    <n v="13000"/>
    <m/>
    <n v="10092"/>
    <n v="2297"/>
    <n v="910.00000000000011"/>
    <m/>
  </r>
  <r>
    <x v="2"/>
    <x v="0"/>
    <s v="F"/>
    <x v="0"/>
    <m/>
    <m/>
    <d v="2017-01-03T00:00:00"/>
    <n v="18000"/>
    <n v="36000"/>
    <n v="16151"/>
    <m/>
    <n v="1260.0000000000002"/>
    <m/>
  </r>
  <r>
    <x v="2"/>
    <x v="1"/>
    <s v="F"/>
    <x v="0"/>
    <m/>
    <m/>
    <d v="2017-02-13T00:00:00"/>
    <n v="18000"/>
    <m/>
    <n v="16273"/>
    <n v="671"/>
    <n v="1260.0000000000002"/>
    <m/>
  </r>
  <r>
    <x v="2"/>
    <x v="2"/>
    <s v="F"/>
    <x v="0"/>
    <m/>
    <m/>
    <d v="2017-03-14T00:00:00"/>
    <n v="12192"/>
    <m/>
    <s v="16304-16340"/>
    <n v="198"/>
    <n v="853.44"/>
    <m/>
  </r>
  <r>
    <x v="2"/>
    <x v="3"/>
    <s v="F"/>
    <x v="0"/>
    <m/>
    <m/>
    <d v="2017-04-05T00:00:00"/>
    <n v="18000"/>
    <m/>
    <n v="16408"/>
    <n v="624"/>
    <n v="1260.0000000000002"/>
    <m/>
  </r>
  <r>
    <x v="2"/>
    <x v="4"/>
    <s v="F"/>
    <x v="0"/>
    <m/>
    <m/>
    <d v="2017-05-02T00:00:00"/>
    <n v="18000"/>
    <m/>
    <m/>
    <n v="0"/>
    <n v="1260.0000000000002"/>
    <m/>
  </r>
  <r>
    <x v="2"/>
    <x v="5"/>
    <s v="F"/>
    <x v="0"/>
    <m/>
    <m/>
    <d v="2017-05-27T00:00:00"/>
    <n v="18000"/>
    <m/>
    <m/>
    <n v="0"/>
    <n v="1260.0000000000002"/>
    <m/>
  </r>
  <r>
    <x v="2"/>
    <x v="6"/>
    <s v="F"/>
    <x v="0"/>
    <m/>
    <m/>
    <m/>
    <m/>
    <m/>
    <m/>
    <n v="0"/>
    <n v="0"/>
    <m/>
  </r>
  <r>
    <x v="2"/>
    <x v="7"/>
    <s v="F"/>
    <x v="0"/>
    <m/>
    <m/>
    <m/>
    <m/>
    <m/>
    <m/>
    <n v="0"/>
    <n v="0"/>
    <m/>
  </r>
  <r>
    <x v="2"/>
    <x v="8"/>
    <s v="F"/>
    <x v="13"/>
    <s v="0933-781-142"/>
    <s v="106/09/10-107/09/30"/>
    <s v="9/10-9/30"/>
    <n v="12600"/>
    <m/>
    <n v="16694"/>
    <m/>
    <n v="882.00000000000011"/>
    <m/>
  </r>
  <r>
    <x v="2"/>
    <x v="9"/>
    <s v="F"/>
    <x v="13"/>
    <m/>
    <m/>
    <d v="2017-10-02T00:00:00"/>
    <n v="18000"/>
    <m/>
    <n v="17242"/>
    <n v="3014"/>
    <n v="1260.0000000000002"/>
    <m/>
  </r>
  <r>
    <x v="2"/>
    <x v="10"/>
    <s v="F"/>
    <x v="13"/>
    <m/>
    <m/>
    <d v="2017-10-31T00:00:00"/>
    <n v="18000"/>
    <m/>
    <m/>
    <n v="154"/>
    <n v="1260.0000000000002"/>
    <m/>
  </r>
  <r>
    <x v="2"/>
    <x v="11"/>
    <s v="F"/>
    <x v="13"/>
    <m/>
    <m/>
    <d v="2017-12-01T00:00:00"/>
    <n v="18000"/>
    <m/>
    <n v="17618"/>
    <n v="2264"/>
    <n v="1260.0000000000002"/>
    <m/>
  </r>
  <r>
    <x v="3"/>
    <x v="0"/>
    <s v="A"/>
    <x v="14"/>
    <m/>
    <m/>
    <m/>
    <n v="31000"/>
    <m/>
    <m/>
    <m/>
    <n v="0"/>
    <s v="收入：國泰世華(013) 館前分行  0156-6313177(張宇音)"/>
  </r>
  <r>
    <x v="3"/>
    <x v="1"/>
    <s v="A"/>
    <x v="14"/>
    <m/>
    <m/>
    <m/>
    <n v="31000"/>
    <m/>
    <m/>
    <m/>
    <n v="0"/>
    <m/>
  </r>
  <r>
    <x v="3"/>
    <x v="2"/>
    <s v="A"/>
    <x v="14"/>
    <m/>
    <m/>
    <m/>
    <n v="31000"/>
    <m/>
    <m/>
    <m/>
    <n v="0"/>
    <m/>
  </r>
  <r>
    <x v="3"/>
    <x v="3"/>
    <s v="A"/>
    <x v="14"/>
    <m/>
    <m/>
    <m/>
    <n v="31000"/>
    <m/>
    <m/>
    <m/>
    <n v="0"/>
    <m/>
  </r>
  <r>
    <x v="3"/>
    <x v="4"/>
    <s v="A"/>
    <x v="14"/>
    <m/>
    <m/>
    <m/>
    <n v="31000"/>
    <m/>
    <m/>
    <m/>
    <n v="0"/>
    <m/>
  </r>
  <r>
    <x v="3"/>
    <x v="5"/>
    <s v="A"/>
    <x v="14"/>
    <m/>
    <m/>
    <m/>
    <n v="37288"/>
    <m/>
    <m/>
    <m/>
    <n v="0"/>
    <m/>
  </r>
  <r>
    <x v="3"/>
    <x v="6"/>
    <s v="A"/>
    <x v="14"/>
    <m/>
    <m/>
    <m/>
    <n v="36351"/>
    <m/>
    <m/>
    <m/>
    <n v="0"/>
    <m/>
  </r>
  <r>
    <x v="3"/>
    <x v="7"/>
    <s v="A"/>
    <x v="14"/>
    <m/>
    <m/>
    <m/>
    <n v="36781"/>
    <m/>
    <m/>
    <m/>
    <n v="0"/>
    <m/>
  </r>
  <r>
    <x v="3"/>
    <x v="8"/>
    <s v="A"/>
    <x v="14"/>
    <m/>
    <m/>
    <m/>
    <n v="23700"/>
    <m/>
    <m/>
    <m/>
    <n v="0"/>
    <m/>
  </r>
  <r>
    <x v="3"/>
    <x v="9"/>
    <s v="A"/>
    <x v="14"/>
    <m/>
    <m/>
    <m/>
    <m/>
    <m/>
    <m/>
    <m/>
    <n v="0"/>
    <m/>
  </r>
  <r>
    <x v="3"/>
    <x v="10"/>
    <s v="A"/>
    <x v="14"/>
    <m/>
    <m/>
    <m/>
    <m/>
    <m/>
    <m/>
    <m/>
    <n v="0"/>
    <m/>
  </r>
  <r>
    <x v="3"/>
    <x v="11"/>
    <s v="A"/>
    <x v="14"/>
    <m/>
    <m/>
    <m/>
    <n v="19000"/>
    <m/>
    <m/>
    <m/>
    <n v="0"/>
    <m/>
  </r>
  <r>
    <x v="3"/>
    <x v="0"/>
    <s v="B"/>
    <x v="0"/>
    <m/>
    <m/>
    <m/>
    <n v="30000"/>
    <n v="60000"/>
    <n v="6063"/>
    <m/>
    <n v="0"/>
    <m/>
  </r>
  <r>
    <x v="3"/>
    <x v="1"/>
    <s v="B"/>
    <x v="0"/>
    <m/>
    <m/>
    <m/>
    <n v="30000"/>
    <m/>
    <n v="6407"/>
    <n v="1892"/>
    <n v="0"/>
    <m/>
  </r>
  <r>
    <x v="3"/>
    <x v="2"/>
    <s v="B"/>
    <x v="0"/>
    <m/>
    <m/>
    <m/>
    <n v="30000"/>
    <m/>
    <n v="6723"/>
    <n v="1738"/>
    <n v="0"/>
    <m/>
  </r>
  <r>
    <x v="3"/>
    <x v="3"/>
    <s v="B"/>
    <x v="0"/>
    <m/>
    <m/>
    <d v="2017-04-13T00:00:00"/>
    <n v="30000"/>
    <m/>
    <n v="7153"/>
    <n v="2365"/>
    <n v="0"/>
    <m/>
  </r>
  <r>
    <x v="3"/>
    <x v="4"/>
    <s v="B"/>
    <x v="0"/>
    <m/>
    <m/>
    <d v="2017-05-11T00:00:00"/>
    <n v="30000"/>
    <m/>
    <n v="7599"/>
    <n v="2453"/>
    <n v="0"/>
    <m/>
  </r>
  <r>
    <x v="3"/>
    <x v="5"/>
    <s v="B"/>
    <x v="0"/>
    <m/>
    <m/>
    <d v="2017-06-12T00:00:00"/>
    <n v="30000"/>
    <m/>
    <n v="8591"/>
    <n v="5456"/>
    <n v="0"/>
    <m/>
  </r>
  <r>
    <x v="3"/>
    <x v="6"/>
    <s v="B"/>
    <x v="0"/>
    <m/>
    <m/>
    <d v="2017-07-07T00:00:00"/>
    <n v="30000"/>
    <m/>
    <n v="9663"/>
    <n v="5896"/>
    <n v="0"/>
    <m/>
  </r>
  <r>
    <x v="3"/>
    <x v="7"/>
    <s v="B"/>
    <x v="0"/>
    <m/>
    <m/>
    <d v="2017-08-07T00:00:00"/>
    <n v="30000"/>
    <m/>
    <n v="10953"/>
    <n v="7095"/>
    <n v="0"/>
    <m/>
  </r>
  <r>
    <x v="3"/>
    <x v="8"/>
    <s v="B"/>
    <x v="0"/>
    <m/>
    <m/>
    <d v="2017-09-05T00:00:00"/>
    <n v="30000"/>
    <m/>
    <n v="12137"/>
    <n v="6512"/>
    <n v="0"/>
    <m/>
  </r>
  <r>
    <x v="3"/>
    <x v="9"/>
    <s v="B"/>
    <x v="0"/>
    <m/>
    <m/>
    <d v="2017-10-06T00:00:00"/>
    <n v="30000"/>
    <m/>
    <n v="13197"/>
    <n v="5830"/>
    <n v="0"/>
    <m/>
  </r>
  <r>
    <x v="3"/>
    <x v="10"/>
    <s v="B"/>
    <x v="0"/>
    <m/>
    <m/>
    <d v="2017-11-05T00:00:00"/>
    <n v="30000"/>
    <m/>
    <n v="13861"/>
    <n v="3652"/>
    <n v="0"/>
    <m/>
  </r>
  <r>
    <x v="3"/>
    <x v="11"/>
    <s v="B"/>
    <x v="0"/>
    <m/>
    <m/>
    <d v="2017-12-12T00:00:00"/>
    <n v="7741"/>
    <m/>
    <m/>
    <m/>
    <n v="0"/>
    <m/>
  </r>
  <r>
    <x v="3"/>
    <x v="0"/>
    <s v="C"/>
    <x v="0"/>
    <m/>
    <m/>
    <m/>
    <n v="28000"/>
    <n v="60000"/>
    <n v="2777"/>
    <m/>
    <n v="0"/>
    <m/>
  </r>
  <r>
    <x v="3"/>
    <x v="1"/>
    <s v="C"/>
    <x v="0"/>
    <m/>
    <m/>
    <m/>
    <n v="28000"/>
    <m/>
    <n v="2905"/>
    <n v="704"/>
    <n v="0"/>
    <m/>
  </r>
  <r>
    <x v="3"/>
    <x v="2"/>
    <s v="C"/>
    <x v="0"/>
    <m/>
    <m/>
    <s v="3/7-9/6"/>
    <n v="28000"/>
    <m/>
    <n v="3033"/>
    <n v="704"/>
    <n v="0"/>
    <m/>
  </r>
  <r>
    <x v="3"/>
    <x v="3"/>
    <s v="C"/>
    <x v="0"/>
    <m/>
    <m/>
    <m/>
    <n v="28000"/>
    <m/>
    <n v="3139"/>
    <n v="583"/>
    <n v="0"/>
    <m/>
  </r>
  <r>
    <x v="3"/>
    <x v="4"/>
    <s v="C"/>
    <x v="0"/>
    <m/>
    <m/>
    <m/>
    <n v="28000"/>
    <m/>
    <n v="3248"/>
    <n v="599.5"/>
    <n v="0"/>
    <m/>
  </r>
  <r>
    <x v="3"/>
    <x v="5"/>
    <s v="C"/>
    <x v="0"/>
    <m/>
    <m/>
    <m/>
    <n v="28000"/>
    <m/>
    <n v="3410"/>
    <n v="891"/>
    <n v="0"/>
    <m/>
  </r>
  <r>
    <x v="3"/>
    <x v="6"/>
    <s v="C"/>
    <x v="0"/>
    <m/>
    <m/>
    <m/>
    <n v="28000"/>
    <m/>
    <n v="3580"/>
    <n v="935"/>
    <n v="0"/>
    <m/>
  </r>
  <r>
    <x v="3"/>
    <x v="7"/>
    <s v="C"/>
    <x v="0"/>
    <m/>
    <m/>
    <m/>
    <n v="28000"/>
    <m/>
    <n v="3789"/>
    <n v="1149.5"/>
    <n v="0"/>
    <m/>
  </r>
  <r>
    <x v="3"/>
    <x v="8"/>
    <s v="C"/>
    <x v="15"/>
    <m/>
    <s v="106/9/7~107/1/14"/>
    <d v="2017-09-07T00:00:00"/>
    <n v="30000"/>
    <m/>
    <s v="3800~3940"/>
    <n v="770"/>
    <n v="0"/>
    <m/>
  </r>
  <r>
    <x v="3"/>
    <x v="9"/>
    <s v="C"/>
    <x v="15"/>
    <m/>
    <m/>
    <d v="2017-10-05T00:00:00"/>
    <n v="30000"/>
    <m/>
    <n v="4070"/>
    <n v="715"/>
    <n v="0"/>
    <m/>
  </r>
  <r>
    <x v="3"/>
    <x v="10"/>
    <s v="C"/>
    <x v="15"/>
    <m/>
    <m/>
    <d v="2017-11-08T00:00:00"/>
    <n v="30000"/>
    <m/>
    <n v="4158"/>
    <n v="484"/>
    <n v="0"/>
    <m/>
  </r>
  <r>
    <x v="3"/>
    <x v="11"/>
    <s v="C"/>
    <x v="15"/>
    <m/>
    <m/>
    <d v="2017-12-06T00:00:00"/>
    <n v="30000"/>
    <m/>
    <m/>
    <n v="0"/>
    <n v="0"/>
    <m/>
  </r>
  <r>
    <x v="4"/>
    <x v="0"/>
    <s v="A"/>
    <x v="16"/>
    <m/>
    <m/>
    <m/>
    <n v="25000"/>
    <n v="50000"/>
    <n v="2917"/>
    <m/>
    <n v="2500"/>
    <m/>
  </r>
  <r>
    <x v="4"/>
    <x v="1"/>
    <s v="A"/>
    <x v="16"/>
    <m/>
    <m/>
    <m/>
    <n v="25000"/>
    <m/>
    <n v="2995"/>
    <n v="429"/>
    <n v="2500"/>
    <m/>
  </r>
  <r>
    <x v="4"/>
    <x v="2"/>
    <s v="A"/>
    <x v="16"/>
    <m/>
    <m/>
    <s v="現金"/>
    <n v="24000"/>
    <m/>
    <n v="3169"/>
    <n v="957"/>
    <n v="2400"/>
    <m/>
  </r>
  <r>
    <x v="4"/>
    <x v="3"/>
    <s v="A"/>
    <x v="16"/>
    <m/>
    <m/>
    <s v="現金"/>
    <n v="24000"/>
    <m/>
    <n v="3357"/>
    <n v="1034"/>
    <n v="2400"/>
    <m/>
  </r>
  <r>
    <x v="4"/>
    <x v="4"/>
    <s v="A"/>
    <x v="16"/>
    <m/>
    <m/>
    <s v="5/8退租點交"/>
    <n v="17394"/>
    <m/>
    <n v="3599"/>
    <m/>
    <n v="1739.4"/>
    <m/>
  </r>
  <r>
    <x v="4"/>
    <x v="5"/>
    <s v="A"/>
    <x v="16"/>
    <m/>
    <m/>
    <d v="2017-05-31T00:00:00"/>
    <n v="25000"/>
    <m/>
    <n v="3845"/>
    <n v="1353"/>
    <n v="2500"/>
    <m/>
  </r>
  <r>
    <x v="4"/>
    <x v="6"/>
    <s v="A"/>
    <x v="16"/>
    <m/>
    <m/>
    <d v="2017-07-05T00:00:00"/>
    <n v="25000"/>
    <m/>
    <n v="4113"/>
    <n v="1474"/>
    <n v="2500"/>
    <m/>
  </r>
  <r>
    <x v="4"/>
    <x v="7"/>
    <s v="A"/>
    <x v="16"/>
    <m/>
    <m/>
    <d v="2017-08-07T00:00:00"/>
    <n v="25000"/>
    <m/>
    <n v="4479"/>
    <n v="3487"/>
    <n v="2500"/>
    <m/>
  </r>
  <r>
    <x v="4"/>
    <x v="8"/>
    <s v="A"/>
    <x v="16"/>
    <m/>
    <m/>
    <d v="2017-09-06T00:00:00"/>
    <n v="25000"/>
    <m/>
    <n v="4843"/>
    <n v="2002"/>
    <n v="2500"/>
    <m/>
  </r>
  <r>
    <x v="4"/>
    <x v="9"/>
    <s v="A"/>
    <x v="16"/>
    <m/>
    <m/>
    <d v="2017-10-11T00:00:00"/>
    <n v="25000"/>
    <m/>
    <n v="5139"/>
    <n v="1628"/>
    <n v="2500"/>
    <m/>
  </r>
  <r>
    <x v="4"/>
    <x v="10"/>
    <s v="A"/>
    <x v="16"/>
    <m/>
    <m/>
    <d v="2017-11-06T00:00:00"/>
    <n v="25000"/>
    <m/>
    <n v="5319"/>
    <n v="990"/>
    <n v="2500"/>
    <m/>
  </r>
  <r>
    <x v="4"/>
    <x v="11"/>
    <s v="A"/>
    <x v="16"/>
    <m/>
    <m/>
    <d v="2017-12-06T00:00:00"/>
    <n v="25000"/>
    <m/>
    <m/>
    <m/>
    <n v="2500"/>
    <m/>
  </r>
  <r>
    <x v="4"/>
    <x v="0"/>
    <s v="B"/>
    <x v="0"/>
    <m/>
    <m/>
    <d v="2017-01-04T00:00:00"/>
    <n v="24000"/>
    <m/>
    <n v="4205"/>
    <m/>
    <n v="2400"/>
    <m/>
  </r>
  <r>
    <x v="4"/>
    <x v="1"/>
    <s v="B"/>
    <x v="0"/>
    <m/>
    <m/>
    <d v="2017-02-03T00:00:00"/>
    <n v="24000"/>
    <m/>
    <n v="4427"/>
    <n v="1221"/>
    <n v="2400"/>
    <m/>
  </r>
  <r>
    <x v="4"/>
    <x v="2"/>
    <s v="B"/>
    <x v="0"/>
    <m/>
    <m/>
    <d v="2017-03-02T00:00:00"/>
    <n v="24000"/>
    <m/>
    <n v="4659"/>
    <n v="1276"/>
    <n v="2400"/>
    <m/>
  </r>
  <r>
    <x v="4"/>
    <x v="3"/>
    <s v="B"/>
    <x v="0"/>
    <m/>
    <m/>
    <d v="2017-04-05T00:00:00"/>
    <n v="24000"/>
    <m/>
    <n v="4845"/>
    <n v="1023"/>
    <n v="2400"/>
    <m/>
  </r>
  <r>
    <x v="4"/>
    <x v="4"/>
    <s v="B"/>
    <x v="0"/>
    <m/>
    <m/>
    <m/>
    <n v="24000"/>
    <m/>
    <n v="5133"/>
    <n v="1584"/>
    <n v="2400"/>
    <m/>
  </r>
  <r>
    <x v="4"/>
    <x v="5"/>
    <s v="B"/>
    <x v="0"/>
    <m/>
    <m/>
    <d v="2017-06-03T00:00:00"/>
    <n v="24000"/>
    <m/>
    <s v="5371~5663"/>
    <n v="1606"/>
    <n v="2400"/>
    <m/>
  </r>
  <r>
    <x v="4"/>
    <x v="6"/>
    <s v="B"/>
    <x v="0"/>
    <m/>
    <m/>
    <d v="2017-06-22T00:00:00"/>
    <n v="27000"/>
    <m/>
    <n v="5670"/>
    <m/>
    <n v="2700"/>
    <m/>
  </r>
  <r>
    <x v="4"/>
    <x v="7"/>
    <s v="B"/>
    <x v="0"/>
    <m/>
    <m/>
    <d v="2017-08-01T00:00:00"/>
    <n v="28000"/>
    <m/>
    <m/>
    <m/>
    <n v="2800"/>
    <m/>
  </r>
  <r>
    <x v="4"/>
    <x v="8"/>
    <s v="B"/>
    <x v="0"/>
    <m/>
    <m/>
    <d v="2017-09-01T00:00:00"/>
    <n v="28000"/>
    <m/>
    <m/>
    <m/>
    <n v="2800"/>
    <m/>
  </r>
  <r>
    <x v="4"/>
    <x v="9"/>
    <s v="B"/>
    <x v="0"/>
    <m/>
    <m/>
    <m/>
    <n v="31000"/>
    <m/>
    <m/>
    <m/>
    <n v="3100"/>
    <m/>
  </r>
  <r>
    <x v="4"/>
    <x v="10"/>
    <s v="B"/>
    <x v="0"/>
    <m/>
    <m/>
    <m/>
    <n v="13000"/>
    <m/>
    <m/>
    <m/>
    <n v="1300"/>
    <m/>
  </r>
  <r>
    <x v="4"/>
    <x v="11"/>
    <s v="B"/>
    <x v="17"/>
    <m/>
    <s v="12/4-1/14"/>
    <s v="12/4-12/31"/>
    <n v="23338"/>
    <m/>
    <m/>
    <m/>
    <n v="2333.8000000000002"/>
    <m/>
  </r>
  <r>
    <x v="4"/>
    <x v="0"/>
    <s v="C"/>
    <x v="0"/>
    <m/>
    <m/>
    <m/>
    <n v="24000"/>
    <m/>
    <n v="3822"/>
    <s v=" 退租結"/>
    <n v="2400"/>
    <m/>
  </r>
  <r>
    <x v="4"/>
    <x v="1"/>
    <s v="C"/>
    <x v="0"/>
    <m/>
    <m/>
    <m/>
    <n v="24000"/>
    <m/>
    <n v="4374"/>
    <n v="3036"/>
    <n v="2400"/>
    <m/>
  </r>
  <r>
    <x v="4"/>
    <x v="2"/>
    <s v="C"/>
    <x v="0"/>
    <m/>
    <m/>
    <m/>
    <n v="24000"/>
    <m/>
    <n v="4508"/>
    <n v="737"/>
    <n v="2400"/>
    <m/>
  </r>
  <r>
    <x v="4"/>
    <x v="3"/>
    <s v="C"/>
    <x v="0"/>
    <m/>
    <m/>
    <m/>
    <n v="24000"/>
    <m/>
    <n v="4630"/>
    <n v="671"/>
    <n v="2400"/>
    <m/>
  </r>
  <r>
    <x v="4"/>
    <x v="4"/>
    <s v="C"/>
    <x v="0"/>
    <m/>
    <m/>
    <d v="2017-05-03T00:00:00"/>
    <n v="24000"/>
    <m/>
    <m/>
    <n v="0"/>
    <n v="2400"/>
    <m/>
  </r>
  <r>
    <x v="4"/>
    <x v="5"/>
    <s v="C"/>
    <x v="0"/>
    <m/>
    <m/>
    <d v="2017-05-31T00:00:00"/>
    <n v="24000"/>
    <m/>
    <n v="5140"/>
    <n v="2805"/>
    <n v="2400"/>
    <m/>
  </r>
  <r>
    <x v="4"/>
    <x v="6"/>
    <s v="C"/>
    <x v="0"/>
    <m/>
    <m/>
    <d v="2017-06-22T00:00:00"/>
    <n v="24000"/>
    <m/>
    <n v="5151"/>
    <m/>
    <n v="2400"/>
    <m/>
  </r>
  <r>
    <x v="4"/>
    <x v="7"/>
    <s v="C"/>
    <x v="18"/>
    <m/>
    <s v="106/8/3~107/2/3"/>
    <d v="2017-08-03T00:00:00"/>
    <n v="25000"/>
    <n v="50000"/>
    <n v="5381"/>
    <n v="1265"/>
    <n v="2500"/>
    <m/>
  </r>
  <r>
    <x v="4"/>
    <x v="8"/>
    <s v="C"/>
    <x v="18"/>
    <m/>
    <m/>
    <d v="2017-08-31T00:00:00"/>
    <n v="25000"/>
    <m/>
    <n v="5647"/>
    <n v="1463"/>
    <n v="2500"/>
    <m/>
  </r>
  <r>
    <x v="4"/>
    <x v="9"/>
    <s v="C"/>
    <x v="18"/>
    <m/>
    <m/>
    <d v="2017-10-05T00:00:00"/>
    <n v="25000"/>
    <m/>
    <n v="5929"/>
    <n v="1551"/>
    <n v="2500"/>
    <m/>
  </r>
  <r>
    <x v="4"/>
    <x v="10"/>
    <s v="C"/>
    <x v="18"/>
    <m/>
    <m/>
    <d v="2017-11-10T00:00:00"/>
    <n v="25000"/>
    <m/>
    <n v="6073"/>
    <n v="792"/>
    <n v="2500"/>
    <m/>
  </r>
  <r>
    <x v="4"/>
    <x v="11"/>
    <s v="C"/>
    <x v="18"/>
    <m/>
    <m/>
    <d v="2017-12-04T00:00:00"/>
    <n v="25000"/>
    <m/>
    <m/>
    <m/>
    <n v="2500"/>
    <m/>
  </r>
  <r>
    <x v="4"/>
    <x v="0"/>
    <s v="D"/>
    <x v="0"/>
    <m/>
    <m/>
    <m/>
    <n v="28000"/>
    <m/>
    <n v="7432"/>
    <m/>
    <n v="2800"/>
    <m/>
  </r>
  <r>
    <x v="4"/>
    <x v="1"/>
    <s v="D"/>
    <x v="0"/>
    <m/>
    <m/>
    <m/>
    <n v="28000"/>
    <m/>
    <n v="7706"/>
    <n v="1507"/>
    <n v="2800"/>
    <m/>
  </r>
  <r>
    <x v="4"/>
    <x v="2"/>
    <s v="D"/>
    <x v="0"/>
    <m/>
    <m/>
    <m/>
    <n v="28000"/>
    <m/>
    <n v="7940"/>
    <n v="1287"/>
    <n v="2800"/>
    <m/>
  </r>
  <r>
    <x v="4"/>
    <x v="3"/>
    <s v="D"/>
    <x v="0"/>
    <m/>
    <m/>
    <m/>
    <n v="28000"/>
    <m/>
    <n v="8142"/>
    <n v="1111"/>
    <n v="2800"/>
    <m/>
  </r>
  <r>
    <x v="4"/>
    <x v="4"/>
    <s v="D"/>
    <x v="0"/>
    <m/>
    <m/>
    <d v="2017-05-08T00:00:00"/>
    <n v="28000"/>
    <m/>
    <n v="8308"/>
    <n v="913"/>
    <n v="2800"/>
    <m/>
  </r>
  <r>
    <x v="4"/>
    <x v="5"/>
    <s v="D"/>
    <x v="0"/>
    <m/>
    <m/>
    <d v="2017-06-06T00:00:00"/>
    <n v="28000"/>
    <m/>
    <n v="8624"/>
    <n v="1738"/>
    <n v="2800"/>
    <m/>
  </r>
  <r>
    <x v="4"/>
    <x v="6"/>
    <s v="D"/>
    <x v="0"/>
    <m/>
    <m/>
    <d v="2017-07-06T00:00:00"/>
    <n v="28000"/>
    <m/>
    <n v="8884"/>
    <n v="1430"/>
    <n v="2800"/>
    <m/>
  </r>
  <r>
    <x v="4"/>
    <x v="7"/>
    <s v="D"/>
    <x v="0"/>
    <m/>
    <m/>
    <d v="2017-08-23T00:00:00"/>
    <n v="28000"/>
    <m/>
    <n v="9162"/>
    <n v="1529"/>
    <n v="2800"/>
    <m/>
  </r>
  <r>
    <x v="4"/>
    <x v="8"/>
    <s v="D"/>
    <x v="0"/>
    <m/>
    <m/>
    <s v="9/1,9/20-30"/>
    <n v="25366"/>
    <m/>
    <m/>
    <n v="0"/>
    <n v="2536.6000000000004"/>
    <m/>
  </r>
  <r>
    <x v="4"/>
    <x v="9"/>
    <s v="D"/>
    <x v="0"/>
    <m/>
    <m/>
    <s v="10/1-10/17"/>
    <n v="17566"/>
    <m/>
    <m/>
    <n v="0"/>
    <n v="1756.6000000000001"/>
    <m/>
  </r>
  <r>
    <x v="4"/>
    <x v="10"/>
    <s v="D"/>
    <x v="0"/>
    <m/>
    <m/>
    <m/>
    <m/>
    <m/>
    <m/>
    <n v="0"/>
    <n v="0"/>
    <m/>
  </r>
  <r>
    <x v="4"/>
    <x v="11"/>
    <s v="D"/>
    <x v="19"/>
    <m/>
    <s v="106/12/1~107/5/31"/>
    <d v="2017-11-19T00:00:00"/>
    <n v="28000"/>
    <n v="56000"/>
    <m/>
    <m/>
    <n v="2800"/>
    <m/>
  </r>
  <r>
    <x v="5"/>
    <x v="0"/>
    <s v="A"/>
    <x v="0"/>
    <m/>
    <m/>
    <m/>
    <n v="28000"/>
    <m/>
    <n v="5531"/>
    <m/>
    <n v="2800"/>
    <s v="國泰世華館前 0156-6313177張宇音"/>
  </r>
  <r>
    <x v="5"/>
    <x v="1"/>
    <s v="A"/>
    <x v="0"/>
    <m/>
    <m/>
    <m/>
    <n v="28000"/>
    <m/>
    <n v="5697"/>
    <n v="913"/>
    <n v="2800"/>
    <m/>
  </r>
  <r>
    <x v="5"/>
    <x v="2"/>
    <s v="A"/>
    <x v="0"/>
    <m/>
    <m/>
    <m/>
    <n v="28000"/>
    <m/>
    <n v="5945"/>
    <n v="1364"/>
    <n v="2800"/>
    <m/>
  </r>
  <r>
    <x v="5"/>
    <x v="3"/>
    <s v="A"/>
    <x v="0"/>
    <m/>
    <m/>
    <m/>
    <n v="28000"/>
    <m/>
    <n v="6099"/>
    <n v="847"/>
    <n v="2800"/>
    <m/>
  </r>
  <r>
    <x v="5"/>
    <x v="4"/>
    <s v="A"/>
    <x v="0"/>
    <m/>
    <m/>
    <d v="2017-05-19T00:00:00"/>
    <n v="28000"/>
    <m/>
    <n v="6293"/>
    <n v="1067"/>
    <n v="2800"/>
    <m/>
  </r>
  <r>
    <x v="5"/>
    <x v="5"/>
    <s v="A"/>
    <x v="0"/>
    <m/>
    <m/>
    <m/>
    <n v="28000"/>
    <m/>
    <n v="6497"/>
    <n v="1122"/>
    <n v="2800"/>
    <m/>
  </r>
  <r>
    <x v="5"/>
    <x v="6"/>
    <s v="A"/>
    <x v="0"/>
    <m/>
    <m/>
    <m/>
    <n v="28000"/>
    <m/>
    <n v="6799"/>
    <n v="1661"/>
    <n v="2800"/>
    <m/>
  </r>
  <r>
    <x v="5"/>
    <x v="7"/>
    <s v="A"/>
    <x v="0"/>
    <m/>
    <m/>
    <d v="2017-08-07T00:00:00"/>
    <n v="28000"/>
    <m/>
    <n v="7193"/>
    <n v="2167"/>
    <n v="2800"/>
    <m/>
  </r>
  <r>
    <x v="5"/>
    <x v="8"/>
    <s v="A"/>
    <x v="0"/>
    <m/>
    <m/>
    <d v="2017-08-31T00:00:00"/>
    <n v="28000"/>
    <m/>
    <m/>
    <n v="0"/>
    <n v="2800"/>
    <m/>
  </r>
  <r>
    <x v="5"/>
    <x v="9"/>
    <s v="A"/>
    <x v="0"/>
    <m/>
    <m/>
    <m/>
    <n v="9333"/>
    <m/>
    <m/>
    <n v="0"/>
    <n v="933.30000000000007"/>
    <m/>
  </r>
  <r>
    <x v="5"/>
    <x v="10"/>
    <s v="A"/>
    <x v="0"/>
    <m/>
    <m/>
    <m/>
    <m/>
    <m/>
    <n v="7699"/>
    <m/>
    <n v="0"/>
    <m/>
  </r>
  <r>
    <x v="5"/>
    <x v="11"/>
    <s v="A"/>
    <x v="20"/>
    <m/>
    <s v="12/11~1/11"/>
    <d v="2017-12-12T00:00:00"/>
    <n v="18967.741935483871"/>
    <n v="28000"/>
    <m/>
    <n v="0"/>
    <n v="1896.7741935483873"/>
    <m/>
  </r>
  <r>
    <x v="5"/>
    <x v="0"/>
    <s v="B"/>
    <x v="21"/>
    <m/>
    <s v="104/06/01-105/05/31"/>
    <m/>
    <n v="28000"/>
    <n v="56000"/>
    <n v="4906"/>
    <m/>
    <n v="2800"/>
    <m/>
  </r>
  <r>
    <x v="5"/>
    <x v="1"/>
    <s v="B"/>
    <x v="21"/>
    <m/>
    <m/>
    <m/>
    <n v="28000"/>
    <m/>
    <n v="5034"/>
    <n v="704"/>
    <n v="2800"/>
    <m/>
  </r>
  <r>
    <x v="5"/>
    <x v="2"/>
    <s v="B"/>
    <x v="21"/>
    <m/>
    <m/>
    <m/>
    <n v="28000"/>
    <m/>
    <n v="5238"/>
    <n v="1122"/>
    <n v="2800"/>
    <m/>
  </r>
  <r>
    <x v="5"/>
    <x v="3"/>
    <s v="B"/>
    <x v="21"/>
    <m/>
    <m/>
    <m/>
    <n v="28000"/>
    <m/>
    <n v="5344"/>
    <n v="583"/>
    <n v="2800"/>
    <m/>
  </r>
  <r>
    <x v="5"/>
    <x v="4"/>
    <s v="B"/>
    <x v="21"/>
    <m/>
    <m/>
    <d v="2017-05-19T00:00:00"/>
    <n v="28000"/>
    <m/>
    <n v="5514"/>
    <n v="935"/>
    <n v="2800"/>
    <m/>
  </r>
  <r>
    <x v="5"/>
    <x v="5"/>
    <s v="B"/>
    <x v="0"/>
    <m/>
    <m/>
    <m/>
    <n v="28000"/>
    <m/>
    <n v="5572"/>
    <n v="319"/>
    <n v="2800"/>
    <m/>
  </r>
  <r>
    <x v="5"/>
    <x v="6"/>
    <s v="B"/>
    <x v="0"/>
    <m/>
    <m/>
    <m/>
    <n v="28000"/>
    <m/>
    <n v="5712"/>
    <n v="770"/>
    <n v="2800"/>
    <m/>
  </r>
  <r>
    <x v="5"/>
    <x v="7"/>
    <s v="B"/>
    <x v="0"/>
    <m/>
    <m/>
    <d v="2017-08-07T00:00:00"/>
    <n v="28000"/>
    <m/>
    <n v="5936"/>
    <n v="1232"/>
    <n v="2800"/>
    <m/>
  </r>
  <r>
    <x v="5"/>
    <x v="8"/>
    <s v="B"/>
    <x v="0"/>
    <m/>
    <m/>
    <d v="2017-08-31T00:00:00"/>
    <n v="28000"/>
    <m/>
    <m/>
    <n v="0"/>
    <n v="2800"/>
    <m/>
  </r>
  <r>
    <x v="5"/>
    <x v="9"/>
    <s v="B"/>
    <x v="0"/>
    <m/>
    <m/>
    <m/>
    <n v="12333"/>
    <m/>
    <m/>
    <n v="0"/>
    <n v="1233.3000000000002"/>
    <m/>
  </r>
  <r>
    <x v="5"/>
    <x v="10"/>
    <s v="B"/>
    <x v="0"/>
    <m/>
    <m/>
    <m/>
    <m/>
    <m/>
    <n v="6355"/>
    <m/>
    <n v="0"/>
    <m/>
  </r>
  <r>
    <x v="5"/>
    <x v="11"/>
    <s v="B"/>
    <x v="0"/>
    <m/>
    <m/>
    <d v="2017-12-21T00:00:00"/>
    <n v="7806.4516129032254"/>
    <m/>
    <m/>
    <n v="0"/>
    <n v="780.64516129032256"/>
    <m/>
  </r>
  <r>
    <x v="5"/>
    <x v="0"/>
    <s v="C"/>
    <x v="0"/>
    <m/>
    <m/>
    <m/>
    <n v="23000"/>
    <m/>
    <n v="4324"/>
    <m/>
    <n v="2300"/>
    <m/>
  </r>
  <r>
    <x v="5"/>
    <x v="1"/>
    <s v="C"/>
    <x v="0"/>
    <m/>
    <m/>
    <m/>
    <n v="23000"/>
    <m/>
    <n v="4390"/>
    <n v="363"/>
    <n v="2300"/>
    <m/>
  </r>
  <r>
    <x v="5"/>
    <x v="2"/>
    <s v="C"/>
    <x v="0"/>
    <m/>
    <m/>
    <m/>
    <n v="23000"/>
    <m/>
    <n v="4462"/>
    <n v="396"/>
    <n v="2300"/>
    <m/>
  </r>
  <r>
    <x v="5"/>
    <x v="3"/>
    <s v="C"/>
    <x v="0"/>
    <m/>
    <m/>
    <d v="2017-04-10T00:00:00"/>
    <n v="23000"/>
    <m/>
    <n v="4524"/>
    <n v="341"/>
    <n v="2300"/>
    <m/>
  </r>
  <r>
    <x v="5"/>
    <x v="4"/>
    <s v="C"/>
    <x v="0"/>
    <m/>
    <m/>
    <d v="2017-05-02T00:00:00"/>
    <n v="23000"/>
    <m/>
    <n v="4613"/>
    <m/>
    <n v="2300"/>
    <m/>
  </r>
  <r>
    <x v="5"/>
    <x v="5"/>
    <s v="C"/>
    <x v="0"/>
    <m/>
    <m/>
    <d v="2017-06-22T00:00:00"/>
    <n v="25500"/>
    <m/>
    <n v="4893"/>
    <n v="1540"/>
    <n v="2550"/>
    <m/>
  </r>
  <r>
    <x v="5"/>
    <x v="6"/>
    <s v="C"/>
    <x v="0"/>
    <m/>
    <m/>
    <d v="2017-07-25T00:00:00"/>
    <n v="25500"/>
    <m/>
    <n v="4959"/>
    <n v="363"/>
    <n v="2550"/>
    <m/>
  </r>
  <r>
    <x v="5"/>
    <x v="7"/>
    <s v="C"/>
    <x v="0"/>
    <m/>
    <m/>
    <d v="2017-08-21T00:00:00"/>
    <n v="25500"/>
    <m/>
    <n v="5495"/>
    <n v="2948"/>
    <n v="2550"/>
    <m/>
  </r>
  <r>
    <x v="5"/>
    <x v="8"/>
    <s v="C"/>
    <x v="0"/>
    <m/>
    <m/>
    <s v="9/5,9/25-10/7"/>
    <n v="22185"/>
    <m/>
    <m/>
    <m/>
    <n v="2218.5"/>
    <m/>
  </r>
  <r>
    <x v="5"/>
    <x v="9"/>
    <s v="C"/>
    <x v="22"/>
    <m/>
    <s v="106/10/11~107/1/31"/>
    <d v="2017-10-11T00:00:00"/>
    <n v="34885"/>
    <n v="28000"/>
    <s v="5884~5982"/>
    <n v="539"/>
    <n v="3488.5"/>
    <m/>
  </r>
  <r>
    <x v="5"/>
    <x v="10"/>
    <s v="C"/>
    <x v="22"/>
    <m/>
    <m/>
    <d v="2017-11-11T00:00:00"/>
    <n v="34885"/>
    <m/>
    <n v="6084"/>
    <n v="561"/>
    <n v="3488.5"/>
    <m/>
  </r>
  <r>
    <x v="5"/>
    <x v="11"/>
    <s v="C"/>
    <x v="22"/>
    <m/>
    <m/>
    <d v="2017-12-11T00:00:00"/>
    <n v="28000"/>
    <m/>
    <m/>
    <m/>
    <n v="2800"/>
    <m/>
  </r>
  <r>
    <x v="5"/>
    <x v="0"/>
    <s v="D"/>
    <x v="0"/>
    <m/>
    <m/>
    <m/>
    <n v="28000"/>
    <n v="25000"/>
    <n v="6788"/>
    <m/>
    <n v="2800"/>
    <m/>
  </r>
  <r>
    <x v="5"/>
    <x v="1"/>
    <s v="D"/>
    <x v="0"/>
    <m/>
    <m/>
    <m/>
    <n v="28000"/>
    <m/>
    <n v="6932"/>
    <n v="792"/>
    <n v="2800"/>
    <m/>
  </r>
  <r>
    <x v="5"/>
    <x v="2"/>
    <s v="D"/>
    <x v="0"/>
    <m/>
    <m/>
    <m/>
    <n v="28000"/>
    <m/>
    <n v="7138"/>
    <n v="1133"/>
    <n v="2800"/>
    <m/>
  </r>
  <r>
    <x v="5"/>
    <x v="3"/>
    <s v="D"/>
    <x v="0"/>
    <m/>
    <m/>
    <m/>
    <n v="28000"/>
    <m/>
    <n v="7328"/>
    <n v="1045"/>
    <n v="2800"/>
    <m/>
  </r>
  <r>
    <x v="5"/>
    <x v="4"/>
    <s v="D"/>
    <x v="0"/>
    <m/>
    <m/>
    <d v="2017-05-19T00:00:00"/>
    <n v="28000"/>
    <m/>
    <n v="7482"/>
    <n v="847"/>
    <n v="2800"/>
    <m/>
  </r>
  <r>
    <x v="5"/>
    <x v="5"/>
    <s v="D"/>
    <x v="0"/>
    <m/>
    <m/>
    <m/>
    <n v="28000"/>
    <m/>
    <n v="7688"/>
    <n v="1133"/>
    <n v="2800"/>
    <m/>
  </r>
  <r>
    <x v="5"/>
    <x v="6"/>
    <s v="D"/>
    <x v="23"/>
    <m/>
    <s v="106/7/11~106/10/11"/>
    <d v="2017-07-11T00:00:00"/>
    <n v="25000"/>
    <m/>
    <s v="7759~7881"/>
    <n v="671"/>
    <n v="2500"/>
    <m/>
  </r>
  <r>
    <x v="5"/>
    <x v="7"/>
    <s v="D"/>
    <x v="23"/>
    <m/>
    <m/>
    <d v="2017-08-11T00:00:00"/>
    <n v="25000"/>
    <m/>
    <n v="8149"/>
    <n v="1474"/>
    <n v="2500"/>
    <m/>
  </r>
  <r>
    <x v="5"/>
    <x v="8"/>
    <s v="D"/>
    <x v="23"/>
    <m/>
    <m/>
    <d v="2017-09-06T00:00:00"/>
    <n v="25000"/>
    <m/>
    <m/>
    <n v="0"/>
    <n v="2500"/>
    <m/>
  </r>
  <r>
    <x v="5"/>
    <x v="9"/>
    <s v="D"/>
    <x v="23"/>
    <m/>
    <m/>
    <m/>
    <n v="4000"/>
    <m/>
    <m/>
    <n v="0"/>
    <n v="400"/>
    <m/>
  </r>
  <r>
    <x v="5"/>
    <x v="10"/>
    <s v="D"/>
    <x v="23"/>
    <m/>
    <m/>
    <m/>
    <m/>
    <m/>
    <n v="8616"/>
    <m/>
    <n v="0"/>
    <m/>
  </r>
  <r>
    <x v="5"/>
    <x v="11"/>
    <s v="D"/>
    <x v="0"/>
    <m/>
    <m/>
    <d v="2017-12-13T00:00:00"/>
    <n v="12000"/>
    <m/>
    <m/>
    <m/>
    <n v="1200"/>
    <m/>
  </r>
  <r>
    <x v="5"/>
    <x v="0"/>
    <s v="E"/>
    <x v="0"/>
    <m/>
    <m/>
    <m/>
    <n v="32000"/>
    <m/>
    <n v="4470"/>
    <m/>
    <n v="3200"/>
    <m/>
  </r>
  <r>
    <x v="5"/>
    <x v="1"/>
    <s v="E"/>
    <x v="0"/>
    <m/>
    <m/>
    <m/>
    <n v="32000"/>
    <m/>
    <n v="4604"/>
    <n v="737"/>
    <n v="3200"/>
    <m/>
  </r>
  <r>
    <x v="5"/>
    <x v="2"/>
    <s v="E"/>
    <x v="0"/>
    <m/>
    <m/>
    <m/>
    <n v="32000"/>
    <m/>
    <n v="4868"/>
    <n v="1452"/>
    <n v="3200"/>
    <m/>
  </r>
  <r>
    <x v="5"/>
    <x v="3"/>
    <s v="E"/>
    <x v="0"/>
    <m/>
    <m/>
    <m/>
    <n v="32000"/>
    <m/>
    <n v="4942"/>
    <n v="407"/>
    <n v="3200"/>
    <m/>
  </r>
  <r>
    <x v="5"/>
    <x v="4"/>
    <s v="E"/>
    <x v="0"/>
    <m/>
    <m/>
    <d v="2017-05-19T00:00:00"/>
    <n v="32000"/>
    <m/>
    <n v="5080"/>
    <n v="759"/>
    <n v="3200"/>
    <m/>
  </r>
  <r>
    <x v="5"/>
    <x v="5"/>
    <s v="E"/>
    <x v="0"/>
    <m/>
    <m/>
    <m/>
    <n v="32000"/>
    <m/>
    <n v="5128"/>
    <n v="264"/>
    <n v="3200"/>
    <m/>
  </r>
  <r>
    <x v="5"/>
    <x v="6"/>
    <s v="E"/>
    <x v="0"/>
    <m/>
    <m/>
    <m/>
    <n v="32000"/>
    <m/>
    <n v="5320"/>
    <n v="1056"/>
    <n v="3200"/>
    <m/>
  </r>
  <r>
    <x v="5"/>
    <x v="7"/>
    <s v="E"/>
    <x v="0"/>
    <m/>
    <m/>
    <d v="2017-08-07T00:00:00"/>
    <n v="32000"/>
    <m/>
    <n v="5680"/>
    <n v="1980"/>
    <n v="3200"/>
    <m/>
  </r>
  <r>
    <x v="5"/>
    <x v="8"/>
    <s v="E"/>
    <x v="0"/>
    <m/>
    <m/>
    <d v="2017-08-31T00:00:00"/>
    <n v="32000"/>
    <m/>
    <m/>
    <m/>
    <n v="3200"/>
    <m/>
  </r>
  <r>
    <x v="5"/>
    <x v="9"/>
    <s v="E"/>
    <x v="0"/>
    <m/>
    <m/>
    <m/>
    <n v="32000"/>
    <m/>
    <m/>
    <m/>
    <n v="3200"/>
    <m/>
  </r>
  <r>
    <x v="5"/>
    <x v="10"/>
    <s v="E"/>
    <x v="0"/>
    <m/>
    <m/>
    <m/>
    <n v="9000"/>
    <m/>
    <m/>
    <m/>
    <n v="900"/>
    <m/>
  </r>
  <r>
    <x v="5"/>
    <x v="11"/>
    <s v="E"/>
    <x v="24"/>
    <m/>
    <s v="11/25~12/6"/>
    <m/>
    <n v="7500"/>
    <n v="64000"/>
    <m/>
    <m/>
    <n v="750"/>
    <m/>
  </r>
  <r>
    <x v="6"/>
    <x v="0"/>
    <s v="A"/>
    <x v="0"/>
    <m/>
    <m/>
    <m/>
    <m/>
    <m/>
    <n v="7715"/>
    <m/>
    <n v="0"/>
    <m/>
  </r>
  <r>
    <x v="6"/>
    <x v="1"/>
    <s v="A"/>
    <x v="0"/>
    <m/>
    <m/>
    <m/>
    <m/>
    <m/>
    <n v="7715"/>
    <n v="0"/>
    <n v="0"/>
    <m/>
  </r>
  <r>
    <x v="6"/>
    <x v="2"/>
    <s v="A"/>
    <x v="0"/>
    <m/>
    <m/>
    <m/>
    <m/>
    <m/>
    <n v="7715"/>
    <n v="0"/>
    <n v="0"/>
    <m/>
  </r>
  <r>
    <x v="6"/>
    <x v="3"/>
    <s v="A"/>
    <x v="0"/>
    <m/>
    <m/>
    <s v="4/19-5/3"/>
    <n v="24300"/>
    <m/>
    <m/>
    <n v="0"/>
    <n v="2430"/>
    <m/>
  </r>
  <r>
    <x v="6"/>
    <x v="4"/>
    <s v="A"/>
    <x v="0"/>
    <m/>
    <m/>
    <m/>
    <m/>
    <m/>
    <n v="7715"/>
    <n v="0"/>
    <n v="0"/>
    <m/>
  </r>
  <r>
    <x v="6"/>
    <x v="5"/>
    <s v="A"/>
    <x v="25"/>
    <m/>
    <m/>
    <d v="2017-05-22T00:00:00"/>
    <n v="25000"/>
    <n v="50000"/>
    <n v="7931"/>
    <n v="1188"/>
    <n v="2500"/>
    <s v="押金:2017/5/22"/>
  </r>
  <r>
    <x v="6"/>
    <x v="6"/>
    <s v="A"/>
    <x v="25"/>
    <m/>
    <m/>
    <d v="2017-07-03T00:00:00"/>
    <n v="25000"/>
    <m/>
    <n v="8263"/>
    <n v="1826"/>
    <n v="2500"/>
    <m/>
  </r>
  <r>
    <x v="6"/>
    <x v="7"/>
    <s v="A"/>
    <x v="25"/>
    <m/>
    <m/>
    <d v="2017-08-02T00:00:00"/>
    <n v="25000"/>
    <m/>
    <n v="8617"/>
    <n v="1947"/>
    <n v="2500"/>
    <m/>
  </r>
  <r>
    <x v="6"/>
    <x v="8"/>
    <s v="A"/>
    <x v="25"/>
    <m/>
    <m/>
    <d v="2017-09-01T00:00:00"/>
    <n v="25000"/>
    <m/>
    <n v="8901"/>
    <n v="1562"/>
    <n v="2500"/>
    <m/>
  </r>
  <r>
    <x v="6"/>
    <x v="9"/>
    <s v="A"/>
    <x v="25"/>
    <m/>
    <m/>
    <d v="2017-10-02T00:00:00"/>
    <n v="25000"/>
    <m/>
    <n v="9195"/>
    <n v="1617"/>
    <n v="2500"/>
    <m/>
  </r>
  <r>
    <x v="6"/>
    <x v="10"/>
    <s v="A"/>
    <x v="25"/>
    <m/>
    <m/>
    <d v="2017-11-01T00:00:00"/>
    <n v="25000"/>
    <m/>
    <n v="9373"/>
    <n v="979"/>
    <n v="2500"/>
    <m/>
  </r>
  <r>
    <x v="6"/>
    <x v="11"/>
    <s v="A"/>
    <x v="25"/>
    <m/>
    <m/>
    <d v="2017-12-03T00:00:00"/>
    <n v="25000"/>
    <m/>
    <m/>
    <m/>
    <n v="2500"/>
    <m/>
  </r>
  <r>
    <x v="6"/>
    <x v="0"/>
    <s v="B"/>
    <x v="0"/>
    <m/>
    <m/>
    <m/>
    <m/>
    <m/>
    <m/>
    <m/>
    <n v="0"/>
    <m/>
  </r>
  <r>
    <x v="6"/>
    <x v="1"/>
    <s v="B"/>
    <x v="0"/>
    <m/>
    <m/>
    <m/>
    <m/>
    <m/>
    <m/>
    <n v="0"/>
    <n v="0"/>
    <m/>
  </r>
  <r>
    <x v="6"/>
    <x v="2"/>
    <s v="B"/>
    <x v="0"/>
    <m/>
    <m/>
    <m/>
    <m/>
    <m/>
    <m/>
    <n v="0"/>
    <n v="0"/>
    <m/>
  </r>
  <r>
    <x v="6"/>
    <x v="3"/>
    <s v="B"/>
    <x v="0"/>
    <m/>
    <m/>
    <m/>
    <m/>
    <m/>
    <m/>
    <m/>
    <n v="0"/>
    <m/>
  </r>
  <r>
    <x v="6"/>
    <x v="4"/>
    <s v="B"/>
    <x v="0"/>
    <m/>
    <m/>
    <m/>
    <m/>
    <m/>
    <n v="8091"/>
    <m/>
    <n v="0"/>
    <m/>
  </r>
  <r>
    <x v="6"/>
    <x v="5"/>
    <s v="B"/>
    <x v="25"/>
    <s v="0926-167-325"/>
    <m/>
    <d v="2017-05-22T00:00:00"/>
    <n v="25000"/>
    <n v="50000"/>
    <n v="8293"/>
    <n v="1111"/>
    <n v="2500"/>
    <s v="押金:2017/5/22"/>
  </r>
  <r>
    <x v="6"/>
    <x v="6"/>
    <s v="B"/>
    <x v="25"/>
    <m/>
    <m/>
    <d v="2017-07-03T00:00:00"/>
    <n v="25000"/>
    <m/>
    <n v="8613"/>
    <n v="1760"/>
    <n v="2500"/>
    <m/>
  </r>
  <r>
    <x v="6"/>
    <x v="7"/>
    <s v="B"/>
    <x v="25"/>
    <m/>
    <m/>
    <d v="2017-08-02T00:00:00"/>
    <n v="25000"/>
    <m/>
    <n v="8979"/>
    <n v="2013"/>
    <n v="2500"/>
    <m/>
  </r>
  <r>
    <x v="6"/>
    <x v="8"/>
    <s v="B"/>
    <x v="25"/>
    <m/>
    <m/>
    <d v="2017-09-01T00:00:00"/>
    <n v="25000"/>
    <m/>
    <n v="9133"/>
    <n v="847"/>
    <n v="2500"/>
    <m/>
  </r>
  <r>
    <x v="6"/>
    <x v="9"/>
    <s v="B"/>
    <x v="25"/>
    <m/>
    <m/>
    <d v="2017-10-02T00:00:00"/>
    <n v="25000"/>
    <m/>
    <n v="9403"/>
    <n v="1485"/>
    <n v="2500"/>
    <m/>
  </r>
  <r>
    <x v="6"/>
    <x v="10"/>
    <s v="B"/>
    <x v="25"/>
    <m/>
    <m/>
    <d v="2017-11-01T00:00:00"/>
    <n v="25000"/>
    <m/>
    <n v="9635"/>
    <n v="1276"/>
    <n v="2500"/>
    <m/>
  </r>
  <r>
    <x v="6"/>
    <x v="11"/>
    <s v="B"/>
    <x v="25"/>
    <m/>
    <m/>
    <d v="2017-12-03T00:00:00"/>
    <n v="25000"/>
    <m/>
    <m/>
    <m/>
    <n v="2500"/>
    <m/>
  </r>
  <r>
    <x v="6"/>
    <x v="0"/>
    <s v="C"/>
    <x v="0"/>
    <m/>
    <m/>
    <m/>
    <m/>
    <m/>
    <m/>
    <m/>
    <n v="0"/>
    <m/>
  </r>
  <r>
    <x v="6"/>
    <x v="1"/>
    <s v="C"/>
    <x v="0"/>
    <m/>
    <m/>
    <m/>
    <m/>
    <m/>
    <m/>
    <n v="0"/>
    <n v="0"/>
    <m/>
  </r>
  <r>
    <x v="6"/>
    <x v="2"/>
    <s v="C"/>
    <x v="0"/>
    <m/>
    <m/>
    <m/>
    <m/>
    <m/>
    <m/>
    <n v="0"/>
    <n v="0"/>
    <m/>
  </r>
  <r>
    <x v="6"/>
    <x v="3"/>
    <s v="C"/>
    <x v="0"/>
    <m/>
    <m/>
    <m/>
    <m/>
    <m/>
    <n v="7217"/>
    <m/>
    <n v="0"/>
    <m/>
  </r>
  <r>
    <x v="6"/>
    <x v="4"/>
    <s v="C"/>
    <x v="26"/>
    <s v="0983-618-887"/>
    <s v="106/5/5-106/8/5"/>
    <m/>
    <n v="25000"/>
    <n v="50000"/>
    <n v="7283"/>
    <n v="363"/>
    <n v="2500"/>
    <s v="LINE: Alan"/>
  </r>
  <r>
    <x v="6"/>
    <x v="5"/>
    <s v="C"/>
    <x v="26"/>
    <m/>
    <m/>
    <d v="2017-06-03T00:00:00"/>
    <n v="25000"/>
    <m/>
    <n v="7417"/>
    <n v="737"/>
    <n v="2500"/>
    <m/>
  </r>
  <r>
    <x v="6"/>
    <x v="6"/>
    <s v="C"/>
    <x v="26"/>
    <m/>
    <m/>
    <d v="2017-07-09T00:00:00"/>
    <n v="25000"/>
    <m/>
    <n v="7519"/>
    <n v="561"/>
    <n v="2500"/>
    <m/>
  </r>
  <r>
    <x v="6"/>
    <x v="7"/>
    <s v="C"/>
    <x v="26"/>
    <m/>
    <m/>
    <d v="2017-08-08T00:00:00"/>
    <n v="25000"/>
    <m/>
    <n v="7687"/>
    <n v="924"/>
    <n v="2500"/>
    <m/>
  </r>
  <r>
    <x v="6"/>
    <x v="8"/>
    <s v="C"/>
    <x v="0"/>
    <m/>
    <m/>
    <d v="2017-09-22T00:00:00"/>
    <n v="25000"/>
    <m/>
    <n v="7791"/>
    <n v="572"/>
    <n v="2500"/>
    <m/>
  </r>
  <r>
    <x v="6"/>
    <x v="9"/>
    <s v="C"/>
    <x v="0"/>
    <m/>
    <m/>
    <m/>
    <n v="25000"/>
    <m/>
    <n v="7979"/>
    <n v="1034"/>
    <n v="2500"/>
    <m/>
  </r>
  <r>
    <x v="6"/>
    <x v="10"/>
    <s v="C"/>
    <x v="0"/>
    <m/>
    <m/>
    <d v="2017-11-10T00:00:00"/>
    <n v="25000"/>
    <m/>
    <n v="8063"/>
    <n v="462"/>
    <n v="2500"/>
    <m/>
  </r>
  <r>
    <x v="6"/>
    <x v="11"/>
    <s v="C"/>
    <x v="0"/>
    <m/>
    <m/>
    <d v="2017-12-11T00:00:00"/>
    <n v="25000"/>
    <m/>
    <m/>
    <m/>
    <n v="2500"/>
    <m/>
  </r>
  <r>
    <x v="6"/>
    <x v="0"/>
    <s v="D"/>
    <x v="0"/>
    <m/>
    <m/>
    <m/>
    <m/>
    <m/>
    <m/>
    <m/>
    <n v="0"/>
    <m/>
  </r>
  <r>
    <x v="6"/>
    <x v="1"/>
    <s v="D"/>
    <x v="0"/>
    <m/>
    <m/>
    <m/>
    <m/>
    <m/>
    <m/>
    <n v="0"/>
    <n v="0"/>
    <m/>
  </r>
  <r>
    <x v="6"/>
    <x v="2"/>
    <s v="D"/>
    <x v="0"/>
    <m/>
    <m/>
    <m/>
    <m/>
    <m/>
    <m/>
    <n v="0"/>
    <n v="0"/>
    <m/>
  </r>
  <r>
    <x v="6"/>
    <x v="3"/>
    <s v="D"/>
    <x v="0"/>
    <m/>
    <m/>
    <m/>
    <m/>
    <m/>
    <n v="8924"/>
    <m/>
    <n v="0"/>
    <m/>
  </r>
  <r>
    <x v="6"/>
    <x v="4"/>
    <s v="D"/>
    <x v="26"/>
    <s v="0983-618-887"/>
    <s v="106/5/5-106/8/5"/>
    <m/>
    <n v="28000"/>
    <n v="56000"/>
    <n v="8938"/>
    <n v="77"/>
    <n v="2800"/>
    <s v="LINE: Alan"/>
  </r>
  <r>
    <x v="6"/>
    <x v="5"/>
    <s v="D"/>
    <x v="26"/>
    <m/>
    <m/>
    <d v="2017-06-03T00:00:00"/>
    <n v="28000"/>
    <m/>
    <n v="9076"/>
    <n v="759"/>
    <n v="2800"/>
    <m/>
  </r>
  <r>
    <x v="6"/>
    <x v="6"/>
    <s v="D"/>
    <x v="26"/>
    <m/>
    <m/>
    <d v="2017-07-09T00:00:00"/>
    <n v="28000"/>
    <m/>
    <n v="9118"/>
    <n v="231"/>
    <n v="2800"/>
    <m/>
  </r>
  <r>
    <x v="6"/>
    <x v="7"/>
    <s v="D"/>
    <x v="26"/>
    <m/>
    <m/>
    <d v="2017-08-08T00:00:00"/>
    <n v="28000"/>
    <m/>
    <n v="9428"/>
    <n v="1705"/>
    <n v="2800"/>
    <m/>
  </r>
  <r>
    <x v="6"/>
    <x v="8"/>
    <s v="D"/>
    <x v="0"/>
    <m/>
    <m/>
    <d v="2017-09-22T00:00:00"/>
    <n v="28000"/>
    <m/>
    <n v="9508"/>
    <n v="440"/>
    <n v="2800"/>
    <m/>
  </r>
  <r>
    <x v="6"/>
    <x v="9"/>
    <s v="D"/>
    <x v="0"/>
    <m/>
    <m/>
    <m/>
    <n v="28000"/>
    <m/>
    <n v="9736"/>
    <n v="1254"/>
    <n v="2800"/>
    <m/>
  </r>
  <r>
    <x v="6"/>
    <x v="10"/>
    <s v="D"/>
    <x v="0"/>
    <m/>
    <m/>
    <d v="2017-11-10T00:00:00"/>
    <n v="28000"/>
    <m/>
    <n v="9850"/>
    <n v="627"/>
    <n v="2800"/>
    <m/>
  </r>
  <r>
    <x v="6"/>
    <x v="11"/>
    <s v="D"/>
    <x v="0"/>
    <m/>
    <m/>
    <d v="2017-12-11T00:00:00"/>
    <n v="28000"/>
    <m/>
    <m/>
    <m/>
    <n v="2800"/>
    <m/>
  </r>
  <r>
    <x v="6"/>
    <x v="0"/>
    <s v="E"/>
    <x v="0"/>
    <m/>
    <m/>
    <m/>
    <m/>
    <m/>
    <m/>
    <m/>
    <n v="0"/>
    <m/>
  </r>
  <r>
    <x v="6"/>
    <x v="1"/>
    <s v="E"/>
    <x v="0"/>
    <m/>
    <m/>
    <m/>
    <m/>
    <m/>
    <m/>
    <n v="0"/>
    <n v="0"/>
    <m/>
  </r>
  <r>
    <x v="6"/>
    <x v="2"/>
    <s v="E"/>
    <x v="0"/>
    <m/>
    <m/>
    <m/>
    <m/>
    <m/>
    <m/>
    <n v="0"/>
    <n v="0"/>
    <m/>
  </r>
  <r>
    <x v="6"/>
    <x v="3"/>
    <s v="E"/>
    <x v="0"/>
    <m/>
    <m/>
    <m/>
    <m/>
    <m/>
    <n v="9200"/>
    <m/>
    <n v="0"/>
    <m/>
  </r>
  <r>
    <x v="6"/>
    <x v="4"/>
    <s v="E"/>
    <x v="0"/>
    <m/>
    <m/>
    <d v="2017-05-02T00:00:00"/>
    <n v="25000"/>
    <m/>
    <n v="9733"/>
    <m/>
    <n v="2500"/>
    <m/>
  </r>
  <r>
    <x v="6"/>
    <x v="5"/>
    <s v="E"/>
    <x v="0"/>
    <m/>
    <m/>
    <d v="2017-06-01T00:00:00"/>
    <n v="25000"/>
    <m/>
    <m/>
    <m/>
    <n v="2500"/>
    <m/>
  </r>
  <r>
    <x v="6"/>
    <x v="6"/>
    <s v="E"/>
    <x v="27"/>
    <s v="0952-258-642"/>
    <s v="106/07/11~106/10/11"/>
    <d v="2017-07-11T00:00:00"/>
    <n v="28000"/>
    <n v="28000"/>
    <n v="9865"/>
    <n v="726"/>
    <n v="2800"/>
    <m/>
  </r>
  <r>
    <x v="6"/>
    <x v="7"/>
    <s v="E"/>
    <x v="27"/>
    <m/>
    <m/>
    <d v="2017-08-11T00:00:00"/>
    <n v="28000"/>
    <m/>
    <n v="10107"/>
    <n v="1331"/>
    <n v="2800"/>
    <m/>
  </r>
  <r>
    <x v="6"/>
    <x v="8"/>
    <s v="E"/>
    <x v="27"/>
    <m/>
    <m/>
    <d v="2017-09-12T00:00:00"/>
    <n v="28000"/>
    <m/>
    <n v="10313"/>
    <n v="1133"/>
    <n v="2800"/>
    <m/>
  </r>
  <r>
    <x v="6"/>
    <x v="9"/>
    <s v="E"/>
    <x v="27"/>
    <m/>
    <m/>
    <m/>
    <n v="5419"/>
    <m/>
    <m/>
    <n v="0"/>
    <n v="541.9"/>
    <m/>
  </r>
  <r>
    <x v="6"/>
    <x v="10"/>
    <s v="E"/>
    <x v="0"/>
    <m/>
    <m/>
    <m/>
    <m/>
    <m/>
    <m/>
    <n v="0"/>
    <n v="0"/>
    <m/>
  </r>
  <r>
    <x v="6"/>
    <x v="11"/>
    <s v="E"/>
    <x v="0"/>
    <m/>
    <m/>
    <m/>
    <m/>
    <m/>
    <m/>
    <n v="0"/>
    <n v="0"/>
    <m/>
  </r>
  <r>
    <x v="7"/>
    <x v="0"/>
    <s v="A"/>
    <x v="0"/>
    <m/>
    <m/>
    <m/>
    <m/>
    <m/>
    <n v="6621"/>
    <s v="退租結"/>
    <n v="0"/>
    <s v="台新-中和02010111578900張宇音"/>
  </r>
  <r>
    <x v="7"/>
    <x v="1"/>
    <s v="A"/>
    <x v="0"/>
    <m/>
    <m/>
    <m/>
    <m/>
    <m/>
    <n v="6987"/>
    <n v="2013"/>
    <n v="0"/>
    <m/>
  </r>
  <r>
    <x v="7"/>
    <x v="2"/>
    <s v="A"/>
    <x v="0"/>
    <m/>
    <m/>
    <m/>
    <m/>
    <m/>
    <n v="7055"/>
    <n v="374"/>
    <n v="0"/>
    <m/>
  </r>
  <r>
    <x v="7"/>
    <x v="3"/>
    <s v="A"/>
    <x v="0"/>
    <m/>
    <m/>
    <m/>
    <m/>
    <m/>
    <n v="7117"/>
    <n v="341"/>
    <n v="0"/>
    <m/>
  </r>
  <r>
    <x v="7"/>
    <x v="4"/>
    <s v="A"/>
    <x v="0"/>
    <m/>
    <m/>
    <d v="2017-05-03T00:00:00"/>
    <n v="20000"/>
    <n v="42000"/>
    <m/>
    <n v="0"/>
    <n v="2000"/>
    <m/>
  </r>
  <r>
    <x v="7"/>
    <x v="5"/>
    <s v="A"/>
    <x v="0"/>
    <m/>
    <m/>
    <d v="2017-05-31T00:00:00"/>
    <n v="20000"/>
    <m/>
    <m/>
    <n v="0"/>
    <n v="2000"/>
    <m/>
  </r>
  <r>
    <x v="7"/>
    <x v="6"/>
    <s v="A"/>
    <x v="0"/>
    <m/>
    <m/>
    <d v="2017-06-22T00:00:00"/>
    <n v="20000"/>
    <m/>
    <n v="7485"/>
    <n v="2024"/>
    <n v="2000"/>
    <m/>
  </r>
  <r>
    <x v="7"/>
    <x v="7"/>
    <s v="A"/>
    <x v="28"/>
    <m/>
    <s v="106/8/4~"/>
    <d v="2017-08-04T00:00:00"/>
    <n v="21000"/>
    <m/>
    <s v="7497~7603"/>
    <n v="583"/>
    <n v="2100"/>
    <m/>
  </r>
  <r>
    <x v="7"/>
    <x v="8"/>
    <s v="A"/>
    <x v="28"/>
    <m/>
    <m/>
    <d v="2017-08-31T00:00:00"/>
    <n v="21000"/>
    <m/>
    <n v="7765"/>
    <n v="891"/>
    <n v="2100"/>
    <m/>
  </r>
  <r>
    <x v="7"/>
    <x v="9"/>
    <s v="A"/>
    <x v="28"/>
    <m/>
    <m/>
    <d v="2017-10-02T00:00:00"/>
    <n v="21000"/>
    <m/>
    <n v="7897"/>
    <n v="726"/>
    <n v="2100"/>
    <m/>
  </r>
  <r>
    <x v="7"/>
    <x v="10"/>
    <s v="A"/>
    <x v="28"/>
    <m/>
    <m/>
    <d v="2017-10-31T00:00:00"/>
    <n v="21000"/>
    <m/>
    <n v="8009"/>
    <n v="616"/>
    <n v="2100"/>
    <m/>
  </r>
  <r>
    <x v="7"/>
    <x v="11"/>
    <s v="A"/>
    <x v="28"/>
    <m/>
    <m/>
    <d v="2017-12-08T00:00:00"/>
    <n v="21000"/>
    <m/>
    <m/>
    <n v="0"/>
    <n v="2100"/>
    <m/>
  </r>
  <r>
    <x v="7"/>
    <x v="0"/>
    <s v="B"/>
    <x v="0"/>
    <m/>
    <m/>
    <m/>
    <m/>
    <m/>
    <m/>
    <m/>
    <n v="0"/>
    <m/>
  </r>
  <r>
    <x v="7"/>
    <x v="1"/>
    <s v="B"/>
    <x v="0"/>
    <m/>
    <m/>
    <m/>
    <m/>
    <m/>
    <m/>
    <n v="0"/>
    <n v="0"/>
    <m/>
  </r>
  <r>
    <x v="7"/>
    <x v="2"/>
    <s v="B"/>
    <x v="0"/>
    <m/>
    <m/>
    <m/>
    <m/>
    <m/>
    <m/>
    <n v="0"/>
    <n v="0"/>
    <m/>
  </r>
  <r>
    <x v="7"/>
    <x v="3"/>
    <s v="B"/>
    <x v="0"/>
    <m/>
    <m/>
    <m/>
    <m/>
    <m/>
    <n v="6628"/>
    <m/>
    <n v="0"/>
    <m/>
  </r>
  <r>
    <x v="7"/>
    <x v="4"/>
    <s v="B"/>
    <x v="29"/>
    <s v="0936-337-443"/>
    <s v="104/09/01-105/08/31"/>
    <m/>
    <n v="16000"/>
    <m/>
    <n v="6738"/>
    <n v="605"/>
    <n v="1600"/>
    <m/>
  </r>
  <r>
    <x v="7"/>
    <x v="5"/>
    <s v="B"/>
    <x v="29"/>
    <m/>
    <m/>
    <d v="2017-05-30T00:00:00"/>
    <n v="16000"/>
    <m/>
    <n v="6882"/>
    <n v="792"/>
    <n v="1600"/>
    <m/>
  </r>
  <r>
    <x v="7"/>
    <x v="6"/>
    <s v="B"/>
    <x v="29"/>
    <m/>
    <m/>
    <d v="2017-07-02T00:00:00"/>
    <n v="16000"/>
    <m/>
    <n v="7042"/>
    <n v="880"/>
    <n v="1600"/>
    <m/>
  </r>
  <r>
    <x v="7"/>
    <x v="7"/>
    <s v="B"/>
    <x v="29"/>
    <m/>
    <m/>
    <d v="2017-08-03T00:00:00"/>
    <n v="16000"/>
    <m/>
    <n v="7226"/>
    <n v="1012"/>
    <n v="1600"/>
    <m/>
  </r>
  <r>
    <x v="7"/>
    <x v="8"/>
    <s v="B"/>
    <x v="29"/>
    <m/>
    <m/>
    <d v="2017-09-01T00:00:00"/>
    <n v="16000"/>
    <m/>
    <n v="7372"/>
    <n v="803"/>
    <n v="1600"/>
    <m/>
  </r>
  <r>
    <x v="7"/>
    <x v="9"/>
    <s v="B"/>
    <x v="29"/>
    <m/>
    <m/>
    <d v="2017-10-01T00:00:00"/>
    <n v="16000"/>
    <m/>
    <n v="7512"/>
    <n v="770"/>
    <n v="1600"/>
    <m/>
  </r>
  <r>
    <x v="7"/>
    <x v="10"/>
    <s v="B"/>
    <x v="29"/>
    <m/>
    <m/>
    <d v="2017-11-02T00:00:00"/>
    <n v="16000"/>
    <m/>
    <n v="7628"/>
    <n v="638"/>
    <n v="1600"/>
    <m/>
  </r>
  <r>
    <x v="7"/>
    <x v="11"/>
    <s v="B"/>
    <x v="29"/>
    <m/>
    <m/>
    <d v="2017-12-03T00:00:00"/>
    <n v="16000"/>
    <m/>
    <m/>
    <n v="0"/>
    <n v="1600"/>
    <m/>
  </r>
  <r>
    <x v="7"/>
    <x v="0"/>
    <s v="C"/>
    <x v="30"/>
    <s v="0909-915-559"/>
    <m/>
    <m/>
    <m/>
    <m/>
    <m/>
    <m/>
    <n v="0"/>
    <m/>
  </r>
  <r>
    <x v="7"/>
    <x v="1"/>
    <s v="C"/>
    <x v="30"/>
    <m/>
    <m/>
    <m/>
    <m/>
    <m/>
    <m/>
    <n v="0"/>
    <n v="0"/>
    <m/>
  </r>
  <r>
    <x v="7"/>
    <x v="2"/>
    <s v="C"/>
    <x v="30"/>
    <m/>
    <m/>
    <m/>
    <m/>
    <m/>
    <m/>
    <n v="0"/>
    <n v="0"/>
    <m/>
  </r>
  <r>
    <x v="7"/>
    <x v="3"/>
    <s v="C"/>
    <x v="30"/>
    <m/>
    <m/>
    <m/>
    <m/>
    <m/>
    <n v="11444"/>
    <m/>
    <n v="0"/>
    <m/>
  </r>
  <r>
    <x v="7"/>
    <x v="4"/>
    <s v="C"/>
    <x v="30"/>
    <m/>
    <m/>
    <d v="2017-05-05T00:00:00"/>
    <n v="14600"/>
    <m/>
    <n v="11585"/>
    <n v="775.5"/>
    <n v="1460"/>
    <m/>
  </r>
  <r>
    <x v="7"/>
    <x v="5"/>
    <s v="C"/>
    <x v="30"/>
    <m/>
    <m/>
    <d v="2017-05-30T00:00:00"/>
    <n v="17500"/>
    <m/>
    <n v="11735"/>
    <n v="825"/>
    <n v="1750"/>
    <m/>
  </r>
  <r>
    <x v="7"/>
    <x v="6"/>
    <s v="C"/>
    <x v="30"/>
    <m/>
    <m/>
    <d v="2017-07-03T00:00:00"/>
    <n v="17500"/>
    <m/>
    <n v="11987"/>
    <n v="1386"/>
    <n v="1750"/>
    <m/>
  </r>
  <r>
    <x v="7"/>
    <x v="7"/>
    <s v="C"/>
    <x v="30"/>
    <m/>
    <m/>
    <d v="2017-07-28T00:00:00"/>
    <n v="17500"/>
    <m/>
    <n v="12157"/>
    <n v="935"/>
    <n v="1750"/>
    <m/>
  </r>
  <r>
    <x v="7"/>
    <x v="8"/>
    <s v="C"/>
    <x v="30"/>
    <m/>
    <m/>
    <d v="2017-09-05T00:00:00"/>
    <n v="17500"/>
    <m/>
    <n v="12381"/>
    <n v="1232"/>
    <n v="1750"/>
    <m/>
  </r>
  <r>
    <x v="7"/>
    <x v="9"/>
    <s v="C"/>
    <x v="30"/>
    <m/>
    <m/>
    <d v="2017-10-03T00:00:00"/>
    <n v="17500"/>
    <m/>
    <n v="12515"/>
    <n v="737"/>
    <n v="1750"/>
    <m/>
  </r>
  <r>
    <x v="7"/>
    <x v="10"/>
    <s v="C"/>
    <x v="30"/>
    <m/>
    <m/>
    <d v="2017-10-30T00:00:00"/>
    <n v="17500"/>
    <m/>
    <n v="12619"/>
    <n v="572"/>
    <n v="1750"/>
    <m/>
  </r>
  <r>
    <x v="7"/>
    <x v="11"/>
    <s v="C"/>
    <x v="30"/>
    <m/>
    <m/>
    <d v="2017-11-30T00:00:00"/>
    <n v="17500"/>
    <m/>
    <m/>
    <n v="0"/>
    <n v="1750"/>
    <m/>
  </r>
  <r>
    <x v="7"/>
    <x v="0"/>
    <s v="D"/>
    <x v="0"/>
    <m/>
    <m/>
    <m/>
    <m/>
    <m/>
    <m/>
    <m/>
    <n v="0"/>
    <m/>
  </r>
  <r>
    <x v="7"/>
    <x v="1"/>
    <s v="D"/>
    <x v="0"/>
    <m/>
    <m/>
    <m/>
    <m/>
    <m/>
    <m/>
    <n v="0"/>
    <n v="0"/>
    <m/>
  </r>
  <r>
    <x v="7"/>
    <x v="2"/>
    <s v="D"/>
    <x v="0"/>
    <m/>
    <m/>
    <m/>
    <m/>
    <m/>
    <m/>
    <n v="0"/>
    <n v="0"/>
    <m/>
  </r>
  <r>
    <x v="7"/>
    <x v="3"/>
    <s v="D"/>
    <x v="0"/>
    <m/>
    <m/>
    <m/>
    <m/>
    <m/>
    <n v="8046"/>
    <m/>
    <n v="0"/>
    <m/>
  </r>
  <r>
    <x v="7"/>
    <x v="4"/>
    <s v="D"/>
    <x v="0"/>
    <m/>
    <m/>
    <m/>
    <n v="17000"/>
    <m/>
    <n v="8188"/>
    <n v="781"/>
    <n v="1700"/>
    <m/>
  </r>
  <r>
    <x v="7"/>
    <x v="5"/>
    <s v="D"/>
    <x v="0"/>
    <m/>
    <m/>
    <d v="2017-06-14T00:00:00"/>
    <n v="17000"/>
    <m/>
    <n v="8352"/>
    <n v="902"/>
    <n v="1700"/>
    <m/>
  </r>
  <r>
    <x v="7"/>
    <x v="6"/>
    <s v="D"/>
    <x v="0"/>
    <m/>
    <m/>
    <d v="2017-07-05T00:00:00"/>
    <n v="17000"/>
    <m/>
    <n v="8560"/>
    <n v="1144"/>
    <n v="1700"/>
    <m/>
  </r>
  <r>
    <x v="7"/>
    <x v="7"/>
    <s v="D"/>
    <x v="0"/>
    <m/>
    <m/>
    <d v="2017-08-09T00:00:00"/>
    <n v="17000"/>
    <m/>
    <n v="8802"/>
    <n v="1331"/>
    <n v="1700"/>
    <m/>
  </r>
  <r>
    <x v="7"/>
    <x v="8"/>
    <s v="D"/>
    <x v="31"/>
    <m/>
    <s v="106/9/14-107/3/14"/>
    <d v="2017-09-06T00:00:00"/>
    <n v="17000"/>
    <m/>
    <n v="9016"/>
    <n v="1177"/>
    <n v="1700"/>
    <m/>
  </r>
  <r>
    <x v="7"/>
    <x v="9"/>
    <s v="D"/>
    <x v="0"/>
    <m/>
    <m/>
    <d v="2017-10-06T00:00:00"/>
    <n v="17000"/>
    <m/>
    <n v="9206"/>
    <n v="1045"/>
    <n v="1700"/>
    <m/>
  </r>
  <r>
    <x v="7"/>
    <x v="10"/>
    <s v="D"/>
    <x v="0"/>
    <m/>
    <m/>
    <d v="2017-11-11T00:00:00"/>
    <n v="17000"/>
    <m/>
    <n v="9344"/>
    <n v="759"/>
    <n v="1700"/>
    <m/>
  </r>
  <r>
    <x v="7"/>
    <x v="11"/>
    <s v="D"/>
    <x v="0"/>
    <m/>
    <m/>
    <d v="2017-12-11T00:00:00"/>
    <n v="17000"/>
    <m/>
    <m/>
    <n v="0"/>
    <n v="1700"/>
    <m/>
  </r>
  <r>
    <x v="8"/>
    <x v="0"/>
    <s v="A"/>
    <x v="0"/>
    <m/>
    <m/>
    <m/>
    <n v="25000"/>
    <n v="50000"/>
    <n v="6593"/>
    <m/>
    <n v="2500"/>
    <s v="國泰世華館前 0156-6313177張宇音"/>
  </r>
  <r>
    <x v="8"/>
    <x v="1"/>
    <s v="A"/>
    <x v="0"/>
    <m/>
    <m/>
    <m/>
    <n v="25000"/>
    <m/>
    <n v="6593"/>
    <n v="0"/>
    <n v="2500"/>
    <m/>
  </r>
  <r>
    <x v="8"/>
    <x v="2"/>
    <s v="A"/>
    <x v="0"/>
    <m/>
    <m/>
    <m/>
    <n v="25000"/>
    <m/>
    <n v="6593"/>
    <n v="0"/>
    <n v="2500"/>
    <m/>
  </r>
  <r>
    <x v="8"/>
    <x v="3"/>
    <s v="A"/>
    <x v="25"/>
    <s v="0926-167-325"/>
    <s v="106/04/01-107/03/31"/>
    <d v="2017-04-05T00:00:00"/>
    <n v="25000"/>
    <m/>
    <n v="6709"/>
    <n v="638"/>
    <n v="2500"/>
    <m/>
  </r>
  <r>
    <x v="8"/>
    <x v="4"/>
    <s v="A"/>
    <x v="25"/>
    <m/>
    <m/>
    <m/>
    <n v="25000"/>
    <m/>
    <n v="6932"/>
    <n v="1226.5"/>
    <n v="2500"/>
    <m/>
  </r>
  <r>
    <x v="8"/>
    <x v="5"/>
    <s v="A"/>
    <x v="25"/>
    <m/>
    <m/>
    <d v="2017-06-01T00:00:00"/>
    <n v="25000"/>
    <m/>
    <n v="7254"/>
    <n v="1771"/>
    <n v="2500"/>
    <m/>
  </r>
  <r>
    <x v="8"/>
    <x v="6"/>
    <s v="A"/>
    <x v="25"/>
    <m/>
    <m/>
    <d v="2017-07-03T00:00:00"/>
    <n v="25000"/>
    <m/>
    <n v="7574"/>
    <n v="1760"/>
    <n v="2500"/>
    <m/>
  </r>
  <r>
    <x v="8"/>
    <x v="7"/>
    <s v="A"/>
    <x v="25"/>
    <m/>
    <m/>
    <d v="2017-08-02T00:00:00"/>
    <n v="25000"/>
    <m/>
    <n v="7992"/>
    <n v="2299"/>
    <n v="2500"/>
    <m/>
  </r>
  <r>
    <x v="8"/>
    <x v="8"/>
    <s v="A"/>
    <x v="25"/>
    <m/>
    <m/>
    <d v="2017-09-01T00:00:00"/>
    <n v="25000"/>
    <m/>
    <n v="8338"/>
    <n v="1903"/>
    <n v="2500"/>
    <m/>
  </r>
  <r>
    <x v="8"/>
    <x v="9"/>
    <s v="A"/>
    <x v="25"/>
    <m/>
    <m/>
    <d v="2017-10-02T00:00:00"/>
    <n v="25000"/>
    <m/>
    <n v="8610"/>
    <n v="1496"/>
    <n v="2500"/>
    <m/>
  </r>
  <r>
    <x v="8"/>
    <x v="10"/>
    <s v="A"/>
    <x v="25"/>
    <m/>
    <m/>
    <d v="2017-11-01T00:00:00"/>
    <n v="25000"/>
    <m/>
    <n v="8804"/>
    <n v="1067"/>
    <n v="2500"/>
    <m/>
  </r>
  <r>
    <x v="8"/>
    <x v="11"/>
    <s v="A"/>
    <x v="25"/>
    <m/>
    <m/>
    <d v="2017-12-03T00:00:00"/>
    <n v="25000"/>
    <m/>
    <m/>
    <n v="0"/>
    <n v="2500"/>
    <m/>
  </r>
  <r>
    <x v="8"/>
    <x v="0"/>
    <s v="B"/>
    <x v="0"/>
    <m/>
    <m/>
    <m/>
    <n v="25000"/>
    <n v="50000"/>
    <n v="6797"/>
    <m/>
    <n v="3750"/>
    <m/>
  </r>
  <r>
    <x v="8"/>
    <x v="1"/>
    <s v="B"/>
    <x v="0"/>
    <m/>
    <m/>
    <m/>
    <n v="25000"/>
    <m/>
    <n v="6797"/>
    <n v="0"/>
    <n v="3750"/>
    <m/>
  </r>
  <r>
    <x v="8"/>
    <x v="2"/>
    <s v="B"/>
    <x v="0"/>
    <m/>
    <m/>
    <m/>
    <n v="25000"/>
    <m/>
    <n v="6797"/>
    <n v="0"/>
    <n v="3750"/>
    <m/>
  </r>
  <r>
    <x v="8"/>
    <x v="3"/>
    <s v="B"/>
    <x v="25"/>
    <s v="0926-167-325"/>
    <s v="106/04/01-107/03/31"/>
    <d v="2017-04-05T00:00:00"/>
    <n v="25000"/>
    <m/>
    <n v="6965"/>
    <n v="924"/>
    <n v="3750"/>
    <m/>
  </r>
  <r>
    <x v="8"/>
    <x v="4"/>
    <s v="B"/>
    <x v="25"/>
    <m/>
    <m/>
    <m/>
    <n v="25000"/>
    <m/>
    <n v="7198"/>
    <n v="1281.5"/>
    <n v="3750"/>
    <m/>
  </r>
  <r>
    <x v="8"/>
    <x v="5"/>
    <s v="B"/>
    <x v="25"/>
    <m/>
    <m/>
    <d v="2017-06-01T00:00:00"/>
    <n v="25000"/>
    <m/>
    <n v="7472"/>
    <n v="1507"/>
    <n v="3750"/>
    <m/>
  </r>
  <r>
    <x v="8"/>
    <x v="6"/>
    <s v="B"/>
    <x v="25"/>
    <m/>
    <m/>
    <d v="2017-07-03T00:00:00"/>
    <n v="25000"/>
    <m/>
    <n v="7908"/>
    <n v="2398"/>
    <n v="3750"/>
    <m/>
  </r>
  <r>
    <x v="8"/>
    <x v="7"/>
    <s v="B"/>
    <x v="25"/>
    <m/>
    <m/>
    <d v="2017-08-02T00:00:00"/>
    <n v="25000"/>
    <m/>
    <n v="8210"/>
    <n v="1661"/>
    <n v="3750"/>
    <m/>
  </r>
  <r>
    <x v="8"/>
    <x v="8"/>
    <s v="B"/>
    <x v="25"/>
    <m/>
    <m/>
    <d v="2017-09-01T00:00:00"/>
    <n v="25000"/>
    <m/>
    <n v="8536"/>
    <n v="1793"/>
    <n v="3750"/>
    <m/>
  </r>
  <r>
    <x v="8"/>
    <x v="9"/>
    <s v="B"/>
    <x v="25"/>
    <m/>
    <m/>
    <d v="2017-10-02T00:00:00"/>
    <n v="25000"/>
    <m/>
    <n v="8852"/>
    <n v="1738"/>
    <n v="3750"/>
    <m/>
  </r>
  <r>
    <x v="8"/>
    <x v="10"/>
    <s v="B"/>
    <x v="25"/>
    <m/>
    <m/>
    <d v="2017-11-01T00:00:00"/>
    <n v="25000"/>
    <m/>
    <n v="9002"/>
    <n v="825"/>
    <n v="3750"/>
    <m/>
  </r>
  <r>
    <x v="8"/>
    <x v="11"/>
    <s v="B"/>
    <x v="25"/>
    <m/>
    <m/>
    <d v="2017-12-03T00:00:00"/>
    <n v="25000"/>
    <m/>
    <m/>
    <n v="0"/>
    <n v="3750"/>
    <m/>
  </r>
  <r>
    <x v="8"/>
    <x v="0"/>
    <s v="C"/>
    <x v="14"/>
    <m/>
    <m/>
    <m/>
    <n v="30000"/>
    <m/>
    <m/>
    <m/>
    <m/>
    <m/>
  </r>
  <r>
    <x v="8"/>
    <x v="1"/>
    <s v="C"/>
    <x v="14"/>
    <m/>
    <m/>
    <m/>
    <n v="30000"/>
    <m/>
    <m/>
    <m/>
    <m/>
    <m/>
  </r>
  <r>
    <x v="8"/>
    <x v="2"/>
    <s v="C"/>
    <x v="14"/>
    <m/>
    <m/>
    <m/>
    <n v="30000"/>
    <m/>
    <m/>
    <m/>
    <m/>
    <m/>
  </r>
  <r>
    <x v="8"/>
    <x v="3"/>
    <s v="C"/>
    <x v="14"/>
    <m/>
    <m/>
    <m/>
    <n v="30000"/>
    <m/>
    <m/>
    <m/>
    <m/>
    <m/>
  </r>
  <r>
    <x v="8"/>
    <x v="4"/>
    <s v="C"/>
    <x v="14"/>
    <m/>
    <m/>
    <m/>
    <n v="38936"/>
    <m/>
    <m/>
    <m/>
    <m/>
    <m/>
  </r>
  <r>
    <x v="8"/>
    <x v="5"/>
    <s v="C"/>
    <x v="14"/>
    <m/>
    <m/>
    <m/>
    <n v="38693"/>
    <m/>
    <m/>
    <m/>
    <m/>
    <m/>
  </r>
  <r>
    <x v="8"/>
    <x v="6"/>
    <s v="C"/>
    <x v="14"/>
    <m/>
    <m/>
    <m/>
    <n v="44594"/>
    <m/>
    <m/>
    <m/>
    <m/>
    <m/>
  </r>
  <r>
    <x v="8"/>
    <x v="7"/>
    <s v="C"/>
    <x v="14"/>
    <m/>
    <m/>
    <m/>
    <n v="32819"/>
    <m/>
    <m/>
    <m/>
    <m/>
    <m/>
  </r>
  <r>
    <x v="8"/>
    <x v="8"/>
    <s v="C"/>
    <x v="14"/>
    <m/>
    <m/>
    <m/>
    <n v="37511"/>
    <m/>
    <m/>
    <m/>
    <m/>
    <m/>
  </r>
  <r>
    <x v="8"/>
    <x v="9"/>
    <s v="C"/>
    <x v="14"/>
    <m/>
    <m/>
    <m/>
    <n v="38761"/>
    <m/>
    <m/>
    <m/>
    <m/>
    <m/>
  </r>
  <r>
    <x v="8"/>
    <x v="10"/>
    <s v="C"/>
    <x v="14"/>
    <m/>
    <m/>
    <m/>
    <n v="37511"/>
    <m/>
    <m/>
    <m/>
    <m/>
    <m/>
  </r>
  <r>
    <x v="8"/>
    <x v="11"/>
    <s v="C"/>
    <x v="14"/>
    <m/>
    <m/>
    <m/>
    <n v="2500"/>
    <m/>
    <m/>
    <m/>
    <m/>
    <m/>
  </r>
  <r>
    <x v="9"/>
    <x v="12"/>
    <m/>
    <x v="0"/>
    <m/>
    <m/>
    <m/>
    <m/>
    <m/>
    <m/>
    <m/>
    <m/>
    <m/>
  </r>
  <r>
    <x v="9"/>
    <x v="12"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8FE75-9D15-4595-A279-3B233B00A28B}" name="彙總查詢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O37" firstHeaderRow="1" firstDataRow="2" firstDataCol="1" rowPageCount="1" colPageCount="1"/>
  <pivotFields count="13">
    <pivotField axis="axisPage" showAll="0">
      <items count="11">
        <item x="4"/>
        <item x="7"/>
        <item x="8"/>
        <item x="3"/>
        <item x="5"/>
        <item x="6"/>
        <item x="2"/>
        <item x="0"/>
        <item x="1"/>
        <item x="9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33">
        <item x="14"/>
        <item x="31"/>
        <item x="18"/>
        <item x="4"/>
        <item x="28"/>
        <item x="22"/>
        <item x="24"/>
        <item x="12"/>
        <item x="8"/>
        <item x="30"/>
        <item x="9"/>
        <item x="21"/>
        <item x="29"/>
        <item x="2"/>
        <item x="3"/>
        <item x="26"/>
        <item x="6"/>
        <item x="11"/>
        <item x="25"/>
        <item x="27"/>
        <item x="13"/>
        <item x="7"/>
        <item x="19"/>
        <item x="17"/>
        <item x="23"/>
        <item x="15"/>
        <item x="16"/>
        <item x="20"/>
        <item x="1"/>
        <item x="10"/>
        <item x="5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-1"/>
  </pageFields>
  <dataFields count="1">
    <dataField name="加總 - 押金" fld="8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格5" displayName="表格5" ref="A17:N30" headerRowCount="0" totalsRowShown="0" headerRowDxfId="612" dataDxfId="611" tableBorderDxfId="610" headerRowCellStyle="一般 2 3">
  <tableColumns count="14">
    <tableColumn id="1" xr3:uid="{00000000-0010-0000-0000-000001000000}" name="欄1" dataDxfId="609" dataCellStyle="一般 2 3"/>
    <tableColumn id="2" xr3:uid="{00000000-0010-0000-0000-000002000000}" name="欄2" dataDxfId="608" dataCellStyle="一般 2 3"/>
    <tableColumn id="3" xr3:uid="{00000000-0010-0000-0000-000003000000}" name="欄3" headerRowDxfId="607" dataDxfId="606" headerRowCellStyle="一般 2 3" dataCellStyle="一般 2 3"/>
    <tableColumn id="4" xr3:uid="{00000000-0010-0000-0000-000004000000}" name="欄4" headerRowDxfId="605" dataDxfId="604" headerRowCellStyle="一般 2 3" dataCellStyle="一般 2 3"/>
    <tableColumn id="5" xr3:uid="{00000000-0010-0000-0000-000005000000}" name="欄5" headerRowDxfId="603" dataDxfId="602" headerRowCellStyle="一般 2 3" dataCellStyle="一般 2 3"/>
    <tableColumn id="6" xr3:uid="{00000000-0010-0000-0000-000006000000}" name="欄6" headerRowDxfId="601" dataDxfId="600" headerRowCellStyle="一般 2 3" dataCellStyle="一般 2 3"/>
    <tableColumn id="7" xr3:uid="{00000000-0010-0000-0000-000007000000}" name="欄7" headerRowDxfId="599" dataDxfId="598" headerRowCellStyle="一般 2 3"/>
    <tableColumn id="8" xr3:uid="{00000000-0010-0000-0000-000008000000}" name="欄8" headerRowDxfId="597" dataDxfId="596" headerRowCellStyle="一般 2 3"/>
    <tableColumn id="9" xr3:uid="{00000000-0010-0000-0000-000009000000}" name="欄9" headerRowDxfId="595" dataDxfId="594" headerRowCellStyle="一般 2 3"/>
    <tableColumn id="10" xr3:uid="{00000000-0010-0000-0000-00000A000000}" name="欄10" headerRowDxfId="593" dataDxfId="592" headerRowCellStyle="一般 2 3"/>
    <tableColumn id="11" xr3:uid="{00000000-0010-0000-0000-00000B000000}" name="欄11" headerRowDxfId="591" dataDxfId="590" headerRowCellStyle="一般 2 3"/>
    <tableColumn id="12" xr3:uid="{00000000-0010-0000-0000-00000C000000}" name="欄12" headerRowDxfId="589" dataDxfId="588" headerRowCellStyle="一般 2 3"/>
    <tableColumn id="13" xr3:uid="{00000000-0010-0000-0000-00000D000000}" name="欄13" headerRowDxfId="587" dataDxfId="586" headerRowCellStyle="一般 2 3"/>
    <tableColumn id="14" xr3:uid="{00000000-0010-0000-0000-00000E000000}" name="欄14" headerRowDxfId="585" dataDxfId="584" headerRowCellStyle="一般 2 3"/>
  </tableColumns>
  <tableStyleInfo name="自訂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表格15" displayName="表格15" ref="E11:R18" headerRowCount="0" totalsRowShown="0" headerRowDxfId="322" headerRowBorderDxfId="321" tableBorderDxfId="320" headerRowCellStyle="一般 2 2">
  <tableColumns count="14">
    <tableColumn id="1" xr3:uid="{00000000-0010-0000-0900-000001000000}" name="欄1" headerRowDxfId="319" headerRowCellStyle="一般 2 2"/>
    <tableColumn id="2" xr3:uid="{00000000-0010-0000-0900-000002000000}" name="欄2" headerRowDxfId="318" headerRowCellStyle="一般 2 2"/>
    <tableColumn id="3" xr3:uid="{00000000-0010-0000-0900-000003000000}" name="欄3" headerRowDxfId="317" headerRowCellStyle="一般 2 2"/>
    <tableColumn id="4" xr3:uid="{00000000-0010-0000-0900-000004000000}" name="欄4" headerRowDxfId="316" headerRowCellStyle="一般 2 2"/>
    <tableColumn id="5" xr3:uid="{00000000-0010-0000-0900-000005000000}" name="欄5" headerRowDxfId="315" headerRowCellStyle="一般 2 2"/>
    <tableColumn id="6" xr3:uid="{00000000-0010-0000-0900-000006000000}" name="欄6" headerRowDxfId="314" headerRowCellStyle="一般 2 2"/>
    <tableColumn id="7" xr3:uid="{00000000-0010-0000-0900-000007000000}" name="欄7" headerRowDxfId="313" headerRowCellStyle="一般 2 2"/>
    <tableColumn id="8" xr3:uid="{00000000-0010-0000-0900-000008000000}" name="欄8" headerRowDxfId="312" headerRowCellStyle="一般 2 2"/>
    <tableColumn id="9" xr3:uid="{00000000-0010-0000-0900-000009000000}" name="欄9" headerRowDxfId="311" headerRowCellStyle="一般 2 2"/>
    <tableColumn id="10" xr3:uid="{00000000-0010-0000-0900-00000A000000}" name="欄10" headerRowDxfId="310" headerRowCellStyle="一般 2 2"/>
    <tableColumn id="11" xr3:uid="{00000000-0010-0000-0900-00000B000000}" name="欄11" headerRowDxfId="309" headerRowCellStyle="一般 2 2"/>
    <tableColumn id="12" xr3:uid="{00000000-0010-0000-0900-00000C000000}" name="欄12" headerRowDxfId="308" headerRowCellStyle="一般 2 2"/>
    <tableColumn id="13" xr3:uid="{00000000-0010-0000-0900-00000D000000}" name="欄13" headerRowDxfId="307" headerRowCellStyle="一般 2 2"/>
    <tableColumn id="14" xr3:uid="{00000000-0010-0000-0900-00000E000000}" name="欄14" headerRowDxfId="306" headerRowCellStyle="一般 2 2"/>
  </tableColumns>
  <tableStyleInfo name="自訂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表格9" displayName="表格9" ref="A20:R29" headerRowCount="0" totalsRowShown="0" headerRowDxfId="305" dataDxfId="304" headerRowCellStyle="一般 2 2" dataCellStyle="一般 2 2">
  <tableColumns count="18">
    <tableColumn id="1" xr3:uid="{00000000-0010-0000-0A00-000001000000}" name="欄1" headerRowDxfId="303" dataDxfId="302" headerRowCellStyle="一般 2 2"/>
    <tableColumn id="2" xr3:uid="{00000000-0010-0000-0A00-000002000000}" name="欄2" headerRowDxfId="301" dataDxfId="300" headerRowCellStyle="一般 2 2"/>
    <tableColumn id="3" xr3:uid="{00000000-0010-0000-0A00-000003000000}" name="欄3" headerRowDxfId="299" dataDxfId="298" headerRowCellStyle="一般 2 2"/>
    <tableColumn id="4" xr3:uid="{00000000-0010-0000-0A00-000004000000}" name="欄4" headerRowDxfId="297" dataDxfId="296" headerRowCellStyle="一般 2 2" dataCellStyle="一般 2 2"/>
    <tableColumn id="5" xr3:uid="{00000000-0010-0000-0A00-000005000000}" name="欄5" headerRowDxfId="295" dataDxfId="294" headerRowCellStyle="一般 2 2" dataCellStyle="一般 2 2"/>
    <tableColumn id="6" xr3:uid="{00000000-0010-0000-0A00-000006000000}" name="欄6" headerRowDxfId="293" dataDxfId="292" headerRowCellStyle="一般 2 2"/>
    <tableColumn id="7" xr3:uid="{00000000-0010-0000-0A00-000007000000}" name="欄7" headerRowDxfId="291" dataDxfId="290" headerRowCellStyle="一般 2 2"/>
    <tableColumn id="8" xr3:uid="{00000000-0010-0000-0A00-000008000000}" name="欄8" headerRowDxfId="289" dataDxfId="288" headerRowCellStyle="一般 2 2"/>
    <tableColumn id="9" xr3:uid="{00000000-0010-0000-0A00-000009000000}" name="欄9" headerRowDxfId="287" dataDxfId="286" headerRowCellStyle="一般 2 2"/>
    <tableColumn id="10" xr3:uid="{00000000-0010-0000-0A00-00000A000000}" name="欄10" headerRowDxfId="285" dataDxfId="284" headerRowCellStyle="一般 2 2"/>
    <tableColumn id="11" xr3:uid="{00000000-0010-0000-0A00-00000B000000}" name="欄11" headerRowDxfId="283" dataDxfId="282" headerRowCellStyle="一般 2 2" dataCellStyle="一般 2 2"/>
    <tableColumn id="12" xr3:uid="{00000000-0010-0000-0A00-00000C000000}" name="欄12" headerRowDxfId="281" dataDxfId="280" headerRowCellStyle="一般 2 2" dataCellStyle="一般 2 2"/>
    <tableColumn id="13" xr3:uid="{00000000-0010-0000-0A00-00000D000000}" name="欄13" headerRowDxfId="279" dataDxfId="278" headerRowCellStyle="一般 2 2" dataCellStyle="一般 2 2"/>
    <tableColumn id="14" xr3:uid="{00000000-0010-0000-0A00-00000E000000}" name="欄14" headerRowDxfId="277" dataDxfId="276" headerRowCellStyle="一般 2 2" dataCellStyle="一般 2 2"/>
    <tableColumn id="15" xr3:uid="{00000000-0010-0000-0A00-00000F000000}" name="欄15" headerRowDxfId="275" dataDxfId="274" headerRowCellStyle="一般 2 2" dataCellStyle="一般 2 2"/>
    <tableColumn id="16" xr3:uid="{00000000-0010-0000-0A00-000010000000}" name="欄16" headerRowDxfId="273" dataDxfId="272" headerRowCellStyle="一般 2 2" dataCellStyle="一般 2 2"/>
    <tableColumn id="17" xr3:uid="{00000000-0010-0000-0A00-000011000000}" name="欄17" headerRowDxfId="271" dataDxfId="270" headerRowCellStyle="一般 2 2" dataCellStyle="一般 2 2"/>
    <tableColumn id="18" xr3:uid="{00000000-0010-0000-0A00-000012000000}" name="欄18" headerRowDxfId="269" dataDxfId="268" headerRowCellStyle="一般 2 2" dataCellStyle="一般 2 2"/>
  </tableColumns>
  <tableStyleInfo name="自訂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表格14" displayName="表格14" ref="E31:R40" headerRowCount="0" totalsRowShown="0" headerRowDxfId="267" headerRowBorderDxfId="266" tableBorderDxfId="265" totalsRowBorderDxfId="264" headerRowCellStyle="一般 2 2">
  <tableColumns count="14">
    <tableColumn id="1" xr3:uid="{00000000-0010-0000-0B00-000001000000}" name="欄1" headerRowDxfId="263" dataDxfId="262" headerRowCellStyle="一般 2 2"/>
    <tableColumn id="2" xr3:uid="{00000000-0010-0000-0B00-000002000000}" name="欄2" headerRowDxfId="261" dataDxfId="260" headerRowCellStyle="一般 2 2"/>
    <tableColumn id="3" xr3:uid="{00000000-0010-0000-0B00-000003000000}" name="欄3" headerRowDxfId="259" dataDxfId="258" headerRowCellStyle="一般 2 2"/>
    <tableColumn id="4" xr3:uid="{00000000-0010-0000-0B00-000004000000}" name="欄4" headerRowDxfId="257" dataDxfId="256" headerRowCellStyle="一般 2 2"/>
    <tableColumn id="5" xr3:uid="{00000000-0010-0000-0B00-000005000000}" name="欄5" headerRowDxfId="255" dataDxfId="254" headerRowCellStyle="一般 2 2"/>
    <tableColumn id="6" xr3:uid="{00000000-0010-0000-0B00-000006000000}" name="欄6" headerRowDxfId="253" dataDxfId="252" headerRowCellStyle="一般 2 2"/>
    <tableColumn id="7" xr3:uid="{00000000-0010-0000-0B00-000007000000}" name="欄7" headerRowDxfId="251" dataDxfId="250" headerRowCellStyle="一般 2 2"/>
    <tableColumn id="8" xr3:uid="{00000000-0010-0000-0B00-000008000000}" name="欄8" headerRowDxfId="249" dataDxfId="248" headerRowCellStyle="一般 2 2"/>
    <tableColumn id="9" xr3:uid="{00000000-0010-0000-0B00-000009000000}" name="欄9" headerRowDxfId="247" dataDxfId="246" headerRowCellStyle="一般 2 2"/>
    <tableColumn id="10" xr3:uid="{00000000-0010-0000-0B00-00000A000000}" name="欄10" headerRowDxfId="245" dataDxfId="244" headerRowCellStyle="一般 2 2"/>
    <tableColumn id="11" xr3:uid="{00000000-0010-0000-0B00-00000B000000}" name="欄11" headerRowDxfId="243" dataDxfId="242" headerRowCellStyle="一般 2 2"/>
    <tableColumn id="12" xr3:uid="{00000000-0010-0000-0B00-00000C000000}" name="欄12" headerRowDxfId="241" dataDxfId="240" headerRowCellStyle="一般 2 2"/>
    <tableColumn id="13" xr3:uid="{00000000-0010-0000-0B00-00000D000000}" name="欄13" headerRowDxfId="239" dataDxfId="238" headerRowCellStyle="一般 2 2"/>
    <tableColumn id="14" xr3:uid="{00000000-0010-0000-0B00-00000E000000}" name="欄14" headerRowDxfId="237" dataDxfId="236" headerRowCellStyle="一般 2 2"/>
  </tableColumns>
  <tableStyleInfo name="自訂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C000000}" name="表格6" displayName="表格6" ref="A42:R53" headerRowCount="0" totalsRowShown="0" headerRowDxfId="235" dataDxfId="234" headerRowCellStyle="一般 2 2" dataCellStyle="一般 2 2">
  <tableColumns count="18">
    <tableColumn id="1" xr3:uid="{00000000-0010-0000-0C00-000001000000}" name="欄1" headerRowDxfId="233" dataDxfId="232" headerRowCellStyle="一般 2 2" dataCellStyle="一般 2 2"/>
    <tableColumn id="2" xr3:uid="{00000000-0010-0000-0C00-000002000000}" name="欄2" headerRowDxfId="231" dataDxfId="230" headerRowCellStyle="一般 2 2" dataCellStyle="一般 7"/>
    <tableColumn id="3" xr3:uid="{00000000-0010-0000-0C00-000003000000}" name="欄3" headerRowDxfId="229" dataDxfId="228" headerRowCellStyle="一般 2 2" dataCellStyle="一般 7"/>
    <tableColumn id="4" xr3:uid="{00000000-0010-0000-0C00-000004000000}" name="欄4" headerRowDxfId="227" dataDxfId="226" headerRowCellStyle="一般 2 2" dataCellStyle="一般 2 2"/>
    <tableColumn id="5" xr3:uid="{00000000-0010-0000-0C00-000005000000}" name="欄5" headerRowDxfId="225" dataDxfId="224" headerRowCellStyle="一般 2 2" dataCellStyle="一般 2 2"/>
    <tableColumn id="6" xr3:uid="{00000000-0010-0000-0C00-000006000000}" name="欄6" headerRowDxfId="223" dataDxfId="222" headerRowCellStyle="一般 2 2"/>
    <tableColumn id="7" xr3:uid="{00000000-0010-0000-0C00-000007000000}" name="欄7" headerRowDxfId="221" dataDxfId="220" headerRowCellStyle="一般 2 2" dataCellStyle="一般 2 2"/>
    <tableColumn id="8" xr3:uid="{00000000-0010-0000-0C00-000008000000}" name="欄8" headerRowDxfId="219" dataDxfId="218" headerRowCellStyle="一般 2 2" dataCellStyle="一般 2 2"/>
    <tableColumn id="9" xr3:uid="{00000000-0010-0000-0C00-000009000000}" name="欄9" headerRowDxfId="217" dataDxfId="216" headerRowCellStyle="一般 2 2" dataCellStyle="一般 2 2"/>
    <tableColumn id="10" xr3:uid="{00000000-0010-0000-0C00-00000A000000}" name="欄10" headerRowDxfId="215" dataDxfId="214" headerRowCellStyle="一般 2 2" dataCellStyle="一般 2 2"/>
    <tableColumn id="11" xr3:uid="{00000000-0010-0000-0C00-00000B000000}" name="欄11" headerRowDxfId="213" dataDxfId="212" headerRowCellStyle="一般 2 2" dataCellStyle="一般 2 2"/>
    <tableColumn id="12" xr3:uid="{00000000-0010-0000-0C00-00000C000000}" name="欄12" headerRowDxfId="211" dataDxfId="210" headerRowCellStyle="一般 2 2" dataCellStyle="一般 2 2"/>
    <tableColumn id="13" xr3:uid="{00000000-0010-0000-0C00-00000D000000}" name="欄13" headerRowDxfId="209" dataDxfId="208" headerRowCellStyle="一般 2 2" dataCellStyle="一般 2 2"/>
    <tableColumn id="14" xr3:uid="{00000000-0010-0000-0C00-00000E000000}" name="欄14" headerRowDxfId="207" dataDxfId="206" headerRowCellStyle="一般 2 2" dataCellStyle="一般 2 2"/>
    <tableColumn id="15" xr3:uid="{00000000-0010-0000-0C00-00000F000000}" name="欄15" headerRowDxfId="205" dataDxfId="204" headerRowCellStyle="一般 2 2" dataCellStyle="一般 2 2"/>
    <tableColumn id="16" xr3:uid="{00000000-0010-0000-0C00-000010000000}" name="欄16" headerRowDxfId="203" dataDxfId="202" headerRowCellStyle="一般 2 2" dataCellStyle="一般 2 2"/>
    <tableColumn id="17" xr3:uid="{00000000-0010-0000-0C00-000011000000}" name="欄17" headerRowDxfId="201" dataDxfId="200" headerRowCellStyle="一般 2 2" dataCellStyle="一般 2 2"/>
    <tableColumn id="18" xr3:uid="{00000000-0010-0000-0C00-000012000000}" name="欄18" headerRowDxfId="199" dataDxfId="198" headerRowCellStyle="一般 2 2" dataCellStyle="一般 2 2"/>
  </tableColumns>
  <tableStyleInfo name="自訂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表格17" displayName="表格17" ref="E55:R66" headerRowCount="0" totalsRowShown="0" headerRowDxfId="197" headerRowBorderDxfId="196" tableBorderDxfId="195" headerRowCellStyle="一般 2 2">
  <tableColumns count="14">
    <tableColumn id="1" xr3:uid="{00000000-0010-0000-0D00-000001000000}" name="欄1" headerRowDxfId="194" dataDxfId="193" headerRowCellStyle="一般 2 2" dataCellStyle="一般 2"/>
    <tableColumn id="2" xr3:uid="{00000000-0010-0000-0D00-000002000000}" name="欄2" headerRowDxfId="192" headerRowCellStyle="一般 2 2"/>
    <tableColumn id="3" xr3:uid="{00000000-0010-0000-0D00-000003000000}" name="欄3" headerRowDxfId="191" headerRowCellStyle="一般 2 2"/>
    <tableColumn id="4" xr3:uid="{00000000-0010-0000-0D00-000004000000}" name="欄4" headerRowDxfId="190" headerRowCellStyle="一般 2 2"/>
    <tableColumn id="5" xr3:uid="{00000000-0010-0000-0D00-000005000000}" name="欄5" headerRowDxfId="189" headerRowCellStyle="一般 2 2"/>
    <tableColumn id="6" xr3:uid="{00000000-0010-0000-0D00-000006000000}" name="欄6" headerRowDxfId="188" headerRowCellStyle="一般 2 2"/>
    <tableColumn id="7" xr3:uid="{00000000-0010-0000-0D00-000007000000}" name="欄7" headerRowDxfId="187" headerRowCellStyle="一般 2 2"/>
    <tableColumn id="8" xr3:uid="{00000000-0010-0000-0D00-000008000000}" name="欄8" headerRowDxfId="186" headerRowCellStyle="一般 2 2"/>
    <tableColumn id="9" xr3:uid="{00000000-0010-0000-0D00-000009000000}" name="欄9" headerRowDxfId="185" headerRowCellStyle="一般 2 2"/>
    <tableColumn id="10" xr3:uid="{00000000-0010-0000-0D00-00000A000000}" name="欄10" headerRowDxfId="184" headerRowCellStyle="一般 2 2"/>
    <tableColumn id="11" xr3:uid="{00000000-0010-0000-0D00-00000B000000}" name="欄11" headerRowDxfId="183" headerRowCellStyle="一般 2 2"/>
    <tableColumn id="12" xr3:uid="{00000000-0010-0000-0D00-00000C000000}" name="欄12" headerRowDxfId="182" headerRowCellStyle="一般 2 2"/>
    <tableColumn id="13" xr3:uid="{00000000-0010-0000-0D00-00000D000000}" name="欄13" headerRowDxfId="181" headerRowCellStyle="一般 2 2"/>
    <tableColumn id="14" xr3:uid="{00000000-0010-0000-0D00-00000E000000}" name="欄14" headerRowDxfId="180" headerRowCellStyle="一般 2 2"/>
  </tableColumns>
  <tableStyleInfo name="自訂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E000000}" name="表格2" displayName="表格2" ref="A68:R79" headerRowCount="0" totalsRowShown="0" headerRowDxfId="179" dataDxfId="178" headerRowCellStyle="一般 2 2" dataCellStyle="一般 2 2">
  <tableColumns count="18">
    <tableColumn id="1" xr3:uid="{00000000-0010-0000-0E00-000001000000}" name="欄1" headerRowDxfId="177" dataDxfId="176" headerRowCellStyle="一般 2 2" dataCellStyle="一般 2 2"/>
    <tableColumn id="2" xr3:uid="{00000000-0010-0000-0E00-000002000000}" name="欄2" headerRowDxfId="175" dataDxfId="174" headerRowCellStyle="一般 2 2" dataCellStyle="一般 7"/>
    <tableColumn id="3" xr3:uid="{00000000-0010-0000-0E00-000003000000}" name="欄3" headerRowDxfId="173" dataDxfId="172" headerRowCellStyle="一般 2 2" dataCellStyle="一般 7"/>
    <tableColumn id="4" xr3:uid="{00000000-0010-0000-0E00-000004000000}" name="欄4" headerRowDxfId="171" dataDxfId="170" headerRowCellStyle="一般 2 2" dataCellStyle="一般 2 2"/>
    <tableColumn id="5" xr3:uid="{00000000-0010-0000-0E00-000005000000}" name="欄5" headerRowDxfId="169" dataDxfId="168" headerRowCellStyle="一般 2 2" dataCellStyle="一般 2 2"/>
    <tableColumn id="6" xr3:uid="{00000000-0010-0000-0E00-000006000000}" name="欄6" headerRowDxfId="167" dataDxfId="166" headerRowCellStyle="一般 2 2"/>
    <tableColumn id="7" xr3:uid="{00000000-0010-0000-0E00-000007000000}" name="欄7" headerRowDxfId="165" dataDxfId="164" headerRowCellStyle="一般 2 2" dataCellStyle="一般 2 2"/>
    <tableColumn id="8" xr3:uid="{00000000-0010-0000-0E00-000008000000}" name="欄8" headerRowDxfId="163" dataDxfId="162" headerRowCellStyle="一般 2 2" dataCellStyle="一般 2 2"/>
    <tableColumn id="9" xr3:uid="{00000000-0010-0000-0E00-000009000000}" name="欄9" headerRowDxfId="161" dataDxfId="160" headerRowCellStyle="一般 2 2" dataCellStyle="一般 2 2"/>
    <tableColumn id="10" xr3:uid="{00000000-0010-0000-0E00-00000A000000}" name="欄10" headerRowDxfId="159" dataDxfId="158" headerRowCellStyle="一般 2 2" dataCellStyle="一般 2 2"/>
    <tableColumn id="11" xr3:uid="{00000000-0010-0000-0E00-00000B000000}" name="欄11" headerRowDxfId="157" dataDxfId="156" headerRowCellStyle="一般 2 2" dataCellStyle="一般 2 2"/>
    <tableColumn id="12" xr3:uid="{00000000-0010-0000-0E00-00000C000000}" name="欄12" headerRowDxfId="155" dataDxfId="154" headerRowCellStyle="一般 2 2" dataCellStyle="一般 2 2"/>
    <tableColumn id="13" xr3:uid="{00000000-0010-0000-0E00-00000D000000}" name="欄13" headerRowDxfId="153" dataDxfId="152" headerRowCellStyle="一般 2 2" dataCellStyle="一般 2 2"/>
    <tableColumn id="14" xr3:uid="{00000000-0010-0000-0E00-00000E000000}" name="欄14" headerRowDxfId="151" dataDxfId="150" headerRowCellStyle="一般 2 2" dataCellStyle="一般 2 2"/>
    <tableColumn id="15" xr3:uid="{00000000-0010-0000-0E00-00000F000000}" name="欄15" headerRowDxfId="149" dataDxfId="148" headerRowCellStyle="一般 2 2" dataCellStyle="一般 2 2"/>
    <tableColumn id="16" xr3:uid="{00000000-0010-0000-0E00-000010000000}" name="欄16" headerRowDxfId="147" dataDxfId="146" headerRowCellStyle="一般 2 2" dataCellStyle="一般 2 2"/>
    <tableColumn id="17" xr3:uid="{00000000-0010-0000-0E00-000011000000}" name="欄17" headerRowDxfId="145" dataDxfId="144" headerRowCellStyle="一般 2 2" dataCellStyle="一般 2 2"/>
    <tableColumn id="18" xr3:uid="{00000000-0010-0000-0E00-000012000000}" name="欄18" headerRowDxfId="143" dataDxfId="142" headerRowCellStyle="一般 2 2" dataCellStyle="一般 2 2"/>
  </tableColumns>
  <tableStyleInfo name="自訂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F000000}" name="表格13" displayName="表格13" ref="E81:R92" headerRowCount="0" totalsRowShown="0" headerRowDxfId="141" dataDxfId="139" headerRowBorderDxfId="140" tableBorderDxfId="138" headerRowCellStyle="一般 2 2">
  <tableColumns count="14">
    <tableColumn id="1" xr3:uid="{00000000-0010-0000-0F00-000001000000}" name="欄1" headerRowDxfId="137" dataDxfId="136" headerRowCellStyle="一般 2 2" dataCellStyle="一般 2"/>
    <tableColumn id="2" xr3:uid="{00000000-0010-0000-0F00-000002000000}" name="欄2" headerRowDxfId="135" dataDxfId="134" headerRowCellStyle="一般 2 2"/>
    <tableColumn id="3" xr3:uid="{00000000-0010-0000-0F00-000003000000}" name="欄3" headerRowDxfId="133" dataDxfId="132" headerRowCellStyle="一般 2 2"/>
    <tableColumn id="4" xr3:uid="{00000000-0010-0000-0F00-000004000000}" name="欄4" headerRowDxfId="131" dataDxfId="130" headerRowCellStyle="一般 2 2"/>
    <tableColumn id="5" xr3:uid="{00000000-0010-0000-0F00-000005000000}" name="欄5" headerRowDxfId="129" dataDxfId="128" headerRowCellStyle="一般 2 2"/>
    <tableColumn id="6" xr3:uid="{00000000-0010-0000-0F00-000006000000}" name="欄6" headerRowDxfId="127" dataDxfId="126" headerRowCellStyle="一般 2 2"/>
    <tableColumn id="7" xr3:uid="{00000000-0010-0000-0F00-000007000000}" name="欄7" headerRowDxfId="125" dataDxfId="124" headerRowCellStyle="一般 2 2"/>
    <tableColumn id="8" xr3:uid="{00000000-0010-0000-0F00-000008000000}" name="欄8" headerRowDxfId="123" dataDxfId="122" headerRowCellStyle="一般 2 2"/>
    <tableColumn id="9" xr3:uid="{00000000-0010-0000-0F00-000009000000}" name="欄9" headerRowDxfId="121" dataDxfId="120" headerRowCellStyle="一般 2 2"/>
    <tableColumn id="10" xr3:uid="{00000000-0010-0000-0F00-00000A000000}" name="欄10" headerRowDxfId="119" dataDxfId="118" headerRowCellStyle="一般 2 2"/>
    <tableColumn id="11" xr3:uid="{00000000-0010-0000-0F00-00000B000000}" name="欄11" headerRowDxfId="117" dataDxfId="116" headerRowCellStyle="一般 2 2"/>
    <tableColumn id="12" xr3:uid="{00000000-0010-0000-0F00-00000C000000}" name="欄12" headerRowDxfId="115" dataDxfId="114" headerRowCellStyle="一般 2 2"/>
    <tableColumn id="13" xr3:uid="{00000000-0010-0000-0F00-00000D000000}" name="欄13" headerRowDxfId="113" dataDxfId="112" headerRowCellStyle="一般 2 2"/>
    <tableColumn id="14" xr3:uid="{00000000-0010-0000-0F00-00000E000000}" name="欄14" headerRowDxfId="111" dataDxfId="110" headerRowCellStyle="一般 2 2"/>
  </tableColumns>
  <tableStyleInfo name="自訂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0000000}" name="表格3" displayName="表格3" ref="A94:R103" headerRowCount="0" totalsRowShown="0" headerRowDxfId="109" dataDxfId="108" headerRowCellStyle="一般 2 2" dataCellStyle="一般 2 2">
  <tableColumns count="18">
    <tableColumn id="1" xr3:uid="{00000000-0010-0000-1000-000001000000}" name="欄1" headerRowDxfId="107" dataDxfId="106" headerRowCellStyle="一般 2 2"/>
    <tableColumn id="2" xr3:uid="{00000000-0010-0000-1000-000002000000}" name="欄2" headerRowDxfId="105" dataDxfId="104" headerRowCellStyle="一般 2 2"/>
    <tableColumn id="3" xr3:uid="{00000000-0010-0000-1000-000003000000}" name="欄3" headerRowDxfId="103" dataDxfId="102" headerRowCellStyle="一般 2 2"/>
    <tableColumn id="4" xr3:uid="{00000000-0010-0000-1000-000004000000}" name="欄4" headerRowDxfId="101" dataDxfId="100" headerRowCellStyle="一般 2 2" dataCellStyle="一般 2 2"/>
    <tableColumn id="5" xr3:uid="{00000000-0010-0000-1000-000005000000}" name="欄5" headerRowDxfId="99" dataDxfId="98" headerRowCellStyle="一般 2 2" dataCellStyle="一般 2 2"/>
    <tableColumn id="6" xr3:uid="{00000000-0010-0000-1000-000006000000}" name="欄6" headerRowDxfId="97" dataDxfId="96" headerRowCellStyle="一般 2 2"/>
    <tableColumn id="7" xr3:uid="{00000000-0010-0000-1000-000007000000}" name="欄7" headerRowDxfId="95" dataDxfId="94" headerRowCellStyle="一般 2 2" dataCellStyle="一般 2 2"/>
    <tableColumn id="8" xr3:uid="{00000000-0010-0000-1000-000008000000}" name="欄8" headerRowDxfId="93" dataDxfId="92" headerRowCellStyle="一般 2 2"/>
    <tableColumn id="9" xr3:uid="{00000000-0010-0000-1000-000009000000}" name="欄9" headerRowDxfId="91" dataDxfId="90" headerRowCellStyle="一般 2 2"/>
    <tableColumn id="10" xr3:uid="{00000000-0010-0000-1000-00000A000000}" name="欄10" headerRowDxfId="89" dataDxfId="88" headerRowCellStyle="一般 2 2"/>
    <tableColumn id="11" xr3:uid="{00000000-0010-0000-1000-00000B000000}" name="欄11" headerRowDxfId="87" dataDxfId="86" headerRowCellStyle="一般 2 2" dataCellStyle="一般 2 2"/>
    <tableColumn id="12" xr3:uid="{00000000-0010-0000-1000-00000C000000}" name="欄12" headerRowDxfId="85" dataDxfId="84" headerRowCellStyle="一般 2 2" dataCellStyle="一般 2 2"/>
    <tableColumn id="13" xr3:uid="{00000000-0010-0000-1000-00000D000000}" name="欄13" headerRowDxfId="83" dataDxfId="82" headerRowCellStyle="一般 2 2" dataCellStyle="一般 2 2"/>
    <tableColumn id="14" xr3:uid="{00000000-0010-0000-1000-00000E000000}" name="欄14" headerRowDxfId="81" dataDxfId="80" headerRowCellStyle="一般 2 2" dataCellStyle="一般 2 2"/>
    <tableColumn id="15" xr3:uid="{00000000-0010-0000-1000-00000F000000}" name="欄15" headerRowDxfId="79" dataDxfId="78" headerRowCellStyle="一般 2 2" dataCellStyle="一般 2 2"/>
    <tableColumn id="16" xr3:uid="{00000000-0010-0000-1000-000010000000}" name="欄16" headerRowDxfId="77" dataDxfId="76" headerRowCellStyle="一般 2 2" dataCellStyle="一般 2 2"/>
    <tableColumn id="17" xr3:uid="{00000000-0010-0000-1000-000011000000}" name="欄17" headerRowDxfId="75" dataDxfId="74" headerRowCellStyle="一般 2 2" dataCellStyle="一般 2 2"/>
    <tableColumn id="18" xr3:uid="{00000000-0010-0000-1000-000012000000}" name="欄18" headerRowDxfId="73" dataDxfId="72" headerRowCellStyle="一般 2 2" dataCellStyle="一般 2 2"/>
  </tableColumns>
  <tableStyleInfo name="自訂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表格18" displayName="表格18" ref="E105:R114" headerRowCount="0" totalsRowShown="0" headerRowDxfId="71" headerRowBorderDxfId="70" tableBorderDxfId="69" headerRowCellStyle="一般 2 2">
  <tableColumns count="14">
    <tableColumn id="1" xr3:uid="{00000000-0010-0000-1100-000001000000}" name="欄1" headerRowDxfId="68" headerRowCellStyle="一般 2 2"/>
    <tableColumn id="2" xr3:uid="{00000000-0010-0000-1100-000002000000}" name="欄2" headerRowDxfId="67" headerRowCellStyle="一般 2 2"/>
    <tableColumn id="3" xr3:uid="{00000000-0010-0000-1100-000003000000}" name="欄3" headerRowDxfId="66" headerRowCellStyle="一般 2 2"/>
    <tableColumn id="4" xr3:uid="{00000000-0010-0000-1100-000004000000}" name="欄4" headerRowDxfId="65" headerRowCellStyle="一般 2 2"/>
    <tableColumn id="5" xr3:uid="{00000000-0010-0000-1100-000005000000}" name="欄5" headerRowDxfId="64" headerRowCellStyle="一般 2 2"/>
    <tableColumn id="6" xr3:uid="{00000000-0010-0000-1100-000006000000}" name="欄6" headerRowDxfId="63" headerRowCellStyle="一般 2 2"/>
    <tableColumn id="7" xr3:uid="{00000000-0010-0000-1100-000007000000}" name="欄7" headerRowDxfId="62" headerRowCellStyle="一般 2 2"/>
    <tableColumn id="8" xr3:uid="{00000000-0010-0000-1100-000008000000}" name="欄8" headerRowDxfId="61" headerRowCellStyle="一般 2 2"/>
    <tableColumn id="9" xr3:uid="{00000000-0010-0000-1100-000009000000}" name="欄9" headerRowDxfId="60" headerRowCellStyle="一般 2 2"/>
    <tableColumn id="10" xr3:uid="{00000000-0010-0000-1100-00000A000000}" name="欄10" headerRowDxfId="59" headerRowCellStyle="一般 2 2"/>
    <tableColumn id="11" xr3:uid="{00000000-0010-0000-1100-00000B000000}" name="欄11" headerRowDxfId="58" headerRowCellStyle="一般 2 2"/>
    <tableColumn id="12" xr3:uid="{00000000-0010-0000-1100-00000C000000}" name="欄12" headerRowDxfId="57" headerRowCellStyle="一般 2 2"/>
    <tableColumn id="13" xr3:uid="{00000000-0010-0000-1100-00000D000000}" name="欄13" headerRowDxfId="56" headerRowCellStyle="一般 2 2"/>
    <tableColumn id="14" xr3:uid="{00000000-0010-0000-1100-00000E000000}" name="欄14" headerRowDxfId="55" headerRowCellStyle="一般 2 2"/>
  </tableColumns>
  <tableStyleInfo name="自訂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2000000}" name="表格4" displayName="表格4" ref="A116:R123" headerRowCount="0" totalsRowShown="0" headerRowDxfId="54" dataDxfId="53" headerRowCellStyle="一般 2 2" dataCellStyle="一般 2 2">
  <tableColumns count="18">
    <tableColumn id="1" xr3:uid="{00000000-0010-0000-1200-000001000000}" name="欄1" headerRowDxfId="52" dataDxfId="51" headerRowCellStyle="一般 2 2" dataCellStyle="一般 2 2"/>
    <tableColumn id="2" xr3:uid="{00000000-0010-0000-1200-000002000000}" name="欄2" headerRowDxfId="50" dataDxfId="49" headerRowCellStyle="一般 2 2" dataCellStyle="一般 2 3"/>
    <tableColumn id="3" xr3:uid="{00000000-0010-0000-1200-000003000000}" name="欄3" headerRowDxfId="48" dataDxfId="47" headerRowCellStyle="一般 2 2" dataCellStyle="一般 2 3"/>
    <tableColumn id="4" xr3:uid="{00000000-0010-0000-1200-000004000000}" name="欄4" headerRowDxfId="46" dataDxfId="45" headerRowCellStyle="一般 2 2" dataCellStyle="一般 2 2"/>
    <tableColumn id="5" xr3:uid="{00000000-0010-0000-1200-000005000000}" name="欄5" headerRowDxfId="44" dataDxfId="43" headerRowCellStyle="一般 2 2" dataCellStyle="一般 2 2"/>
    <tableColumn id="6" xr3:uid="{00000000-0010-0000-1200-000006000000}" name="欄6" headerRowDxfId="42" dataDxfId="41" headerRowCellStyle="一般 2 2"/>
    <tableColumn id="7" xr3:uid="{00000000-0010-0000-1200-000007000000}" name="欄7" headerRowDxfId="40" dataDxfId="39" headerRowCellStyle="一般 2 2"/>
    <tableColumn id="8" xr3:uid="{00000000-0010-0000-1200-000008000000}" name="欄8" headerRowDxfId="38" dataDxfId="37" headerRowCellStyle="一般 2 2"/>
    <tableColumn id="9" xr3:uid="{00000000-0010-0000-1200-000009000000}" name="欄9" headerRowDxfId="36" dataDxfId="35" headerRowCellStyle="一般 2 2"/>
    <tableColumn id="10" xr3:uid="{00000000-0010-0000-1200-00000A000000}" name="欄10" headerRowDxfId="34" dataDxfId="33" headerRowCellStyle="一般 2 2"/>
    <tableColumn id="11" xr3:uid="{00000000-0010-0000-1200-00000B000000}" name="欄11" headerRowDxfId="32" dataDxfId="31" headerRowCellStyle="一般 2 2" dataCellStyle="一般 2 2"/>
    <tableColumn id="12" xr3:uid="{00000000-0010-0000-1200-00000C000000}" name="欄12" headerRowDxfId="30" dataDxfId="29" headerRowCellStyle="一般 2 2" dataCellStyle="一般 2 2"/>
    <tableColumn id="13" xr3:uid="{00000000-0010-0000-1200-00000D000000}" name="欄13" headerRowDxfId="28" dataDxfId="27" headerRowCellStyle="一般 2 2" dataCellStyle="一般 2 2"/>
    <tableColumn id="14" xr3:uid="{00000000-0010-0000-1200-00000E000000}" name="欄14" headerRowDxfId="26" dataDxfId="25" headerRowCellStyle="一般 2 2" dataCellStyle="一般 2 2"/>
    <tableColumn id="15" xr3:uid="{00000000-0010-0000-1200-00000F000000}" name="欄15" headerRowDxfId="24" dataDxfId="23" headerRowCellStyle="一般 2 2" dataCellStyle="一般 2 2"/>
    <tableColumn id="16" xr3:uid="{00000000-0010-0000-1200-000010000000}" name="欄16" headerRowDxfId="22" dataDxfId="21" headerRowCellStyle="一般 2 2" dataCellStyle="一般 2 2"/>
    <tableColumn id="17" xr3:uid="{00000000-0010-0000-1200-000011000000}" name="欄17" headerRowDxfId="20" dataDxfId="19" headerRowCellStyle="一般 2 2" dataCellStyle="一般 2 2"/>
    <tableColumn id="18" xr3:uid="{00000000-0010-0000-1200-000012000000}" name="欄18" headerRowDxfId="18" dataDxfId="17" headerRowCellStyle="一般 2 2" dataCellStyle="一般 2 2"/>
  </tableColumns>
  <tableStyleInfo name="自訂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1000000}" name="表格5_21" displayName="表格5_21" ref="A2:N15" headerRowCount="0" totalsRowShown="0" headerRowDxfId="583" dataDxfId="582" tableBorderDxfId="581" headerRowCellStyle="一般 2 3">
  <tableColumns count="14">
    <tableColumn id="1" xr3:uid="{00000000-0010-0000-0100-000001000000}" name="欄1" dataDxfId="580" dataCellStyle="一般 2 3"/>
    <tableColumn id="2" xr3:uid="{00000000-0010-0000-0100-000002000000}" name="欄2" dataDxfId="579" dataCellStyle="一般 2 3"/>
    <tableColumn id="3" xr3:uid="{00000000-0010-0000-0100-000003000000}" name="欄3" headerRowDxfId="578" dataDxfId="577" headerRowCellStyle="一般 2 3" dataCellStyle="一般 2 3"/>
    <tableColumn id="4" xr3:uid="{00000000-0010-0000-0100-000004000000}" name="欄4" headerRowDxfId="576" dataDxfId="575" headerRowCellStyle="一般 2 3" dataCellStyle="一般 2 3"/>
    <tableColumn id="5" xr3:uid="{00000000-0010-0000-0100-000005000000}" name="欄5" headerRowDxfId="574" dataDxfId="573" headerRowCellStyle="一般 2 3" dataCellStyle="一般 2 3"/>
    <tableColumn id="6" xr3:uid="{00000000-0010-0000-0100-000006000000}" name="欄6" headerRowDxfId="572" dataDxfId="571" headerRowCellStyle="一般 2 3" dataCellStyle="一般 2 3"/>
    <tableColumn id="7" xr3:uid="{00000000-0010-0000-0100-000007000000}" name="欄7" headerRowDxfId="570" dataDxfId="569" headerRowCellStyle="一般 2 3"/>
    <tableColumn id="8" xr3:uid="{00000000-0010-0000-0100-000008000000}" name="欄8" headerRowDxfId="568" dataDxfId="567" headerRowCellStyle="一般 2 3"/>
    <tableColumn id="9" xr3:uid="{00000000-0010-0000-0100-000009000000}" name="欄9" headerRowDxfId="566" dataDxfId="565" headerRowCellStyle="一般 2 3"/>
    <tableColumn id="10" xr3:uid="{00000000-0010-0000-0100-00000A000000}" name="欄10" headerRowDxfId="564" dataDxfId="563" headerRowCellStyle="一般 2 3"/>
    <tableColumn id="11" xr3:uid="{00000000-0010-0000-0100-00000B000000}" name="欄11" headerRowDxfId="562" dataDxfId="561" headerRowCellStyle="一般 2 3"/>
    <tableColumn id="12" xr3:uid="{00000000-0010-0000-0100-00000C000000}" name="欄12" headerRowDxfId="560" dataDxfId="559" headerRowCellStyle="一般 2 3"/>
    <tableColumn id="13" xr3:uid="{00000000-0010-0000-0100-00000D000000}" name="欄13" headerRowDxfId="558" dataDxfId="557" headerRowCellStyle="一般 2 3"/>
    <tableColumn id="14" xr3:uid="{00000000-0010-0000-0100-00000E000000}" name="欄14" headerRowDxfId="556" dataDxfId="555" headerRowCellStyle="一般 2 3"/>
  </tableColumns>
  <tableStyleInfo name="自訂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3000000}" name="表格19" displayName="表格19" ref="E128:R135" headerRowCount="0" totalsRowShown="0" headerRowDxfId="16" headerRowBorderDxfId="15" tableBorderDxfId="14" headerRowCellStyle="一般 2 2">
  <tableColumns count="14">
    <tableColumn id="1" xr3:uid="{00000000-0010-0000-1300-000001000000}" name="欄1" headerRowDxfId="13" headerRowCellStyle="一般 2 2"/>
    <tableColumn id="2" xr3:uid="{00000000-0010-0000-1300-000002000000}" name="欄2" headerRowDxfId="12" headerRowCellStyle="一般 2 2"/>
    <tableColumn id="3" xr3:uid="{00000000-0010-0000-1300-000003000000}" name="欄3" headerRowDxfId="11" headerRowCellStyle="一般 2 2"/>
    <tableColumn id="4" xr3:uid="{00000000-0010-0000-1300-000004000000}" name="欄4" headerRowDxfId="10" headerRowCellStyle="一般 2 2"/>
    <tableColumn id="5" xr3:uid="{00000000-0010-0000-1300-000005000000}" name="欄5" headerRowDxfId="9" headerRowCellStyle="一般 2 2"/>
    <tableColumn id="6" xr3:uid="{00000000-0010-0000-1300-000006000000}" name="欄6" headerRowDxfId="8" headerRowCellStyle="一般 2 2"/>
    <tableColumn id="7" xr3:uid="{00000000-0010-0000-1300-000007000000}" name="欄7" headerRowDxfId="7" headerRowCellStyle="一般 2 2"/>
    <tableColumn id="8" xr3:uid="{00000000-0010-0000-1300-000008000000}" name="欄8" headerRowDxfId="6" headerRowCellStyle="一般 2 2"/>
    <tableColumn id="9" xr3:uid="{00000000-0010-0000-1300-000009000000}" name="欄9" headerRowDxfId="5" headerRowCellStyle="一般 2 2"/>
    <tableColumn id="10" xr3:uid="{00000000-0010-0000-1300-00000A000000}" name="欄10" headerRowDxfId="4" headerRowCellStyle="一般 2 2"/>
    <tableColumn id="11" xr3:uid="{00000000-0010-0000-1300-00000B000000}" name="欄11" headerRowDxfId="3" headerRowCellStyle="一般 2 2"/>
    <tableColumn id="12" xr3:uid="{00000000-0010-0000-1300-00000C000000}" name="欄12" headerRowDxfId="2" headerRowCellStyle="一般 2 2"/>
    <tableColumn id="13" xr3:uid="{00000000-0010-0000-1300-00000D000000}" name="欄13" headerRowDxfId="1" headerRowCellStyle="一般 2 2"/>
    <tableColumn id="14" xr3:uid="{00000000-0010-0000-1300-00000E000000}" name="欄14" headerRowDxfId="0" headerRowCellStyle="一般 2 2"/>
  </tableColumns>
  <tableStyleInfo name="自訂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表格7" displayName="表格7" ref="A1:R8" headerRowCount="0" totalsRowShown="0" headerRowDxfId="554" dataDxfId="553" headerRowCellStyle="一般 2 2">
  <tableColumns count="18">
    <tableColumn id="1" xr3:uid="{00000000-0010-0000-0200-000001000000}" name="欄1" headerRowDxfId="552" dataDxfId="551" headerRowCellStyle="一般 2 2" dataCellStyle="一般 2 2"/>
    <tableColumn id="2" xr3:uid="{00000000-0010-0000-0200-000002000000}" name="欄2" headerRowDxfId="550" dataDxfId="549" headerRowCellStyle="一般 2 2"/>
    <tableColumn id="3" xr3:uid="{00000000-0010-0000-0200-000003000000}" name="欄3" headerRowDxfId="548" dataDxfId="547" headerRowCellStyle="一般 2 2"/>
    <tableColumn id="4" xr3:uid="{00000000-0010-0000-0200-000004000000}" name="欄4" headerRowDxfId="546" dataDxfId="545" headerRowCellStyle="一般 2 2" dataCellStyle="一般 2 2"/>
    <tableColumn id="5" xr3:uid="{00000000-0010-0000-0200-000005000000}" name="欄5" headerRowDxfId="544" dataDxfId="543" headerRowCellStyle="一般 2 2" dataCellStyle="一般 2 2"/>
    <tableColumn id="6" xr3:uid="{00000000-0010-0000-0200-000006000000}" name="欄6" headerRowDxfId="542" dataDxfId="541" headerRowCellStyle="一般 2 2"/>
    <tableColumn id="7" xr3:uid="{00000000-0010-0000-0200-000007000000}" name="欄7" headerRowDxfId="540" dataDxfId="539" headerRowCellStyle="一般 2 2"/>
    <tableColumn id="8" xr3:uid="{00000000-0010-0000-0200-000008000000}" name="欄8" headerRowDxfId="538" dataDxfId="537" headerRowCellStyle="一般 2 2"/>
    <tableColumn id="9" xr3:uid="{00000000-0010-0000-0200-000009000000}" name="欄9" headerRowDxfId="536" dataDxfId="535" headerRowCellStyle="一般 2 2"/>
    <tableColumn id="10" xr3:uid="{00000000-0010-0000-0200-00000A000000}" name="欄10" headerRowDxfId="534" dataDxfId="533" headerRowCellStyle="一般 2 2"/>
    <tableColumn id="11" xr3:uid="{00000000-0010-0000-0200-00000B000000}" name="欄11" headerRowDxfId="532" dataDxfId="531" headerRowCellStyle="一般 2 2"/>
    <tableColumn id="12" xr3:uid="{00000000-0010-0000-0200-00000C000000}" name="欄12" headerRowDxfId="530" dataDxfId="529" headerRowCellStyle="一般 2 2"/>
    <tableColumn id="13" xr3:uid="{00000000-0010-0000-0200-00000D000000}" name="欄13" headerRowDxfId="528" dataDxfId="527" headerRowCellStyle="一般 2 2"/>
    <tableColumn id="14" xr3:uid="{00000000-0010-0000-0200-00000E000000}" name="欄14" headerRowDxfId="526" dataDxfId="525" headerRowCellStyle="一般 2 2"/>
    <tableColumn id="15" xr3:uid="{00000000-0010-0000-0200-00000F000000}" name="欄15" headerRowDxfId="524" dataDxfId="523" headerRowCellStyle="一般 2 2"/>
    <tableColumn id="16" xr3:uid="{00000000-0010-0000-0200-000010000000}" name="欄16" headerRowDxfId="522" dataDxfId="521" headerRowCellStyle="一般 2 2"/>
    <tableColumn id="17" xr3:uid="{00000000-0010-0000-0200-000011000000}" name="欄17" headerRowDxfId="520" dataDxfId="519" headerRowCellStyle="一般 2 2"/>
    <tableColumn id="18" xr3:uid="{00000000-0010-0000-0200-000012000000}" name="欄18" headerRowDxfId="518" dataDxfId="517" headerRowCellStyle="一般 2 2"/>
  </tableColumns>
  <tableStyleInfo name="自訂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表格8" displayName="表格8" ref="E10:R16" headerRowCount="0" totalsRowShown="0" headerRowDxfId="516" dataDxfId="515" tableBorderDxfId="514" headerRowCellStyle="一般 2 2">
  <tableColumns count="14">
    <tableColumn id="1" xr3:uid="{00000000-0010-0000-0300-000001000000}" name="欄1" headerRowDxfId="513" dataDxfId="512" headerRowCellStyle="一般 2 2" dataCellStyle="一般 2 2"/>
    <tableColumn id="2" xr3:uid="{00000000-0010-0000-0300-000002000000}" name="欄2" headerRowDxfId="511" dataDxfId="510" headerRowCellStyle="一般 2 2" dataCellStyle="一般 2 2"/>
    <tableColumn id="3" xr3:uid="{00000000-0010-0000-0300-000003000000}" name="欄3" headerRowDxfId="509" dataDxfId="508" headerRowCellStyle="一般 2 2"/>
    <tableColumn id="4" xr3:uid="{00000000-0010-0000-0300-000004000000}" name="欄4" headerRowDxfId="507" dataDxfId="506" headerRowCellStyle="一般 2 2"/>
    <tableColumn id="5" xr3:uid="{00000000-0010-0000-0300-000005000000}" name="欄5" headerRowDxfId="505" dataDxfId="504" headerRowCellStyle="一般 2 2"/>
    <tableColumn id="6" xr3:uid="{00000000-0010-0000-0300-000006000000}" name="欄6" headerRowDxfId="503" dataDxfId="502" headerRowCellStyle="一般 2 2"/>
    <tableColumn id="7" xr3:uid="{00000000-0010-0000-0300-000007000000}" name="欄7" headerRowDxfId="501" dataDxfId="500" headerRowCellStyle="一般 2 2"/>
    <tableColumn id="8" xr3:uid="{00000000-0010-0000-0300-000008000000}" name="欄8" headerRowDxfId="499" dataDxfId="498" headerRowCellStyle="一般 2 2"/>
    <tableColumn id="9" xr3:uid="{00000000-0010-0000-0300-000009000000}" name="欄9" headerRowDxfId="497" dataDxfId="496" headerRowCellStyle="一般 2 2"/>
    <tableColumn id="10" xr3:uid="{00000000-0010-0000-0300-00000A000000}" name="欄10" headerRowDxfId="495" dataDxfId="494" headerRowCellStyle="一般 2 2"/>
    <tableColumn id="11" xr3:uid="{00000000-0010-0000-0300-00000B000000}" name="欄11" headerRowDxfId="493" dataDxfId="492" headerRowCellStyle="一般 2 2"/>
    <tableColumn id="12" xr3:uid="{00000000-0010-0000-0300-00000C000000}" name="欄12" headerRowDxfId="491" dataDxfId="490" headerRowCellStyle="一般 2 2"/>
    <tableColumn id="13" xr3:uid="{00000000-0010-0000-0300-00000D000000}" name="欄13" headerRowDxfId="489" dataDxfId="488" headerRowCellStyle="一般 2 2"/>
    <tableColumn id="14" xr3:uid="{00000000-0010-0000-0300-00000E000000}" name="欄14" headerRowDxfId="487" dataDxfId="486" headerRowCellStyle="一般 2 2"/>
  </tableColumns>
  <tableStyleInfo name="自訂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表格1" displayName="表格1" ref="A2:R11" headerRowCount="0" totalsRowShown="0" headerRowDxfId="485" dataDxfId="484" dataCellStyle="一般 2 2">
  <tableColumns count="18">
    <tableColumn id="1" xr3:uid="{00000000-0010-0000-0400-000001000000}" name="欄1" dataDxfId="483"/>
    <tableColumn id="2" xr3:uid="{00000000-0010-0000-0400-000002000000}" name="欄2" dataDxfId="482"/>
    <tableColumn id="3" xr3:uid="{00000000-0010-0000-0400-000003000000}" name="欄3" dataDxfId="481"/>
    <tableColumn id="4" xr3:uid="{00000000-0010-0000-0400-000004000000}" name="欄4" dataDxfId="480" dataCellStyle="一般 2 2"/>
    <tableColumn id="5" xr3:uid="{00000000-0010-0000-0400-000005000000}" name="欄5" dataDxfId="479" dataCellStyle="一般 2 2"/>
    <tableColumn id="6" xr3:uid="{00000000-0010-0000-0400-000006000000}" name="欄6" dataDxfId="478"/>
    <tableColumn id="7" xr3:uid="{00000000-0010-0000-0400-000007000000}" name="欄7" dataDxfId="477" dataCellStyle="一般 2 2"/>
    <tableColumn id="8" xr3:uid="{00000000-0010-0000-0400-000008000000}" name="欄8" dataDxfId="476"/>
    <tableColumn id="9" xr3:uid="{00000000-0010-0000-0400-000009000000}" name="欄9" dataDxfId="475"/>
    <tableColumn id="10" xr3:uid="{00000000-0010-0000-0400-00000A000000}" name="欄10" dataDxfId="474"/>
    <tableColumn id="11" xr3:uid="{00000000-0010-0000-0400-00000B000000}" name="欄11" dataDxfId="473" dataCellStyle="一般 2 2"/>
    <tableColumn id="12" xr3:uid="{00000000-0010-0000-0400-00000C000000}" name="欄12" dataDxfId="472" dataCellStyle="一般 2 2"/>
    <tableColumn id="13" xr3:uid="{00000000-0010-0000-0400-00000D000000}" name="欄13" dataDxfId="471" dataCellStyle="一般 2 2"/>
    <tableColumn id="14" xr3:uid="{00000000-0010-0000-0400-00000E000000}" name="欄14" dataDxfId="470" dataCellStyle="一般 2 2"/>
    <tableColumn id="15" xr3:uid="{00000000-0010-0000-0400-00000F000000}" name="欄15" dataDxfId="469" dataCellStyle="一般 2 2"/>
    <tableColumn id="16" xr3:uid="{00000000-0010-0000-0400-000010000000}" name="欄16" dataDxfId="468" dataCellStyle="一般 2 2"/>
    <tableColumn id="17" xr3:uid="{00000000-0010-0000-0400-000011000000}" name="欄17" dataDxfId="467" dataCellStyle="一般 2 2"/>
    <tableColumn id="18" xr3:uid="{00000000-0010-0000-0400-000012000000}" name="欄18" dataDxfId="466" dataCellStyle="一般 2 2"/>
  </tableColumns>
  <tableStyleInfo name="自訂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表格16" displayName="表格16" ref="E18:R27" headerRowCount="0" totalsRowShown="0" headerRowDxfId="465" dataDxfId="463" headerRowBorderDxfId="464" tableBorderDxfId="462" headerRowCellStyle="一般 2 2" dataCellStyle="一般 2">
  <tableColumns count="14">
    <tableColumn id="1" xr3:uid="{00000000-0010-0000-0500-000001000000}" name="欄1" headerRowDxfId="461" dataDxfId="460" headerRowCellStyle="一般 2 2"/>
    <tableColumn id="2" xr3:uid="{00000000-0010-0000-0500-000002000000}" name="欄2" headerRowDxfId="459" dataDxfId="458" headerRowCellStyle="一般 2 2"/>
    <tableColumn id="3" xr3:uid="{00000000-0010-0000-0500-000003000000}" name="欄3" headerRowDxfId="457" dataDxfId="456" headerRowCellStyle="一般 2 2"/>
    <tableColumn id="4" xr3:uid="{00000000-0010-0000-0500-000004000000}" name="欄4" headerRowDxfId="455" dataDxfId="454" headerRowCellStyle="一般 2 2"/>
    <tableColumn id="5" xr3:uid="{00000000-0010-0000-0500-000005000000}" name="欄5" headerRowDxfId="453" dataDxfId="452" headerRowCellStyle="一般 2 2"/>
    <tableColumn id="6" xr3:uid="{00000000-0010-0000-0500-000006000000}" name="欄6" headerRowDxfId="451" dataDxfId="450" headerRowCellStyle="一般 2 2"/>
    <tableColumn id="7" xr3:uid="{00000000-0010-0000-0500-000007000000}" name="欄7" headerRowDxfId="449" dataDxfId="448" headerRowCellStyle="一般 2 2" dataCellStyle="一般 2"/>
    <tableColumn id="8" xr3:uid="{00000000-0010-0000-0500-000008000000}" name="欄8" headerRowDxfId="447" dataDxfId="446" headerRowCellStyle="一般 2 2" dataCellStyle="一般 2"/>
    <tableColumn id="9" xr3:uid="{00000000-0010-0000-0500-000009000000}" name="欄9" headerRowDxfId="445" dataDxfId="444" headerRowCellStyle="一般 2 2" dataCellStyle="一般 2"/>
    <tableColumn id="10" xr3:uid="{00000000-0010-0000-0500-00000A000000}" name="欄10" headerRowDxfId="443" dataDxfId="442" headerRowCellStyle="一般 2 2" dataCellStyle="一般 2"/>
    <tableColumn id="11" xr3:uid="{00000000-0010-0000-0500-00000B000000}" name="欄11" headerRowDxfId="441" dataDxfId="440" headerRowCellStyle="一般 2 2" dataCellStyle="一般 2"/>
    <tableColumn id="12" xr3:uid="{00000000-0010-0000-0500-00000C000000}" name="欄12" headerRowDxfId="439" dataDxfId="438" headerRowCellStyle="一般 2 2" dataCellStyle="一般 2"/>
    <tableColumn id="13" xr3:uid="{00000000-0010-0000-0500-00000D000000}" name="欄13" headerRowDxfId="437" dataDxfId="436" headerRowCellStyle="一般 2 2" dataCellStyle="一般 2"/>
    <tableColumn id="14" xr3:uid="{00000000-0010-0000-0500-00000E000000}" name="欄14" headerRowDxfId="435" dataDxfId="434" headerRowCellStyle="一般 2 2" dataCellStyle="一般 2"/>
  </tableColumns>
  <tableStyleInfo name="自訂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表格11" displayName="表格11" ref="A1:R14" headerRowCount="0" totalsRowShown="0" headerRowDxfId="433" dataDxfId="432" headerRowCellStyle="一般 2 2">
  <tableColumns count="18">
    <tableColumn id="1" xr3:uid="{00000000-0010-0000-0600-000001000000}" name="欄1" headerRowDxfId="431" dataDxfId="430" headerRowCellStyle="一般 2 2" dataCellStyle="一般 2 2"/>
    <tableColumn id="2" xr3:uid="{00000000-0010-0000-0600-000002000000}" name="欄2" headerRowDxfId="429" dataDxfId="428" headerRowCellStyle="一般 2 2"/>
    <tableColumn id="3" xr3:uid="{00000000-0010-0000-0600-000003000000}" name="欄3" headerRowDxfId="427" dataDxfId="426" headerRowCellStyle="一般 2 2"/>
    <tableColumn id="4" xr3:uid="{00000000-0010-0000-0600-000004000000}" name="欄4" headerRowDxfId="425" dataDxfId="424" headerRowCellStyle="一般 2 2" dataCellStyle="一般 2 2"/>
    <tableColumn id="5" xr3:uid="{00000000-0010-0000-0600-000005000000}" name="欄5" headerRowDxfId="423" dataDxfId="422" headerRowCellStyle="一般 2 2" dataCellStyle="一般 2 2"/>
    <tableColumn id="6" xr3:uid="{00000000-0010-0000-0600-000006000000}" name="欄6" headerRowDxfId="421" dataDxfId="420" headerRowCellStyle="一般 2 2"/>
    <tableColumn id="7" xr3:uid="{00000000-0010-0000-0600-000007000000}" name="欄7" headerRowDxfId="419" dataDxfId="418" headerRowCellStyle="一般 2 2"/>
    <tableColumn id="8" xr3:uid="{00000000-0010-0000-0600-000008000000}" name="欄8" headerRowDxfId="417" dataDxfId="416" headerRowCellStyle="一般 2 2"/>
    <tableColumn id="9" xr3:uid="{00000000-0010-0000-0600-000009000000}" name="欄9" headerRowDxfId="415" dataDxfId="414" headerRowCellStyle="一般 2 2"/>
    <tableColumn id="10" xr3:uid="{00000000-0010-0000-0600-00000A000000}" name="欄10" headerRowDxfId="413" dataDxfId="412" headerRowCellStyle="一般 2 2"/>
    <tableColumn id="11" xr3:uid="{00000000-0010-0000-0600-00000B000000}" name="欄11" headerRowDxfId="411" dataDxfId="410" headerRowCellStyle="一般 2 2"/>
    <tableColumn id="12" xr3:uid="{00000000-0010-0000-0600-00000C000000}" name="欄12" headerRowDxfId="409" dataDxfId="408" headerRowCellStyle="一般 2 2"/>
    <tableColumn id="13" xr3:uid="{00000000-0010-0000-0600-00000D000000}" name="欄13" headerRowDxfId="407" dataDxfId="406" headerRowCellStyle="一般 2 2"/>
    <tableColumn id="14" xr3:uid="{00000000-0010-0000-0600-00000E000000}" name="欄14" headerRowDxfId="405" dataDxfId="404" headerRowCellStyle="一般 2 2"/>
    <tableColumn id="15" xr3:uid="{00000000-0010-0000-0600-00000F000000}" name="欄15" headerRowDxfId="403" dataDxfId="402" headerRowCellStyle="一般 2 2"/>
    <tableColumn id="16" xr3:uid="{00000000-0010-0000-0600-000010000000}" name="欄16" headerRowDxfId="401" dataDxfId="400" headerRowCellStyle="一般 2 2"/>
    <tableColumn id="17" xr3:uid="{00000000-0010-0000-0600-000011000000}" name="欄17" headerRowDxfId="399" dataDxfId="398" headerRowCellStyle="一般 2 2"/>
    <tableColumn id="18" xr3:uid="{00000000-0010-0000-0600-000012000000}" name="欄18" headerRowDxfId="397" dataDxfId="396" headerRowCellStyle="一般 2 2"/>
  </tableColumns>
  <tableStyleInfo name="自訂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表格12" displayName="表格12" ref="E24:R37" headerRowCount="0" totalsRowShown="0" headerRowDxfId="395" dataDxfId="393" headerRowBorderDxfId="394" tableBorderDxfId="392" totalsRowBorderDxfId="391" headerRowCellStyle="一般 2 2">
  <tableColumns count="14">
    <tableColumn id="1" xr3:uid="{00000000-0010-0000-0700-000001000000}" name="欄1" headerRowDxfId="390" dataDxfId="389" headerRowCellStyle="一般 2 2" dataCellStyle="一般 2 2"/>
    <tableColumn id="2" xr3:uid="{00000000-0010-0000-0700-000002000000}" name="欄2" headerRowDxfId="388" dataDxfId="387" headerRowCellStyle="一般 2 2"/>
    <tableColumn id="3" xr3:uid="{00000000-0010-0000-0700-000003000000}" name="欄3" headerRowDxfId="386" dataDxfId="385" headerRowCellStyle="一般 2 2"/>
    <tableColumn id="4" xr3:uid="{00000000-0010-0000-0700-000004000000}" name="欄4" headerRowDxfId="384" dataDxfId="383" headerRowCellStyle="一般 2 2"/>
    <tableColumn id="5" xr3:uid="{00000000-0010-0000-0700-000005000000}" name="欄5" headerRowDxfId="382" dataDxfId="381" headerRowCellStyle="一般 2 2"/>
    <tableColumn id="6" xr3:uid="{00000000-0010-0000-0700-000006000000}" name="欄6" headerRowDxfId="380" dataDxfId="379" headerRowCellStyle="一般 2 2"/>
    <tableColumn id="7" xr3:uid="{00000000-0010-0000-0700-000007000000}" name="欄7" headerRowDxfId="378" dataDxfId="377" headerRowCellStyle="一般 2 2"/>
    <tableColumn id="8" xr3:uid="{00000000-0010-0000-0700-000008000000}" name="欄8" headerRowDxfId="376" dataDxfId="375" headerRowCellStyle="一般 2 2"/>
    <tableColumn id="9" xr3:uid="{00000000-0010-0000-0700-000009000000}" name="欄9" headerRowDxfId="374" dataDxfId="373" headerRowCellStyle="一般 2 2"/>
    <tableColumn id="10" xr3:uid="{00000000-0010-0000-0700-00000A000000}" name="欄10" headerRowDxfId="372" dataDxfId="371" headerRowCellStyle="一般 2 2"/>
    <tableColumn id="11" xr3:uid="{00000000-0010-0000-0700-00000B000000}" name="欄11" headerRowDxfId="370" dataDxfId="369" headerRowCellStyle="一般 2 2"/>
    <tableColumn id="12" xr3:uid="{00000000-0010-0000-0700-00000C000000}" name="欄12" headerRowDxfId="368" dataDxfId="367" headerRowCellStyle="一般 2 2"/>
    <tableColumn id="13" xr3:uid="{00000000-0010-0000-0700-00000D000000}" name="欄13" headerRowDxfId="366" dataDxfId="365" headerRowCellStyle="一般 2 2"/>
    <tableColumn id="14" xr3:uid="{00000000-0010-0000-0700-00000E000000}" name="欄14" headerRowDxfId="364" dataDxfId="363" headerRowCellStyle="一般 2 2"/>
  </tableColumns>
  <tableStyleInfo name="自訂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表格10" displayName="表格10" ref="A2:S9" headerRowCount="0" totalsRowShown="0" headerRowDxfId="362" dataDxfId="361" headerRowCellStyle="一般 2 2" dataCellStyle="一般 2 2">
  <tableColumns count="19">
    <tableColumn id="1" xr3:uid="{00000000-0010-0000-0800-000001000000}" name="欄1" headerRowDxfId="360" dataDxfId="359" headerRowCellStyle="一般 2 2" dataCellStyle="一般 2 2"/>
    <tableColumn id="2" xr3:uid="{00000000-0010-0000-0800-000002000000}" name="欄2" headerRowDxfId="358" dataDxfId="357" headerRowCellStyle="一般 2 2" dataCellStyle="一般 2 3"/>
    <tableColumn id="3" xr3:uid="{00000000-0010-0000-0800-000003000000}" name="欄3" headerRowDxfId="356" dataDxfId="355" headerRowCellStyle="一般 2 2" dataCellStyle="一般 2 3"/>
    <tableColumn id="4" xr3:uid="{00000000-0010-0000-0800-000004000000}" name="欄4" headerRowDxfId="354" dataDxfId="353" headerRowCellStyle="一般 2 2" dataCellStyle="一般 2 2"/>
    <tableColumn id="5" xr3:uid="{00000000-0010-0000-0800-000005000000}" name="欄5" headerRowDxfId="352" dataDxfId="351" headerRowCellStyle="一般 2 2" dataCellStyle="一般 2 2"/>
    <tableColumn id="6" xr3:uid="{00000000-0010-0000-0800-000006000000}" name="欄6" headerRowDxfId="350" dataDxfId="349" headerRowCellStyle="一般 2 2"/>
    <tableColumn id="7" xr3:uid="{00000000-0010-0000-0800-000007000000}" name="欄7" headerRowDxfId="348" dataDxfId="347" headerRowCellStyle="一般 2 2"/>
    <tableColumn id="8" xr3:uid="{00000000-0010-0000-0800-000008000000}" name="欄8" headerRowDxfId="346" dataDxfId="345" headerRowCellStyle="一般 2 2"/>
    <tableColumn id="9" xr3:uid="{00000000-0010-0000-0800-000009000000}" name="欄9" headerRowDxfId="344" dataDxfId="343" headerRowCellStyle="一般 2 2"/>
    <tableColumn id="10" xr3:uid="{00000000-0010-0000-0800-00000A000000}" name="欄10" headerRowDxfId="342" dataDxfId="341" headerRowCellStyle="一般 2 2"/>
    <tableColumn id="11" xr3:uid="{00000000-0010-0000-0800-00000B000000}" name="欄11" headerRowDxfId="340" dataDxfId="339" headerRowCellStyle="一般 2 2" dataCellStyle="一般 2 2"/>
    <tableColumn id="12" xr3:uid="{00000000-0010-0000-0800-00000C000000}" name="欄12" headerRowDxfId="338" dataDxfId="337" headerRowCellStyle="一般 2 2" dataCellStyle="一般 2 2"/>
    <tableColumn id="13" xr3:uid="{00000000-0010-0000-0800-00000D000000}" name="欄13" headerRowDxfId="336" dataDxfId="335" headerRowCellStyle="一般 2 2" dataCellStyle="一般 2 2"/>
    <tableColumn id="14" xr3:uid="{00000000-0010-0000-0800-00000E000000}" name="欄14" headerRowDxfId="334" dataDxfId="333" headerRowCellStyle="一般 2 2" dataCellStyle="一般 2 2"/>
    <tableColumn id="15" xr3:uid="{00000000-0010-0000-0800-00000F000000}" name="欄15" headerRowDxfId="332" dataDxfId="331" headerRowCellStyle="一般 2 2" dataCellStyle="一般 2 2"/>
    <tableColumn id="16" xr3:uid="{00000000-0010-0000-0800-000010000000}" name="欄16" headerRowDxfId="330" dataDxfId="329" headerRowCellStyle="一般 2 2" dataCellStyle="一般 2 2"/>
    <tableColumn id="17" xr3:uid="{00000000-0010-0000-0800-000011000000}" name="欄17" headerRowDxfId="328" dataDxfId="327" headerRowCellStyle="一般 2 2" dataCellStyle="一般 2 2"/>
    <tableColumn id="18" xr3:uid="{00000000-0010-0000-0800-000012000000}" name="欄18" headerRowDxfId="326" dataDxfId="325" headerRowCellStyle="一般 2 2" dataCellStyle="一般 2 2"/>
    <tableColumn id="19" xr3:uid="{00000000-0010-0000-0800-000013000000}" name="欄19" headerRowDxfId="324" dataDxfId="323" headerRowCellStyle="一般 2 2" dataCellStyle="一般 2 2"/>
  </tableColumns>
  <tableStyleInfo name="自訂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jf open 粉圓 2.0">
      <a:majorFont>
        <a:latin typeface="jf open 粉圓 2.0"/>
        <a:ea typeface="jf open 粉圓 2.0"/>
        <a:cs typeface=""/>
      </a:majorFont>
      <a:minorFont>
        <a:latin typeface="jf open 粉圓 2.0"/>
        <a:ea typeface="jf open 粉圓 2.0"/>
        <a:cs typeface="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t-talk.line.me/tm/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Line@" TargetMode="Externa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4CA5-1860-4E16-88CF-5643A98D8408}">
  <dimension ref="A1:O446"/>
  <sheetViews>
    <sheetView zoomScale="130" zoomScaleNormal="130" workbookViewId="0">
      <pane ySplit="1" topLeftCell="A290" activePane="bottomLeft" state="frozen"/>
      <selection pane="bottomLeft" activeCell="G319" sqref="G319"/>
    </sheetView>
  </sheetViews>
  <sheetFormatPr defaultRowHeight="14.25"/>
  <cols>
    <col min="1" max="1" width="8.5" style="287" customWidth="1"/>
    <col min="2" max="2" width="7.09765625" bestFit="1" customWidth="1"/>
    <col min="3" max="3" width="4.69921875" style="210" customWidth="1"/>
    <col min="4" max="4" width="11.59765625" bestFit="1" customWidth="1"/>
    <col min="5" max="5" width="12.796875" style="284" bestFit="1" customWidth="1"/>
    <col min="6" max="6" width="18" customWidth="1"/>
    <col min="7" max="7" width="9.09765625" style="292" customWidth="1"/>
    <col min="8" max="8" width="8.09765625" style="297" customWidth="1"/>
    <col min="9" max="9" width="7.296875" style="297" bestFit="1" customWidth="1"/>
    <col min="10" max="10" width="9.69921875" style="296" customWidth="1"/>
    <col min="11" max="11" width="8.796875" style="297"/>
    <col min="12" max="12" width="9.3984375" style="297" customWidth="1"/>
    <col min="13" max="13" width="23.796875" customWidth="1"/>
    <col min="14" max="14" width="18.5" customWidth="1"/>
  </cols>
  <sheetData>
    <row r="1" spans="1:13" s="210" customFormat="1">
      <c r="A1" s="210" t="s">
        <v>245</v>
      </c>
      <c r="B1" s="210" t="s">
        <v>246</v>
      </c>
      <c r="C1" s="210" t="s">
        <v>57</v>
      </c>
      <c r="D1" s="210" t="s">
        <v>26</v>
      </c>
      <c r="E1" s="309" t="s">
        <v>27</v>
      </c>
      <c r="F1" s="210" t="s">
        <v>30</v>
      </c>
      <c r="G1" s="306" t="s">
        <v>249</v>
      </c>
      <c r="H1" s="307" t="s">
        <v>28</v>
      </c>
      <c r="I1" s="307" t="s">
        <v>29</v>
      </c>
      <c r="J1" s="308" t="s">
        <v>46</v>
      </c>
      <c r="K1" s="307" t="s">
        <v>47</v>
      </c>
      <c r="L1" s="307" t="s">
        <v>69</v>
      </c>
      <c r="M1" s="307" t="s">
        <v>257</v>
      </c>
    </row>
    <row r="2" spans="1:13">
      <c r="A2" s="287" t="s">
        <v>247</v>
      </c>
      <c r="B2" t="s">
        <v>14</v>
      </c>
      <c r="C2" s="210" t="s">
        <v>248</v>
      </c>
      <c r="G2" s="293">
        <v>42739</v>
      </c>
      <c r="H2" s="303">
        <v>16000</v>
      </c>
      <c r="I2" s="297">
        <v>31000</v>
      </c>
      <c r="J2" s="298">
        <v>777</v>
      </c>
      <c r="K2" s="299">
        <v>209</v>
      </c>
      <c r="L2" s="297">
        <f>H2*0.1</f>
        <v>1600</v>
      </c>
    </row>
    <row r="3" spans="1:13">
      <c r="A3" s="287" t="s">
        <v>247</v>
      </c>
      <c r="B3" t="s">
        <v>15</v>
      </c>
      <c r="C3" s="210" t="s">
        <v>248</v>
      </c>
      <c r="G3" s="293">
        <v>42770</v>
      </c>
      <c r="H3" s="303">
        <v>16000</v>
      </c>
      <c r="J3" s="298">
        <v>845</v>
      </c>
      <c r="K3" s="299">
        <v>374</v>
      </c>
      <c r="L3" s="297">
        <f t="shared" ref="L3:L66" si="0">H3*0.1</f>
        <v>1600</v>
      </c>
    </row>
    <row r="4" spans="1:13">
      <c r="A4" s="287" t="s">
        <v>247</v>
      </c>
      <c r="B4" t="s">
        <v>16</v>
      </c>
      <c r="C4" s="210" t="s">
        <v>248</v>
      </c>
      <c r="G4" s="293">
        <v>42796</v>
      </c>
      <c r="H4" s="303">
        <v>16000</v>
      </c>
      <c r="J4" s="298">
        <v>977</v>
      </c>
      <c r="K4" s="299">
        <v>726</v>
      </c>
      <c r="L4" s="297">
        <f t="shared" si="0"/>
        <v>1600</v>
      </c>
    </row>
    <row r="5" spans="1:13">
      <c r="A5" s="287" t="s">
        <v>247</v>
      </c>
      <c r="B5" t="s">
        <v>17</v>
      </c>
      <c r="C5" s="210" t="s">
        <v>248</v>
      </c>
      <c r="G5" s="293">
        <v>42829</v>
      </c>
      <c r="H5" s="303">
        <v>16000</v>
      </c>
      <c r="J5" s="298">
        <v>978</v>
      </c>
      <c r="K5" s="299"/>
      <c r="L5" s="297">
        <f t="shared" si="0"/>
        <v>1600</v>
      </c>
    </row>
    <row r="6" spans="1:13">
      <c r="A6" s="287" t="s">
        <v>247</v>
      </c>
      <c r="B6" t="s">
        <v>18</v>
      </c>
      <c r="C6" s="210" t="s">
        <v>248</v>
      </c>
      <c r="D6" t="s">
        <v>102</v>
      </c>
      <c r="E6" s="284" t="s">
        <v>103</v>
      </c>
      <c r="F6" t="s">
        <v>101</v>
      </c>
      <c r="G6" s="294">
        <v>42857</v>
      </c>
      <c r="H6" s="304">
        <v>15500</v>
      </c>
      <c r="J6" s="298">
        <v>1064</v>
      </c>
      <c r="K6" s="299">
        <v>473</v>
      </c>
      <c r="L6" s="297">
        <f t="shared" si="0"/>
        <v>1550</v>
      </c>
    </row>
    <row r="7" spans="1:13">
      <c r="A7" s="287" t="s">
        <v>247</v>
      </c>
      <c r="B7" t="s">
        <v>19</v>
      </c>
      <c r="C7" s="210" t="s">
        <v>248</v>
      </c>
      <c r="D7" t="s">
        <v>102</v>
      </c>
      <c r="G7" s="294">
        <v>42887</v>
      </c>
      <c r="H7" s="304">
        <v>15500</v>
      </c>
      <c r="J7" s="298">
        <v>1232</v>
      </c>
      <c r="K7" s="299">
        <v>924</v>
      </c>
      <c r="L7" s="297">
        <f t="shared" si="0"/>
        <v>1550</v>
      </c>
    </row>
    <row r="8" spans="1:13">
      <c r="A8" s="287" t="s">
        <v>247</v>
      </c>
      <c r="B8" t="s">
        <v>20</v>
      </c>
      <c r="C8" s="210" t="s">
        <v>248</v>
      </c>
      <c r="D8" t="s">
        <v>102</v>
      </c>
      <c r="G8" s="294">
        <v>42916</v>
      </c>
      <c r="H8" s="304">
        <v>15500</v>
      </c>
      <c r="J8" s="298">
        <v>1450</v>
      </c>
      <c r="K8" s="299">
        <v>1199</v>
      </c>
      <c r="L8" s="297">
        <f t="shared" si="0"/>
        <v>1550</v>
      </c>
    </row>
    <row r="9" spans="1:13">
      <c r="A9" s="287" t="s">
        <v>247</v>
      </c>
      <c r="B9" t="s">
        <v>21</v>
      </c>
      <c r="C9" s="210" t="s">
        <v>248</v>
      </c>
      <c r="D9" t="s">
        <v>102</v>
      </c>
      <c r="G9" s="294">
        <v>42948</v>
      </c>
      <c r="H9" s="304">
        <v>15500</v>
      </c>
      <c r="J9" s="298">
        <v>1774</v>
      </c>
      <c r="K9" s="299">
        <v>1782</v>
      </c>
      <c r="L9" s="297">
        <f t="shared" si="0"/>
        <v>1550</v>
      </c>
    </row>
    <row r="10" spans="1:13">
      <c r="A10" s="287" t="s">
        <v>247</v>
      </c>
      <c r="B10" t="s">
        <v>22</v>
      </c>
      <c r="C10" s="210" t="s">
        <v>248</v>
      </c>
      <c r="D10" t="s">
        <v>102</v>
      </c>
      <c r="G10" s="294">
        <v>42979</v>
      </c>
      <c r="H10" s="304">
        <v>15500</v>
      </c>
      <c r="J10" s="298">
        <v>2032</v>
      </c>
      <c r="K10" s="299">
        <v>1419</v>
      </c>
      <c r="L10" s="297">
        <f t="shared" si="0"/>
        <v>1550</v>
      </c>
    </row>
    <row r="11" spans="1:13">
      <c r="A11" s="287" t="s">
        <v>247</v>
      </c>
      <c r="B11" t="s">
        <v>23</v>
      </c>
      <c r="C11" s="210" t="s">
        <v>248</v>
      </c>
      <c r="D11" t="s">
        <v>102</v>
      </c>
      <c r="G11" s="294">
        <v>43010</v>
      </c>
      <c r="H11" s="304">
        <v>15500</v>
      </c>
      <c r="J11" s="298">
        <v>2184</v>
      </c>
      <c r="K11" s="299">
        <v>836</v>
      </c>
      <c r="L11" s="297">
        <f t="shared" si="0"/>
        <v>1550</v>
      </c>
    </row>
    <row r="12" spans="1:13">
      <c r="A12" s="287" t="s">
        <v>247</v>
      </c>
      <c r="B12" t="s">
        <v>24</v>
      </c>
      <c r="C12" s="210" t="s">
        <v>248</v>
      </c>
      <c r="D12" t="s">
        <v>102</v>
      </c>
      <c r="G12" s="294">
        <v>43040</v>
      </c>
      <c r="H12" s="304">
        <v>15500</v>
      </c>
      <c r="J12" s="298">
        <v>2236</v>
      </c>
      <c r="K12" s="299">
        <v>286</v>
      </c>
      <c r="L12" s="297">
        <f t="shared" si="0"/>
        <v>1550</v>
      </c>
    </row>
    <row r="13" spans="1:13">
      <c r="A13" s="287" t="s">
        <v>247</v>
      </c>
      <c r="B13" t="s">
        <v>25</v>
      </c>
      <c r="C13" s="210" t="s">
        <v>248</v>
      </c>
      <c r="D13" t="s">
        <v>102</v>
      </c>
      <c r="G13" s="294">
        <v>43070</v>
      </c>
      <c r="H13" s="304">
        <v>15500</v>
      </c>
      <c r="K13" s="297">
        <f>IF((J13-J12)*5.5&gt;0,(J13-J12)*5.5,0)</f>
        <v>0</v>
      </c>
      <c r="L13" s="297">
        <f t="shared" si="0"/>
        <v>1550</v>
      </c>
    </row>
    <row r="14" spans="1:13">
      <c r="A14" s="287" t="s">
        <v>247</v>
      </c>
      <c r="B14" t="s">
        <v>14</v>
      </c>
      <c r="C14" s="210" t="s">
        <v>32</v>
      </c>
      <c r="G14" s="293">
        <v>42736</v>
      </c>
      <c r="H14" s="303">
        <v>15500</v>
      </c>
      <c r="I14" s="297">
        <v>31000</v>
      </c>
      <c r="J14" s="298">
        <v>1419</v>
      </c>
      <c r="K14" s="299">
        <v>110</v>
      </c>
      <c r="L14" s="297">
        <f t="shared" si="0"/>
        <v>1550</v>
      </c>
      <c r="M14" t="s">
        <v>256</v>
      </c>
    </row>
    <row r="15" spans="1:13">
      <c r="A15" s="287" t="s">
        <v>247</v>
      </c>
      <c r="B15" t="s">
        <v>15</v>
      </c>
      <c r="C15" s="210" t="s">
        <v>32</v>
      </c>
      <c r="G15" s="293">
        <v>42770</v>
      </c>
      <c r="H15" s="303">
        <v>15500</v>
      </c>
      <c r="J15" s="298">
        <v>1443</v>
      </c>
      <c r="K15" s="299">
        <v>132</v>
      </c>
      <c r="L15" s="297">
        <f t="shared" si="0"/>
        <v>1550</v>
      </c>
    </row>
    <row r="16" spans="1:13">
      <c r="A16" s="287" t="s">
        <v>247</v>
      </c>
      <c r="B16" t="s">
        <v>16</v>
      </c>
      <c r="C16" s="210" t="s">
        <v>32</v>
      </c>
      <c r="G16" s="293">
        <v>42796</v>
      </c>
      <c r="H16" s="304">
        <v>15500</v>
      </c>
      <c r="J16" s="298">
        <v>1463</v>
      </c>
      <c r="K16" s="299">
        <v>110</v>
      </c>
      <c r="L16" s="297">
        <f t="shared" si="0"/>
        <v>1550</v>
      </c>
    </row>
    <row r="17" spans="1:12">
      <c r="A17" s="287" t="s">
        <v>247</v>
      </c>
      <c r="B17" t="s">
        <v>17</v>
      </c>
      <c r="C17" s="210" t="s">
        <v>32</v>
      </c>
      <c r="G17" s="293">
        <v>42830</v>
      </c>
      <c r="H17" s="304">
        <v>15500</v>
      </c>
      <c r="J17" s="298">
        <v>1481</v>
      </c>
      <c r="K17" s="299">
        <v>99</v>
      </c>
      <c r="L17" s="297">
        <f t="shared" si="0"/>
        <v>1550</v>
      </c>
    </row>
    <row r="18" spans="1:12">
      <c r="A18" s="287" t="s">
        <v>247</v>
      </c>
      <c r="B18" t="s">
        <v>18</v>
      </c>
      <c r="C18" s="210" t="s">
        <v>32</v>
      </c>
      <c r="D18" t="s">
        <v>250</v>
      </c>
      <c r="E18" s="284" t="s">
        <v>251</v>
      </c>
      <c r="F18" t="s">
        <v>252</v>
      </c>
      <c r="G18" s="294">
        <v>42866</v>
      </c>
      <c r="H18" s="303">
        <f>8267+15500</f>
        <v>23767</v>
      </c>
      <c r="J18" s="298" t="s">
        <v>130</v>
      </c>
      <c r="K18" s="299">
        <v>297</v>
      </c>
      <c r="L18" s="297">
        <f t="shared" si="0"/>
        <v>2376.7000000000003</v>
      </c>
    </row>
    <row r="19" spans="1:12">
      <c r="A19" s="287" t="s">
        <v>247</v>
      </c>
      <c r="B19" t="s">
        <v>19</v>
      </c>
      <c r="C19" s="210" t="s">
        <v>32</v>
      </c>
      <c r="D19" t="s">
        <v>250</v>
      </c>
      <c r="G19" s="294">
        <v>42896</v>
      </c>
      <c r="H19" s="304">
        <v>15500</v>
      </c>
      <c r="J19" s="298">
        <v>1736</v>
      </c>
      <c r="K19" s="299">
        <v>979</v>
      </c>
      <c r="L19" s="297">
        <f t="shared" si="0"/>
        <v>1550</v>
      </c>
    </row>
    <row r="20" spans="1:12">
      <c r="A20" s="287" t="s">
        <v>247</v>
      </c>
      <c r="B20" t="s">
        <v>20</v>
      </c>
      <c r="C20" s="210" t="s">
        <v>32</v>
      </c>
      <c r="D20" t="s">
        <v>250</v>
      </c>
      <c r="G20" s="294">
        <v>42927</v>
      </c>
      <c r="H20" s="304">
        <v>15500</v>
      </c>
      <c r="J20" s="298">
        <v>1882</v>
      </c>
      <c r="K20" s="299">
        <v>803</v>
      </c>
      <c r="L20" s="297">
        <f t="shared" si="0"/>
        <v>1550</v>
      </c>
    </row>
    <row r="21" spans="1:12">
      <c r="A21" s="287" t="s">
        <v>247</v>
      </c>
      <c r="B21" t="s">
        <v>21</v>
      </c>
      <c r="C21" s="210" t="s">
        <v>32</v>
      </c>
      <c r="D21" t="s">
        <v>250</v>
      </c>
      <c r="G21" s="294">
        <v>42926</v>
      </c>
      <c r="H21" s="303">
        <v>15500</v>
      </c>
      <c r="J21" s="298">
        <v>2056</v>
      </c>
      <c r="K21" s="299">
        <v>957</v>
      </c>
      <c r="L21" s="297">
        <f t="shared" si="0"/>
        <v>1550</v>
      </c>
    </row>
    <row r="22" spans="1:12">
      <c r="A22" s="287" t="s">
        <v>247</v>
      </c>
      <c r="B22" t="s">
        <v>22</v>
      </c>
      <c r="C22" s="210" t="s">
        <v>32</v>
      </c>
      <c r="D22" t="s">
        <v>250</v>
      </c>
      <c r="G22" s="294">
        <v>42989</v>
      </c>
      <c r="H22" s="303">
        <v>15500</v>
      </c>
      <c r="J22" s="298">
        <v>2214</v>
      </c>
      <c r="K22" s="299">
        <v>869</v>
      </c>
      <c r="L22" s="297">
        <f t="shared" si="0"/>
        <v>1550</v>
      </c>
    </row>
    <row r="23" spans="1:12">
      <c r="A23" s="287" t="s">
        <v>247</v>
      </c>
      <c r="B23" t="s">
        <v>23</v>
      </c>
      <c r="C23" s="210" t="s">
        <v>32</v>
      </c>
      <c r="D23" t="s">
        <v>250</v>
      </c>
      <c r="G23" s="294">
        <v>43019</v>
      </c>
      <c r="H23" s="303">
        <v>15500</v>
      </c>
      <c r="J23" s="298">
        <v>2344</v>
      </c>
      <c r="K23" s="299">
        <v>715</v>
      </c>
      <c r="L23" s="297">
        <f t="shared" si="0"/>
        <v>1550</v>
      </c>
    </row>
    <row r="24" spans="1:12">
      <c r="A24" s="287" t="s">
        <v>247</v>
      </c>
      <c r="B24" t="s">
        <v>24</v>
      </c>
      <c r="C24" s="210" t="s">
        <v>32</v>
      </c>
      <c r="D24" t="s">
        <v>250</v>
      </c>
      <c r="G24" s="294">
        <v>43050</v>
      </c>
      <c r="H24" s="303">
        <v>15500</v>
      </c>
      <c r="J24" s="298">
        <v>2396</v>
      </c>
      <c r="K24" s="299">
        <v>286</v>
      </c>
      <c r="L24" s="297">
        <f t="shared" si="0"/>
        <v>1550</v>
      </c>
    </row>
    <row r="25" spans="1:12">
      <c r="A25" s="287" t="s">
        <v>247</v>
      </c>
      <c r="B25" t="s">
        <v>25</v>
      </c>
      <c r="C25" s="210" t="s">
        <v>32</v>
      </c>
      <c r="D25" t="s">
        <v>250</v>
      </c>
      <c r="G25" s="294">
        <v>43080</v>
      </c>
      <c r="H25" s="303">
        <v>15500</v>
      </c>
      <c r="L25" s="297">
        <f t="shared" si="0"/>
        <v>1550</v>
      </c>
    </row>
    <row r="26" spans="1:12">
      <c r="A26" s="287" t="s">
        <v>247</v>
      </c>
      <c r="B26" t="s">
        <v>14</v>
      </c>
      <c r="C26" s="210" t="s">
        <v>33</v>
      </c>
      <c r="D26" t="s">
        <v>64</v>
      </c>
      <c r="E26" s="284" t="s">
        <v>62</v>
      </c>
      <c r="F26" t="s">
        <v>61</v>
      </c>
      <c r="G26" s="294">
        <v>42736</v>
      </c>
      <c r="H26" s="304">
        <v>15000</v>
      </c>
      <c r="I26" s="297">
        <v>30000</v>
      </c>
      <c r="J26" s="298">
        <v>860</v>
      </c>
      <c r="K26" s="299">
        <v>330</v>
      </c>
      <c r="L26" s="297">
        <f t="shared" si="0"/>
        <v>1500</v>
      </c>
    </row>
    <row r="27" spans="1:12">
      <c r="A27" s="287" t="s">
        <v>247</v>
      </c>
      <c r="B27" t="s">
        <v>15</v>
      </c>
      <c r="C27" s="210" t="s">
        <v>33</v>
      </c>
      <c r="D27" t="s">
        <v>64</v>
      </c>
      <c r="G27" s="294">
        <v>42761</v>
      </c>
      <c r="H27" s="304">
        <v>15000</v>
      </c>
      <c r="J27" s="298">
        <v>946</v>
      </c>
      <c r="K27" s="299">
        <v>473</v>
      </c>
      <c r="L27" s="297">
        <f t="shared" si="0"/>
        <v>1500</v>
      </c>
    </row>
    <row r="28" spans="1:12">
      <c r="A28" s="287" t="s">
        <v>247</v>
      </c>
      <c r="B28" t="s">
        <v>16</v>
      </c>
      <c r="C28" s="210" t="s">
        <v>33</v>
      </c>
      <c r="D28" t="s">
        <v>64</v>
      </c>
      <c r="G28" s="294">
        <v>42795</v>
      </c>
      <c r="H28" s="304">
        <v>15000</v>
      </c>
      <c r="J28" s="298">
        <v>1024</v>
      </c>
      <c r="K28" s="299">
        <v>429</v>
      </c>
      <c r="L28" s="297">
        <f t="shared" si="0"/>
        <v>1500</v>
      </c>
    </row>
    <row r="29" spans="1:12">
      <c r="A29" s="287" t="s">
        <v>247</v>
      </c>
      <c r="B29" t="s">
        <v>17</v>
      </c>
      <c r="C29" s="210" t="s">
        <v>33</v>
      </c>
      <c r="D29" t="s">
        <v>64</v>
      </c>
      <c r="G29" s="294">
        <v>42825</v>
      </c>
      <c r="H29" s="304">
        <v>15000</v>
      </c>
      <c r="J29" s="298">
        <v>1098</v>
      </c>
      <c r="K29" s="299">
        <v>407</v>
      </c>
      <c r="L29" s="297">
        <f t="shared" si="0"/>
        <v>1500</v>
      </c>
    </row>
    <row r="30" spans="1:12">
      <c r="A30" s="287" t="s">
        <v>247</v>
      </c>
      <c r="B30" t="s">
        <v>18</v>
      </c>
      <c r="C30" s="210" t="s">
        <v>33</v>
      </c>
      <c r="G30" s="294">
        <v>42854</v>
      </c>
      <c r="H30" s="304">
        <v>15000</v>
      </c>
      <c r="J30" s="298">
        <v>1172</v>
      </c>
      <c r="K30" s="299">
        <v>407</v>
      </c>
      <c r="L30" s="297">
        <f t="shared" si="0"/>
        <v>1500</v>
      </c>
    </row>
    <row r="31" spans="1:12">
      <c r="A31" s="287" t="s">
        <v>247</v>
      </c>
      <c r="B31" t="s">
        <v>19</v>
      </c>
      <c r="C31" s="210" t="s">
        <v>33</v>
      </c>
      <c r="G31" s="294">
        <v>42886</v>
      </c>
      <c r="H31" s="304">
        <v>15000</v>
      </c>
      <c r="J31" s="298">
        <v>1296</v>
      </c>
      <c r="K31" s="299">
        <v>682</v>
      </c>
      <c r="L31" s="297">
        <f t="shared" si="0"/>
        <v>1500</v>
      </c>
    </row>
    <row r="32" spans="1:12">
      <c r="A32" s="287" t="s">
        <v>247</v>
      </c>
      <c r="B32" t="s">
        <v>20</v>
      </c>
      <c r="C32" s="210" t="s">
        <v>33</v>
      </c>
      <c r="G32" s="294">
        <v>42917</v>
      </c>
      <c r="H32" s="304">
        <v>15000</v>
      </c>
      <c r="J32" s="298">
        <v>1472</v>
      </c>
      <c r="K32" s="299">
        <v>968</v>
      </c>
      <c r="L32" s="297">
        <f t="shared" si="0"/>
        <v>1500</v>
      </c>
    </row>
    <row r="33" spans="1:12">
      <c r="A33" s="287" t="s">
        <v>247</v>
      </c>
      <c r="B33" t="s">
        <v>21</v>
      </c>
      <c r="C33" s="210" t="s">
        <v>33</v>
      </c>
      <c r="G33" s="294">
        <v>42947</v>
      </c>
      <c r="H33" s="304">
        <v>15000</v>
      </c>
      <c r="J33" s="298">
        <v>1688</v>
      </c>
      <c r="K33" s="299">
        <v>1188</v>
      </c>
      <c r="L33" s="297">
        <f t="shared" si="0"/>
        <v>1500</v>
      </c>
    </row>
    <row r="34" spans="1:12">
      <c r="A34" s="287" t="s">
        <v>247</v>
      </c>
      <c r="B34" t="s">
        <v>22</v>
      </c>
      <c r="C34" s="210" t="s">
        <v>33</v>
      </c>
      <c r="G34" s="294">
        <v>42982</v>
      </c>
      <c r="H34" s="304">
        <v>15000</v>
      </c>
      <c r="J34" s="298">
        <v>1848</v>
      </c>
      <c r="K34" s="299">
        <v>880</v>
      </c>
      <c r="L34" s="297">
        <f t="shared" si="0"/>
        <v>1500</v>
      </c>
    </row>
    <row r="35" spans="1:12">
      <c r="A35" s="287" t="s">
        <v>247</v>
      </c>
      <c r="B35" t="s">
        <v>23</v>
      </c>
      <c r="C35" s="210" t="s">
        <v>33</v>
      </c>
      <c r="G35" s="294">
        <v>43006</v>
      </c>
      <c r="H35" s="304">
        <v>15000</v>
      </c>
      <c r="J35" s="298">
        <v>1960</v>
      </c>
      <c r="K35" s="299">
        <v>616</v>
      </c>
      <c r="L35" s="297">
        <f t="shared" si="0"/>
        <v>1500</v>
      </c>
    </row>
    <row r="36" spans="1:12">
      <c r="A36" s="287" t="s">
        <v>247</v>
      </c>
      <c r="B36" t="s">
        <v>24</v>
      </c>
      <c r="C36" s="210" t="s">
        <v>33</v>
      </c>
      <c r="G36" s="294">
        <v>43040</v>
      </c>
      <c r="H36" s="304">
        <v>15000</v>
      </c>
      <c r="J36" s="298">
        <v>2002</v>
      </c>
      <c r="K36" s="299">
        <v>231</v>
      </c>
      <c r="L36" s="297">
        <f t="shared" si="0"/>
        <v>1500</v>
      </c>
    </row>
    <row r="37" spans="1:12">
      <c r="A37" s="287" t="s">
        <v>247</v>
      </c>
      <c r="B37" t="s">
        <v>25</v>
      </c>
      <c r="C37" s="210" t="s">
        <v>33</v>
      </c>
      <c r="G37" s="294">
        <v>43070</v>
      </c>
      <c r="H37" s="304">
        <v>15000</v>
      </c>
      <c r="J37" s="298"/>
      <c r="K37" s="299"/>
      <c r="L37" s="297">
        <f t="shared" si="0"/>
        <v>1500</v>
      </c>
    </row>
    <row r="38" spans="1:12" s="281" customFormat="1">
      <c r="A38" s="286" t="s">
        <v>253</v>
      </c>
      <c r="B38" s="281" t="s">
        <v>14</v>
      </c>
      <c r="C38" s="282" t="s">
        <v>31</v>
      </c>
      <c r="E38" s="285"/>
      <c r="G38" s="295"/>
      <c r="H38" s="305"/>
      <c r="I38" s="288">
        <v>32000</v>
      </c>
      <c r="J38" s="300">
        <v>88</v>
      </c>
      <c r="K38" s="301"/>
      <c r="L38" s="288">
        <f t="shared" si="0"/>
        <v>0</v>
      </c>
    </row>
    <row r="39" spans="1:12">
      <c r="A39" s="287" t="s">
        <v>253</v>
      </c>
      <c r="B39" t="s">
        <v>15</v>
      </c>
      <c r="C39" s="210" t="s">
        <v>248</v>
      </c>
      <c r="G39" s="294"/>
      <c r="H39" s="304"/>
      <c r="J39" s="298">
        <v>88</v>
      </c>
      <c r="K39" s="299">
        <v>0</v>
      </c>
      <c r="L39" s="297">
        <f t="shared" si="0"/>
        <v>0</v>
      </c>
    </row>
    <row r="40" spans="1:12">
      <c r="A40" s="287" t="s">
        <v>253</v>
      </c>
      <c r="B40" t="s">
        <v>16</v>
      </c>
      <c r="C40" s="210" t="s">
        <v>248</v>
      </c>
      <c r="G40" s="294">
        <v>42811</v>
      </c>
      <c r="H40" s="304">
        <v>8200</v>
      </c>
      <c r="J40" s="298">
        <v>88</v>
      </c>
      <c r="K40" s="299">
        <v>0</v>
      </c>
      <c r="L40" s="297">
        <f t="shared" si="0"/>
        <v>820</v>
      </c>
    </row>
    <row r="41" spans="1:12">
      <c r="A41" s="287" t="s">
        <v>253</v>
      </c>
      <c r="B41" t="s">
        <v>17</v>
      </c>
      <c r="C41" s="210" t="s">
        <v>248</v>
      </c>
      <c r="G41" s="294">
        <v>42835</v>
      </c>
      <c r="H41" s="304">
        <v>17000</v>
      </c>
      <c r="J41" s="298">
        <v>302</v>
      </c>
      <c r="K41" s="299">
        <v>1177</v>
      </c>
      <c r="L41" s="297">
        <f t="shared" si="0"/>
        <v>1700</v>
      </c>
    </row>
    <row r="42" spans="1:12">
      <c r="A42" s="287" t="s">
        <v>253</v>
      </c>
      <c r="B42" t="s">
        <v>18</v>
      </c>
      <c r="C42" s="210" t="s">
        <v>248</v>
      </c>
      <c r="G42" s="294">
        <v>42881</v>
      </c>
      <c r="H42" s="304">
        <v>17000</v>
      </c>
      <c r="J42" s="298">
        <v>460</v>
      </c>
      <c r="K42" s="299">
        <v>869</v>
      </c>
      <c r="L42" s="297">
        <f t="shared" si="0"/>
        <v>1700</v>
      </c>
    </row>
    <row r="43" spans="1:12">
      <c r="A43" s="287" t="s">
        <v>253</v>
      </c>
      <c r="B43" t="s">
        <v>19</v>
      </c>
      <c r="C43" s="210" t="s">
        <v>248</v>
      </c>
      <c r="G43" s="294" t="s">
        <v>184</v>
      </c>
      <c r="H43" s="304">
        <v>10766</v>
      </c>
      <c r="J43" s="298">
        <v>614</v>
      </c>
      <c r="K43" s="299">
        <v>847</v>
      </c>
      <c r="L43" s="297">
        <f t="shared" si="0"/>
        <v>1076.6000000000001</v>
      </c>
    </row>
    <row r="44" spans="1:12">
      <c r="A44" s="287" t="s">
        <v>253</v>
      </c>
      <c r="B44" t="s">
        <v>20</v>
      </c>
      <c r="C44" s="210" t="s">
        <v>248</v>
      </c>
      <c r="G44" s="294">
        <v>42916</v>
      </c>
      <c r="H44" s="304">
        <f>20000+10000</f>
        <v>30000</v>
      </c>
      <c r="J44" s="298">
        <v>648</v>
      </c>
      <c r="K44" s="299"/>
      <c r="L44" s="297">
        <f t="shared" si="0"/>
        <v>3000</v>
      </c>
    </row>
    <row r="45" spans="1:12">
      <c r="A45" s="287" t="s">
        <v>253</v>
      </c>
      <c r="B45" t="s">
        <v>21</v>
      </c>
      <c r="C45" s="210" t="s">
        <v>248</v>
      </c>
      <c r="D45" t="s">
        <v>254</v>
      </c>
      <c r="F45" s="283" t="s">
        <v>255</v>
      </c>
      <c r="G45" s="294">
        <v>42943</v>
      </c>
      <c r="H45" s="304">
        <f>18000-2350</f>
        <v>15650</v>
      </c>
      <c r="J45" s="298">
        <v>1186</v>
      </c>
      <c r="K45" s="299">
        <v>2959</v>
      </c>
      <c r="L45" s="297">
        <f t="shared" si="0"/>
        <v>1565</v>
      </c>
    </row>
    <row r="46" spans="1:12">
      <c r="A46" s="287" t="s">
        <v>253</v>
      </c>
      <c r="B46" t="s">
        <v>22</v>
      </c>
      <c r="C46" s="210" t="s">
        <v>248</v>
      </c>
      <c r="D46" t="s">
        <v>254</v>
      </c>
      <c r="G46" s="294">
        <v>42975</v>
      </c>
      <c r="H46" s="304">
        <v>16000</v>
      </c>
      <c r="J46" s="298" t="s">
        <v>214</v>
      </c>
      <c r="K46" s="299">
        <v>1628</v>
      </c>
      <c r="L46" s="297">
        <f t="shared" si="0"/>
        <v>1600</v>
      </c>
    </row>
    <row r="47" spans="1:12">
      <c r="A47" s="287" t="s">
        <v>253</v>
      </c>
      <c r="B47" t="s">
        <v>23</v>
      </c>
      <c r="C47" s="210" t="s">
        <v>248</v>
      </c>
      <c r="D47" t="s">
        <v>254</v>
      </c>
      <c r="G47" s="294">
        <v>43005</v>
      </c>
      <c r="H47" s="304">
        <v>16000</v>
      </c>
      <c r="J47" s="298">
        <v>1778</v>
      </c>
      <c r="K47" s="299">
        <v>1595</v>
      </c>
      <c r="L47" s="297">
        <f t="shared" si="0"/>
        <v>1600</v>
      </c>
    </row>
    <row r="48" spans="1:12">
      <c r="A48" s="287" t="s">
        <v>253</v>
      </c>
      <c r="B48" t="s">
        <v>24</v>
      </c>
      <c r="C48" s="210" t="s">
        <v>248</v>
      </c>
      <c r="D48" t="s">
        <v>254</v>
      </c>
      <c r="G48" s="294">
        <v>43041</v>
      </c>
      <c r="H48" s="304">
        <v>16000</v>
      </c>
      <c r="J48" s="298">
        <v>2034</v>
      </c>
      <c r="K48" s="299">
        <v>1408</v>
      </c>
      <c r="L48" s="297">
        <f t="shared" si="0"/>
        <v>1600</v>
      </c>
    </row>
    <row r="49" spans="1:12">
      <c r="A49" s="287" t="s">
        <v>253</v>
      </c>
      <c r="B49" t="s">
        <v>25</v>
      </c>
      <c r="C49" s="210" t="s">
        <v>248</v>
      </c>
      <c r="D49" t="s">
        <v>254</v>
      </c>
      <c r="G49" s="294">
        <v>43067</v>
      </c>
      <c r="H49" s="304">
        <v>16000</v>
      </c>
      <c r="J49" s="298">
        <v>2234</v>
      </c>
      <c r="K49" s="299">
        <v>1100</v>
      </c>
      <c r="L49" s="297">
        <f t="shared" si="0"/>
        <v>1600</v>
      </c>
    </row>
    <row r="50" spans="1:12">
      <c r="A50" s="287" t="s">
        <v>253</v>
      </c>
      <c r="B50" t="s">
        <v>14</v>
      </c>
      <c r="C50" s="210" t="s">
        <v>32</v>
      </c>
      <c r="G50" s="294"/>
      <c r="H50" s="304"/>
      <c r="I50" s="297">
        <v>34000</v>
      </c>
      <c r="J50" s="298"/>
      <c r="K50" s="299"/>
      <c r="L50" s="297">
        <f t="shared" si="0"/>
        <v>0</v>
      </c>
    </row>
    <row r="51" spans="1:12">
      <c r="A51" s="287" t="s">
        <v>253</v>
      </c>
      <c r="B51" t="s">
        <v>15</v>
      </c>
      <c r="C51" s="210" t="s">
        <v>32</v>
      </c>
      <c r="G51" s="294"/>
      <c r="H51" s="304"/>
      <c r="J51" s="298"/>
      <c r="K51" s="299">
        <v>0</v>
      </c>
      <c r="L51" s="297">
        <f t="shared" si="0"/>
        <v>0</v>
      </c>
    </row>
    <row r="52" spans="1:12">
      <c r="A52" s="287" t="s">
        <v>253</v>
      </c>
      <c r="B52" t="s">
        <v>16</v>
      </c>
      <c r="C52" s="210" t="s">
        <v>32</v>
      </c>
      <c r="G52" s="294"/>
      <c r="H52" s="304"/>
      <c r="J52" s="298"/>
      <c r="K52" s="299">
        <v>0</v>
      </c>
      <c r="L52" s="297">
        <f t="shared" si="0"/>
        <v>0</v>
      </c>
    </row>
    <row r="53" spans="1:12">
      <c r="A53" s="287" t="s">
        <v>253</v>
      </c>
      <c r="B53" t="s">
        <v>17</v>
      </c>
      <c r="C53" s="210" t="s">
        <v>32</v>
      </c>
      <c r="G53" s="294"/>
      <c r="H53" s="304"/>
      <c r="J53" s="298">
        <v>152</v>
      </c>
      <c r="K53" s="299"/>
      <c r="L53" s="297">
        <f t="shared" si="0"/>
        <v>0</v>
      </c>
    </row>
    <row r="54" spans="1:12">
      <c r="A54" s="287" t="s">
        <v>253</v>
      </c>
      <c r="B54" t="s">
        <v>18</v>
      </c>
      <c r="C54" s="210" t="s">
        <v>32</v>
      </c>
      <c r="G54" s="294">
        <v>42854</v>
      </c>
      <c r="H54" s="304">
        <v>16000</v>
      </c>
      <c r="J54" s="298">
        <v>248</v>
      </c>
      <c r="K54" s="299">
        <v>528</v>
      </c>
      <c r="L54" s="297">
        <f t="shared" si="0"/>
        <v>1600</v>
      </c>
    </row>
    <row r="55" spans="1:12">
      <c r="A55" s="287" t="s">
        <v>253</v>
      </c>
      <c r="B55" t="s">
        <v>19</v>
      </c>
      <c r="C55" s="210" t="s">
        <v>32</v>
      </c>
      <c r="G55" s="294" t="s">
        <v>185</v>
      </c>
      <c r="H55" s="304">
        <f>16000+4800</f>
        <v>20800</v>
      </c>
      <c r="J55" s="298">
        <v>426</v>
      </c>
      <c r="K55" s="299">
        <v>979</v>
      </c>
      <c r="L55" s="297">
        <f t="shared" si="0"/>
        <v>2080</v>
      </c>
    </row>
    <row r="56" spans="1:12">
      <c r="A56" s="287" t="s">
        <v>253</v>
      </c>
      <c r="B56" t="s">
        <v>20</v>
      </c>
      <c r="C56" s="210" t="s">
        <v>32</v>
      </c>
      <c r="G56" s="294">
        <v>42926</v>
      </c>
      <c r="H56" s="304">
        <v>16000</v>
      </c>
      <c r="J56" s="298">
        <v>512</v>
      </c>
      <c r="K56" s="299">
        <v>473</v>
      </c>
      <c r="L56" s="297">
        <f t="shared" si="0"/>
        <v>1600</v>
      </c>
    </row>
    <row r="57" spans="1:12">
      <c r="A57" s="287" t="s">
        <v>253</v>
      </c>
      <c r="B57" t="s">
        <v>21</v>
      </c>
      <c r="C57" s="210" t="s">
        <v>32</v>
      </c>
      <c r="D57" t="s">
        <v>195</v>
      </c>
      <c r="F57" t="s">
        <v>258</v>
      </c>
      <c r="G57" s="294">
        <v>42957</v>
      </c>
      <c r="H57" s="304">
        <f>16000+6032</f>
        <v>22032</v>
      </c>
      <c r="J57" s="298" t="s">
        <v>197</v>
      </c>
      <c r="K57" s="299">
        <v>528</v>
      </c>
      <c r="L57" s="297">
        <f t="shared" si="0"/>
        <v>2203.2000000000003</v>
      </c>
    </row>
    <row r="58" spans="1:12">
      <c r="A58" s="287" t="s">
        <v>253</v>
      </c>
      <c r="B58" t="s">
        <v>22</v>
      </c>
      <c r="C58" s="210" t="s">
        <v>32</v>
      </c>
      <c r="D58" t="s">
        <v>195</v>
      </c>
      <c r="G58" s="294">
        <v>42986</v>
      </c>
      <c r="H58" s="304">
        <v>17000</v>
      </c>
      <c r="J58" s="298">
        <v>998</v>
      </c>
      <c r="K58" s="299">
        <v>1848</v>
      </c>
      <c r="L58" s="297">
        <f t="shared" si="0"/>
        <v>1700</v>
      </c>
    </row>
    <row r="59" spans="1:12">
      <c r="A59" s="287" t="s">
        <v>253</v>
      </c>
      <c r="B59" t="s">
        <v>23</v>
      </c>
      <c r="C59" s="210" t="s">
        <v>32</v>
      </c>
      <c r="D59" t="s">
        <v>195</v>
      </c>
      <c r="G59" s="294">
        <v>43018</v>
      </c>
      <c r="H59" s="304">
        <v>17000</v>
      </c>
      <c r="J59" s="298"/>
      <c r="K59" s="299"/>
      <c r="L59" s="297">
        <f t="shared" si="0"/>
        <v>1700</v>
      </c>
    </row>
    <row r="60" spans="1:12">
      <c r="A60" s="287" t="s">
        <v>253</v>
      </c>
      <c r="B60" t="s">
        <v>24</v>
      </c>
      <c r="C60" s="210" t="s">
        <v>32</v>
      </c>
      <c r="D60" t="s">
        <v>195</v>
      </c>
      <c r="G60" s="294">
        <v>43048</v>
      </c>
      <c r="H60" s="304">
        <f>17000/30*15+17000</f>
        <v>25500</v>
      </c>
      <c r="J60" s="298">
        <v>1189</v>
      </c>
      <c r="K60" s="299">
        <v>1050.5</v>
      </c>
      <c r="L60" s="297">
        <f t="shared" si="0"/>
        <v>2550</v>
      </c>
    </row>
    <row r="61" spans="1:12">
      <c r="A61" s="287" t="s">
        <v>253</v>
      </c>
      <c r="B61" t="s">
        <v>25</v>
      </c>
      <c r="C61" s="210" t="s">
        <v>32</v>
      </c>
      <c r="D61" t="s">
        <v>195</v>
      </c>
      <c r="G61" s="294"/>
      <c r="H61" s="304"/>
      <c r="J61" s="298"/>
      <c r="K61" s="299">
        <v>0</v>
      </c>
      <c r="L61" s="297">
        <f t="shared" si="0"/>
        <v>0</v>
      </c>
    </row>
    <row r="62" spans="1:12">
      <c r="A62" s="287" t="s">
        <v>253</v>
      </c>
      <c r="B62" t="s">
        <v>14</v>
      </c>
      <c r="C62" s="210" t="s">
        <v>33</v>
      </c>
      <c r="G62" s="294"/>
      <c r="H62" s="304"/>
      <c r="I62" s="297">
        <v>34000</v>
      </c>
      <c r="J62" s="298">
        <v>113</v>
      </c>
      <c r="K62" s="299"/>
      <c r="L62" s="297">
        <f t="shared" si="0"/>
        <v>0</v>
      </c>
    </row>
    <row r="63" spans="1:12">
      <c r="A63" s="287" t="s">
        <v>253</v>
      </c>
      <c r="B63" t="s">
        <v>15</v>
      </c>
      <c r="C63" s="210" t="s">
        <v>33</v>
      </c>
      <c r="G63" s="294"/>
      <c r="H63" s="304"/>
      <c r="J63" s="298">
        <v>113</v>
      </c>
      <c r="K63" s="299">
        <v>0</v>
      </c>
      <c r="L63" s="297">
        <f t="shared" si="0"/>
        <v>0</v>
      </c>
    </row>
    <row r="64" spans="1:12">
      <c r="A64" s="287" t="s">
        <v>253</v>
      </c>
      <c r="B64" t="s">
        <v>16</v>
      </c>
      <c r="C64" s="210" t="s">
        <v>33</v>
      </c>
      <c r="D64" t="s">
        <v>34</v>
      </c>
      <c r="E64" s="284" t="s">
        <v>280</v>
      </c>
      <c r="F64" s="280" t="s">
        <v>36</v>
      </c>
      <c r="G64" s="294">
        <v>42795</v>
      </c>
      <c r="H64" s="304">
        <v>17000</v>
      </c>
      <c r="J64" s="298">
        <v>355</v>
      </c>
      <c r="K64" s="299">
        <v>1331</v>
      </c>
      <c r="L64" s="297">
        <f t="shared" si="0"/>
        <v>1700</v>
      </c>
    </row>
    <row r="65" spans="1:12">
      <c r="A65" s="287" t="s">
        <v>253</v>
      </c>
      <c r="B65" t="s">
        <v>17</v>
      </c>
      <c r="C65" s="210" t="s">
        <v>33</v>
      </c>
      <c r="D65" t="s">
        <v>34</v>
      </c>
      <c r="G65" s="294">
        <v>42834</v>
      </c>
      <c r="H65" s="304">
        <v>17000</v>
      </c>
      <c r="J65" s="298">
        <v>571</v>
      </c>
      <c r="K65" s="299">
        <v>1188</v>
      </c>
      <c r="L65" s="297">
        <f t="shared" si="0"/>
        <v>1700</v>
      </c>
    </row>
    <row r="66" spans="1:12">
      <c r="A66" s="287" t="s">
        <v>253</v>
      </c>
      <c r="B66" t="s">
        <v>18</v>
      </c>
      <c r="C66" s="210" t="s">
        <v>33</v>
      </c>
      <c r="D66" t="s">
        <v>34</v>
      </c>
      <c r="G66" s="294">
        <v>42859</v>
      </c>
      <c r="H66" s="304">
        <v>17000</v>
      </c>
      <c r="J66" s="298">
        <v>779</v>
      </c>
      <c r="K66" s="299">
        <v>1144</v>
      </c>
      <c r="L66" s="297">
        <f t="shared" si="0"/>
        <v>1700</v>
      </c>
    </row>
    <row r="67" spans="1:12">
      <c r="A67" s="287" t="s">
        <v>253</v>
      </c>
      <c r="B67" t="s">
        <v>19</v>
      </c>
      <c r="C67" s="210" t="s">
        <v>33</v>
      </c>
      <c r="D67" t="s">
        <v>34</v>
      </c>
      <c r="G67" s="294">
        <v>42892</v>
      </c>
      <c r="H67" s="304">
        <v>17000</v>
      </c>
      <c r="J67" s="298">
        <v>1061</v>
      </c>
      <c r="K67" s="299">
        <v>1551</v>
      </c>
      <c r="L67" s="297">
        <f t="shared" ref="L67:L85" si="1">H67*0.1</f>
        <v>1700</v>
      </c>
    </row>
    <row r="68" spans="1:12">
      <c r="A68" s="287" t="s">
        <v>253</v>
      </c>
      <c r="B68" t="s">
        <v>20</v>
      </c>
      <c r="C68" s="210" t="s">
        <v>33</v>
      </c>
      <c r="D68" t="s">
        <v>34</v>
      </c>
      <c r="G68" s="294">
        <v>42923</v>
      </c>
      <c r="H68" s="304">
        <v>17000</v>
      </c>
      <c r="J68" s="298">
        <v>1365</v>
      </c>
      <c r="K68" s="299">
        <v>1672</v>
      </c>
      <c r="L68" s="297">
        <f t="shared" si="1"/>
        <v>1700</v>
      </c>
    </row>
    <row r="69" spans="1:12">
      <c r="A69" s="287" t="s">
        <v>253</v>
      </c>
      <c r="B69" t="s">
        <v>21</v>
      </c>
      <c r="C69" s="210" t="s">
        <v>33</v>
      </c>
      <c r="D69" t="s">
        <v>34</v>
      </c>
      <c r="G69" s="294">
        <v>42956</v>
      </c>
      <c r="H69" s="304">
        <v>17000</v>
      </c>
      <c r="J69" s="298">
        <v>1697</v>
      </c>
      <c r="K69" s="299">
        <v>1826</v>
      </c>
      <c r="L69" s="297">
        <f t="shared" si="1"/>
        <v>1700</v>
      </c>
    </row>
    <row r="70" spans="1:12">
      <c r="A70" s="287" t="s">
        <v>253</v>
      </c>
      <c r="B70" t="s">
        <v>22</v>
      </c>
      <c r="C70" s="210" t="s">
        <v>33</v>
      </c>
      <c r="D70" t="s">
        <v>34</v>
      </c>
      <c r="G70" s="294">
        <v>42983</v>
      </c>
      <c r="H70" s="304">
        <v>17000</v>
      </c>
      <c r="J70" s="298">
        <v>1993</v>
      </c>
      <c r="K70" s="299">
        <v>1628</v>
      </c>
      <c r="L70" s="297">
        <f t="shared" si="1"/>
        <v>1700</v>
      </c>
    </row>
    <row r="71" spans="1:12">
      <c r="A71" s="287" t="s">
        <v>253</v>
      </c>
      <c r="B71" t="s">
        <v>23</v>
      </c>
      <c r="C71" s="210" t="s">
        <v>33</v>
      </c>
      <c r="D71" t="s">
        <v>34</v>
      </c>
      <c r="G71" s="294">
        <v>43015</v>
      </c>
      <c r="H71" s="304">
        <v>17000</v>
      </c>
      <c r="J71" s="298">
        <v>2263</v>
      </c>
      <c r="K71" s="299">
        <v>1485</v>
      </c>
      <c r="L71" s="297">
        <f t="shared" si="1"/>
        <v>1700</v>
      </c>
    </row>
    <row r="72" spans="1:12">
      <c r="A72" s="287" t="s">
        <v>253</v>
      </c>
      <c r="B72" t="s">
        <v>24</v>
      </c>
      <c r="C72" s="210" t="s">
        <v>33</v>
      </c>
      <c r="D72" t="s">
        <v>34</v>
      </c>
      <c r="G72" s="294">
        <v>43044</v>
      </c>
      <c r="H72" s="304">
        <v>17000</v>
      </c>
      <c r="J72" s="298"/>
      <c r="K72" s="299">
        <v>0</v>
      </c>
      <c r="L72" s="297">
        <f t="shared" si="1"/>
        <v>1700</v>
      </c>
    </row>
    <row r="73" spans="1:12">
      <c r="A73" s="287" t="s">
        <v>253</v>
      </c>
      <c r="B73" t="s">
        <v>25</v>
      </c>
      <c r="C73" s="210" t="s">
        <v>33</v>
      </c>
      <c r="D73" t="s">
        <v>34</v>
      </c>
      <c r="G73" s="294" t="s">
        <v>239</v>
      </c>
      <c r="H73" s="304">
        <v>2833</v>
      </c>
      <c r="J73" s="298">
        <v>2495</v>
      </c>
      <c r="K73" s="299">
        <v>1276</v>
      </c>
      <c r="L73" s="297">
        <f t="shared" si="1"/>
        <v>283.3</v>
      </c>
    </row>
    <row r="74" spans="1:12">
      <c r="A74" s="287" t="s">
        <v>253</v>
      </c>
      <c r="B74" t="s">
        <v>14</v>
      </c>
      <c r="C74" s="210" t="s">
        <v>37</v>
      </c>
      <c r="G74" s="294"/>
      <c r="H74" s="304"/>
      <c r="I74" s="297">
        <v>34000</v>
      </c>
      <c r="J74" s="298">
        <v>244</v>
      </c>
      <c r="K74" s="299"/>
      <c r="L74" s="297">
        <f t="shared" si="1"/>
        <v>0</v>
      </c>
    </row>
    <row r="75" spans="1:12">
      <c r="A75" s="287" t="s">
        <v>253</v>
      </c>
      <c r="B75" t="s">
        <v>15</v>
      </c>
      <c r="C75" s="210" t="s">
        <v>37</v>
      </c>
      <c r="D75" t="s">
        <v>38</v>
      </c>
      <c r="E75" s="284" t="s">
        <v>281</v>
      </c>
      <c r="F75" s="280" t="s">
        <v>40</v>
      </c>
      <c r="G75" s="294">
        <v>42783</v>
      </c>
      <c r="H75" s="304">
        <v>6677</v>
      </c>
      <c r="J75" s="298">
        <v>244</v>
      </c>
      <c r="K75" s="299">
        <v>0</v>
      </c>
      <c r="L75" s="297">
        <f t="shared" si="1"/>
        <v>667.7</v>
      </c>
    </row>
    <row r="76" spans="1:12">
      <c r="A76" s="287" t="s">
        <v>253</v>
      </c>
      <c r="B76" t="s">
        <v>16</v>
      </c>
      <c r="C76" s="210" t="s">
        <v>37</v>
      </c>
      <c r="D76" t="s">
        <v>38</v>
      </c>
      <c r="G76" s="294">
        <v>42800</v>
      </c>
      <c r="H76" s="304">
        <v>17000</v>
      </c>
      <c r="J76" s="298">
        <v>450</v>
      </c>
      <c r="K76" s="299">
        <v>1133</v>
      </c>
      <c r="L76" s="297">
        <f t="shared" si="1"/>
        <v>1700</v>
      </c>
    </row>
    <row r="77" spans="1:12">
      <c r="A77" s="287" t="s">
        <v>253</v>
      </c>
      <c r="B77" t="s">
        <v>17</v>
      </c>
      <c r="C77" s="210" t="s">
        <v>37</v>
      </c>
      <c r="D77" t="s">
        <v>38</v>
      </c>
      <c r="G77" s="294">
        <v>42835</v>
      </c>
      <c r="H77" s="304">
        <v>17000</v>
      </c>
      <c r="J77" s="298">
        <v>546</v>
      </c>
      <c r="K77" s="299">
        <v>528</v>
      </c>
      <c r="L77" s="297">
        <f t="shared" si="1"/>
        <v>1700</v>
      </c>
    </row>
    <row r="78" spans="1:12">
      <c r="A78" s="287" t="s">
        <v>253</v>
      </c>
      <c r="B78" t="s">
        <v>18</v>
      </c>
      <c r="C78" s="210" t="s">
        <v>37</v>
      </c>
      <c r="D78" t="s">
        <v>38</v>
      </c>
      <c r="G78" s="294">
        <v>42865</v>
      </c>
      <c r="H78" s="304">
        <v>17000</v>
      </c>
      <c r="J78" s="298">
        <v>590</v>
      </c>
      <c r="K78" s="299">
        <v>242</v>
      </c>
      <c r="L78" s="297">
        <f t="shared" si="1"/>
        <v>1700</v>
      </c>
    </row>
    <row r="79" spans="1:12">
      <c r="A79" s="287" t="s">
        <v>253</v>
      </c>
      <c r="B79" t="s">
        <v>19</v>
      </c>
      <c r="C79" s="210" t="s">
        <v>37</v>
      </c>
      <c r="D79" t="s">
        <v>38</v>
      </c>
      <c r="G79" s="294">
        <v>42895</v>
      </c>
      <c r="H79" s="304">
        <v>17000</v>
      </c>
      <c r="J79" s="298">
        <v>700</v>
      </c>
      <c r="K79" s="299">
        <v>605</v>
      </c>
      <c r="L79" s="297">
        <f t="shared" si="1"/>
        <v>1700</v>
      </c>
    </row>
    <row r="80" spans="1:12">
      <c r="A80" s="287" t="s">
        <v>253</v>
      </c>
      <c r="B80" t="s">
        <v>20</v>
      </c>
      <c r="C80" s="210" t="s">
        <v>37</v>
      </c>
      <c r="D80" t="s">
        <v>38</v>
      </c>
      <c r="G80" s="294">
        <v>42923</v>
      </c>
      <c r="H80" s="304">
        <v>17000</v>
      </c>
      <c r="J80" s="298">
        <v>840</v>
      </c>
      <c r="K80" s="299">
        <v>770</v>
      </c>
      <c r="L80" s="297">
        <f t="shared" si="1"/>
        <v>1700</v>
      </c>
    </row>
    <row r="81" spans="1:12">
      <c r="A81" s="287" t="s">
        <v>253</v>
      </c>
      <c r="B81" t="s">
        <v>21</v>
      </c>
      <c r="C81" s="210" t="s">
        <v>37</v>
      </c>
      <c r="D81" t="s">
        <v>38</v>
      </c>
      <c r="G81" s="294">
        <v>42955</v>
      </c>
      <c r="H81" s="304">
        <v>17000</v>
      </c>
      <c r="J81" s="298">
        <v>1070</v>
      </c>
      <c r="K81" s="299">
        <v>1265</v>
      </c>
      <c r="L81" s="297">
        <f t="shared" si="1"/>
        <v>1700</v>
      </c>
    </row>
    <row r="82" spans="1:12">
      <c r="A82" s="287" t="s">
        <v>253</v>
      </c>
      <c r="B82" t="s">
        <v>22</v>
      </c>
      <c r="C82" s="210" t="s">
        <v>37</v>
      </c>
      <c r="D82" t="s">
        <v>38</v>
      </c>
      <c r="G82" s="294">
        <v>42986</v>
      </c>
      <c r="H82" s="304">
        <v>17000</v>
      </c>
      <c r="J82" s="298">
        <v>1216</v>
      </c>
      <c r="K82" s="299">
        <v>803</v>
      </c>
      <c r="L82" s="297">
        <f t="shared" si="1"/>
        <v>1700</v>
      </c>
    </row>
    <row r="83" spans="1:12">
      <c r="A83" s="287" t="s">
        <v>253</v>
      </c>
      <c r="B83" t="s">
        <v>23</v>
      </c>
      <c r="C83" s="210" t="s">
        <v>37</v>
      </c>
      <c r="D83" t="s">
        <v>38</v>
      </c>
      <c r="G83" s="294">
        <v>43018</v>
      </c>
      <c r="H83" s="304">
        <v>17000</v>
      </c>
      <c r="J83" s="298">
        <v>1378</v>
      </c>
      <c r="K83" s="299">
        <v>891</v>
      </c>
      <c r="L83" s="297">
        <f t="shared" si="1"/>
        <v>1700</v>
      </c>
    </row>
    <row r="84" spans="1:12">
      <c r="A84" s="287" t="s">
        <v>253</v>
      </c>
      <c r="B84" t="s">
        <v>24</v>
      </c>
      <c r="C84" s="210" t="s">
        <v>37</v>
      </c>
      <c r="D84" t="s">
        <v>38</v>
      </c>
      <c r="G84" s="294">
        <v>43048</v>
      </c>
      <c r="H84" s="304">
        <v>17000</v>
      </c>
      <c r="J84" s="298">
        <v>1498</v>
      </c>
      <c r="K84" s="299">
        <v>660</v>
      </c>
      <c r="L84" s="297">
        <f t="shared" si="1"/>
        <v>1700</v>
      </c>
    </row>
    <row r="85" spans="1:12">
      <c r="A85" s="287" t="s">
        <v>253</v>
      </c>
      <c r="B85" t="s">
        <v>25</v>
      </c>
      <c r="C85" s="210" t="s">
        <v>37</v>
      </c>
      <c r="D85" t="s">
        <v>38</v>
      </c>
      <c r="G85" s="294">
        <v>43070</v>
      </c>
      <c r="H85" s="304">
        <v>17000</v>
      </c>
      <c r="J85" s="298">
        <v>1656</v>
      </c>
      <c r="K85" s="299">
        <v>869</v>
      </c>
      <c r="L85" s="297">
        <f t="shared" si="1"/>
        <v>1700</v>
      </c>
    </row>
    <row r="86" spans="1:12" s="281" customFormat="1">
      <c r="A86" s="286" t="s">
        <v>259</v>
      </c>
      <c r="B86" s="281" t="s">
        <v>14</v>
      </c>
      <c r="C86" s="282" t="s">
        <v>248</v>
      </c>
      <c r="E86" s="285"/>
      <c r="F86" s="283"/>
      <c r="G86" s="295">
        <v>42758</v>
      </c>
      <c r="H86" s="305">
        <v>14500</v>
      </c>
      <c r="I86" s="288">
        <v>28000</v>
      </c>
      <c r="J86" s="300">
        <v>17533</v>
      </c>
      <c r="K86" s="301"/>
      <c r="L86" s="288">
        <f>H86*0.07</f>
        <v>1015.0000000000001</v>
      </c>
    </row>
    <row r="87" spans="1:12">
      <c r="A87" s="287" t="s">
        <v>259</v>
      </c>
      <c r="B87" t="s">
        <v>15</v>
      </c>
      <c r="C87" s="210" t="s">
        <v>248</v>
      </c>
      <c r="G87" s="294">
        <v>42758</v>
      </c>
      <c r="H87" s="304">
        <v>14500</v>
      </c>
      <c r="J87" s="298">
        <v>17801</v>
      </c>
      <c r="K87" s="299">
        <v>1474</v>
      </c>
      <c r="L87" s="297">
        <f t="shared" ref="L87:L150" si="2">H87*0.07</f>
        <v>1015.0000000000001</v>
      </c>
    </row>
    <row r="88" spans="1:12">
      <c r="A88" s="287" t="s">
        <v>259</v>
      </c>
      <c r="B88" t="s">
        <v>16</v>
      </c>
      <c r="C88" s="210" t="s">
        <v>248</v>
      </c>
      <c r="G88" s="294">
        <v>42810</v>
      </c>
      <c r="H88" s="304">
        <v>14500</v>
      </c>
      <c r="J88" s="298">
        <v>17801</v>
      </c>
      <c r="K88" s="299">
        <v>0</v>
      </c>
      <c r="L88" s="297">
        <f t="shared" si="2"/>
        <v>1015.0000000000001</v>
      </c>
    </row>
    <row r="89" spans="1:12">
      <c r="A89" s="287" t="s">
        <v>259</v>
      </c>
      <c r="B89" t="s">
        <v>17</v>
      </c>
      <c r="C89" s="210" t="s">
        <v>248</v>
      </c>
      <c r="G89" s="294">
        <v>42842</v>
      </c>
      <c r="H89" s="304">
        <v>14500</v>
      </c>
      <c r="J89" s="298">
        <v>18055</v>
      </c>
      <c r="K89" s="299">
        <v>1397</v>
      </c>
      <c r="L89" s="297">
        <f t="shared" si="2"/>
        <v>1015.0000000000001</v>
      </c>
    </row>
    <row r="90" spans="1:12">
      <c r="A90" s="287" t="s">
        <v>259</v>
      </c>
      <c r="B90" t="s">
        <v>18</v>
      </c>
      <c r="C90" s="210" t="s">
        <v>248</v>
      </c>
      <c r="G90" s="294">
        <v>42851</v>
      </c>
      <c r="H90" s="304">
        <v>14500</v>
      </c>
      <c r="J90" s="298"/>
      <c r="K90" s="299">
        <v>0</v>
      </c>
      <c r="L90" s="297">
        <f t="shared" si="2"/>
        <v>1015.0000000000001</v>
      </c>
    </row>
    <row r="91" spans="1:12">
      <c r="A91" s="287" t="s">
        <v>259</v>
      </c>
      <c r="B91" t="s">
        <v>19</v>
      </c>
      <c r="C91" s="210" t="s">
        <v>248</v>
      </c>
      <c r="G91" s="294">
        <v>42893</v>
      </c>
      <c r="H91" s="304">
        <v>14500</v>
      </c>
      <c r="J91" s="298">
        <v>18375</v>
      </c>
      <c r="K91" s="299">
        <v>1760</v>
      </c>
      <c r="L91" s="297">
        <f t="shared" si="2"/>
        <v>1015.0000000000001</v>
      </c>
    </row>
    <row r="92" spans="1:12">
      <c r="A92" s="287" t="s">
        <v>259</v>
      </c>
      <c r="B92" t="s">
        <v>20</v>
      </c>
      <c r="C92" s="210" t="s">
        <v>248</v>
      </c>
      <c r="G92" s="294">
        <v>42919</v>
      </c>
      <c r="H92" s="304">
        <v>14500</v>
      </c>
      <c r="J92" s="298"/>
      <c r="K92" s="299">
        <v>0</v>
      </c>
      <c r="L92" s="297">
        <f t="shared" si="2"/>
        <v>1015.0000000000001</v>
      </c>
    </row>
    <row r="93" spans="1:12">
      <c r="A93" s="287" t="s">
        <v>259</v>
      </c>
      <c r="B93" t="s">
        <v>21</v>
      </c>
      <c r="C93" s="210" t="s">
        <v>248</v>
      </c>
      <c r="G93" s="294">
        <v>42956</v>
      </c>
      <c r="H93" s="304">
        <v>14500</v>
      </c>
      <c r="J93" s="298">
        <v>18800</v>
      </c>
      <c r="K93" s="299"/>
      <c r="L93" s="297">
        <f t="shared" si="2"/>
        <v>1015.0000000000001</v>
      </c>
    </row>
    <row r="94" spans="1:12">
      <c r="A94" s="287" t="s">
        <v>259</v>
      </c>
      <c r="B94" t="s">
        <v>22</v>
      </c>
      <c r="C94" s="210" t="s">
        <v>248</v>
      </c>
      <c r="D94" t="s">
        <v>262</v>
      </c>
      <c r="E94" s="284" t="s">
        <v>282</v>
      </c>
      <c r="F94" t="s">
        <v>263</v>
      </c>
      <c r="G94" s="294">
        <v>42977</v>
      </c>
      <c r="H94" s="304">
        <v>14000</v>
      </c>
      <c r="J94" s="298"/>
      <c r="K94" s="299">
        <v>0</v>
      </c>
      <c r="L94" s="297">
        <f t="shared" si="2"/>
        <v>980.00000000000011</v>
      </c>
    </row>
    <row r="95" spans="1:12">
      <c r="A95" s="287" t="s">
        <v>259</v>
      </c>
      <c r="B95" t="s">
        <v>23</v>
      </c>
      <c r="C95" s="210" t="s">
        <v>248</v>
      </c>
      <c r="D95" t="s">
        <v>262</v>
      </c>
      <c r="G95" s="294">
        <v>43010</v>
      </c>
      <c r="H95" s="304">
        <v>14000</v>
      </c>
      <c r="J95" s="298">
        <v>19184</v>
      </c>
      <c r="K95" s="299">
        <v>2112</v>
      </c>
      <c r="L95" s="297">
        <f t="shared" si="2"/>
        <v>980.00000000000011</v>
      </c>
    </row>
    <row r="96" spans="1:12">
      <c r="A96" s="287" t="s">
        <v>259</v>
      </c>
      <c r="B96" t="s">
        <v>24</v>
      </c>
      <c r="C96" s="210" t="s">
        <v>248</v>
      </c>
      <c r="D96" t="s">
        <v>262</v>
      </c>
      <c r="G96" s="294">
        <v>43041</v>
      </c>
      <c r="H96" s="304">
        <v>14000</v>
      </c>
      <c r="J96" s="298"/>
      <c r="K96" s="299">
        <v>0</v>
      </c>
      <c r="L96" s="297">
        <f t="shared" si="2"/>
        <v>980.00000000000011</v>
      </c>
    </row>
    <row r="97" spans="1:12">
      <c r="A97" s="287" t="s">
        <v>259</v>
      </c>
      <c r="B97" t="s">
        <v>25</v>
      </c>
      <c r="C97" s="210" t="s">
        <v>248</v>
      </c>
      <c r="D97" t="s">
        <v>262</v>
      </c>
      <c r="G97" s="294">
        <v>43070</v>
      </c>
      <c r="H97" s="304">
        <v>14000</v>
      </c>
      <c r="J97" s="298">
        <v>19444</v>
      </c>
      <c r="K97" s="299">
        <v>1430</v>
      </c>
      <c r="L97" s="297">
        <f t="shared" si="2"/>
        <v>980.00000000000011</v>
      </c>
    </row>
    <row r="98" spans="1:12">
      <c r="A98" s="287" t="s">
        <v>259</v>
      </c>
      <c r="B98" t="s">
        <v>14</v>
      </c>
      <c r="C98" s="210" t="s">
        <v>260</v>
      </c>
      <c r="D98" t="s">
        <v>264</v>
      </c>
      <c r="G98" s="294">
        <v>42739</v>
      </c>
      <c r="H98" s="304">
        <v>12000</v>
      </c>
      <c r="J98" s="298">
        <v>3029</v>
      </c>
      <c r="K98" s="299"/>
      <c r="L98" s="297">
        <f t="shared" si="2"/>
        <v>840.00000000000011</v>
      </c>
    </row>
    <row r="99" spans="1:12">
      <c r="A99" s="287" t="s">
        <v>259</v>
      </c>
      <c r="B99" t="s">
        <v>15</v>
      </c>
      <c r="C99" s="210" t="s">
        <v>260</v>
      </c>
      <c r="D99" t="s">
        <v>264</v>
      </c>
      <c r="G99" s="294">
        <v>42773</v>
      </c>
      <c r="H99" s="304">
        <v>12000</v>
      </c>
      <c r="J99" s="298">
        <v>3069</v>
      </c>
      <c r="K99" s="299">
        <v>220</v>
      </c>
      <c r="L99" s="297">
        <f t="shared" si="2"/>
        <v>840.00000000000011</v>
      </c>
    </row>
    <row r="100" spans="1:12">
      <c r="A100" s="287" t="s">
        <v>259</v>
      </c>
      <c r="B100" t="s">
        <v>16</v>
      </c>
      <c r="C100" s="210" t="s">
        <v>260</v>
      </c>
      <c r="D100" t="s">
        <v>264</v>
      </c>
      <c r="G100" s="294">
        <v>42795</v>
      </c>
      <c r="H100" s="304">
        <v>12000</v>
      </c>
      <c r="J100" s="298">
        <v>3184</v>
      </c>
      <c r="K100" s="299">
        <v>632.5</v>
      </c>
      <c r="L100" s="297">
        <f t="shared" si="2"/>
        <v>840.00000000000011</v>
      </c>
    </row>
    <row r="101" spans="1:12">
      <c r="A101" s="287" t="s">
        <v>259</v>
      </c>
      <c r="B101" t="s">
        <v>17</v>
      </c>
      <c r="C101" s="210" t="s">
        <v>260</v>
      </c>
      <c r="D101" t="s">
        <v>264</v>
      </c>
      <c r="G101" s="294">
        <v>42835</v>
      </c>
      <c r="H101" s="304">
        <v>12000</v>
      </c>
      <c r="J101" s="298">
        <v>3284</v>
      </c>
      <c r="K101" s="299">
        <v>800</v>
      </c>
      <c r="L101" s="297">
        <f t="shared" si="2"/>
        <v>840.00000000000011</v>
      </c>
    </row>
    <row r="102" spans="1:12">
      <c r="A102" s="287" t="s">
        <v>259</v>
      </c>
      <c r="B102" t="s">
        <v>18</v>
      </c>
      <c r="C102" s="210" t="s">
        <v>260</v>
      </c>
      <c r="D102" t="s">
        <v>264</v>
      </c>
      <c r="G102" s="294">
        <v>42858</v>
      </c>
      <c r="H102" s="304">
        <v>12000</v>
      </c>
      <c r="J102" s="298"/>
      <c r="K102" s="299">
        <v>0</v>
      </c>
      <c r="L102" s="297">
        <f t="shared" si="2"/>
        <v>840.00000000000011</v>
      </c>
    </row>
    <row r="103" spans="1:12">
      <c r="A103" s="287" t="s">
        <v>259</v>
      </c>
      <c r="B103" t="s">
        <v>19</v>
      </c>
      <c r="C103" s="210" t="s">
        <v>260</v>
      </c>
      <c r="D103" t="s">
        <v>264</v>
      </c>
      <c r="G103" s="294">
        <v>42893</v>
      </c>
      <c r="H103" s="304">
        <v>12000</v>
      </c>
      <c r="J103" s="298">
        <v>3598</v>
      </c>
      <c r="K103" s="299">
        <v>1727</v>
      </c>
      <c r="L103" s="297">
        <f t="shared" si="2"/>
        <v>840.00000000000011</v>
      </c>
    </row>
    <row r="104" spans="1:12">
      <c r="A104" s="287" t="s">
        <v>259</v>
      </c>
      <c r="B104" t="s">
        <v>20</v>
      </c>
      <c r="C104" s="210" t="s">
        <v>260</v>
      </c>
      <c r="D104" t="s">
        <v>264</v>
      </c>
      <c r="G104" s="294">
        <v>42919</v>
      </c>
      <c r="H104" s="304">
        <v>12000</v>
      </c>
      <c r="J104" s="298"/>
      <c r="K104" s="299">
        <v>0</v>
      </c>
      <c r="L104" s="297">
        <f t="shared" si="2"/>
        <v>840.00000000000011</v>
      </c>
    </row>
    <row r="105" spans="1:12">
      <c r="A105" s="287" t="s">
        <v>259</v>
      </c>
      <c r="B105" t="s">
        <v>21</v>
      </c>
      <c r="C105" s="210" t="s">
        <v>260</v>
      </c>
      <c r="D105" t="s">
        <v>264</v>
      </c>
      <c r="G105" s="294">
        <v>42955</v>
      </c>
      <c r="H105" s="304">
        <f>12000-2710</f>
        <v>9290</v>
      </c>
      <c r="J105" s="298">
        <v>4073</v>
      </c>
      <c r="K105" s="299">
        <v>2842.5</v>
      </c>
      <c r="L105" s="297">
        <f t="shared" si="2"/>
        <v>650.30000000000007</v>
      </c>
    </row>
    <row r="106" spans="1:12">
      <c r="A106" s="287" t="s">
        <v>259</v>
      </c>
      <c r="B106" t="s">
        <v>22</v>
      </c>
      <c r="C106" s="210" t="s">
        <v>260</v>
      </c>
      <c r="D106" t="s">
        <v>264</v>
      </c>
      <c r="G106" s="294">
        <v>42967</v>
      </c>
      <c r="H106" s="304">
        <v>12000</v>
      </c>
      <c r="J106" s="298"/>
      <c r="K106" s="299">
        <v>0</v>
      </c>
      <c r="L106" s="297">
        <f t="shared" si="2"/>
        <v>840.00000000000011</v>
      </c>
    </row>
    <row r="107" spans="1:12">
      <c r="A107" s="287" t="s">
        <v>259</v>
      </c>
      <c r="B107" t="s">
        <v>23</v>
      </c>
      <c r="C107" s="210" t="s">
        <v>260</v>
      </c>
      <c r="D107" t="s">
        <v>264</v>
      </c>
      <c r="G107" s="294">
        <v>43010</v>
      </c>
      <c r="H107" s="304">
        <v>12000</v>
      </c>
      <c r="J107" s="298">
        <v>4167</v>
      </c>
      <c r="K107" s="299">
        <v>440</v>
      </c>
      <c r="L107" s="297">
        <f t="shared" si="2"/>
        <v>840.00000000000011</v>
      </c>
    </row>
    <row r="108" spans="1:12">
      <c r="A108" s="287" t="s">
        <v>259</v>
      </c>
      <c r="B108" t="s">
        <v>24</v>
      </c>
      <c r="C108" s="210" t="s">
        <v>260</v>
      </c>
      <c r="D108" t="s">
        <v>264</v>
      </c>
      <c r="G108" s="294">
        <v>43035</v>
      </c>
      <c r="H108" s="304">
        <v>12000</v>
      </c>
      <c r="J108" s="298"/>
      <c r="K108" s="299">
        <v>0</v>
      </c>
      <c r="L108" s="297">
        <f t="shared" si="2"/>
        <v>840.00000000000011</v>
      </c>
    </row>
    <row r="109" spans="1:12">
      <c r="A109" s="287" t="s">
        <v>259</v>
      </c>
      <c r="B109" t="s">
        <v>25</v>
      </c>
      <c r="C109" s="210" t="s">
        <v>260</v>
      </c>
      <c r="D109" t="s">
        <v>264</v>
      </c>
      <c r="G109" s="294">
        <v>43074</v>
      </c>
      <c r="H109" s="304">
        <v>12000</v>
      </c>
      <c r="J109" s="298">
        <v>4289</v>
      </c>
      <c r="K109" s="299">
        <v>867</v>
      </c>
      <c r="L109" s="297">
        <f t="shared" si="2"/>
        <v>840.00000000000011</v>
      </c>
    </row>
    <row r="110" spans="1:12">
      <c r="A110" s="287" t="s">
        <v>259</v>
      </c>
      <c r="B110" t="s">
        <v>14</v>
      </c>
      <c r="C110" s="210" t="s">
        <v>261</v>
      </c>
      <c r="D110" t="s">
        <v>265</v>
      </c>
      <c r="E110" s="284" t="s">
        <v>266</v>
      </c>
      <c r="F110" s="280" t="s">
        <v>267</v>
      </c>
      <c r="G110" s="294">
        <v>43099</v>
      </c>
      <c r="H110" s="304">
        <v>16000</v>
      </c>
      <c r="I110" s="297">
        <v>32000</v>
      </c>
      <c r="J110" s="298">
        <v>15346</v>
      </c>
      <c r="K110" s="299"/>
      <c r="L110" s="297">
        <f t="shared" si="2"/>
        <v>1120</v>
      </c>
    </row>
    <row r="111" spans="1:12">
      <c r="A111" s="287" t="s">
        <v>259</v>
      </c>
      <c r="B111" t="s">
        <v>15</v>
      </c>
      <c r="C111" s="210" t="s">
        <v>261</v>
      </c>
      <c r="D111" t="s">
        <v>265</v>
      </c>
      <c r="G111" s="294">
        <v>42759</v>
      </c>
      <c r="H111" s="304">
        <v>16000</v>
      </c>
      <c r="J111" s="298">
        <v>15680</v>
      </c>
      <c r="K111" s="299">
        <v>1837</v>
      </c>
      <c r="L111" s="297">
        <f t="shared" si="2"/>
        <v>1120</v>
      </c>
    </row>
    <row r="112" spans="1:12">
      <c r="A112" s="287" t="s">
        <v>259</v>
      </c>
      <c r="B112" t="s">
        <v>16</v>
      </c>
      <c r="C112" s="210" t="s">
        <v>261</v>
      </c>
      <c r="D112" t="s">
        <v>265</v>
      </c>
      <c r="G112" s="294">
        <v>42795</v>
      </c>
      <c r="H112" s="304">
        <v>16000</v>
      </c>
      <c r="J112" s="298">
        <v>15680</v>
      </c>
      <c r="K112" s="299">
        <v>0</v>
      </c>
      <c r="L112" s="297">
        <f t="shared" si="2"/>
        <v>1120</v>
      </c>
    </row>
    <row r="113" spans="1:12">
      <c r="A113" s="287" t="s">
        <v>259</v>
      </c>
      <c r="B113" t="s">
        <v>17</v>
      </c>
      <c r="C113" s="210" t="s">
        <v>261</v>
      </c>
      <c r="D113" t="s">
        <v>265</v>
      </c>
      <c r="G113" s="294">
        <v>42825</v>
      </c>
      <c r="H113" s="304">
        <v>16000</v>
      </c>
      <c r="J113" s="298">
        <v>16046</v>
      </c>
      <c r="K113" s="299">
        <v>2013</v>
      </c>
      <c r="L113" s="297">
        <f t="shared" si="2"/>
        <v>1120</v>
      </c>
    </row>
    <row r="114" spans="1:12">
      <c r="A114" s="287" t="s">
        <v>259</v>
      </c>
      <c r="B114" t="s">
        <v>18</v>
      </c>
      <c r="C114" s="210" t="s">
        <v>261</v>
      </c>
      <c r="D114" t="s">
        <v>265</v>
      </c>
      <c r="G114" s="294">
        <v>42853</v>
      </c>
      <c r="H114" s="304">
        <v>16000</v>
      </c>
      <c r="J114" s="298"/>
      <c r="K114" s="299">
        <v>0</v>
      </c>
      <c r="L114" s="297">
        <f t="shared" si="2"/>
        <v>1120</v>
      </c>
    </row>
    <row r="115" spans="1:12">
      <c r="A115" s="287" t="s">
        <v>259</v>
      </c>
      <c r="B115" t="s">
        <v>19</v>
      </c>
      <c r="C115" s="210" t="s">
        <v>261</v>
      </c>
      <c r="D115" t="s">
        <v>265</v>
      </c>
      <c r="G115" s="294">
        <v>42887</v>
      </c>
      <c r="H115" s="304">
        <v>16000</v>
      </c>
      <c r="J115" s="298">
        <v>16394</v>
      </c>
      <c r="K115" s="299">
        <v>1914</v>
      </c>
      <c r="L115" s="297">
        <f t="shared" si="2"/>
        <v>1120</v>
      </c>
    </row>
    <row r="116" spans="1:12">
      <c r="A116" s="287" t="s">
        <v>259</v>
      </c>
      <c r="B116" t="s">
        <v>20</v>
      </c>
      <c r="C116" s="210" t="s">
        <v>261</v>
      </c>
      <c r="G116" s="294">
        <v>42916</v>
      </c>
      <c r="H116" s="304">
        <v>16000</v>
      </c>
      <c r="J116" s="298"/>
      <c r="K116" s="299">
        <v>0</v>
      </c>
      <c r="L116" s="297">
        <f t="shared" si="2"/>
        <v>1120</v>
      </c>
    </row>
    <row r="117" spans="1:12">
      <c r="A117" s="287" t="s">
        <v>259</v>
      </c>
      <c r="B117" t="s">
        <v>21</v>
      </c>
      <c r="C117" s="210" t="s">
        <v>261</v>
      </c>
      <c r="G117" s="294">
        <v>42948</v>
      </c>
      <c r="H117" s="304">
        <v>16000</v>
      </c>
      <c r="J117" s="298">
        <v>16948</v>
      </c>
      <c r="K117" s="299">
        <v>3047</v>
      </c>
      <c r="L117" s="297">
        <f t="shared" si="2"/>
        <v>1120</v>
      </c>
    </row>
    <row r="118" spans="1:12">
      <c r="A118" s="287" t="s">
        <v>259</v>
      </c>
      <c r="B118" t="s">
        <v>22</v>
      </c>
      <c r="C118" s="210" t="s">
        <v>261</v>
      </c>
      <c r="G118" s="294">
        <v>42975</v>
      </c>
      <c r="H118" s="304">
        <v>16000</v>
      </c>
      <c r="J118" s="298"/>
      <c r="K118" s="299">
        <v>0</v>
      </c>
      <c r="L118" s="297">
        <f t="shared" si="2"/>
        <v>1120</v>
      </c>
    </row>
    <row r="119" spans="1:12">
      <c r="A119" s="287" t="s">
        <v>259</v>
      </c>
      <c r="B119" t="s">
        <v>23</v>
      </c>
      <c r="C119" s="210" t="s">
        <v>261</v>
      </c>
      <c r="G119" s="294">
        <v>43010</v>
      </c>
      <c r="H119" s="304">
        <v>16000</v>
      </c>
      <c r="J119" s="298">
        <v>17340</v>
      </c>
      <c r="K119" s="299">
        <v>2156</v>
      </c>
      <c r="L119" s="297">
        <f t="shared" si="2"/>
        <v>1120</v>
      </c>
    </row>
    <row r="120" spans="1:12">
      <c r="A120" s="287" t="s">
        <v>259</v>
      </c>
      <c r="B120" t="s">
        <v>24</v>
      </c>
      <c r="C120" s="210" t="s">
        <v>261</v>
      </c>
      <c r="G120" s="294">
        <v>43039</v>
      </c>
      <c r="H120" s="304">
        <v>16000</v>
      </c>
      <c r="J120" s="298"/>
      <c r="K120" s="299">
        <v>0</v>
      </c>
      <c r="L120" s="297">
        <f t="shared" si="2"/>
        <v>1120</v>
      </c>
    </row>
    <row r="121" spans="1:12">
      <c r="A121" s="287" t="s">
        <v>259</v>
      </c>
      <c r="B121" t="s">
        <v>25</v>
      </c>
      <c r="C121" s="210" t="s">
        <v>261</v>
      </c>
      <c r="G121" s="294">
        <v>43068</v>
      </c>
      <c r="H121" s="304">
        <v>16000</v>
      </c>
      <c r="J121" s="298">
        <v>17662</v>
      </c>
      <c r="K121" s="299">
        <v>1771</v>
      </c>
      <c r="L121" s="297">
        <f t="shared" si="2"/>
        <v>1120</v>
      </c>
    </row>
    <row r="122" spans="1:12">
      <c r="A122" s="287" t="s">
        <v>259</v>
      </c>
      <c r="B122" t="s">
        <v>14</v>
      </c>
      <c r="C122" s="210" t="s">
        <v>37</v>
      </c>
      <c r="G122" s="294">
        <v>42744</v>
      </c>
      <c r="H122" s="304">
        <v>13000</v>
      </c>
      <c r="I122" s="297">
        <v>28000</v>
      </c>
      <c r="J122" s="298">
        <v>16645</v>
      </c>
      <c r="K122" s="299"/>
      <c r="L122" s="297">
        <f t="shared" si="2"/>
        <v>910.00000000000011</v>
      </c>
    </row>
    <row r="123" spans="1:12">
      <c r="A123" s="287" t="s">
        <v>259</v>
      </c>
      <c r="B123" t="s">
        <v>15</v>
      </c>
      <c r="C123" s="210" t="s">
        <v>268</v>
      </c>
      <c r="G123" s="294">
        <v>42773</v>
      </c>
      <c r="H123" s="304">
        <v>13000</v>
      </c>
      <c r="J123" s="298">
        <v>17017</v>
      </c>
      <c r="K123" s="299">
        <v>2046</v>
      </c>
      <c r="L123" s="297">
        <f t="shared" si="2"/>
        <v>910.00000000000011</v>
      </c>
    </row>
    <row r="124" spans="1:12">
      <c r="A124" s="287" t="s">
        <v>259</v>
      </c>
      <c r="B124" t="s">
        <v>16</v>
      </c>
      <c r="C124" s="210" t="s">
        <v>268</v>
      </c>
      <c r="D124" t="s">
        <v>271</v>
      </c>
      <c r="E124" s="284" t="s">
        <v>272</v>
      </c>
      <c r="F124" s="280" t="s">
        <v>273</v>
      </c>
      <c r="G124" s="294" t="s">
        <v>50</v>
      </c>
      <c r="H124" s="304">
        <v>12645</v>
      </c>
      <c r="J124" s="298">
        <v>17026</v>
      </c>
      <c r="K124" s="299"/>
      <c r="L124" s="297">
        <f t="shared" si="2"/>
        <v>885.15000000000009</v>
      </c>
    </row>
    <row r="125" spans="1:12">
      <c r="A125" s="287" t="s">
        <v>259</v>
      </c>
      <c r="B125" t="s">
        <v>17</v>
      </c>
      <c r="C125" s="210" t="s">
        <v>268</v>
      </c>
      <c r="D125" t="s">
        <v>271</v>
      </c>
      <c r="G125" s="294">
        <v>42839</v>
      </c>
      <c r="H125" s="304">
        <v>13000</v>
      </c>
      <c r="J125" s="298">
        <v>17354</v>
      </c>
      <c r="K125" s="299">
        <v>1804</v>
      </c>
      <c r="L125" s="297">
        <f t="shared" si="2"/>
        <v>910.00000000000011</v>
      </c>
    </row>
    <row r="126" spans="1:12">
      <c r="A126" s="287" t="s">
        <v>259</v>
      </c>
      <c r="B126" t="s">
        <v>18</v>
      </c>
      <c r="C126" s="210" t="s">
        <v>268</v>
      </c>
      <c r="D126" t="s">
        <v>271</v>
      </c>
      <c r="G126" s="294">
        <v>42857</v>
      </c>
      <c r="H126" s="304">
        <v>14000</v>
      </c>
      <c r="J126" s="298"/>
      <c r="K126" s="299">
        <v>0</v>
      </c>
      <c r="L126" s="297">
        <f t="shared" si="2"/>
        <v>980.00000000000011</v>
      </c>
    </row>
    <row r="127" spans="1:12">
      <c r="A127" s="287" t="s">
        <v>259</v>
      </c>
      <c r="B127" t="s">
        <v>19</v>
      </c>
      <c r="C127" s="210" t="s">
        <v>268</v>
      </c>
      <c r="D127" t="s">
        <v>271</v>
      </c>
      <c r="G127" s="294">
        <v>42894</v>
      </c>
      <c r="H127" s="304">
        <v>14000</v>
      </c>
      <c r="J127" s="298">
        <v>17788</v>
      </c>
      <c r="K127" s="299">
        <v>2387</v>
      </c>
      <c r="L127" s="297">
        <f t="shared" si="2"/>
        <v>980.00000000000011</v>
      </c>
    </row>
    <row r="128" spans="1:12">
      <c r="A128" s="287" t="s">
        <v>259</v>
      </c>
      <c r="B128" t="s">
        <v>20</v>
      </c>
      <c r="C128" s="210" t="s">
        <v>268</v>
      </c>
      <c r="D128" t="s">
        <v>271</v>
      </c>
      <c r="G128" s="294">
        <v>42914</v>
      </c>
      <c r="H128" s="304">
        <v>14000</v>
      </c>
      <c r="J128" s="298"/>
      <c r="K128" s="299">
        <v>0</v>
      </c>
      <c r="L128" s="297">
        <f t="shared" si="2"/>
        <v>980.00000000000011</v>
      </c>
    </row>
    <row r="129" spans="1:12">
      <c r="A129" s="287" t="s">
        <v>259</v>
      </c>
      <c r="B129" t="s">
        <v>21</v>
      </c>
      <c r="C129" s="210" t="s">
        <v>268</v>
      </c>
      <c r="D129" t="s">
        <v>271</v>
      </c>
      <c r="G129" s="294">
        <v>42949</v>
      </c>
      <c r="H129" s="304">
        <v>14000</v>
      </c>
      <c r="J129" s="298">
        <v>17978</v>
      </c>
      <c r="K129" s="299">
        <v>1045</v>
      </c>
      <c r="L129" s="297">
        <f t="shared" si="2"/>
        <v>980.00000000000011</v>
      </c>
    </row>
    <row r="130" spans="1:12">
      <c r="A130" s="287" t="s">
        <v>259</v>
      </c>
      <c r="B130" t="s">
        <v>22</v>
      </c>
      <c r="C130" s="210" t="s">
        <v>268</v>
      </c>
      <c r="D130" t="s">
        <v>271</v>
      </c>
      <c r="G130" s="294">
        <v>42978</v>
      </c>
      <c r="H130" s="304">
        <v>14000</v>
      </c>
      <c r="J130" s="298"/>
      <c r="K130" s="299">
        <v>0</v>
      </c>
      <c r="L130" s="297">
        <f t="shared" si="2"/>
        <v>980.00000000000011</v>
      </c>
    </row>
    <row r="131" spans="1:12">
      <c r="A131" s="287" t="s">
        <v>259</v>
      </c>
      <c r="B131" t="s">
        <v>23</v>
      </c>
      <c r="C131" s="210" t="s">
        <v>268</v>
      </c>
      <c r="D131" t="s">
        <v>271</v>
      </c>
      <c r="G131" s="294">
        <v>43019</v>
      </c>
      <c r="H131" s="304">
        <v>14000</v>
      </c>
      <c r="J131" s="298">
        <v>18462</v>
      </c>
      <c r="K131" s="299">
        <v>2662</v>
      </c>
      <c r="L131" s="297">
        <f t="shared" si="2"/>
        <v>980.00000000000011</v>
      </c>
    </row>
    <row r="132" spans="1:12">
      <c r="A132" s="287" t="s">
        <v>259</v>
      </c>
      <c r="B132" t="s">
        <v>24</v>
      </c>
      <c r="C132" s="210" t="s">
        <v>268</v>
      </c>
      <c r="D132" t="s">
        <v>271</v>
      </c>
      <c r="G132" s="294">
        <v>43040</v>
      </c>
      <c r="H132" s="304">
        <v>14000</v>
      </c>
      <c r="J132" s="298"/>
      <c r="K132" s="299">
        <v>0</v>
      </c>
      <c r="L132" s="297">
        <f t="shared" si="2"/>
        <v>980.00000000000011</v>
      </c>
    </row>
    <row r="133" spans="1:12">
      <c r="A133" s="287" t="s">
        <v>259</v>
      </c>
      <c r="B133" t="s">
        <v>25</v>
      </c>
      <c r="C133" s="210" t="s">
        <v>268</v>
      </c>
      <c r="D133" t="s">
        <v>271</v>
      </c>
      <c r="G133" s="294">
        <v>43075</v>
      </c>
      <c r="H133" s="304">
        <v>14000</v>
      </c>
      <c r="J133" s="298">
        <v>18790</v>
      </c>
      <c r="K133" s="299">
        <v>1804</v>
      </c>
      <c r="L133" s="297">
        <f t="shared" si="2"/>
        <v>980.00000000000011</v>
      </c>
    </row>
    <row r="134" spans="1:12">
      <c r="A134" s="287" t="s">
        <v>259</v>
      </c>
      <c r="B134" t="s">
        <v>14</v>
      </c>
      <c r="C134" s="210" t="s">
        <v>51</v>
      </c>
      <c r="D134" t="s">
        <v>274</v>
      </c>
      <c r="E134" s="284" t="s">
        <v>275</v>
      </c>
      <c r="F134" s="280" t="s">
        <v>276</v>
      </c>
      <c r="G134" s="294">
        <v>42736</v>
      </c>
      <c r="H134" s="304">
        <v>13000</v>
      </c>
      <c r="I134" s="297">
        <v>26000</v>
      </c>
      <c r="J134" s="298">
        <v>7284</v>
      </c>
      <c r="K134" s="299"/>
      <c r="L134" s="297">
        <f t="shared" si="2"/>
        <v>910.00000000000011</v>
      </c>
    </row>
    <row r="135" spans="1:12">
      <c r="A135" s="287" t="s">
        <v>259</v>
      </c>
      <c r="B135" t="s">
        <v>15</v>
      </c>
      <c r="C135" s="210" t="s">
        <v>269</v>
      </c>
      <c r="D135" t="s">
        <v>274</v>
      </c>
      <c r="F135" s="280"/>
      <c r="G135" s="294">
        <v>42768</v>
      </c>
      <c r="H135" s="304">
        <v>13000</v>
      </c>
      <c r="J135" s="298">
        <v>7532</v>
      </c>
      <c r="K135" s="299">
        <v>1364</v>
      </c>
      <c r="L135" s="297">
        <f t="shared" si="2"/>
        <v>910.00000000000011</v>
      </c>
    </row>
    <row r="136" spans="1:12">
      <c r="A136" s="287" t="s">
        <v>259</v>
      </c>
      <c r="B136" t="s">
        <v>16</v>
      </c>
      <c r="C136" s="210" t="s">
        <v>269</v>
      </c>
      <c r="D136" t="s">
        <v>274</v>
      </c>
      <c r="G136" s="294">
        <v>42795</v>
      </c>
      <c r="H136" s="304">
        <v>13000</v>
      </c>
      <c r="J136" s="298">
        <v>7532</v>
      </c>
      <c r="K136" s="299">
        <v>0</v>
      </c>
      <c r="L136" s="297">
        <f t="shared" si="2"/>
        <v>910.00000000000011</v>
      </c>
    </row>
    <row r="137" spans="1:12">
      <c r="A137" s="287" t="s">
        <v>259</v>
      </c>
      <c r="B137" t="s">
        <v>17</v>
      </c>
      <c r="C137" s="210" t="s">
        <v>269</v>
      </c>
      <c r="D137" t="s">
        <v>274</v>
      </c>
      <c r="G137" s="294">
        <v>42842</v>
      </c>
      <c r="H137" s="304">
        <v>13000</v>
      </c>
      <c r="J137" s="298">
        <v>7794</v>
      </c>
      <c r="K137" s="299">
        <v>1691</v>
      </c>
      <c r="L137" s="297">
        <f t="shared" si="2"/>
        <v>910.00000000000011</v>
      </c>
    </row>
    <row r="138" spans="1:12">
      <c r="A138" s="287" t="s">
        <v>259</v>
      </c>
      <c r="B138" t="s">
        <v>18</v>
      </c>
      <c r="C138" s="210" t="s">
        <v>269</v>
      </c>
      <c r="D138" t="s">
        <v>274</v>
      </c>
      <c r="G138" s="294">
        <v>42852</v>
      </c>
      <c r="H138" s="304">
        <v>13000</v>
      </c>
      <c r="J138" s="298"/>
      <c r="K138" s="299">
        <v>0</v>
      </c>
      <c r="L138" s="297">
        <f t="shared" si="2"/>
        <v>910.00000000000011</v>
      </c>
    </row>
    <row r="139" spans="1:12">
      <c r="A139" s="287" t="s">
        <v>259</v>
      </c>
      <c r="B139" t="s">
        <v>19</v>
      </c>
      <c r="C139" s="210" t="s">
        <v>269</v>
      </c>
      <c r="D139" t="s">
        <v>274</v>
      </c>
      <c r="G139" s="294">
        <v>42887</v>
      </c>
      <c r="H139" s="304">
        <v>13000</v>
      </c>
      <c r="J139" s="298">
        <v>8194</v>
      </c>
      <c r="K139" s="299">
        <v>2200</v>
      </c>
      <c r="L139" s="297">
        <f t="shared" si="2"/>
        <v>910.00000000000011</v>
      </c>
    </row>
    <row r="140" spans="1:12">
      <c r="A140" s="287" t="s">
        <v>259</v>
      </c>
      <c r="B140" t="s">
        <v>20</v>
      </c>
      <c r="C140" s="210" t="s">
        <v>269</v>
      </c>
      <c r="D140" t="s">
        <v>274</v>
      </c>
      <c r="G140" s="294">
        <v>42919</v>
      </c>
      <c r="H140" s="304">
        <v>13000</v>
      </c>
      <c r="J140" s="298"/>
      <c r="K140" s="299">
        <v>0</v>
      </c>
      <c r="L140" s="297">
        <f t="shared" si="2"/>
        <v>910.00000000000011</v>
      </c>
    </row>
    <row r="141" spans="1:12">
      <c r="A141" s="287" t="s">
        <v>259</v>
      </c>
      <c r="B141" t="s">
        <v>21</v>
      </c>
      <c r="C141" s="210" t="s">
        <v>269</v>
      </c>
      <c r="D141" t="s">
        <v>274</v>
      </c>
      <c r="G141" s="294">
        <v>42955</v>
      </c>
      <c r="H141" s="304">
        <v>13000</v>
      </c>
      <c r="J141" s="298">
        <v>8988</v>
      </c>
      <c r="K141" s="299">
        <v>4367</v>
      </c>
      <c r="L141" s="297">
        <f t="shared" si="2"/>
        <v>910.00000000000011</v>
      </c>
    </row>
    <row r="142" spans="1:12">
      <c r="A142" s="287" t="s">
        <v>259</v>
      </c>
      <c r="B142" t="s">
        <v>22</v>
      </c>
      <c r="C142" s="210" t="s">
        <v>269</v>
      </c>
      <c r="D142" t="s">
        <v>274</v>
      </c>
      <c r="G142" s="294">
        <v>42977</v>
      </c>
      <c r="H142" s="304">
        <v>13000</v>
      </c>
      <c r="J142" s="298"/>
      <c r="K142" s="299">
        <v>0</v>
      </c>
      <c r="L142" s="297">
        <f t="shared" si="2"/>
        <v>910.00000000000011</v>
      </c>
    </row>
    <row r="143" spans="1:12">
      <c r="A143" s="287" t="s">
        <v>259</v>
      </c>
      <c r="B143" t="s">
        <v>23</v>
      </c>
      <c r="C143" s="210" t="s">
        <v>269</v>
      </c>
      <c r="D143" t="s">
        <v>274</v>
      </c>
      <c r="G143" s="294">
        <v>43010</v>
      </c>
      <c r="H143" s="304">
        <v>13000</v>
      </c>
      <c r="J143" s="298">
        <v>9710</v>
      </c>
      <c r="K143" s="299">
        <v>4125</v>
      </c>
      <c r="L143" s="297">
        <f t="shared" si="2"/>
        <v>910.00000000000011</v>
      </c>
    </row>
    <row r="144" spans="1:12">
      <c r="A144" s="287" t="s">
        <v>259</v>
      </c>
      <c r="B144" t="s">
        <v>24</v>
      </c>
      <c r="C144" s="210" t="s">
        <v>269</v>
      </c>
      <c r="D144" t="s">
        <v>274</v>
      </c>
      <c r="G144" s="294">
        <v>43045</v>
      </c>
      <c r="H144" s="304">
        <v>13000</v>
      </c>
      <c r="J144" s="298"/>
      <c r="K144" s="299">
        <v>0</v>
      </c>
      <c r="L144" s="297">
        <f t="shared" si="2"/>
        <v>910.00000000000011</v>
      </c>
    </row>
    <row r="145" spans="1:13">
      <c r="A145" s="287" t="s">
        <v>259</v>
      </c>
      <c r="B145" t="s">
        <v>25</v>
      </c>
      <c r="C145" s="210" t="s">
        <v>269</v>
      </c>
      <c r="D145" t="s">
        <v>274</v>
      </c>
      <c r="G145" s="294">
        <v>43073</v>
      </c>
      <c r="H145" s="304">
        <v>13000</v>
      </c>
      <c r="J145" s="298">
        <v>10092</v>
      </c>
      <c r="K145" s="299">
        <v>2297</v>
      </c>
      <c r="L145" s="297">
        <f t="shared" si="2"/>
        <v>910.00000000000011</v>
      </c>
    </row>
    <row r="146" spans="1:13">
      <c r="A146" s="287" t="s">
        <v>259</v>
      </c>
      <c r="B146" t="s">
        <v>14</v>
      </c>
      <c r="C146" s="210" t="s">
        <v>52</v>
      </c>
      <c r="G146" s="294">
        <v>42738</v>
      </c>
      <c r="H146" s="304">
        <v>18000</v>
      </c>
      <c r="I146" s="297">
        <v>36000</v>
      </c>
      <c r="J146" s="298">
        <v>16151</v>
      </c>
      <c r="K146" s="299"/>
      <c r="L146" s="297">
        <f t="shared" si="2"/>
        <v>1260.0000000000002</v>
      </c>
    </row>
    <row r="147" spans="1:13">
      <c r="A147" s="287" t="s">
        <v>259</v>
      </c>
      <c r="B147" t="s">
        <v>15</v>
      </c>
      <c r="C147" s="210" t="s">
        <v>270</v>
      </c>
      <c r="G147" s="294">
        <v>42779</v>
      </c>
      <c r="H147" s="304">
        <v>18000</v>
      </c>
      <c r="J147" s="298">
        <v>16273</v>
      </c>
      <c r="K147" s="299">
        <v>671</v>
      </c>
      <c r="L147" s="297">
        <f t="shared" si="2"/>
        <v>1260.0000000000002</v>
      </c>
    </row>
    <row r="148" spans="1:13">
      <c r="A148" s="287" t="s">
        <v>259</v>
      </c>
      <c r="B148" t="s">
        <v>16</v>
      </c>
      <c r="C148" s="210" t="s">
        <v>270</v>
      </c>
      <c r="G148" s="294">
        <v>42808</v>
      </c>
      <c r="H148" s="304">
        <v>12192</v>
      </c>
      <c r="J148" s="298" t="s">
        <v>86</v>
      </c>
      <c r="K148" s="299">
        <v>198</v>
      </c>
      <c r="L148" s="297">
        <f t="shared" si="2"/>
        <v>853.44</v>
      </c>
    </row>
    <row r="149" spans="1:13">
      <c r="A149" s="287" t="s">
        <v>259</v>
      </c>
      <c r="B149" t="s">
        <v>17</v>
      </c>
      <c r="C149" s="210" t="s">
        <v>270</v>
      </c>
      <c r="G149" s="294">
        <v>42830</v>
      </c>
      <c r="H149" s="304">
        <v>18000</v>
      </c>
      <c r="J149" s="298">
        <v>16408</v>
      </c>
      <c r="K149" s="299">
        <v>624</v>
      </c>
      <c r="L149" s="297">
        <f t="shared" si="2"/>
        <v>1260.0000000000002</v>
      </c>
    </row>
    <row r="150" spans="1:13">
      <c r="A150" s="287" t="s">
        <v>259</v>
      </c>
      <c r="B150" t="s">
        <v>18</v>
      </c>
      <c r="C150" s="210" t="s">
        <v>270</v>
      </c>
      <c r="G150" s="294">
        <v>42857</v>
      </c>
      <c r="H150" s="304">
        <v>18000</v>
      </c>
      <c r="J150" s="298"/>
      <c r="K150" s="299">
        <v>0</v>
      </c>
      <c r="L150" s="297">
        <f t="shared" si="2"/>
        <v>1260.0000000000002</v>
      </c>
    </row>
    <row r="151" spans="1:13">
      <c r="A151" s="287" t="s">
        <v>259</v>
      </c>
      <c r="B151" t="s">
        <v>19</v>
      </c>
      <c r="C151" s="210" t="s">
        <v>270</v>
      </c>
      <c r="G151" s="294">
        <v>42882</v>
      </c>
      <c r="H151" s="304">
        <v>18000</v>
      </c>
      <c r="J151" s="298"/>
      <c r="K151" s="299">
        <v>0</v>
      </c>
      <c r="L151" s="297">
        <f t="shared" ref="L151:L157" si="3">H151*0.07</f>
        <v>1260.0000000000002</v>
      </c>
    </row>
    <row r="152" spans="1:13">
      <c r="A152" s="287" t="s">
        <v>259</v>
      </c>
      <c r="B152" t="s">
        <v>20</v>
      </c>
      <c r="C152" s="210" t="s">
        <v>270</v>
      </c>
      <c r="G152" s="294"/>
      <c r="H152" s="304"/>
      <c r="J152" s="298"/>
      <c r="K152" s="299">
        <v>0</v>
      </c>
      <c r="L152" s="297">
        <f t="shared" si="3"/>
        <v>0</v>
      </c>
    </row>
    <row r="153" spans="1:13">
      <c r="A153" s="287" t="s">
        <v>259</v>
      </c>
      <c r="B153" t="s">
        <v>21</v>
      </c>
      <c r="C153" s="210" t="s">
        <v>270</v>
      </c>
      <c r="G153" s="294"/>
      <c r="H153" s="304"/>
      <c r="J153" s="298"/>
      <c r="K153" s="299">
        <v>0</v>
      </c>
      <c r="L153" s="297">
        <f t="shared" si="3"/>
        <v>0</v>
      </c>
    </row>
    <row r="154" spans="1:13">
      <c r="A154" s="287" t="s">
        <v>259</v>
      </c>
      <c r="B154" t="s">
        <v>22</v>
      </c>
      <c r="C154" s="210" t="s">
        <v>270</v>
      </c>
      <c r="D154" t="s">
        <v>277</v>
      </c>
      <c r="E154" s="284" t="s">
        <v>278</v>
      </c>
      <c r="F154" s="280" t="s">
        <v>279</v>
      </c>
      <c r="G154" s="294" t="s">
        <v>210</v>
      </c>
      <c r="H154" s="304">
        <v>12600</v>
      </c>
      <c r="J154" s="298">
        <v>16694</v>
      </c>
      <c r="K154" s="299"/>
      <c r="L154" s="297">
        <f t="shared" si="3"/>
        <v>882.00000000000011</v>
      </c>
    </row>
    <row r="155" spans="1:13">
      <c r="A155" s="287" t="s">
        <v>259</v>
      </c>
      <c r="B155" t="s">
        <v>23</v>
      </c>
      <c r="C155" s="210" t="s">
        <v>270</v>
      </c>
      <c r="D155" t="s">
        <v>277</v>
      </c>
      <c r="G155" s="294">
        <v>43010</v>
      </c>
      <c r="H155" s="304">
        <v>18000</v>
      </c>
      <c r="J155" s="298">
        <v>17242</v>
      </c>
      <c r="K155" s="299">
        <v>3014</v>
      </c>
      <c r="L155" s="297">
        <f t="shared" si="3"/>
        <v>1260.0000000000002</v>
      </c>
    </row>
    <row r="156" spans="1:13">
      <c r="A156" s="287" t="s">
        <v>259</v>
      </c>
      <c r="B156" t="s">
        <v>24</v>
      </c>
      <c r="C156" s="210" t="s">
        <v>270</v>
      </c>
      <c r="D156" t="s">
        <v>277</v>
      </c>
      <c r="G156" s="294">
        <v>43039</v>
      </c>
      <c r="H156" s="304">
        <v>18000</v>
      </c>
      <c r="J156" s="298"/>
      <c r="K156" s="299">
        <v>154</v>
      </c>
      <c r="L156" s="297">
        <f t="shared" si="3"/>
        <v>1260.0000000000002</v>
      </c>
    </row>
    <row r="157" spans="1:13">
      <c r="A157" s="287" t="s">
        <v>259</v>
      </c>
      <c r="B157" t="s">
        <v>25</v>
      </c>
      <c r="C157" s="210" t="s">
        <v>270</v>
      </c>
      <c r="D157" t="s">
        <v>277</v>
      </c>
      <c r="G157" s="294">
        <v>43070</v>
      </c>
      <c r="H157" s="304">
        <v>18000</v>
      </c>
      <c r="J157" s="298">
        <v>17618</v>
      </c>
      <c r="K157" s="299">
        <v>2264</v>
      </c>
      <c r="L157" s="297">
        <f t="shared" si="3"/>
        <v>1260.0000000000002</v>
      </c>
    </row>
    <row r="158" spans="1:13" s="281" customFormat="1">
      <c r="A158" s="286">
        <v>269</v>
      </c>
      <c r="B158" s="281" t="s">
        <v>14</v>
      </c>
      <c r="C158" s="282" t="s">
        <v>248</v>
      </c>
      <c r="D158" s="281" t="s">
        <v>283</v>
      </c>
      <c r="E158" s="285"/>
      <c r="G158" s="295"/>
      <c r="H158" s="305">
        <v>31000</v>
      </c>
      <c r="I158" s="305"/>
      <c r="J158" s="302"/>
      <c r="K158" s="288"/>
      <c r="L158" s="288">
        <v>0</v>
      </c>
      <c r="M158" s="290" t="s">
        <v>288</v>
      </c>
    </row>
    <row r="159" spans="1:13">
      <c r="A159" s="287">
        <v>269</v>
      </c>
      <c r="B159" t="s">
        <v>15</v>
      </c>
      <c r="C159" s="210" t="s">
        <v>248</v>
      </c>
      <c r="D159" t="s">
        <v>283</v>
      </c>
      <c r="G159" s="294"/>
      <c r="H159" s="304">
        <v>31000</v>
      </c>
      <c r="J159" s="298"/>
      <c r="K159" s="299"/>
      <c r="L159" s="297">
        <v>0</v>
      </c>
    </row>
    <row r="160" spans="1:13">
      <c r="A160" s="287">
        <v>269</v>
      </c>
      <c r="B160" t="s">
        <v>16</v>
      </c>
      <c r="C160" s="210" t="s">
        <v>248</v>
      </c>
      <c r="D160" t="s">
        <v>283</v>
      </c>
      <c r="G160" s="294"/>
      <c r="H160" s="304">
        <v>31000</v>
      </c>
      <c r="J160" s="298"/>
      <c r="K160" s="299"/>
      <c r="L160" s="297">
        <v>0</v>
      </c>
    </row>
    <row r="161" spans="1:12">
      <c r="A161" s="287">
        <v>269</v>
      </c>
      <c r="B161" t="s">
        <v>17</v>
      </c>
      <c r="C161" s="210" t="s">
        <v>248</v>
      </c>
      <c r="D161" t="s">
        <v>283</v>
      </c>
      <c r="G161" s="294"/>
      <c r="H161" s="304">
        <v>31000</v>
      </c>
      <c r="J161" s="298"/>
      <c r="K161" s="299"/>
      <c r="L161" s="297">
        <v>0</v>
      </c>
    </row>
    <row r="162" spans="1:12">
      <c r="A162" s="287">
        <v>269</v>
      </c>
      <c r="B162" t="s">
        <v>18</v>
      </c>
      <c r="C162" s="210" t="s">
        <v>248</v>
      </c>
      <c r="D162" t="s">
        <v>283</v>
      </c>
      <c r="G162" s="294"/>
      <c r="H162" s="304">
        <v>31000</v>
      </c>
      <c r="J162" s="298"/>
      <c r="K162" s="299"/>
      <c r="L162" s="297">
        <v>0</v>
      </c>
    </row>
    <row r="163" spans="1:12">
      <c r="A163" s="287">
        <v>269</v>
      </c>
      <c r="B163" t="s">
        <v>19</v>
      </c>
      <c r="C163" s="210" t="s">
        <v>248</v>
      </c>
      <c r="D163" t="s">
        <v>283</v>
      </c>
      <c r="G163" s="294"/>
      <c r="H163" s="304">
        <v>37288</v>
      </c>
      <c r="J163" s="298"/>
      <c r="K163" s="299"/>
      <c r="L163" s="297">
        <v>0</v>
      </c>
    </row>
    <row r="164" spans="1:12">
      <c r="A164" s="287">
        <v>269</v>
      </c>
      <c r="B164" t="s">
        <v>20</v>
      </c>
      <c r="C164" s="210" t="s">
        <v>248</v>
      </c>
      <c r="D164" t="s">
        <v>283</v>
      </c>
      <c r="G164" s="294"/>
      <c r="H164" s="304">
        <v>36351</v>
      </c>
      <c r="J164" s="298"/>
      <c r="K164" s="299"/>
      <c r="L164" s="297">
        <v>0</v>
      </c>
    </row>
    <row r="165" spans="1:12">
      <c r="A165" s="287">
        <v>269</v>
      </c>
      <c r="B165" t="s">
        <v>21</v>
      </c>
      <c r="C165" s="210" t="s">
        <v>248</v>
      </c>
      <c r="D165" t="s">
        <v>283</v>
      </c>
      <c r="G165" s="294"/>
      <c r="H165" s="304">
        <f>5049+4653+17403+9676</f>
        <v>36781</v>
      </c>
      <c r="J165" s="298"/>
      <c r="K165" s="299"/>
      <c r="L165" s="297">
        <v>0</v>
      </c>
    </row>
    <row r="166" spans="1:12">
      <c r="A166" s="287">
        <v>269</v>
      </c>
      <c r="B166" t="s">
        <v>22</v>
      </c>
      <c r="C166" s="210" t="s">
        <v>248</v>
      </c>
      <c r="D166" t="s">
        <v>283</v>
      </c>
      <c r="G166" s="294"/>
      <c r="H166" s="304">
        <v>23700</v>
      </c>
      <c r="J166" s="298"/>
      <c r="K166" s="299"/>
      <c r="L166" s="297">
        <v>0</v>
      </c>
    </row>
    <row r="167" spans="1:12">
      <c r="A167" s="287">
        <v>269</v>
      </c>
      <c r="B167" t="s">
        <v>23</v>
      </c>
      <c r="C167" s="210" t="s">
        <v>248</v>
      </c>
      <c r="D167" t="s">
        <v>283</v>
      </c>
      <c r="G167" s="294"/>
      <c r="H167" s="304"/>
      <c r="J167" s="298"/>
      <c r="K167" s="299"/>
      <c r="L167" s="297">
        <v>0</v>
      </c>
    </row>
    <row r="168" spans="1:12">
      <c r="A168" s="287">
        <v>269</v>
      </c>
      <c r="B168" t="s">
        <v>24</v>
      </c>
      <c r="C168" s="210" t="s">
        <v>248</v>
      </c>
      <c r="D168" t="s">
        <v>283</v>
      </c>
      <c r="G168" s="294"/>
      <c r="H168" s="304"/>
      <c r="J168" s="298"/>
      <c r="K168" s="299"/>
      <c r="L168" s="297">
        <v>0</v>
      </c>
    </row>
    <row r="169" spans="1:12">
      <c r="A169" s="287">
        <v>269</v>
      </c>
      <c r="B169" t="s">
        <v>25</v>
      </c>
      <c r="C169" s="210" t="s">
        <v>248</v>
      </c>
      <c r="D169" t="s">
        <v>283</v>
      </c>
      <c r="G169" s="294"/>
      <c r="H169" s="304">
        <v>19000</v>
      </c>
      <c r="J169" s="298"/>
      <c r="K169" s="299"/>
      <c r="L169" s="297">
        <v>0</v>
      </c>
    </row>
    <row r="170" spans="1:12">
      <c r="A170" s="287">
        <v>269</v>
      </c>
      <c r="B170" t="s">
        <v>14</v>
      </c>
      <c r="C170" s="210" t="s">
        <v>260</v>
      </c>
      <c r="G170" s="294"/>
      <c r="H170" s="304">
        <v>30000</v>
      </c>
      <c r="I170" s="297">
        <v>60000</v>
      </c>
      <c r="J170" s="298">
        <v>6063</v>
      </c>
      <c r="K170" s="299"/>
      <c r="L170" s="297">
        <v>0</v>
      </c>
    </row>
    <row r="171" spans="1:12">
      <c r="A171" s="287">
        <v>269</v>
      </c>
      <c r="B171" t="s">
        <v>15</v>
      </c>
      <c r="C171" s="210" t="s">
        <v>260</v>
      </c>
      <c r="G171" s="294"/>
      <c r="H171" s="304">
        <v>30000</v>
      </c>
      <c r="J171" s="298">
        <v>6407</v>
      </c>
      <c r="K171" s="299">
        <v>1892</v>
      </c>
      <c r="L171" s="297">
        <v>0</v>
      </c>
    </row>
    <row r="172" spans="1:12">
      <c r="A172" s="287">
        <v>269</v>
      </c>
      <c r="B172" t="s">
        <v>16</v>
      </c>
      <c r="C172" s="210" t="s">
        <v>260</v>
      </c>
      <c r="G172" s="294"/>
      <c r="H172" s="304">
        <v>30000</v>
      </c>
      <c r="J172" s="298">
        <v>6723</v>
      </c>
      <c r="K172" s="299">
        <v>1738</v>
      </c>
      <c r="L172" s="297">
        <v>0</v>
      </c>
    </row>
    <row r="173" spans="1:12">
      <c r="A173" s="287">
        <v>269</v>
      </c>
      <c r="B173" t="s">
        <v>17</v>
      </c>
      <c r="C173" s="210" t="s">
        <v>260</v>
      </c>
      <c r="G173" s="294">
        <v>42838</v>
      </c>
      <c r="H173" s="304">
        <v>30000</v>
      </c>
      <c r="J173" s="298">
        <v>7153</v>
      </c>
      <c r="K173" s="299">
        <v>2365</v>
      </c>
      <c r="L173" s="297">
        <v>0</v>
      </c>
    </row>
    <row r="174" spans="1:12">
      <c r="A174" s="287">
        <v>269</v>
      </c>
      <c r="B174" t="s">
        <v>18</v>
      </c>
      <c r="C174" s="210" t="s">
        <v>260</v>
      </c>
      <c r="G174" s="294">
        <v>42866</v>
      </c>
      <c r="H174" s="304">
        <v>30000</v>
      </c>
      <c r="J174" s="298">
        <v>7599</v>
      </c>
      <c r="K174" s="299">
        <v>2453</v>
      </c>
      <c r="L174" s="297">
        <v>0</v>
      </c>
    </row>
    <row r="175" spans="1:12">
      <c r="A175" s="287">
        <v>269</v>
      </c>
      <c r="B175" t="s">
        <v>19</v>
      </c>
      <c r="C175" s="210" t="s">
        <v>260</v>
      </c>
      <c r="G175" s="294">
        <v>42898</v>
      </c>
      <c r="H175" s="304">
        <v>30000</v>
      </c>
      <c r="J175" s="298">
        <v>8591</v>
      </c>
      <c r="K175" s="299">
        <v>5456</v>
      </c>
      <c r="L175" s="297">
        <v>0</v>
      </c>
    </row>
    <row r="176" spans="1:12">
      <c r="A176" s="287">
        <v>269</v>
      </c>
      <c r="B176" t="s">
        <v>20</v>
      </c>
      <c r="C176" s="210" t="s">
        <v>260</v>
      </c>
      <c r="G176" s="294">
        <v>42923</v>
      </c>
      <c r="H176" s="304">
        <v>30000</v>
      </c>
      <c r="J176" s="298">
        <v>9663</v>
      </c>
      <c r="K176" s="299">
        <v>5896</v>
      </c>
      <c r="L176" s="297">
        <v>0</v>
      </c>
    </row>
    <row r="177" spans="1:12">
      <c r="A177" s="287">
        <v>269</v>
      </c>
      <c r="B177" t="s">
        <v>21</v>
      </c>
      <c r="C177" s="210" t="s">
        <v>260</v>
      </c>
      <c r="G177" s="294">
        <v>42954</v>
      </c>
      <c r="H177" s="304">
        <v>30000</v>
      </c>
      <c r="J177" s="298">
        <v>10953</v>
      </c>
      <c r="K177" s="299">
        <v>7095</v>
      </c>
      <c r="L177" s="297">
        <v>0</v>
      </c>
    </row>
    <row r="178" spans="1:12">
      <c r="A178" s="287">
        <v>269</v>
      </c>
      <c r="B178" t="s">
        <v>22</v>
      </c>
      <c r="C178" s="210" t="s">
        <v>260</v>
      </c>
      <c r="G178" s="294">
        <v>42983</v>
      </c>
      <c r="H178" s="304">
        <v>30000</v>
      </c>
      <c r="J178" s="298">
        <v>12137</v>
      </c>
      <c r="K178" s="299">
        <v>6512</v>
      </c>
      <c r="L178" s="297">
        <v>0</v>
      </c>
    </row>
    <row r="179" spans="1:12">
      <c r="A179" s="287">
        <v>269</v>
      </c>
      <c r="B179" t="s">
        <v>23</v>
      </c>
      <c r="C179" s="210" t="s">
        <v>260</v>
      </c>
      <c r="G179" s="294">
        <v>43014</v>
      </c>
      <c r="H179" s="304">
        <v>30000</v>
      </c>
      <c r="J179" s="298">
        <v>13197</v>
      </c>
      <c r="K179" s="299">
        <v>5830</v>
      </c>
      <c r="L179" s="297">
        <v>0</v>
      </c>
    </row>
    <row r="180" spans="1:12">
      <c r="A180" s="287">
        <v>269</v>
      </c>
      <c r="B180" t="s">
        <v>24</v>
      </c>
      <c r="C180" s="210" t="s">
        <v>260</v>
      </c>
      <c r="G180" s="294">
        <v>43044</v>
      </c>
      <c r="H180" s="304">
        <v>30000</v>
      </c>
      <c r="J180" s="298">
        <v>13861</v>
      </c>
      <c r="K180" s="299">
        <v>3652</v>
      </c>
      <c r="L180" s="297">
        <v>0</v>
      </c>
    </row>
    <row r="181" spans="1:12">
      <c r="A181" s="287">
        <v>269</v>
      </c>
      <c r="B181" t="s">
        <v>25</v>
      </c>
      <c r="C181" s="210" t="s">
        <v>260</v>
      </c>
      <c r="G181" s="294">
        <v>43081</v>
      </c>
      <c r="H181" s="304">
        <v>7741</v>
      </c>
      <c r="J181" s="298"/>
      <c r="K181" s="299"/>
      <c r="L181" s="297">
        <v>0</v>
      </c>
    </row>
    <row r="182" spans="1:12">
      <c r="A182" s="287">
        <v>269</v>
      </c>
      <c r="B182" t="s">
        <v>14</v>
      </c>
      <c r="C182" s="210" t="s">
        <v>261</v>
      </c>
      <c r="G182" s="294"/>
      <c r="H182" s="304">
        <v>28000</v>
      </c>
      <c r="I182" s="297">
        <v>60000</v>
      </c>
      <c r="J182" s="298">
        <v>2777</v>
      </c>
      <c r="K182" s="299"/>
      <c r="L182" s="297">
        <v>0</v>
      </c>
    </row>
    <row r="183" spans="1:12">
      <c r="A183" s="287">
        <v>269</v>
      </c>
      <c r="B183" t="s">
        <v>15</v>
      </c>
      <c r="C183" s="210" t="s">
        <v>261</v>
      </c>
      <c r="G183" s="294"/>
      <c r="H183" s="304">
        <v>28000</v>
      </c>
      <c r="J183" s="298">
        <v>2905</v>
      </c>
      <c r="K183" s="299">
        <v>704</v>
      </c>
      <c r="L183" s="297">
        <v>0</v>
      </c>
    </row>
    <row r="184" spans="1:12">
      <c r="A184" s="287">
        <v>269</v>
      </c>
      <c r="B184" t="s">
        <v>16</v>
      </c>
      <c r="C184" s="210" t="s">
        <v>261</v>
      </c>
      <c r="G184" s="294" t="s">
        <v>84</v>
      </c>
      <c r="H184" s="304">
        <v>28000</v>
      </c>
      <c r="J184" s="298">
        <v>3033</v>
      </c>
      <c r="K184" s="299">
        <v>704</v>
      </c>
      <c r="L184" s="297">
        <v>0</v>
      </c>
    </row>
    <row r="185" spans="1:12">
      <c r="A185" s="287">
        <v>269</v>
      </c>
      <c r="B185" t="s">
        <v>17</v>
      </c>
      <c r="C185" s="210" t="s">
        <v>261</v>
      </c>
      <c r="G185" s="294"/>
      <c r="H185" s="304">
        <v>28000</v>
      </c>
      <c r="J185" s="298">
        <v>3139</v>
      </c>
      <c r="K185" s="299">
        <v>583</v>
      </c>
      <c r="L185" s="297">
        <v>0</v>
      </c>
    </row>
    <row r="186" spans="1:12">
      <c r="A186" s="287">
        <v>269</v>
      </c>
      <c r="B186" t="s">
        <v>18</v>
      </c>
      <c r="C186" s="210" t="s">
        <v>261</v>
      </c>
      <c r="G186" s="294"/>
      <c r="H186" s="304">
        <v>28000</v>
      </c>
      <c r="J186" s="298">
        <v>3248</v>
      </c>
      <c r="K186" s="299">
        <v>599.5</v>
      </c>
      <c r="L186" s="297">
        <v>0</v>
      </c>
    </row>
    <row r="187" spans="1:12">
      <c r="A187" s="287">
        <v>269</v>
      </c>
      <c r="B187" t="s">
        <v>19</v>
      </c>
      <c r="C187" s="210" t="s">
        <v>261</v>
      </c>
      <c r="G187" s="294"/>
      <c r="H187" s="304">
        <v>28000</v>
      </c>
      <c r="J187" s="298">
        <v>3410</v>
      </c>
      <c r="K187" s="299">
        <v>891</v>
      </c>
      <c r="L187" s="297">
        <v>0</v>
      </c>
    </row>
    <row r="188" spans="1:12">
      <c r="A188" s="287">
        <v>269</v>
      </c>
      <c r="B188" t="s">
        <v>20</v>
      </c>
      <c r="C188" s="210" t="s">
        <v>261</v>
      </c>
      <c r="G188" s="294"/>
      <c r="H188" s="304">
        <v>28000</v>
      </c>
      <c r="J188" s="298">
        <v>3580</v>
      </c>
      <c r="K188" s="299">
        <v>935</v>
      </c>
      <c r="L188" s="297">
        <v>0</v>
      </c>
    </row>
    <row r="189" spans="1:12">
      <c r="A189" s="287">
        <v>269</v>
      </c>
      <c r="B189" t="s">
        <v>21</v>
      </c>
      <c r="C189" s="210" t="s">
        <v>261</v>
      </c>
      <c r="G189" s="294"/>
      <c r="H189" s="304">
        <v>28000</v>
      </c>
      <c r="J189" s="298">
        <v>3789</v>
      </c>
      <c r="K189" s="299">
        <v>1149.5</v>
      </c>
      <c r="L189" s="297">
        <v>0</v>
      </c>
    </row>
    <row r="190" spans="1:12">
      <c r="A190" s="287">
        <v>269</v>
      </c>
      <c r="B190" t="s">
        <v>22</v>
      </c>
      <c r="C190" s="210" t="s">
        <v>261</v>
      </c>
      <c r="D190" t="s">
        <v>204</v>
      </c>
      <c r="F190" t="s">
        <v>205</v>
      </c>
      <c r="G190" s="294">
        <v>42985</v>
      </c>
      <c r="H190" s="304">
        <v>30000</v>
      </c>
      <c r="J190" s="298" t="s">
        <v>217</v>
      </c>
      <c r="K190" s="299">
        <v>770</v>
      </c>
      <c r="L190" s="297">
        <v>0</v>
      </c>
    </row>
    <row r="191" spans="1:12">
      <c r="A191" s="287">
        <v>269</v>
      </c>
      <c r="B191" t="s">
        <v>23</v>
      </c>
      <c r="C191" s="210" t="s">
        <v>261</v>
      </c>
      <c r="D191" t="s">
        <v>204</v>
      </c>
      <c r="G191" s="294">
        <v>43013</v>
      </c>
      <c r="H191" s="304">
        <v>30000</v>
      </c>
      <c r="J191" s="298">
        <v>4070</v>
      </c>
      <c r="K191" s="299">
        <v>715</v>
      </c>
      <c r="L191" s="297">
        <v>0</v>
      </c>
    </row>
    <row r="192" spans="1:12">
      <c r="A192" s="287">
        <v>269</v>
      </c>
      <c r="B192" t="s">
        <v>24</v>
      </c>
      <c r="C192" s="210" t="s">
        <v>261</v>
      </c>
      <c r="D192" t="s">
        <v>204</v>
      </c>
      <c r="G192" s="294">
        <v>43047</v>
      </c>
      <c r="H192" s="304">
        <v>30000</v>
      </c>
      <c r="J192" s="298">
        <v>4158</v>
      </c>
      <c r="K192" s="299">
        <v>484</v>
      </c>
      <c r="L192" s="297">
        <v>0</v>
      </c>
    </row>
    <row r="193" spans="1:12">
      <c r="A193" s="287">
        <v>269</v>
      </c>
      <c r="B193" t="s">
        <v>25</v>
      </c>
      <c r="C193" s="210" t="s">
        <v>261</v>
      </c>
      <c r="D193" t="s">
        <v>204</v>
      </c>
      <c r="G193" s="294">
        <v>43075</v>
      </c>
      <c r="H193" s="304">
        <v>30000</v>
      </c>
      <c r="J193" s="298"/>
      <c r="K193" s="299">
        <f>IF((J193-J192)*5.5&gt;0,(J193-J192)*5.5,0)</f>
        <v>0</v>
      </c>
      <c r="L193" s="297">
        <v>0</v>
      </c>
    </row>
    <row r="194" spans="1:12" s="281" customFormat="1">
      <c r="A194" s="286">
        <v>121</v>
      </c>
      <c r="B194" s="281" t="s">
        <v>14</v>
      </c>
      <c r="C194" s="282" t="s">
        <v>248</v>
      </c>
      <c r="D194" s="281" t="s">
        <v>131</v>
      </c>
      <c r="E194" s="285"/>
      <c r="G194" s="295"/>
      <c r="H194" s="305">
        <v>25000</v>
      </c>
      <c r="I194" s="288">
        <v>50000</v>
      </c>
      <c r="J194" s="300">
        <v>2917</v>
      </c>
      <c r="K194" s="301"/>
      <c r="L194" s="288">
        <f t="shared" ref="L194:L241" si="4">H194*0.1</f>
        <v>2500</v>
      </c>
    </row>
    <row r="195" spans="1:12">
      <c r="A195" s="287">
        <v>121</v>
      </c>
      <c r="B195" t="s">
        <v>15</v>
      </c>
      <c r="C195" s="210" t="s">
        <v>248</v>
      </c>
      <c r="D195" t="s">
        <v>131</v>
      </c>
      <c r="G195" s="294"/>
      <c r="H195" s="304">
        <v>25000</v>
      </c>
      <c r="J195" s="298">
        <v>2995</v>
      </c>
      <c r="K195" s="299">
        <v>429</v>
      </c>
      <c r="L195" s="297">
        <f t="shared" si="4"/>
        <v>2500</v>
      </c>
    </row>
    <row r="196" spans="1:12">
      <c r="A196" s="287">
        <v>121</v>
      </c>
      <c r="B196" t="s">
        <v>16</v>
      </c>
      <c r="C196" s="210" t="s">
        <v>248</v>
      </c>
      <c r="D196" t="s">
        <v>131</v>
      </c>
      <c r="G196" s="294" t="s">
        <v>59</v>
      </c>
      <c r="H196" s="304">
        <v>24000</v>
      </c>
      <c r="J196" s="298">
        <v>3169</v>
      </c>
      <c r="K196" s="299">
        <v>957</v>
      </c>
      <c r="L196" s="297">
        <f t="shared" si="4"/>
        <v>2400</v>
      </c>
    </row>
    <row r="197" spans="1:12">
      <c r="A197" s="287">
        <v>121</v>
      </c>
      <c r="B197" t="s">
        <v>17</v>
      </c>
      <c r="C197" s="210" t="s">
        <v>248</v>
      </c>
      <c r="D197" t="s">
        <v>131</v>
      </c>
      <c r="G197" s="294" t="s">
        <v>59</v>
      </c>
      <c r="H197" s="304">
        <v>24000</v>
      </c>
      <c r="J197" s="298">
        <v>3357</v>
      </c>
      <c r="K197" s="299">
        <v>1034</v>
      </c>
      <c r="L197" s="297">
        <f t="shared" si="4"/>
        <v>2400</v>
      </c>
    </row>
    <row r="198" spans="1:12">
      <c r="A198" s="287">
        <v>121</v>
      </c>
      <c r="B198" t="s">
        <v>18</v>
      </c>
      <c r="C198" s="210" t="s">
        <v>248</v>
      </c>
      <c r="D198" t="s">
        <v>131</v>
      </c>
      <c r="G198" s="294" t="s">
        <v>112</v>
      </c>
      <c r="H198" s="304">
        <f>6194+11200</f>
        <v>17394</v>
      </c>
      <c r="J198" s="298">
        <v>3599</v>
      </c>
      <c r="K198" s="299"/>
      <c r="L198" s="297">
        <f t="shared" si="4"/>
        <v>1739.4</v>
      </c>
    </row>
    <row r="199" spans="1:12">
      <c r="A199" s="287">
        <v>121</v>
      </c>
      <c r="B199" t="s">
        <v>19</v>
      </c>
      <c r="C199" s="210" t="s">
        <v>248</v>
      </c>
      <c r="D199" t="s">
        <v>131</v>
      </c>
      <c r="G199" s="294">
        <v>42886</v>
      </c>
      <c r="H199" s="304">
        <v>25000</v>
      </c>
      <c r="J199" s="298">
        <v>3845</v>
      </c>
      <c r="K199" s="299">
        <v>1353</v>
      </c>
      <c r="L199" s="297">
        <f t="shared" si="4"/>
        <v>2500</v>
      </c>
    </row>
    <row r="200" spans="1:12">
      <c r="A200" s="287">
        <v>121</v>
      </c>
      <c r="B200" t="s">
        <v>20</v>
      </c>
      <c r="C200" s="210" t="s">
        <v>248</v>
      </c>
      <c r="D200" t="s">
        <v>131</v>
      </c>
      <c r="G200" s="294">
        <v>42921</v>
      </c>
      <c r="H200" s="304">
        <v>25000</v>
      </c>
      <c r="J200" s="298">
        <v>4113</v>
      </c>
      <c r="K200" s="299">
        <v>1474</v>
      </c>
      <c r="L200" s="297">
        <f t="shared" si="4"/>
        <v>2500</v>
      </c>
    </row>
    <row r="201" spans="1:12">
      <c r="A201" s="287">
        <v>121</v>
      </c>
      <c r="B201" t="s">
        <v>21</v>
      </c>
      <c r="C201" s="210" t="s">
        <v>248</v>
      </c>
      <c r="D201" t="s">
        <v>131</v>
      </c>
      <c r="G201" s="294">
        <v>42954</v>
      </c>
      <c r="H201" s="304">
        <v>25000</v>
      </c>
      <c r="J201" s="298">
        <v>4479</v>
      </c>
      <c r="K201" s="299">
        <v>3487</v>
      </c>
      <c r="L201" s="297">
        <f t="shared" si="4"/>
        <v>2500</v>
      </c>
    </row>
    <row r="202" spans="1:12">
      <c r="A202" s="287">
        <v>121</v>
      </c>
      <c r="B202" t="s">
        <v>22</v>
      </c>
      <c r="C202" s="210" t="s">
        <v>248</v>
      </c>
      <c r="D202" t="s">
        <v>131</v>
      </c>
      <c r="G202" s="294">
        <v>42984</v>
      </c>
      <c r="H202" s="304">
        <v>25000</v>
      </c>
      <c r="J202" s="298">
        <v>4843</v>
      </c>
      <c r="K202" s="299">
        <v>2002</v>
      </c>
      <c r="L202" s="297">
        <f t="shared" si="4"/>
        <v>2500</v>
      </c>
    </row>
    <row r="203" spans="1:12">
      <c r="A203" s="287">
        <v>121</v>
      </c>
      <c r="B203" t="s">
        <v>23</v>
      </c>
      <c r="C203" s="210" t="s">
        <v>248</v>
      </c>
      <c r="D203" t="s">
        <v>131</v>
      </c>
      <c r="G203" s="294">
        <v>43019</v>
      </c>
      <c r="H203" s="304">
        <v>25000</v>
      </c>
      <c r="J203" s="298">
        <v>5139</v>
      </c>
      <c r="K203" s="299">
        <v>1628</v>
      </c>
      <c r="L203" s="297">
        <f t="shared" si="4"/>
        <v>2500</v>
      </c>
    </row>
    <row r="204" spans="1:12">
      <c r="A204" s="287">
        <v>121</v>
      </c>
      <c r="B204" t="s">
        <v>24</v>
      </c>
      <c r="C204" s="210" t="s">
        <v>248</v>
      </c>
      <c r="D204" t="s">
        <v>131</v>
      </c>
      <c r="G204" s="294">
        <v>43045</v>
      </c>
      <c r="H204" s="304">
        <v>25000</v>
      </c>
      <c r="J204" s="298">
        <v>5319</v>
      </c>
      <c r="K204" s="299">
        <v>990</v>
      </c>
      <c r="L204" s="297">
        <f t="shared" si="4"/>
        <v>2500</v>
      </c>
    </row>
    <row r="205" spans="1:12">
      <c r="A205" s="287">
        <v>121</v>
      </c>
      <c r="B205" t="s">
        <v>25</v>
      </c>
      <c r="C205" s="210" t="s">
        <v>248</v>
      </c>
      <c r="D205" t="s">
        <v>131</v>
      </c>
      <c r="G205" s="294">
        <v>43075</v>
      </c>
      <c r="H205" s="304">
        <v>25000</v>
      </c>
      <c r="J205" s="298"/>
      <c r="K205" s="299"/>
      <c r="L205" s="297">
        <f t="shared" si="4"/>
        <v>2500</v>
      </c>
    </row>
    <row r="206" spans="1:12">
      <c r="A206" s="287">
        <v>121</v>
      </c>
      <c r="B206" t="s">
        <v>14</v>
      </c>
      <c r="C206" s="210" t="s">
        <v>260</v>
      </c>
      <c r="G206" s="294">
        <v>42739</v>
      </c>
      <c r="H206" s="304">
        <v>24000</v>
      </c>
      <c r="J206" s="298">
        <v>4205</v>
      </c>
      <c r="K206" s="299"/>
      <c r="L206" s="297">
        <f t="shared" si="4"/>
        <v>2400</v>
      </c>
    </row>
    <row r="207" spans="1:12">
      <c r="A207" s="287">
        <v>121</v>
      </c>
      <c r="B207" t="s">
        <v>15</v>
      </c>
      <c r="C207" s="210" t="s">
        <v>260</v>
      </c>
      <c r="G207" s="294">
        <v>42769</v>
      </c>
      <c r="H207" s="304">
        <v>24000</v>
      </c>
      <c r="J207" s="298">
        <v>4427</v>
      </c>
      <c r="K207" s="299">
        <v>1221</v>
      </c>
      <c r="L207" s="297">
        <f t="shared" si="4"/>
        <v>2400</v>
      </c>
    </row>
    <row r="208" spans="1:12">
      <c r="A208" s="287">
        <v>121</v>
      </c>
      <c r="B208" t="s">
        <v>16</v>
      </c>
      <c r="C208" s="210" t="s">
        <v>260</v>
      </c>
      <c r="G208" s="294">
        <v>42796</v>
      </c>
      <c r="H208" s="304">
        <v>24000</v>
      </c>
      <c r="J208" s="298">
        <v>4659</v>
      </c>
      <c r="K208" s="299">
        <v>1276</v>
      </c>
      <c r="L208" s="297">
        <f t="shared" si="4"/>
        <v>2400</v>
      </c>
    </row>
    <row r="209" spans="1:12">
      <c r="A209" s="287">
        <v>121</v>
      </c>
      <c r="B209" t="s">
        <v>17</v>
      </c>
      <c r="C209" s="210" t="s">
        <v>260</v>
      </c>
      <c r="G209" s="294">
        <v>42830</v>
      </c>
      <c r="H209" s="304">
        <v>24000</v>
      </c>
      <c r="J209" s="298">
        <v>4845</v>
      </c>
      <c r="K209" s="299">
        <v>1023</v>
      </c>
      <c r="L209" s="297">
        <f t="shared" si="4"/>
        <v>2400</v>
      </c>
    </row>
    <row r="210" spans="1:12">
      <c r="A210" s="287">
        <v>121</v>
      </c>
      <c r="B210" t="s">
        <v>18</v>
      </c>
      <c r="C210" s="210" t="s">
        <v>260</v>
      </c>
      <c r="G210" s="294"/>
      <c r="H210" s="304">
        <v>24000</v>
      </c>
      <c r="J210" s="298">
        <v>5133</v>
      </c>
      <c r="K210" s="299">
        <v>1584</v>
      </c>
      <c r="L210" s="297">
        <f t="shared" si="4"/>
        <v>2400</v>
      </c>
    </row>
    <row r="211" spans="1:12">
      <c r="A211" s="287">
        <v>121</v>
      </c>
      <c r="B211" t="s">
        <v>19</v>
      </c>
      <c r="C211" s="210" t="s">
        <v>260</v>
      </c>
      <c r="G211" s="294">
        <v>42889</v>
      </c>
      <c r="H211" s="304">
        <v>24000</v>
      </c>
      <c r="J211" s="298" t="s">
        <v>190</v>
      </c>
      <c r="K211" s="299">
        <v>1606</v>
      </c>
      <c r="L211" s="297">
        <f t="shared" si="4"/>
        <v>2400</v>
      </c>
    </row>
    <row r="212" spans="1:12">
      <c r="A212" s="287">
        <v>121</v>
      </c>
      <c r="B212" t="s">
        <v>20</v>
      </c>
      <c r="C212" s="210" t="s">
        <v>260</v>
      </c>
      <c r="G212" s="294">
        <v>42908</v>
      </c>
      <c r="H212" s="304">
        <v>27000</v>
      </c>
      <c r="J212" s="298">
        <v>5670</v>
      </c>
      <c r="K212" s="299"/>
      <c r="L212" s="297">
        <f t="shared" si="4"/>
        <v>2700</v>
      </c>
    </row>
    <row r="213" spans="1:12">
      <c r="A213" s="287">
        <v>121</v>
      </c>
      <c r="B213" t="s">
        <v>21</v>
      </c>
      <c r="C213" s="210" t="s">
        <v>260</v>
      </c>
      <c r="G213" s="294">
        <v>42948</v>
      </c>
      <c r="H213" s="304">
        <v>28000</v>
      </c>
      <c r="J213" s="298"/>
      <c r="K213" s="299"/>
      <c r="L213" s="297">
        <f t="shared" si="4"/>
        <v>2800</v>
      </c>
    </row>
    <row r="214" spans="1:12">
      <c r="A214" s="287">
        <v>121</v>
      </c>
      <c r="B214" t="s">
        <v>22</v>
      </c>
      <c r="C214" s="210" t="s">
        <v>260</v>
      </c>
      <c r="G214" s="294">
        <v>42979</v>
      </c>
      <c r="H214" s="304">
        <v>28000</v>
      </c>
      <c r="J214" s="298"/>
      <c r="K214" s="299"/>
      <c r="L214" s="297">
        <f t="shared" si="4"/>
        <v>2800</v>
      </c>
    </row>
    <row r="215" spans="1:12">
      <c r="A215" s="287">
        <v>121</v>
      </c>
      <c r="B215" t="s">
        <v>23</v>
      </c>
      <c r="C215" s="210" t="s">
        <v>260</v>
      </c>
      <c r="G215" s="294"/>
      <c r="H215" s="304">
        <f>24000+7000</f>
        <v>31000</v>
      </c>
      <c r="J215" s="298"/>
      <c r="K215" s="299"/>
      <c r="L215" s="297">
        <f t="shared" si="4"/>
        <v>3100</v>
      </c>
    </row>
    <row r="216" spans="1:12">
      <c r="A216" s="287">
        <v>121</v>
      </c>
      <c r="B216" t="s">
        <v>24</v>
      </c>
      <c r="C216" s="210" t="s">
        <v>260</v>
      </c>
      <c r="G216" s="294"/>
      <c r="H216" s="304">
        <f>7000+6000</f>
        <v>13000</v>
      </c>
      <c r="J216" s="298"/>
      <c r="K216" s="299"/>
      <c r="L216" s="297">
        <f t="shared" si="4"/>
        <v>1300</v>
      </c>
    </row>
    <row r="217" spans="1:12">
      <c r="A217" s="287">
        <v>121</v>
      </c>
      <c r="B217" t="s">
        <v>25</v>
      </c>
      <c r="C217" s="210" t="s">
        <v>260</v>
      </c>
      <c r="D217" t="s">
        <v>234</v>
      </c>
      <c r="F217" t="s">
        <v>310</v>
      </c>
      <c r="G217" s="294" t="s">
        <v>244</v>
      </c>
      <c r="H217" s="304">
        <v>23338</v>
      </c>
      <c r="J217" s="298"/>
      <c r="K217" s="299"/>
      <c r="L217" s="297">
        <f t="shared" si="4"/>
        <v>2333.8000000000002</v>
      </c>
    </row>
    <row r="218" spans="1:12">
      <c r="A218" s="287">
        <v>121</v>
      </c>
      <c r="B218" t="s">
        <v>14</v>
      </c>
      <c r="C218" s="210" t="s">
        <v>261</v>
      </c>
      <c r="G218" s="294"/>
      <c r="H218" s="304">
        <v>24000</v>
      </c>
      <c r="J218" s="298">
        <v>3822</v>
      </c>
      <c r="K218" s="299" t="s">
        <v>90</v>
      </c>
      <c r="L218" s="297">
        <f t="shared" si="4"/>
        <v>2400</v>
      </c>
    </row>
    <row r="219" spans="1:12">
      <c r="A219" s="287">
        <v>121</v>
      </c>
      <c r="B219" t="s">
        <v>15</v>
      </c>
      <c r="C219" s="210" t="s">
        <v>261</v>
      </c>
      <c r="G219" s="294"/>
      <c r="H219" s="304">
        <v>24000</v>
      </c>
      <c r="J219" s="298">
        <v>4374</v>
      </c>
      <c r="K219" s="299">
        <v>3036</v>
      </c>
      <c r="L219" s="297">
        <f t="shared" si="4"/>
        <v>2400</v>
      </c>
    </row>
    <row r="220" spans="1:12">
      <c r="A220" s="287">
        <v>121</v>
      </c>
      <c r="B220" t="s">
        <v>16</v>
      </c>
      <c r="C220" s="210" t="s">
        <v>261</v>
      </c>
      <c r="G220" s="294"/>
      <c r="H220" s="304">
        <v>24000</v>
      </c>
      <c r="J220" s="298">
        <v>4508</v>
      </c>
      <c r="K220" s="299">
        <v>737</v>
      </c>
      <c r="L220" s="297">
        <f t="shared" si="4"/>
        <v>2400</v>
      </c>
    </row>
    <row r="221" spans="1:12">
      <c r="A221" s="287">
        <v>121</v>
      </c>
      <c r="B221" t="s">
        <v>17</v>
      </c>
      <c r="C221" s="210" t="s">
        <v>261</v>
      </c>
      <c r="G221" s="294"/>
      <c r="H221" s="304">
        <v>24000</v>
      </c>
      <c r="J221" s="298">
        <v>4630</v>
      </c>
      <c r="K221" s="299">
        <v>671</v>
      </c>
      <c r="L221" s="297">
        <f t="shared" si="4"/>
        <v>2400</v>
      </c>
    </row>
    <row r="222" spans="1:12">
      <c r="A222" s="287">
        <v>121</v>
      </c>
      <c r="B222" t="s">
        <v>18</v>
      </c>
      <c r="C222" s="210" t="s">
        <v>261</v>
      </c>
      <c r="G222" s="294">
        <v>42858</v>
      </c>
      <c r="H222" s="304">
        <v>24000</v>
      </c>
      <c r="J222" s="298"/>
      <c r="K222" s="299">
        <v>0</v>
      </c>
      <c r="L222" s="297">
        <f t="shared" si="4"/>
        <v>2400</v>
      </c>
    </row>
    <row r="223" spans="1:12">
      <c r="A223" s="287">
        <v>121</v>
      </c>
      <c r="B223" t="s">
        <v>19</v>
      </c>
      <c r="C223" s="210" t="s">
        <v>261</v>
      </c>
      <c r="G223" s="294">
        <v>42886</v>
      </c>
      <c r="H223" s="304">
        <v>24000</v>
      </c>
      <c r="J223" s="298">
        <v>5140</v>
      </c>
      <c r="K223" s="299">
        <v>2805</v>
      </c>
      <c r="L223" s="297">
        <f t="shared" si="4"/>
        <v>2400</v>
      </c>
    </row>
    <row r="224" spans="1:12">
      <c r="A224" s="287">
        <v>121</v>
      </c>
      <c r="B224" t="s">
        <v>20</v>
      </c>
      <c r="C224" s="210" t="s">
        <v>261</v>
      </c>
      <c r="G224" s="294">
        <v>42908</v>
      </c>
      <c r="H224" s="304">
        <v>24000</v>
      </c>
      <c r="J224" s="298">
        <v>5151</v>
      </c>
      <c r="K224" s="299"/>
      <c r="L224" s="297">
        <f t="shared" si="4"/>
        <v>2400</v>
      </c>
    </row>
    <row r="225" spans="1:12">
      <c r="A225" s="287">
        <v>121</v>
      </c>
      <c r="B225" t="s">
        <v>21</v>
      </c>
      <c r="C225" s="210" t="s">
        <v>261</v>
      </c>
      <c r="D225" t="s">
        <v>193</v>
      </c>
      <c r="F225" t="s">
        <v>194</v>
      </c>
      <c r="G225" s="294">
        <v>42950</v>
      </c>
      <c r="H225" s="304">
        <v>25000</v>
      </c>
      <c r="I225" s="297">
        <v>50000</v>
      </c>
      <c r="J225" s="298">
        <v>5381</v>
      </c>
      <c r="K225" s="299">
        <v>1265</v>
      </c>
      <c r="L225" s="297">
        <f t="shared" si="4"/>
        <v>2500</v>
      </c>
    </row>
    <row r="226" spans="1:12">
      <c r="A226" s="287">
        <v>121</v>
      </c>
      <c r="B226" t="s">
        <v>22</v>
      </c>
      <c r="C226" s="210" t="s">
        <v>261</v>
      </c>
      <c r="D226" t="s">
        <v>193</v>
      </c>
      <c r="G226" s="294">
        <v>42978</v>
      </c>
      <c r="H226" s="304">
        <v>25000</v>
      </c>
      <c r="J226" s="298">
        <v>5647</v>
      </c>
      <c r="K226" s="299">
        <v>1463</v>
      </c>
      <c r="L226" s="297">
        <f t="shared" si="4"/>
        <v>2500</v>
      </c>
    </row>
    <row r="227" spans="1:12">
      <c r="A227" s="287">
        <v>121</v>
      </c>
      <c r="B227" t="s">
        <v>23</v>
      </c>
      <c r="C227" s="210" t="s">
        <v>261</v>
      </c>
      <c r="D227" t="s">
        <v>193</v>
      </c>
      <c r="G227" s="294">
        <v>43013</v>
      </c>
      <c r="H227" s="304">
        <v>25000</v>
      </c>
      <c r="J227" s="298">
        <v>5929</v>
      </c>
      <c r="K227" s="299">
        <v>1551</v>
      </c>
      <c r="L227" s="297">
        <f t="shared" si="4"/>
        <v>2500</v>
      </c>
    </row>
    <row r="228" spans="1:12">
      <c r="A228" s="287">
        <v>121</v>
      </c>
      <c r="B228" t="s">
        <v>24</v>
      </c>
      <c r="C228" s="210" t="s">
        <v>261</v>
      </c>
      <c r="D228" t="s">
        <v>193</v>
      </c>
      <c r="G228" s="294">
        <v>43049</v>
      </c>
      <c r="H228" s="304">
        <v>25000</v>
      </c>
      <c r="J228" s="298">
        <v>6073</v>
      </c>
      <c r="K228" s="299">
        <v>792</v>
      </c>
      <c r="L228" s="297">
        <f t="shared" si="4"/>
        <v>2500</v>
      </c>
    </row>
    <row r="229" spans="1:12">
      <c r="A229" s="287">
        <v>121</v>
      </c>
      <c r="B229" t="s">
        <v>25</v>
      </c>
      <c r="C229" s="210" t="s">
        <v>261</v>
      </c>
      <c r="D229" t="s">
        <v>193</v>
      </c>
      <c r="G229" s="294">
        <v>43073</v>
      </c>
      <c r="H229" s="304">
        <v>25000</v>
      </c>
      <c r="J229" s="298"/>
      <c r="K229" s="299"/>
      <c r="L229" s="297">
        <f t="shared" si="4"/>
        <v>2500</v>
      </c>
    </row>
    <row r="230" spans="1:12">
      <c r="A230" s="287">
        <v>121</v>
      </c>
      <c r="B230" t="s">
        <v>14</v>
      </c>
      <c r="C230" s="210" t="s">
        <v>268</v>
      </c>
      <c r="G230" s="294"/>
      <c r="H230" s="304">
        <v>28000</v>
      </c>
      <c r="J230" s="298">
        <v>7432</v>
      </c>
      <c r="K230" s="299"/>
      <c r="L230" s="297">
        <f t="shared" si="4"/>
        <v>2800</v>
      </c>
    </row>
    <row r="231" spans="1:12">
      <c r="A231" s="287">
        <v>121</v>
      </c>
      <c r="B231" t="s">
        <v>15</v>
      </c>
      <c r="C231" s="210" t="s">
        <v>268</v>
      </c>
      <c r="G231" s="294"/>
      <c r="H231" s="304">
        <v>28000</v>
      </c>
      <c r="J231" s="298">
        <v>7706</v>
      </c>
      <c r="K231" s="299">
        <v>1507</v>
      </c>
      <c r="L231" s="297">
        <f t="shared" si="4"/>
        <v>2800</v>
      </c>
    </row>
    <row r="232" spans="1:12">
      <c r="A232" s="287">
        <v>121</v>
      </c>
      <c r="B232" t="s">
        <v>16</v>
      </c>
      <c r="C232" s="210" t="s">
        <v>268</v>
      </c>
      <c r="G232" s="294"/>
      <c r="H232" s="304">
        <v>28000</v>
      </c>
      <c r="J232" s="298">
        <v>7940</v>
      </c>
      <c r="K232" s="299">
        <v>1287</v>
      </c>
      <c r="L232" s="297">
        <f t="shared" si="4"/>
        <v>2800</v>
      </c>
    </row>
    <row r="233" spans="1:12">
      <c r="A233" s="287">
        <v>121</v>
      </c>
      <c r="B233" t="s">
        <v>17</v>
      </c>
      <c r="C233" s="210" t="s">
        <v>268</v>
      </c>
      <c r="G233" s="294"/>
      <c r="H233" s="304">
        <v>28000</v>
      </c>
      <c r="J233" s="298">
        <v>8142</v>
      </c>
      <c r="K233" s="299">
        <v>1111</v>
      </c>
      <c r="L233" s="297">
        <f t="shared" si="4"/>
        <v>2800</v>
      </c>
    </row>
    <row r="234" spans="1:12">
      <c r="A234" s="287">
        <v>121</v>
      </c>
      <c r="B234" t="s">
        <v>18</v>
      </c>
      <c r="C234" s="210" t="s">
        <v>268</v>
      </c>
      <c r="G234" s="294">
        <v>42863</v>
      </c>
      <c r="H234" s="304">
        <v>28000</v>
      </c>
      <c r="J234" s="298">
        <v>8308</v>
      </c>
      <c r="K234" s="299">
        <v>913</v>
      </c>
      <c r="L234" s="297">
        <f t="shared" si="4"/>
        <v>2800</v>
      </c>
    </row>
    <row r="235" spans="1:12">
      <c r="A235" s="287">
        <v>121</v>
      </c>
      <c r="B235" t="s">
        <v>19</v>
      </c>
      <c r="C235" s="210" t="s">
        <v>268</v>
      </c>
      <c r="G235" s="294">
        <v>42892</v>
      </c>
      <c r="H235" s="304">
        <v>28000</v>
      </c>
      <c r="J235" s="298">
        <v>8624</v>
      </c>
      <c r="K235" s="299">
        <v>1738</v>
      </c>
      <c r="L235" s="297">
        <f t="shared" si="4"/>
        <v>2800</v>
      </c>
    </row>
    <row r="236" spans="1:12">
      <c r="A236" s="287">
        <v>121</v>
      </c>
      <c r="B236" t="s">
        <v>20</v>
      </c>
      <c r="C236" s="210" t="s">
        <v>268</v>
      </c>
      <c r="G236" s="294">
        <v>42922</v>
      </c>
      <c r="H236" s="304">
        <v>28000</v>
      </c>
      <c r="J236" s="298">
        <v>8884</v>
      </c>
      <c r="K236" s="299">
        <v>1430</v>
      </c>
      <c r="L236" s="297">
        <f t="shared" si="4"/>
        <v>2800</v>
      </c>
    </row>
    <row r="237" spans="1:12">
      <c r="A237" s="287">
        <v>121</v>
      </c>
      <c r="B237" t="s">
        <v>21</v>
      </c>
      <c r="C237" s="210" t="s">
        <v>268</v>
      </c>
      <c r="G237" s="294">
        <v>42970</v>
      </c>
      <c r="H237" s="304">
        <v>28000</v>
      </c>
      <c r="J237" s="298">
        <v>9162</v>
      </c>
      <c r="K237" s="299">
        <v>1529</v>
      </c>
      <c r="L237" s="297">
        <f t="shared" si="4"/>
        <v>2800</v>
      </c>
    </row>
    <row r="238" spans="1:12">
      <c r="A238" s="287">
        <v>121</v>
      </c>
      <c r="B238" t="s">
        <v>22</v>
      </c>
      <c r="C238" s="210" t="s">
        <v>268</v>
      </c>
      <c r="G238" s="294" t="s">
        <v>211</v>
      </c>
      <c r="H238" s="304">
        <f>14000+11366</f>
        <v>25366</v>
      </c>
      <c r="J238" s="298"/>
      <c r="K238" s="299">
        <v>0</v>
      </c>
      <c r="L238" s="297">
        <f t="shared" si="4"/>
        <v>2536.6000000000004</v>
      </c>
    </row>
    <row r="239" spans="1:12">
      <c r="A239" s="287">
        <v>121</v>
      </c>
      <c r="B239" t="s">
        <v>23</v>
      </c>
      <c r="C239" s="210" t="s">
        <v>268</v>
      </c>
      <c r="G239" s="294" t="s">
        <v>227</v>
      </c>
      <c r="H239" s="304">
        <v>17566</v>
      </c>
      <c r="J239" s="298"/>
      <c r="K239" s="299">
        <v>0</v>
      </c>
      <c r="L239" s="297">
        <f t="shared" si="4"/>
        <v>1756.6000000000001</v>
      </c>
    </row>
    <row r="240" spans="1:12">
      <c r="A240" s="287">
        <v>121</v>
      </c>
      <c r="B240" t="s">
        <v>24</v>
      </c>
      <c r="C240" s="210" t="s">
        <v>268</v>
      </c>
      <c r="G240" s="294"/>
      <c r="H240" s="304"/>
      <c r="J240" s="298"/>
      <c r="K240" s="299">
        <v>0</v>
      </c>
      <c r="L240" s="297">
        <f t="shared" si="4"/>
        <v>0</v>
      </c>
    </row>
    <row r="241" spans="1:13">
      <c r="A241" s="287">
        <v>121</v>
      </c>
      <c r="B241" t="s">
        <v>25</v>
      </c>
      <c r="C241" s="210" t="s">
        <v>268</v>
      </c>
      <c r="D241" t="s">
        <v>229</v>
      </c>
      <c r="F241" t="s">
        <v>230</v>
      </c>
      <c r="G241" s="294">
        <v>43058</v>
      </c>
      <c r="H241" s="304">
        <v>28000</v>
      </c>
      <c r="I241" s="297">
        <v>56000</v>
      </c>
      <c r="J241" s="298"/>
      <c r="K241" s="299"/>
      <c r="L241" s="297">
        <f t="shared" si="4"/>
        <v>2800</v>
      </c>
    </row>
    <row r="242" spans="1:13" s="281" customFormat="1">
      <c r="A242" s="286" t="s">
        <v>284</v>
      </c>
      <c r="B242" s="281" t="s">
        <v>14</v>
      </c>
      <c r="C242" s="282" t="s">
        <v>248</v>
      </c>
      <c r="E242" s="285"/>
      <c r="G242" s="295"/>
      <c r="H242" s="305">
        <v>28000</v>
      </c>
      <c r="I242" s="288"/>
      <c r="J242" s="300">
        <v>5531</v>
      </c>
      <c r="K242" s="301"/>
      <c r="L242" s="288">
        <f t="shared" ref="L242:L305" si="5">H242*0.1</f>
        <v>2800</v>
      </c>
      <c r="M242" s="281" t="s">
        <v>96</v>
      </c>
    </row>
    <row r="243" spans="1:13">
      <c r="A243" s="287" t="s">
        <v>284</v>
      </c>
      <c r="B243" t="s">
        <v>15</v>
      </c>
      <c r="C243" s="210" t="s">
        <v>248</v>
      </c>
      <c r="G243" s="294"/>
      <c r="H243" s="304">
        <v>28000</v>
      </c>
      <c r="J243" s="298">
        <v>5697</v>
      </c>
      <c r="K243" s="299">
        <v>913</v>
      </c>
      <c r="L243" s="297">
        <f t="shared" si="5"/>
        <v>2800</v>
      </c>
    </row>
    <row r="244" spans="1:13">
      <c r="A244" s="287" t="s">
        <v>284</v>
      </c>
      <c r="B244" t="s">
        <v>16</v>
      </c>
      <c r="C244" s="210" t="s">
        <v>248</v>
      </c>
      <c r="G244" s="294"/>
      <c r="H244" s="304">
        <v>28000</v>
      </c>
      <c r="J244" s="298">
        <v>5945</v>
      </c>
      <c r="K244" s="299">
        <v>1364</v>
      </c>
      <c r="L244" s="297">
        <f t="shared" si="5"/>
        <v>2800</v>
      </c>
    </row>
    <row r="245" spans="1:13">
      <c r="A245" s="287" t="s">
        <v>284</v>
      </c>
      <c r="B245" t="s">
        <v>17</v>
      </c>
      <c r="C245" s="210" t="s">
        <v>248</v>
      </c>
      <c r="G245" s="294"/>
      <c r="H245" s="304">
        <v>28000</v>
      </c>
      <c r="J245" s="298">
        <v>6099</v>
      </c>
      <c r="K245" s="299">
        <v>847</v>
      </c>
      <c r="L245" s="297">
        <f t="shared" si="5"/>
        <v>2800</v>
      </c>
    </row>
    <row r="246" spans="1:13">
      <c r="A246" s="287" t="s">
        <v>284</v>
      </c>
      <c r="B246" t="s">
        <v>18</v>
      </c>
      <c r="C246" s="210" t="s">
        <v>248</v>
      </c>
      <c r="G246" s="294">
        <v>42874</v>
      </c>
      <c r="H246" s="304">
        <v>28000</v>
      </c>
      <c r="J246" s="298">
        <v>6293</v>
      </c>
      <c r="K246" s="299">
        <v>1067</v>
      </c>
      <c r="L246" s="297">
        <f t="shared" si="5"/>
        <v>2800</v>
      </c>
    </row>
    <row r="247" spans="1:13">
      <c r="A247" s="287" t="s">
        <v>284</v>
      </c>
      <c r="B247" t="s">
        <v>19</v>
      </c>
      <c r="C247" s="210" t="s">
        <v>248</v>
      </c>
      <c r="G247" s="294"/>
      <c r="H247" s="304">
        <v>28000</v>
      </c>
      <c r="J247" s="298">
        <v>6497</v>
      </c>
      <c r="K247" s="299">
        <v>1122</v>
      </c>
      <c r="L247" s="297">
        <f t="shared" si="5"/>
        <v>2800</v>
      </c>
    </row>
    <row r="248" spans="1:13">
      <c r="A248" s="287" t="s">
        <v>284</v>
      </c>
      <c r="B248" t="s">
        <v>20</v>
      </c>
      <c r="C248" s="210" t="s">
        <v>248</v>
      </c>
      <c r="G248" s="294"/>
      <c r="H248" s="304">
        <v>28000</v>
      </c>
      <c r="J248" s="298">
        <v>6799</v>
      </c>
      <c r="K248" s="299">
        <v>1661</v>
      </c>
      <c r="L248" s="297">
        <f t="shared" si="5"/>
        <v>2800</v>
      </c>
    </row>
    <row r="249" spans="1:13">
      <c r="A249" s="287" t="s">
        <v>284</v>
      </c>
      <c r="B249" t="s">
        <v>21</v>
      </c>
      <c r="C249" s="210" t="s">
        <v>248</v>
      </c>
      <c r="G249" s="294">
        <v>42954</v>
      </c>
      <c r="H249" s="304">
        <v>28000</v>
      </c>
      <c r="J249" s="298">
        <v>7193</v>
      </c>
      <c r="K249" s="299">
        <v>2167</v>
      </c>
      <c r="L249" s="297">
        <f t="shared" si="5"/>
        <v>2800</v>
      </c>
    </row>
    <row r="250" spans="1:13">
      <c r="A250" s="287" t="s">
        <v>284</v>
      </c>
      <c r="B250" t="s">
        <v>22</v>
      </c>
      <c r="C250" s="210" t="s">
        <v>248</v>
      </c>
      <c r="G250" s="294">
        <v>42978</v>
      </c>
      <c r="H250" s="304">
        <v>28000</v>
      </c>
      <c r="J250" s="298"/>
      <c r="K250" s="299">
        <v>0</v>
      </c>
      <c r="L250" s="297">
        <f t="shared" si="5"/>
        <v>2800</v>
      </c>
    </row>
    <row r="251" spans="1:13">
      <c r="A251" s="287" t="s">
        <v>284</v>
      </c>
      <c r="B251" t="s">
        <v>23</v>
      </c>
      <c r="C251" s="210" t="s">
        <v>248</v>
      </c>
      <c r="G251" s="294"/>
      <c r="H251" s="304">
        <v>9333</v>
      </c>
      <c r="J251" s="298"/>
      <c r="K251" s="299">
        <v>0</v>
      </c>
      <c r="L251" s="297">
        <f t="shared" si="5"/>
        <v>933.30000000000007</v>
      </c>
    </row>
    <row r="252" spans="1:13">
      <c r="A252" s="287" t="s">
        <v>284</v>
      </c>
      <c r="B252" t="s">
        <v>24</v>
      </c>
      <c r="C252" s="210" t="s">
        <v>248</v>
      </c>
      <c r="G252" s="294"/>
      <c r="H252" s="304"/>
      <c r="J252" s="298">
        <v>7699</v>
      </c>
      <c r="K252" s="299"/>
      <c r="L252" s="297">
        <f t="shared" si="5"/>
        <v>0</v>
      </c>
    </row>
    <row r="253" spans="1:13">
      <c r="A253" s="287" t="s">
        <v>284</v>
      </c>
      <c r="B253" t="s">
        <v>25</v>
      </c>
      <c r="C253" s="210" t="s">
        <v>248</v>
      </c>
      <c r="D253" t="s">
        <v>236</v>
      </c>
      <c r="F253" t="s">
        <v>237</v>
      </c>
      <c r="G253" s="294">
        <v>43081</v>
      </c>
      <c r="H253" s="304">
        <f>28000/31*21</f>
        <v>18967.741935483871</v>
      </c>
      <c r="I253" s="297">
        <v>28000</v>
      </c>
      <c r="J253" s="298"/>
      <c r="K253" s="299">
        <v>0</v>
      </c>
      <c r="L253" s="297">
        <f t="shared" si="5"/>
        <v>1896.7741935483873</v>
      </c>
    </row>
    <row r="254" spans="1:13">
      <c r="A254" s="287" t="s">
        <v>284</v>
      </c>
      <c r="B254" t="s">
        <v>14</v>
      </c>
      <c r="C254" s="210" t="s">
        <v>260</v>
      </c>
      <c r="D254" t="s">
        <v>235</v>
      </c>
      <c r="F254" t="s">
        <v>97</v>
      </c>
      <c r="G254" s="294"/>
      <c r="H254" s="304">
        <v>28000</v>
      </c>
      <c r="I254" s="297">
        <v>56000</v>
      </c>
      <c r="J254" s="298">
        <v>4906</v>
      </c>
      <c r="K254" s="299"/>
      <c r="L254" s="297">
        <f t="shared" si="5"/>
        <v>2800</v>
      </c>
    </row>
    <row r="255" spans="1:13">
      <c r="A255" s="287" t="s">
        <v>284</v>
      </c>
      <c r="B255" t="s">
        <v>15</v>
      </c>
      <c r="C255" s="210" t="s">
        <v>260</v>
      </c>
      <c r="D255" t="s">
        <v>235</v>
      </c>
      <c r="G255" s="294"/>
      <c r="H255" s="304">
        <v>28000</v>
      </c>
      <c r="J255" s="298">
        <v>5034</v>
      </c>
      <c r="K255" s="299">
        <v>704</v>
      </c>
      <c r="L255" s="297">
        <f t="shared" si="5"/>
        <v>2800</v>
      </c>
    </row>
    <row r="256" spans="1:13">
      <c r="A256" s="287" t="s">
        <v>284</v>
      </c>
      <c r="B256" t="s">
        <v>16</v>
      </c>
      <c r="C256" s="210" t="s">
        <v>260</v>
      </c>
      <c r="D256" t="s">
        <v>235</v>
      </c>
      <c r="G256" s="294"/>
      <c r="H256" s="304">
        <v>28000</v>
      </c>
      <c r="J256" s="298">
        <v>5238</v>
      </c>
      <c r="K256" s="299">
        <v>1122</v>
      </c>
      <c r="L256" s="297">
        <f t="shared" si="5"/>
        <v>2800</v>
      </c>
    </row>
    <row r="257" spans="1:12">
      <c r="A257" s="287" t="s">
        <v>284</v>
      </c>
      <c r="B257" t="s">
        <v>17</v>
      </c>
      <c r="C257" s="210" t="s">
        <v>260</v>
      </c>
      <c r="D257" t="s">
        <v>235</v>
      </c>
      <c r="G257" s="294"/>
      <c r="H257" s="304">
        <v>28000</v>
      </c>
      <c r="J257" s="298">
        <v>5344</v>
      </c>
      <c r="K257" s="299">
        <v>583</v>
      </c>
      <c r="L257" s="297">
        <f t="shared" si="5"/>
        <v>2800</v>
      </c>
    </row>
    <row r="258" spans="1:12">
      <c r="A258" s="287" t="s">
        <v>284</v>
      </c>
      <c r="B258" t="s">
        <v>18</v>
      </c>
      <c r="C258" s="210" t="s">
        <v>260</v>
      </c>
      <c r="D258" t="s">
        <v>235</v>
      </c>
      <c r="G258" s="294">
        <v>42874</v>
      </c>
      <c r="H258" s="304">
        <v>28000</v>
      </c>
      <c r="J258" s="298">
        <v>5514</v>
      </c>
      <c r="K258" s="299">
        <v>935</v>
      </c>
      <c r="L258" s="297">
        <f t="shared" si="5"/>
        <v>2800</v>
      </c>
    </row>
    <row r="259" spans="1:12">
      <c r="A259" s="287" t="s">
        <v>284</v>
      </c>
      <c r="B259" t="s">
        <v>19</v>
      </c>
      <c r="C259" s="210" t="s">
        <v>260</v>
      </c>
      <c r="G259" s="294"/>
      <c r="H259" s="304">
        <v>28000</v>
      </c>
      <c r="J259" s="298">
        <v>5572</v>
      </c>
      <c r="K259" s="299">
        <v>319</v>
      </c>
      <c r="L259" s="297">
        <f t="shared" si="5"/>
        <v>2800</v>
      </c>
    </row>
    <row r="260" spans="1:12">
      <c r="A260" s="287" t="s">
        <v>284</v>
      </c>
      <c r="B260" t="s">
        <v>20</v>
      </c>
      <c r="C260" s="210" t="s">
        <v>260</v>
      </c>
      <c r="G260" s="294"/>
      <c r="H260" s="304">
        <v>28000</v>
      </c>
      <c r="J260" s="298">
        <v>5712</v>
      </c>
      <c r="K260" s="299">
        <v>770</v>
      </c>
      <c r="L260" s="297">
        <f t="shared" si="5"/>
        <v>2800</v>
      </c>
    </row>
    <row r="261" spans="1:12">
      <c r="A261" s="287" t="s">
        <v>284</v>
      </c>
      <c r="B261" t="s">
        <v>21</v>
      </c>
      <c r="C261" s="210" t="s">
        <v>260</v>
      </c>
      <c r="G261" s="294">
        <v>42954</v>
      </c>
      <c r="H261" s="304">
        <v>28000</v>
      </c>
      <c r="J261" s="298">
        <v>5936</v>
      </c>
      <c r="K261" s="299">
        <v>1232</v>
      </c>
      <c r="L261" s="297">
        <f t="shared" si="5"/>
        <v>2800</v>
      </c>
    </row>
    <row r="262" spans="1:12">
      <c r="A262" s="287" t="s">
        <v>284</v>
      </c>
      <c r="B262" t="s">
        <v>22</v>
      </c>
      <c r="C262" s="210" t="s">
        <v>260</v>
      </c>
      <c r="G262" s="294">
        <v>42978</v>
      </c>
      <c r="H262" s="304">
        <v>28000</v>
      </c>
      <c r="J262" s="298"/>
      <c r="K262" s="299">
        <v>0</v>
      </c>
      <c r="L262" s="297">
        <f t="shared" si="5"/>
        <v>2800</v>
      </c>
    </row>
    <row r="263" spans="1:12">
      <c r="A263" s="287" t="s">
        <v>284</v>
      </c>
      <c r="B263" t="s">
        <v>23</v>
      </c>
      <c r="C263" s="210" t="s">
        <v>260</v>
      </c>
      <c r="G263" s="294"/>
      <c r="H263" s="304">
        <v>12333</v>
      </c>
      <c r="J263" s="298"/>
      <c r="K263" s="299">
        <v>0</v>
      </c>
      <c r="L263" s="297">
        <f t="shared" si="5"/>
        <v>1233.3000000000002</v>
      </c>
    </row>
    <row r="264" spans="1:12">
      <c r="A264" s="287" t="s">
        <v>284</v>
      </c>
      <c r="B264" t="s">
        <v>24</v>
      </c>
      <c r="C264" s="210" t="s">
        <v>260</v>
      </c>
      <c r="G264" s="294"/>
      <c r="H264" s="304"/>
      <c r="J264" s="298">
        <v>6355</v>
      </c>
      <c r="K264" s="299"/>
      <c r="L264" s="297">
        <f t="shared" si="5"/>
        <v>0</v>
      </c>
    </row>
    <row r="265" spans="1:12">
      <c r="A265" s="287" t="s">
        <v>284</v>
      </c>
      <c r="B265" t="s">
        <v>25</v>
      </c>
      <c r="C265" s="210" t="s">
        <v>260</v>
      </c>
      <c r="G265" s="294">
        <v>43090</v>
      </c>
      <c r="H265" s="304">
        <f>22000/31*11</f>
        <v>7806.4516129032254</v>
      </c>
      <c r="J265" s="298"/>
      <c r="K265" s="299">
        <v>0</v>
      </c>
      <c r="L265" s="297">
        <f t="shared" si="5"/>
        <v>780.64516129032256</v>
      </c>
    </row>
    <row r="266" spans="1:12">
      <c r="A266" s="287" t="s">
        <v>284</v>
      </c>
      <c r="B266" t="s">
        <v>14</v>
      </c>
      <c r="C266" s="210" t="s">
        <v>261</v>
      </c>
      <c r="G266" s="294"/>
      <c r="H266" s="304">
        <v>23000</v>
      </c>
      <c r="J266" s="298">
        <v>4324</v>
      </c>
      <c r="K266" s="299"/>
      <c r="L266" s="297">
        <f t="shared" si="5"/>
        <v>2300</v>
      </c>
    </row>
    <row r="267" spans="1:12">
      <c r="A267" s="287" t="s">
        <v>284</v>
      </c>
      <c r="B267" t="s">
        <v>15</v>
      </c>
      <c r="C267" s="210" t="s">
        <v>261</v>
      </c>
      <c r="G267" s="294"/>
      <c r="H267" s="304">
        <v>23000</v>
      </c>
      <c r="J267" s="298">
        <v>4390</v>
      </c>
      <c r="K267" s="299">
        <v>363</v>
      </c>
      <c r="L267" s="297">
        <f t="shared" si="5"/>
        <v>2300</v>
      </c>
    </row>
    <row r="268" spans="1:12">
      <c r="A268" s="287" t="s">
        <v>284</v>
      </c>
      <c r="B268" t="s">
        <v>16</v>
      </c>
      <c r="C268" s="210" t="s">
        <v>261</v>
      </c>
      <c r="G268" s="294"/>
      <c r="H268" s="304">
        <v>23000</v>
      </c>
      <c r="J268" s="298">
        <v>4462</v>
      </c>
      <c r="K268" s="299">
        <v>396</v>
      </c>
      <c r="L268" s="297">
        <f t="shared" si="5"/>
        <v>2300</v>
      </c>
    </row>
    <row r="269" spans="1:12">
      <c r="A269" s="287" t="s">
        <v>284</v>
      </c>
      <c r="B269" t="s">
        <v>17</v>
      </c>
      <c r="C269" s="210" t="s">
        <v>261</v>
      </c>
      <c r="G269" s="294">
        <v>42835</v>
      </c>
      <c r="H269" s="304">
        <v>23000</v>
      </c>
      <c r="J269" s="298">
        <v>4524</v>
      </c>
      <c r="K269" s="299">
        <v>341</v>
      </c>
      <c r="L269" s="297">
        <f t="shared" si="5"/>
        <v>2300</v>
      </c>
    </row>
    <row r="270" spans="1:12">
      <c r="A270" s="287" t="s">
        <v>284</v>
      </c>
      <c r="B270" t="s">
        <v>18</v>
      </c>
      <c r="C270" s="210" t="s">
        <v>261</v>
      </c>
      <c r="G270" s="294">
        <v>42857</v>
      </c>
      <c r="H270" s="304">
        <v>23000</v>
      </c>
      <c r="J270" s="298">
        <v>4613</v>
      </c>
      <c r="K270" s="299"/>
      <c r="L270" s="297">
        <f t="shared" si="5"/>
        <v>2300</v>
      </c>
    </row>
    <row r="271" spans="1:12">
      <c r="A271" s="287" t="s">
        <v>284</v>
      </c>
      <c r="B271" t="s">
        <v>19</v>
      </c>
      <c r="C271" s="210" t="s">
        <v>261</v>
      </c>
      <c r="G271" s="294">
        <v>42908</v>
      </c>
      <c r="H271" s="304">
        <v>25500</v>
      </c>
      <c r="J271" s="298">
        <v>4893</v>
      </c>
      <c r="K271" s="299">
        <v>1540</v>
      </c>
      <c r="L271" s="297">
        <f t="shared" si="5"/>
        <v>2550</v>
      </c>
    </row>
    <row r="272" spans="1:12">
      <c r="A272" s="287" t="s">
        <v>284</v>
      </c>
      <c r="B272" t="s">
        <v>20</v>
      </c>
      <c r="C272" s="210" t="s">
        <v>261</v>
      </c>
      <c r="G272" s="294">
        <v>42941</v>
      </c>
      <c r="H272" s="304">
        <v>25500</v>
      </c>
      <c r="J272" s="298">
        <v>4959</v>
      </c>
      <c r="K272" s="299">
        <v>363</v>
      </c>
      <c r="L272" s="297">
        <f t="shared" si="5"/>
        <v>2550</v>
      </c>
    </row>
    <row r="273" spans="1:12">
      <c r="A273" s="287" t="s">
        <v>284</v>
      </c>
      <c r="B273" t="s">
        <v>21</v>
      </c>
      <c r="C273" s="210" t="s">
        <v>261</v>
      </c>
      <c r="G273" s="294">
        <v>42968</v>
      </c>
      <c r="H273" s="304">
        <f>25500</f>
        <v>25500</v>
      </c>
      <c r="J273" s="298">
        <v>5495</v>
      </c>
      <c r="K273" s="299">
        <v>2948</v>
      </c>
      <c r="L273" s="297">
        <f t="shared" si="5"/>
        <v>2550</v>
      </c>
    </row>
    <row r="274" spans="1:12">
      <c r="A274" s="287" t="s">
        <v>284</v>
      </c>
      <c r="B274" t="s">
        <v>22</v>
      </c>
      <c r="C274" s="210" t="s">
        <v>261</v>
      </c>
      <c r="G274" s="294" t="s">
        <v>213</v>
      </c>
      <c r="H274" s="304">
        <f>25500-10200+6885</f>
        <v>22185</v>
      </c>
      <c r="J274" s="298"/>
      <c r="K274" s="299"/>
      <c r="L274" s="297">
        <f t="shared" si="5"/>
        <v>2218.5</v>
      </c>
    </row>
    <row r="275" spans="1:12">
      <c r="A275" s="287" t="s">
        <v>284</v>
      </c>
      <c r="B275" t="s">
        <v>23</v>
      </c>
      <c r="C275" s="210" t="s">
        <v>261</v>
      </c>
      <c r="D275" t="s">
        <v>218</v>
      </c>
      <c r="F275" t="s">
        <v>219</v>
      </c>
      <c r="G275" s="294">
        <v>43019</v>
      </c>
      <c r="H275" s="304">
        <f>6885+28000</f>
        <v>34885</v>
      </c>
      <c r="I275" s="297">
        <v>28000</v>
      </c>
      <c r="J275" s="298" t="s">
        <v>228</v>
      </c>
      <c r="K275" s="299">
        <v>539</v>
      </c>
      <c r="L275" s="297">
        <f t="shared" si="5"/>
        <v>3488.5</v>
      </c>
    </row>
    <row r="276" spans="1:12">
      <c r="A276" s="287" t="s">
        <v>284</v>
      </c>
      <c r="B276" t="s">
        <v>24</v>
      </c>
      <c r="C276" s="210" t="s">
        <v>261</v>
      </c>
      <c r="D276" t="s">
        <v>218</v>
      </c>
      <c r="G276" s="294">
        <v>43050</v>
      </c>
      <c r="H276" s="304">
        <f>6885+28000</f>
        <v>34885</v>
      </c>
      <c r="J276" s="298">
        <v>6084</v>
      </c>
      <c r="K276" s="299">
        <v>561</v>
      </c>
      <c r="L276" s="297">
        <f t="shared" si="5"/>
        <v>3488.5</v>
      </c>
    </row>
    <row r="277" spans="1:12">
      <c r="A277" s="287" t="s">
        <v>284</v>
      </c>
      <c r="B277" t="s">
        <v>25</v>
      </c>
      <c r="C277" s="210" t="s">
        <v>261</v>
      </c>
      <c r="D277" t="s">
        <v>218</v>
      </c>
      <c r="G277" s="294">
        <v>43080</v>
      </c>
      <c r="H277" s="304">
        <v>28000</v>
      </c>
      <c r="J277" s="298"/>
      <c r="K277" s="299"/>
      <c r="L277" s="297">
        <f t="shared" si="5"/>
        <v>2800</v>
      </c>
    </row>
    <row r="278" spans="1:12">
      <c r="A278" s="287" t="s">
        <v>284</v>
      </c>
      <c r="B278" t="s">
        <v>14</v>
      </c>
      <c r="C278" s="210" t="s">
        <v>268</v>
      </c>
      <c r="G278" s="294"/>
      <c r="H278" s="304">
        <v>28000</v>
      </c>
      <c r="I278" s="297">
        <v>25000</v>
      </c>
      <c r="J278" s="298">
        <v>6788</v>
      </c>
      <c r="K278" s="299"/>
      <c r="L278" s="297">
        <f t="shared" si="5"/>
        <v>2800</v>
      </c>
    </row>
    <row r="279" spans="1:12">
      <c r="A279" s="287" t="s">
        <v>284</v>
      </c>
      <c r="B279" t="s">
        <v>15</v>
      </c>
      <c r="C279" s="210" t="s">
        <v>268</v>
      </c>
      <c r="G279" s="294"/>
      <c r="H279" s="304">
        <v>28000</v>
      </c>
      <c r="J279" s="298">
        <v>6932</v>
      </c>
      <c r="K279" s="299">
        <v>792</v>
      </c>
      <c r="L279" s="297">
        <f t="shared" si="5"/>
        <v>2800</v>
      </c>
    </row>
    <row r="280" spans="1:12">
      <c r="A280" s="287" t="s">
        <v>284</v>
      </c>
      <c r="B280" t="s">
        <v>16</v>
      </c>
      <c r="C280" s="210" t="s">
        <v>268</v>
      </c>
      <c r="G280" s="294"/>
      <c r="H280" s="304">
        <v>28000</v>
      </c>
      <c r="J280" s="298">
        <v>7138</v>
      </c>
      <c r="K280" s="299">
        <v>1133</v>
      </c>
      <c r="L280" s="297">
        <f t="shared" si="5"/>
        <v>2800</v>
      </c>
    </row>
    <row r="281" spans="1:12">
      <c r="A281" s="287" t="s">
        <v>284</v>
      </c>
      <c r="B281" t="s">
        <v>17</v>
      </c>
      <c r="C281" s="210" t="s">
        <v>268</v>
      </c>
      <c r="G281" s="294"/>
      <c r="H281" s="304">
        <v>28000</v>
      </c>
      <c r="J281" s="298">
        <v>7328</v>
      </c>
      <c r="K281" s="299">
        <v>1045</v>
      </c>
      <c r="L281" s="297">
        <f t="shared" si="5"/>
        <v>2800</v>
      </c>
    </row>
    <row r="282" spans="1:12">
      <c r="A282" s="287" t="s">
        <v>284</v>
      </c>
      <c r="B282" t="s">
        <v>18</v>
      </c>
      <c r="C282" s="210" t="s">
        <v>268</v>
      </c>
      <c r="G282" s="294">
        <v>42874</v>
      </c>
      <c r="H282" s="304">
        <v>28000</v>
      </c>
      <c r="J282" s="298">
        <v>7482</v>
      </c>
      <c r="K282" s="299">
        <v>847</v>
      </c>
      <c r="L282" s="297">
        <f t="shared" si="5"/>
        <v>2800</v>
      </c>
    </row>
    <row r="283" spans="1:12">
      <c r="A283" s="287" t="s">
        <v>284</v>
      </c>
      <c r="B283" t="s">
        <v>19</v>
      </c>
      <c r="C283" s="210" t="s">
        <v>268</v>
      </c>
      <c r="G283" s="294"/>
      <c r="H283" s="304">
        <v>28000</v>
      </c>
      <c r="J283" s="298">
        <v>7688</v>
      </c>
      <c r="K283" s="299">
        <v>1133</v>
      </c>
      <c r="L283" s="297">
        <f t="shared" si="5"/>
        <v>2800</v>
      </c>
    </row>
    <row r="284" spans="1:12">
      <c r="A284" s="287" t="s">
        <v>284</v>
      </c>
      <c r="B284" t="s">
        <v>20</v>
      </c>
      <c r="C284" s="210" t="s">
        <v>268</v>
      </c>
      <c r="D284" t="s">
        <v>238</v>
      </c>
      <c r="F284" t="s">
        <v>187</v>
      </c>
      <c r="G284" s="294">
        <v>42927</v>
      </c>
      <c r="H284" s="304">
        <v>25000</v>
      </c>
      <c r="J284" s="298" t="s">
        <v>189</v>
      </c>
      <c r="K284" s="299">
        <v>671</v>
      </c>
      <c r="L284" s="297">
        <f t="shared" si="5"/>
        <v>2500</v>
      </c>
    </row>
    <row r="285" spans="1:12">
      <c r="A285" s="287" t="s">
        <v>284</v>
      </c>
      <c r="B285" t="s">
        <v>21</v>
      </c>
      <c r="C285" s="210" t="s">
        <v>268</v>
      </c>
      <c r="D285" t="s">
        <v>238</v>
      </c>
      <c r="G285" s="294">
        <v>42958</v>
      </c>
      <c r="H285" s="304">
        <v>25000</v>
      </c>
      <c r="J285" s="298">
        <v>8149</v>
      </c>
      <c r="K285" s="299">
        <v>1474</v>
      </c>
      <c r="L285" s="297">
        <f t="shared" si="5"/>
        <v>2500</v>
      </c>
    </row>
    <row r="286" spans="1:12">
      <c r="A286" s="287" t="s">
        <v>284</v>
      </c>
      <c r="B286" t="s">
        <v>22</v>
      </c>
      <c r="C286" s="210" t="s">
        <v>268</v>
      </c>
      <c r="D286" t="s">
        <v>238</v>
      </c>
      <c r="G286" s="294">
        <v>42984</v>
      </c>
      <c r="H286" s="304">
        <v>25000</v>
      </c>
      <c r="J286" s="298"/>
      <c r="K286" s="299">
        <v>0</v>
      </c>
      <c r="L286" s="297">
        <f t="shared" si="5"/>
        <v>2500</v>
      </c>
    </row>
    <row r="287" spans="1:12">
      <c r="A287" s="287" t="s">
        <v>284</v>
      </c>
      <c r="B287" t="s">
        <v>23</v>
      </c>
      <c r="C287" s="210" t="s">
        <v>268</v>
      </c>
      <c r="D287" t="s">
        <v>238</v>
      </c>
      <c r="G287" s="294"/>
      <c r="H287" s="304">
        <v>4000</v>
      </c>
      <c r="J287" s="298"/>
      <c r="K287" s="299">
        <v>0</v>
      </c>
      <c r="L287" s="297">
        <f t="shared" si="5"/>
        <v>400</v>
      </c>
    </row>
    <row r="288" spans="1:12">
      <c r="A288" s="287" t="s">
        <v>284</v>
      </c>
      <c r="B288" t="s">
        <v>24</v>
      </c>
      <c r="C288" s="210" t="s">
        <v>268</v>
      </c>
      <c r="D288" t="s">
        <v>238</v>
      </c>
      <c r="G288" s="294"/>
      <c r="H288" s="304"/>
      <c r="J288" s="298">
        <v>8616</v>
      </c>
      <c r="K288" s="299"/>
      <c r="L288" s="297">
        <f t="shared" si="5"/>
        <v>0</v>
      </c>
    </row>
    <row r="289" spans="1:12">
      <c r="A289" s="287" t="s">
        <v>284</v>
      </c>
      <c r="B289" t="s">
        <v>25</v>
      </c>
      <c r="C289" s="210" t="s">
        <v>268</v>
      </c>
      <c r="G289" s="294">
        <v>43082</v>
      </c>
      <c r="H289" s="304">
        <v>12000</v>
      </c>
      <c r="J289" s="298"/>
      <c r="K289" s="299"/>
      <c r="L289" s="297">
        <f t="shared" si="5"/>
        <v>1200</v>
      </c>
    </row>
    <row r="290" spans="1:12">
      <c r="A290" s="287" t="s">
        <v>284</v>
      </c>
      <c r="B290" t="s">
        <v>14</v>
      </c>
      <c r="C290" s="210" t="s">
        <v>269</v>
      </c>
      <c r="G290" s="294"/>
      <c r="H290" s="304">
        <v>32000</v>
      </c>
      <c r="J290" s="298">
        <v>4470</v>
      </c>
      <c r="K290" s="299"/>
      <c r="L290" s="297">
        <f t="shared" si="5"/>
        <v>3200</v>
      </c>
    </row>
    <row r="291" spans="1:12">
      <c r="A291" s="287" t="s">
        <v>284</v>
      </c>
      <c r="B291" t="s">
        <v>15</v>
      </c>
      <c r="C291" s="210" t="s">
        <v>269</v>
      </c>
      <c r="G291" s="294"/>
      <c r="H291" s="304">
        <v>32000</v>
      </c>
      <c r="J291" s="298">
        <v>4604</v>
      </c>
      <c r="K291" s="299">
        <v>737</v>
      </c>
      <c r="L291" s="297">
        <f t="shared" si="5"/>
        <v>3200</v>
      </c>
    </row>
    <row r="292" spans="1:12">
      <c r="A292" s="287" t="s">
        <v>284</v>
      </c>
      <c r="B292" t="s">
        <v>16</v>
      </c>
      <c r="C292" s="210" t="s">
        <v>269</v>
      </c>
      <c r="G292" s="294"/>
      <c r="H292" s="304">
        <v>32000</v>
      </c>
      <c r="J292" s="298">
        <v>4868</v>
      </c>
      <c r="K292" s="299">
        <v>1452</v>
      </c>
      <c r="L292" s="297">
        <f t="shared" si="5"/>
        <v>3200</v>
      </c>
    </row>
    <row r="293" spans="1:12">
      <c r="A293" s="287" t="s">
        <v>284</v>
      </c>
      <c r="B293" t="s">
        <v>17</v>
      </c>
      <c r="C293" s="210" t="s">
        <v>269</v>
      </c>
      <c r="G293" s="294"/>
      <c r="H293" s="304">
        <v>32000</v>
      </c>
      <c r="J293" s="298">
        <v>4942</v>
      </c>
      <c r="K293" s="299">
        <v>407</v>
      </c>
      <c r="L293" s="297">
        <f t="shared" si="5"/>
        <v>3200</v>
      </c>
    </row>
    <row r="294" spans="1:12">
      <c r="A294" s="287" t="s">
        <v>284</v>
      </c>
      <c r="B294" t="s">
        <v>18</v>
      </c>
      <c r="C294" s="210" t="s">
        <v>269</v>
      </c>
      <c r="G294" s="294">
        <v>42874</v>
      </c>
      <c r="H294" s="304">
        <v>32000</v>
      </c>
      <c r="J294" s="298">
        <v>5080</v>
      </c>
      <c r="K294" s="299">
        <v>759</v>
      </c>
      <c r="L294" s="297">
        <f t="shared" si="5"/>
        <v>3200</v>
      </c>
    </row>
    <row r="295" spans="1:12">
      <c r="A295" s="287" t="s">
        <v>284</v>
      </c>
      <c r="B295" t="s">
        <v>19</v>
      </c>
      <c r="C295" s="210" t="s">
        <v>269</v>
      </c>
      <c r="G295" s="294"/>
      <c r="H295" s="304">
        <v>32000</v>
      </c>
      <c r="J295" s="298">
        <v>5128</v>
      </c>
      <c r="K295" s="299">
        <v>264</v>
      </c>
      <c r="L295" s="297">
        <f t="shared" si="5"/>
        <v>3200</v>
      </c>
    </row>
    <row r="296" spans="1:12">
      <c r="A296" s="287" t="s">
        <v>284</v>
      </c>
      <c r="B296" t="s">
        <v>20</v>
      </c>
      <c r="C296" s="210" t="s">
        <v>269</v>
      </c>
      <c r="G296" s="294"/>
      <c r="H296" s="304">
        <v>32000</v>
      </c>
      <c r="J296" s="298">
        <v>5320</v>
      </c>
      <c r="K296" s="299">
        <v>1056</v>
      </c>
      <c r="L296" s="297">
        <f t="shared" si="5"/>
        <v>3200</v>
      </c>
    </row>
    <row r="297" spans="1:12">
      <c r="A297" s="287" t="s">
        <v>284</v>
      </c>
      <c r="B297" t="s">
        <v>21</v>
      </c>
      <c r="C297" s="210" t="s">
        <v>269</v>
      </c>
      <c r="G297" s="294">
        <v>42954</v>
      </c>
      <c r="H297" s="304">
        <v>32000</v>
      </c>
      <c r="J297" s="298">
        <v>5680</v>
      </c>
      <c r="K297" s="299">
        <v>1980</v>
      </c>
      <c r="L297" s="297">
        <f t="shared" si="5"/>
        <v>3200</v>
      </c>
    </row>
    <row r="298" spans="1:12">
      <c r="A298" s="287" t="s">
        <v>284</v>
      </c>
      <c r="B298" t="s">
        <v>22</v>
      </c>
      <c r="C298" s="210" t="s">
        <v>269</v>
      </c>
      <c r="G298" s="294">
        <v>42978</v>
      </c>
      <c r="H298" s="304">
        <v>32000</v>
      </c>
      <c r="J298" s="298"/>
      <c r="K298" s="299"/>
      <c r="L298" s="297">
        <f t="shared" si="5"/>
        <v>3200</v>
      </c>
    </row>
    <row r="299" spans="1:12">
      <c r="A299" s="287" t="s">
        <v>284</v>
      </c>
      <c r="B299" t="s">
        <v>23</v>
      </c>
      <c r="C299" s="210" t="s">
        <v>269</v>
      </c>
      <c r="G299" s="294"/>
      <c r="H299" s="304">
        <v>32000</v>
      </c>
      <c r="J299" s="298"/>
      <c r="K299" s="299"/>
      <c r="L299" s="297">
        <f t="shared" si="5"/>
        <v>3200</v>
      </c>
    </row>
    <row r="300" spans="1:12">
      <c r="A300" s="287" t="s">
        <v>284</v>
      </c>
      <c r="B300" t="s">
        <v>24</v>
      </c>
      <c r="C300" s="210" t="s">
        <v>269</v>
      </c>
      <c r="G300" s="294"/>
      <c r="H300" s="304">
        <f>1500*6</f>
        <v>9000</v>
      </c>
      <c r="J300" s="298"/>
      <c r="K300" s="299"/>
      <c r="L300" s="297">
        <f t="shared" si="5"/>
        <v>900</v>
      </c>
    </row>
    <row r="301" spans="1:12">
      <c r="A301" s="287" t="s">
        <v>284</v>
      </c>
      <c r="B301" t="s">
        <v>25</v>
      </c>
      <c r="C301" s="210" t="s">
        <v>269</v>
      </c>
      <c r="D301" t="s">
        <v>232</v>
      </c>
      <c r="F301" t="s">
        <v>231</v>
      </c>
      <c r="G301" s="294"/>
      <c r="H301" s="304">
        <v>7500</v>
      </c>
      <c r="I301" s="297">
        <v>64000</v>
      </c>
      <c r="J301" s="298"/>
      <c r="K301" s="299"/>
      <c r="L301" s="297">
        <f t="shared" si="5"/>
        <v>750</v>
      </c>
    </row>
    <row r="302" spans="1:12" s="281" customFormat="1">
      <c r="A302" s="286" t="s">
        <v>287</v>
      </c>
      <c r="B302" s="281" t="s">
        <v>14</v>
      </c>
      <c r="C302" s="282" t="s">
        <v>248</v>
      </c>
      <c r="E302" s="285"/>
      <c r="G302" s="295"/>
      <c r="H302" s="305"/>
      <c r="I302" s="288"/>
      <c r="J302" s="300">
        <v>7715</v>
      </c>
      <c r="K302" s="301"/>
      <c r="L302" s="288">
        <f t="shared" si="5"/>
        <v>0</v>
      </c>
    </row>
    <row r="303" spans="1:12">
      <c r="A303" s="287" t="s">
        <v>287</v>
      </c>
      <c r="B303" t="s">
        <v>15</v>
      </c>
      <c r="C303" s="210" t="s">
        <v>248</v>
      </c>
      <c r="G303" s="294"/>
      <c r="H303" s="304"/>
      <c r="J303" s="298">
        <v>7715</v>
      </c>
      <c r="K303" s="299">
        <f>IF((J303-J302)*5.5&gt;0,(J303-J302)*5.5,0)</f>
        <v>0</v>
      </c>
      <c r="L303" s="297">
        <f t="shared" si="5"/>
        <v>0</v>
      </c>
    </row>
    <row r="304" spans="1:12">
      <c r="A304" s="287" t="s">
        <v>287</v>
      </c>
      <c r="B304" t="s">
        <v>16</v>
      </c>
      <c r="C304" s="210" t="s">
        <v>248</v>
      </c>
      <c r="G304" s="294"/>
      <c r="H304" s="304"/>
      <c r="J304" s="298">
        <v>7715</v>
      </c>
      <c r="K304" s="299">
        <f>IF((J304-J303)*5.5&gt;0,(J304-J303)*5.5,0)</f>
        <v>0</v>
      </c>
      <c r="L304" s="297">
        <f t="shared" si="5"/>
        <v>0</v>
      </c>
    </row>
    <row r="305" spans="1:13">
      <c r="A305" s="287" t="s">
        <v>287</v>
      </c>
      <c r="B305" t="s">
        <v>17</v>
      </c>
      <c r="C305" s="210" t="s">
        <v>248</v>
      </c>
      <c r="G305" s="294" t="s">
        <v>83</v>
      </c>
      <c r="H305" s="304">
        <v>24300</v>
      </c>
      <c r="J305" s="298"/>
      <c r="K305" s="299">
        <f>IF((J306-J304)*5.5&gt;0,(J306-J304)*5.5,0)</f>
        <v>0</v>
      </c>
      <c r="L305" s="297">
        <f t="shared" si="5"/>
        <v>2430</v>
      </c>
    </row>
    <row r="306" spans="1:13">
      <c r="A306" s="287" t="s">
        <v>287</v>
      </c>
      <c r="B306" t="s">
        <v>18</v>
      </c>
      <c r="C306" s="210" t="s">
        <v>248</v>
      </c>
      <c r="G306" s="294"/>
      <c r="H306" s="304"/>
      <c r="J306" s="298">
        <v>7715</v>
      </c>
      <c r="K306" s="299">
        <f ca="1">IF((K304-K306)*5.5&gt;0,(K304-K306)*5.5,0)</f>
        <v>0</v>
      </c>
      <c r="L306" s="297">
        <f t="shared" ref="L306:L369" si="6">H306*0.1</f>
        <v>0</v>
      </c>
    </row>
    <row r="307" spans="1:13" ht="15.75">
      <c r="A307" s="287" t="s">
        <v>287</v>
      </c>
      <c r="B307" t="s">
        <v>19</v>
      </c>
      <c r="C307" s="210" t="s">
        <v>248</v>
      </c>
      <c r="D307" t="s">
        <v>98</v>
      </c>
      <c r="G307" s="294">
        <v>42877</v>
      </c>
      <c r="H307" s="304">
        <v>25000</v>
      </c>
      <c r="I307" s="297">
        <v>50000</v>
      </c>
      <c r="J307" s="298">
        <v>7931</v>
      </c>
      <c r="K307" s="299">
        <f t="shared" ref="K307:K312" si="7">IF((J307-J306)*5.5&gt;0,(J307-J306)*5.5,0)</f>
        <v>1188</v>
      </c>
      <c r="L307" s="297">
        <f t="shared" si="6"/>
        <v>2500</v>
      </c>
      <c r="M307" t="s">
        <v>285</v>
      </c>
    </row>
    <row r="308" spans="1:13">
      <c r="A308" s="287" t="s">
        <v>287</v>
      </c>
      <c r="B308" t="s">
        <v>20</v>
      </c>
      <c r="C308" s="210" t="s">
        <v>248</v>
      </c>
      <c r="D308" t="s">
        <v>98</v>
      </c>
      <c r="G308" s="294">
        <v>42919</v>
      </c>
      <c r="H308" s="304">
        <v>25000</v>
      </c>
      <c r="J308" s="298">
        <v>8263</v>
      </c>
      <c r="K308" s="299">
        <f t="shared" si="7"/>
        <v>1826</v>
      </c>
      <c r="L308" s="297">
        <f t="shared" si="6"/>
        <v>2500</v>
      </c>
    </row>
    <row r="309" spans="1:13">
      <c r="A309" s="287" t="s">
        <v>287</v>
      </c>
      <c r="B309" t="s">
        <v>21</v>
      </c>
      <c r="C309" s="210" t="s">
        <v>248</v>
      </c>
      <c r="D309" t="s">
        <v>98</v>
      </c>
      <c r="G309" s="294">
        <v>42949</v>
      </c>
      <c r="H309" s="304">
        <v>25000</v>
      </c>
      <c r="J309" s="298">
        <v>8617</v>
      </c>
      <c r="K309" s="299">
        <f t="shared" si="7"/>
        <v>1947</v>
      </c>
      <c r="L309" s="297">
        <f t="shared" si="6"/>
        <v>2500</v>
      </c>
    </row>
    <row r="310" spans="1:13">
      <c r="A310" s="287" t="s">
        <v>287</v>
      </c>
      <c r="B310" t="s">
        <v>22</v>
      </c>
      <c r="C310" s="210" t="s">
        <v>248</v>
      </c>
      <c r="D310" t="s">
        <v>98</v>
      </c>
      <c r="G310" s="294">
        <v>42979</v>
      </c>
      <c r="H310" s="304">
        <v>25000</v>
      </c>
      <c r="J310" s="298">
        <v>8901</v>
      </c>
      <c r="K310" s="299">
        <f t="shared" si="7"/>
        <v>1562</v>
      </c>
      <c r="L310" s="297">
        <f t="shared" si="6"/>
        <v>2500</v>
      </c>
    </row>
    <row r="311" spans="1:13">
      <c r="A311" s="287" t="s">
        <v>287</v>
      </c>
      <c r="B311" t="s">
        <v>23</v>
      </c>
      <c r="C311" s="210" t="s">
        <v>248</v>
      </c>
      <c r="D311" t="s">
        <v>98</v>
      </c>
      <c r="G311" s="294">
        <v>43010</v>
      </c>
      <c r="H311" s="304">
        <v>25000</v>
      </c>
      <c r="J311" s="298">
        <v>9195</v>
      </c>
      <c r="K311" s="299">
        <f t="shared" si="7"/>
        <v>1617</v>
      </c>
      <c r="L311" s="297">
        <f t="shared" si="6"/>
        <v>2500</v>
      </c>
    </row>
    <row r="312" spans="1:13">
      <c r="A312" s="287" t="s">
        <v>287</v>
      </c>
      <c r="B312" t="s">
        <v>24</v>
      </c>
      <c r="C312" s="210" t="s">
        <v>248</v>
      </c>
      <c r="D312" t="s">
        <v>98</v>
      </c>
      <c r="G312" s="294">
        <v>43040</v>
      </c>
      <c r="H312" s="304">
        <v>25000</v>
      </c>
      <c r="J312" s="298">
        <v>9373</v>
      </c>
      <c r="K312" s="299">
        <f t="shared" si="7"/>
        <v>979</v>
      </c>
      <c r="L312" s="297">
        <f t="shared" si="6"/>
        <v>2500</v>
      </c>
    </row>
    <row r="313" spans="1:13">
      <c r="A313" s="287" t="s">
        <v>287</v>
      </c>
      <c r="B313" t="s">
        <v>25</v>
      </c>
      <c r="C313" s="210" t="s">
        <v>248</v>
      </c>
      <c r="D313" t="s">
        <v>98</v>
      </c>
      <c r="G313" s="294">
        <v>43072</v>
      </c>
      <c r="H313" s="304">
        <v>25000</v>
      </c>
      <c r="J313" s="298"/>
      <c r="K313" s="299"/>
      <c r="L313" s="297">
        <f t="shared" si="6"/>
        <v>2500</v>
      </c>
    </row>
    <row r="314" spans="1:13">
      <c r="A314" s="287" t="s">
        <v>287</v>
      </c>
      <c r="B314" t="s">
        <v>14</v>
      </c>
      <c r="C314" s="210" t="s">
        <v>260</v>
      </c>
      <c r="G314" s="294"/>
      <c r="H314" s="304"/>
      <c r="J314" s="298"/>
      <c r="K314" s="299"/>
      <c r="L314" s="297">
        <f t="shared" si="6"/>
        <v>0</v>
      </c>
    </row>
    <row r="315" spans="1:13">
      <c r="A315" s="287" t="s">
        <v>287</v>
      </c>
      <c r="B315" t="s">
        <v>15</v>
      </c>
      <c r="C315" s="210" t="s">
        <v>260</v>
      </c>
      <c r="G315" s="294"/>
      <c r="H315" s="304"/>
      <c r="J315" s="298"/>
      <c r="K315" s="299">
        <v>0</v>
      </c>
      <c r="L315" s="297">
        <f t="shared" si="6"/>
        <v>0</v>
      </c>
    </row>
    <row r="316" spans="1:13">
      <c r="A316" s="287" t="s">
        <v>287</v>
      </c>
      <c r="B316" t="s">
        <v>16</v>
      </c>
      <c r="C316" s="210" t="s">
        <v>260</v>
      </c>
      <c r="G316" s="294"/>
      <c r="H316" s="304"/>
      <c r="J316" s="298"/>
      <c r="K316" s="299">
        <v>0</v>
      </c>
      <c r="L316" s="297">
        <f t="shared" si="6"/>
        <v>0</v>
      </c>
    </row>
    <row r="317" spans="1:13">
      <c r="A317" s="287" t="s">
        <v>287</v>
      </c>
      <c r="B317" t="s">
        <v>17</v>
      </c>
      <c r="C317" s="210" t="s">
        <v>260</v>
      </c>
      <c r="G317" s="294"/>
      <c r="H317" s="304"/>
      <c r="J317" s="298"/>
      <c r="K317" s="299"/>
      <c r="L317" s="297">
        <f t="shared" si="6"/>
        <v>0</v>
      </c>
    </row>
    <row r="318" spans="1:13">
      <c r="A318" s="287" t="s">
        <v>287</v>
      </c>
      <c r="B318" t="s">
        <v>18</v>
      </c>
      <c r="C318" s="210" t="s">
        <v>260</v>
      </c>
      <c r="G318" s="294"/>
      <c r="H318" s="304"/>
      <c r="J318" s="298">
        <v>8091</v>
      </c>
      <c r="K318" s="299"/>
      <c r="L318" s="297">
        <f t="shared" si="6"/>
        <v>0</v>
      </c>
    </row>
    <row r="319" spans="1:13" ht="15.75">
      <c r="A319" s="287" t="s">
        <v>287</v>
      </c>
      <c r="B319" t="s">
        <v>19</v>
      </c>
      <c r="C319" s="210" t="s">
        <v>260</v>
      </c>
      <c r="D319" t="s">
        <v>98</v>
      </c>
      <c r="E319" s="284" t="s">
        <v>99</v>
      </c>
      <c r="G319" s="294">
        <v>42877</v>
      </c>
      <c r="H319" s="304">
        <v>25000</v>
      </c>
      <c r="I319" s="297">
        <v>50000</v>
      </c>
      <c r="J319" s="298">
        <v>8293</v>
      </c>
      <c r="K319" s="299">
        <v>1111</v>
      </c>
      <c r="L319" s="297">
        <f t="shared" si="6"/>
        <v>2500</v>
      </c>
      <c r="M319" s="289" t="s">
        <v>285</v>
      </c>
    </row>
    <row r="320" spans="1:13">
      <c r="A320" s="287" t="s">
        <v>287</v>
      </c>
      <c r="B320" t="s">
        <v>20</v>
      </c>
      <c r="C320" s="210" t="s">
        <v>260</v>
      </c>
      <c r="D320" t="s">
        <v>98</v>
      </c>
      <c r="G320" s="294">
        <v>42919</v>
      </c>
      <c r="H320" s="304">
        <v>25000</v>
      </c>
      <c r="J320" s="298">
        <v>8613</v>
      </c>
      <c r="K320" s="299">
        <v>1760</v>
      </c>
      <c r="L320" s="297">
        <f t="shared" si="6"/>
        <v>2500</v>
      </c>
    </row>
    <row r="321" spans="1:13">
      <c r="A321" s="287" t="s">
        <v>287</v>
      </c>
      <c r="B321" t="s">
        <v>21</v>
      </c>
      <c r="C321" s="210" t="s">
        <v>260</v>
      </c>
      <c r="D321" t="s">
        <v>98</v>
      </c>
      <c r="G321" s="294">
        <v>42949</v>
      </c>
      <c r="H321" s="304">
        <v>25000</v>
      </c>
      <c r="J321" s="298">
        <v>8979</v>
      </c>
      <c r="K321" s="299">
        <v>2013</v>
      </c>
      <c r="L321" s="297">
        <f t="shared" si="6"/>
        <v>2500</v>
      </c>
    </row>
    <row r="322" spans="1:13">
      <c r="A322" s="287" t="s">
        <v>287</v>
      </c>
      <c r="B322" t="s">
        <v>22</v>
      </c>
      <c r="C322" s="210" t="s">
        <v>260</v>
      </c>
      <c r="D322" t="s">
        <v>98</v>
      </c>
      <c r="G322" s="294">
        <v>42979</v>
      </c>
      <c r="H322" s="304">
        <v>25000</v>
      </c>
      <c r="J322" s="298">
        <v>9133</v>
      </c>
      <c r="K322" s="299">
        <v>847</v>
      </c>
      <c r="L322" s="297">
        <f t="shared" si="6"/>
        <v>2500</v>
      </c>
    </row>
    <row r="323" spans="1:13">
      <c r="A323" s="287" t="s">
        <v>287</v>
      </c>
      <c r="B323" t="s">
        <v>23</v>
      </c>
      <c r="C323" s="210" t="s">
        <v>260</v>
      </c>
      <c r="D323" t="s">
        <v>98</v>
      </c>
      <c r="G323" s="294">
        <v>43010</v>
      </c>
      <c r="H323" s="304">
        <v>25000</v>
      </c>
      <c r="J323" s="298">
        <v>9403</v>
      </c>
      <c r="K323" s="299">
        <v>1485</v>
      </c>
      <c r="L323" s="297">
        <f t="shared" si="6"/>
        <v>2500</v>
      </c>
    </row>
    <row r="324" spans="1:13">
      <c r="A324" s="287" t="s">
        <v>287</v>
      </c>
      <c r="B324" t="s">
        <v>24</v>
      </c>
      <c r="C324" s="210" t="s">
        <v>260</v>
      </c>
      <c r="D324" t="s">
        <v>98</v>
      </c>
      <c r="G324" s="294">
        <v>43040</v>
      </c>
      <c r="H324" s="304">
        <v>25000</v>
      </c>
      <c r="J324" s="298">
        <v>9635</v>
      </c>
      <c r="K324" s="299">
        <v>1276</v>
      </c>
      <c r="L324" s="297">
        <f t="shared" si="6"/>
        <v>2500</v>
      </c>
    </row>
    <row r="325" spans="1:13">
      <c r="A325" s="287" t="s">
        <v>287</v>
      </c>
      <c r="B325" t="s">
        <v>25</v>
      </c>
      <c r="C325" s="210" t="s">
        <v>260</v>
      </c>
      <c r="D325" t="s">
        <v>98</v>
      </c>
      <c r="G325" s="294">
        <v>43072</v>
      </c>
      <c r="H325" s="304">
        <v>25000</v>
      </c>
      <c r="J325" s="298"/>
      <c r="K325" s="299"/>
      <c r="L325" s="297">
        <f t="shared" si="6"/>
        <v>2500</v>
      </c>
    </row>
    <row r="326" spans="1:13">
      <c r="A326" s="287" t="s">
        <v>287</v>
      </c>
      <c r="B326" t="s">
        <v>14</v>
      </c>
      <c r="C326" s="210" t="s">
        <v>261</v>
      </c>
      <c r="G326" s="294"/>
      <c r="H326" s="304"/>
      <c r="J326" s="298"/>
      <c r="K326" s="299"/>
      <c r="L326" s="297">
        <f t="shared" si="6"/>
        <v>0</v>
      </c>
    </row>
    <row r="327" spans="1:13">
      <c r="A327" s="287" t="s">
        <v>287</v>
      </c>
      <c r="B327" t="s">
        <v>15</v>
      </c>
      <c r="C327" s="210" t="s">
        <v>261</v>
      </c>
      <c r="G327" s="294"/>
      <c r="H327" s="304"/>
      <c r="J327" s="298"/>
      <c r="K327" s="299">
        <v>0</v>
      </c>
      <c r="L327" s="297">
        <f t="shared" si="6"/>
        <v>0</v>
      </c>
    </row>
    <row r="328" spans="1:13">
      <c r="A328" s="287" t="s">
        <v>287</v>
      </c>
      <c r="B328" t="s">
        <v>16</v>
      </c>
      <c r="C328" s="210" t="s">
        <v>261</v>
      </c>
      <c r="G328" s="294"/>
      <c r="H328" s="304"/>
      <c r="J328" s="298"/>
      <c r="K328" s="299">
        <v>0</v>
      </c>
      <c r="L328" s="297">
        <f t="shared" si="6"/>
        <v>0</v>
      </c>
    </row>
    <row r="329" spans="1:13">
      <c r="A329" s="287" t="s">
        <v>287</v>
      </c>
      <c r="B329" t="s">
        <v>17</v>
      </c>
      <c r="C329" s="210" t="s">
        <v>261</v>
      </c>
      <c r="G329" s="294"/>
      <c r="H329" s="304"/>
      <c r="J329" s="298">
        <v>7217</v>
      </c>
      <c r="K329" s="299"/>
      <c r="L329" s="297">
        <f t="shared" si="6"/>
        <v>0</v>
      </c>
    </row>
    <row r="330" spans="1:13">
      <c r="A330" s="287" t="s">
        <v>287</v>
      </c>
      <c r="B330" t="s">
        <v>18</v>
      </c>
      <c r="C330" s="210" t="s">
        <v>261</v>
      </c>
      <c r="D330" t="s">
        <v>106</v>
      </c>
      <c r="E330" s="284" t="s">
        <v>107</v>
      </c>
      <c r="F330" t="s">
        <v>109</v>
      </c>
      <c r="G330" s="294"/>
      <c r="H330" s="304">
        <v>25000</v>
      </c>
      <c r="I330" s="297">
        <v>50000</v>
      </c>
      <c r="J330" s="298">
        <v>7283</v>
      </c>
      <c r="K330" s="299">
        <v>363</v>
      </c>
      <c r="L330" s="297">
        <f t="shared" si="6"/>
        <v>2500</v>
      </c>
      <c r="M330" t="s">
        <v>108</v>
      </c>
    </row>
    <row r="331" spans="1:13">
      <c r="A331" s="287" t="s">
        <v>287</v>
      </c>
      <c r="B331" t="s">
        <v>19</v>
      </c>
      <c r="C331" s="210" t="s">
        <v>261</v>
      </c>
      <c r="D331" t="s">
        <v>106</v>
      </c>
      <c r="G331" s="294">
        <v>42889</v>
      </c>
      <c r="H331" s="304">
        <v>25000</v>
      </c>
      <c r="J331" s="298">
        <v>7417</v>
      </c>
      <c r="K331" s="299">
        <v>737</v>
      </c>
      <c r="L331" s="297">
        <f t="shared" si="6"/>
        <v>2500</v>
      </c>
    </row>
    <row r="332" spans="1:13">
      <c r="A332" s="287" t="s">
        <v>287</v>
      </c>
      <c r="B332" t="s">
        <v>20</v>
      </c>
      <c r="C332" s="210" t="s">
        <v>261</v>
      </c>
      <c r="D332" t="s">
        <v>106</v>
      </c>
      <c r="G332" s="294">
        <v>42925</v>
      </c>
      <c r="H332" s="304">
        <v>25000</v>
      </c>
      <c r="J332" s="298">
        <v>7519</v>
      </c>
      <c r="K332" s="299">
        <v>561</v>
      </c>
      <c r="L332" s="297">
        <f t="shared" si="6"/>
        <v>2500</v>
      </c>
    </row>
    <row r="333" spans="1:13">
      <c r="A333" s="287" t="s">
        <v>287</v>
      </c>
      <c r="B333" t="s">
        <v>21</v>
      </c>
      <c r="C333" s="210" t="s">
        <v>261</v>
      </c>
      <c r="D333" t="s">
        <v>106</v>
      </c>
      <c r="G333" s="294">
        <v>42955</v>
      </c>
      <c r="H333" s="304">
        <v>25000</v>
      </c>
      <c r="J333" s="298">
        <v>7687</v>
      </c>
      <c r="K333" s="299">
        <v>924</v>
      </c>
      <c r="L333" s="297">
        <f t="shared" si="6"/>
        <v>2500</v>
      </c>
    </row>
    <row r="334" spans="1:13">
      <c r="A334" s="287" t="s">
        <v>287</v>
      </c>
      <c r="B334" t="s">
        <v>22</v>
      </c>
      <c r="C334" s="210" t="s">
        <v>261</v>
      </c>
      <c r="G334" s="294">
        <v>43000</v>
      </c>
      <c r="H334" s="304">
        <v>25000</v>
      </c>
      <c r="J334" s="298">
        <v>7791</v>
      </c>
      <c r="K334" s="299">
        <v>572</v>
      </c>
      <c r="L334" s="297">
        <f t="shared" si="6"/>
        <v>2500</v>
      </c>
    </row>
    <row r="335" spans="1:13">
      <c r="A335" s="287" t="s">
        <v>287</v>
      </c>
      <c r="B335" t="s">
        <v>23</v>
      </c>
      <c r="C335" s="210" t="s">
        <v>261</v>
      </c>
      <c r="G335" s="294"/>
      <c r="H335" s="304">
        <v>25000</v>
      </c>
      <c r="J335" s="298">
        <v>7979</v>
      </c>
      <c r="K335" s="299">
        <v>1034</v>
      </c>
      <c r="L335" s="297">
        <f t="shared" si="6"/>
        <v>2500</v>
      </c>
    </row>
    <row r="336" spans="1:13">
      <c r="A336" s="287" t="s">
        <v>287</v>
      </c>
      <c r="B336" t="s">
        <v>24</v>
      </c>
      <c r="C336" s="210" t="s">
        <v>261</v>
      </c>
      <c r="G336" s="294">
        <v>43049</v>
      </c>
      <c r="H336" s="304">
        <v>25000</v>
      </c>
      <c r="J336" s="298">
        <v>8063</v>
      </c>
      <c r="K336" s="299">
        <v>462</v>
      </c>
      <c r="L336" s="297">
        <f t="shared" si="6"/>
        <v>2500</v>
      </c>
    </row>
    <row r="337" spans="1:13">
      <c r="A337" s="287" t="s">
        <v>287</v>
      </c>
      <c r="B337" t="s">
        <v>25</v>
      </c>
      <c r="C337" s="210" t="s">
        <v>261</v>
      </c>
      <c r="G337" s="294">
        <v>43080</v>
      </c>
      <c r="H337" s="304">
        <v>25000</v>
      </c>
      <c r="J337" s="298"/>
      <c r="K337" s="299"/>
      <c r="L337" s="297">
        <f t="shared" si="6"/>
        <v>2500</v>
      </c>
    </row>
    <row r="338" spans="1:13">
      <c r="A338" s="287" t="s">
        <v>287</v>
      </c>
      <c r="B338" t="s">
        <v>14</v>
      </c>
      <c r="C338" s="210" t="s">
        <v>268</v>
      </c>
      <c r="G338" s="294"/>
      <c r="H338" s="304"/>
      <c r="J338" s="298"/>
      <c r="K338" s="299"/>
      <c r="L338" s="297">
        <f t="shared" si="6"/>
        <v>0</v>
      </c>
    </row>
    <row r="339" spans="1:13">
      <c r="A339" s="287" t="s">
        <v>287</v>
      </c>
      <c r="B339" t="s">
        <v>15</v>
      </c>
      <c r="C339" s="210" t="s">
        <v>268</v>
      </c>
      <c r="G339" s="294"/>
      <c r="H339" s="304"/>
      <c r="J339" s="298"/>
      <c r="K339" s="299">
        <v>0</v>
      </c>
      <c r="L339" s="297">
        <f t="shared" si="6"/>
        <v>0</v>
      </c>
    </row>
    <row r="340" spans="1:13">
      <c r="A340" s="287" t="s">
        <v>287</v>
      </c>
      <c r="B340" t="s">
        <v>16</v>
      </c>
      <c r="C340" s="210" t="s">
        <v>268</v>
      </c>
      <c r="G340" s="294"/>
      <c r="H340" s="304"/>
      <c r="J340" s="298"/>
      <c r="K340" s="299">
        <v>0</v>
      </c>
      <c r="L340" s="297">
        <f t="shared" si="6"/>
        <v>0</v>
      </c>
    </row>
    <row r="341" spans="1:13">
      <c r="A341" s="287" t="s">
        <v>287</v>
      </c>
      <c r="B341" t="s">
        <v>17</v>
      </c>
      <c r="C341" s="210" t="s">
        <v>268</v>
      </c>
      <c r="G341" s="294"/>
      <c r="H341" s="304"/>
      <c r="J341" s="298">
        <v>8924</v>
      </c>
      <c r="K341" s="299"/>
      <c r="L341" s="297">
        <f t="shared" si="6"/>
        <v>0</v>
      </c>
    </row>
    <row r="342" spans="1:13">
      <c r="A342" s="287" t="s">
        <v>287</v>
      </c>
      <c r="B342" t="s">
        <v>18</v>
      </c>
      <c r="C342" s="210" t="s">
        <v>268</v>
      </c>
      <c r="D342" t="s">
        <v>106</v>
      </c>
      <c r="E342" s="284" t="s">
        <v>107</v>
      </c>
      <c r="F342" t="s">
        <v>109</v>
      </c>
      <c r="G342" s="294"/>
      <c r="H342" s="304">
        <v>28000</v>
      </c>
      <c r="I342" s="297">
        <v>56000</v>
      </c>
      <c r="J342" s="298">
        <v>8938</v>
      </c>
      <c r="K342" s="299">
        <v>77</v>
      </c>
      <c r="L342" s="297">
        <f t="shared" si="6"/>
        <v>2800</v>
      </c>
      <c r="M342" t="s">
        <v>108</v>
      </c>
    </row>
    <row r="343" spans="1:13">
      <c r="A343" s="287" t="s">
        <v>287</v>
      </c>
      <c r="B343" t="s">
        <v>19</v>
      </c>
      <c r="C343" s="210" t="s">
        <v>268</v>
      </c>
      <c r="D343" t="s">
        <v>106</v>
      </c>
      <c r="G343" s="294">
        <v>42889</v>
      </c>
      <c r="H343" s="304">
        <v>28000</v>
      </c>
      <c r="J343" s="298">
        <v>9076</v>
      </c>
      <c r="K343" s="299">
        <v>759</v>
      </c>
      <c r="L343" s="297">
        <f t="shared" si="6"/>
        <v>2800</v>
      </c>
    </row>
    <row r="344" spans="1:13">
      <c r="A344" s="287" t="s">
        <v>287</v>
      </c>
      <c r="B344" t="s">
        <v>20</v>
      </c>
      <c r="C344" s="210" t="s">
        <v>268</v>
      </c>
      <c r="D344" t="s">
        <v>106</v>
      </c>
      <c r="G344" s="294">
        <v>42925</v>
      </c>
      <c r="H344" s="304">
        <v>28000</v>
      </c>
      <c r="J344" s="298">
        <v>9118</v>
      </c>
      <c r="K344" s="299">
        <v>231</v>
      </c>
      <c r="L344" s="297">
        <f t="shared" si="6"/>
        <v>2800</v>
      </c>
    </row>
    <row r="345" spans="1:13">
      <c r="A345" s="287" t="s">
        <v>287</v>
      </c>
      <c r="B345" t="s">
        <v>21</v>
      </c>
      <c r="C345" s="210" t="s">
        <v>268</v>
      </c>
      <c r="D345" t="s">
        <v>106</v>
      </c>
      <c r="G345" s="294">
        <v>42955</v>
      </c>
      <c r="H345" s="304">
        <v>28000</v>
      </c>
      <c r="J345" s="298">
        <v>9428</v>
      </c>
      <c r="K345" s="299">
        <v>1705</v>
      </c>
      <c r="L345" s="297">
        <f t="shared" si="6"/>
        <v>2800</v>
      </c>
    </row>
    <row r="346" spans="1:13">
      <c r="A346" s="287" t="s">
        <v>287</v>
      </c>
      <c r="B346" t="s">
        <v>22</v>
      </c>
      <c r="C346" s="210" t="s">
        <v>268</v>
      </c>
      <c r="G346" s="294">
        <v>43000</v>
      </c>
      <c r="H346" s="304">
        <v>28000</v>
      </c>
      <c r="J346" s="298">
        <v>9508</v>
      </c>
      <c r="K346" s="299">
        <v>440</v>
      </c>
      <c r="L346" s="297">
        <f t="shared" si="6"/>
        <v>2800</v>
      </c>
    </row>
    <row r="347" spans="1:13">
      <c r="A347" s="287" t="s">
        <v>287</v>
      </c>
      <c r="B347" t="s">
        <v>23</v>
      </c>
      <c r="C347" s="210" t="s">
        <v>268</v>
      </c>
      <c r="G347" s="294"/>
      <c r="H347" s="304">
        <v>28000</v>
      </c>
      <c r="J347" s="298">
        <v>9736</v>
      </c>
      <c r="K347" s="299">
        <v>1254</v>
      </c>
      <c r="L347" s="297">
        <f t="shared" si="6"/>
        <v>2800</v>
      </c>
    </row>
    <row r="348" spans="1:13">
      <c r="A348" s="287" t="s">
        <v>287</v>
      </c>
      <c r="B348" t="s">
        <v>24</v>
      </c>
      <c r="C348" s="210" t="s">
        <v>268</v>
      </c>
      <c r="G348" s="294">
        <v>43049</v>
      </c>
      <c r="H348" s="304">
        <v>28000</v>
      </c>
      <c r="J348" s="298">
        <v>9850</v>
      </c>
      <c r="K348" s="299">
        <v>627</v>
      </c>
      <c r="L348" s="297">
        <f t="shared" si="6"/>
        <v>2800</v>
      </c>
    </row>
    <row r="349" spans="1:13">
      <c r="A349" s="287" t="s">
        <v>287</v>
      </c>
      <c r="B349" t="s">
        <v>25</v>
      </c>
      <c r="C349" s="210" t="s">
        <v>268</v>
      </c>
      <c r="G349" s="294">
        <v>43080</v>
      </c>
      <c r="H349" s="304">
        <v>28000</v>
      </c>
      <c r="J349" s="298"/>
      <c r="K349" s="299"/>
      <c r="L349" s="297">
        <f t="shared" si="6"/>
        <v>2800</v>
      </c>
    </row>
    <row r="350" spans="1:13">
      <c r="A350" s="287" t="s">
        <v>287</v>
      </c>
      <c r="B350" t="s">
        <v>14</v>
      </c>
      <c r="C350" s="210" t="s">
        <v>269</v>
      </c>
      <c r="G350" s="294"/>
      <c r="H350" s="304"/>
      <c r="J350" s="298"/>
      <c r="K350" s="299"/>
      <c r="L350" s="297">
        <f t="shared" si="6"/>
        <v>0</v>
      </c>
    </row>
    <row r="351" spans="1:13">
      <c r="A351" s="287" t="s">
        <v>287</v>
      </c>
      <c r="B351" t="s">
        <v>15</v>
      </c>
      <c r="C351" s="210" t="s">
        <v>269</v>
      </c>
      <c r="G351" s="294"/>
      <c r="H351" s="304"/>
      <c r="J351" s="298"/>
      <c r="K351" s="299">
        <v>0</v>
      </c>
      <c r="L351" s="297">
        <f t="shared" si="6"/>
        <v>0</v>
      </c>
    </row>
    <row r="352" spans="1:13">
      <c r="A352" s="287" t="s">
        <v>287</v>
      </c>
      <c r="B352" t="s">
        <v>16</v>
      </c>
      <c r="C352" s="210" t="s">
        <v>269</v>
      </c>
      <c r="G352" s="294"/>
      <c r="H352" s="304"/>
      <c r="J352" s="298"/>
      <c r="K352" s="299">
        <v>0</v>
      </c>
      <c r="L352" s="297">
        <f t="shared" si="6"/>
        <v>0</v>
      </c>
    </row>
    <row r="353" spans="1:15">
      <c r="A353" s="287" t="s">
        <v>287</v>
      </c>
      <c r="B353" t="s">
        <v>17</v>
      </c>
      <c r="C353" s="210" t="s">
        <v>269</v>
      </c>
      <c r="G353" s="294"/>
      <c r="H353" s="304"/>
      <c r="J353" s="298">
        <v>9200</v>
      </c>
      <c r="K353" s="299"/>
      <c r="L353" s="297">
        <f t="shared" si="6"/>
        <v>0</v>
      </c>
    </row>
    <row r="354" spans="1:15">
      <c r="A354" s="287" t="s">
        <v>287</v>
      </c>
      <c r="B354" t="s">
        <v>18</v>
      </c>
      <c r="C354" s="210" t="s">
        <v>269</v>
      </c>
      <c r="G354" s="294">
        <v>42857</v>
      </c>
      <c r="H354" s="304">
        <v>25000</v>
      </c>
      <c r="J354" s="298">
        <v>9733</v>
      </c>
      <c r="K354" s="299"/>
      <c r="L354" s="297">
        <f t="shared" si="6"/>
        <v>2500</v>
      </c>
    </row>
    <row r="355" spans="1:15">
      <c r="A355" s="287" t="s">
        <v>287</v>
      </c>
      <c r="B355" t="s">
        <v>19</v>
      </c>
      <c r="C355" s="210" t="s">
        <v>269</v>
      </c>
      <c r="G355" s="294">
        <v>42887</v>
      </c>
      <c r="H355" s="304">
        <v>25000</v>
      </c>
      <c r="J355" s="298"/>
      <c r="K355" s="299"/>
      <c r="L355" s="297">
        <f t="shared" si="6"/>
        <v>2500</v>
      </c>
    </row>
    <row r="356" spans="1:15">
      <c r="A356" s="287" t="s">
        <v>287</v>
      </c>
      <c r="B356" t="s">
        <v>20</v>
      </c>
      <c r="C356" s="210" t="s">
        <v>269</v>
      </c>
      <c r="D356" t="s">
        <v>188</v>
      </c>
      <c r="E356" s="284" t="s">
        <v>110</v>
      </c>
      <c r="F356" t="s">
        <v>186</v>
      </c>
      <c r="G356" s="294">
        <v>42927</v>
      </c>
      <c r="H356" s="304">
        <v>28000</v>
      </c>
      <c r="I356" s="297">
        <v>28000</v>
      </c>
      <c r="J356" s="298">
        <v>9865</v>
      </c>
      <c r="K356" s="299">
        <v>726</v>
      </c>
      <c r="L356" s="297">
        <f t="shared" si="6"/>
        <v>2800</v>
      </c>
    </row>
    <row r="357" spans="1:15">
      <c r="A357" s="287" t="s">
        <v>287</v>
      </c>
      <c r="B357" t="s">
        <v>21</v>
      </c>
      <c r="C357" s="210" t="s">
        <v>269</v>
      </c>
      <c r="D357" t="s">
        <v>188</v>
      </c>
      <c r="G357" s="294">
        <v>42958</v>
      </c>
      <c r="H357" s="304">
        <v>28000</v>
      </c>
      <c r="J357" s="298">
        <v>10107</v>
      </c>
      <c r="K357" s="299">
        <v>1331</v>
      </c>
      <c r="L357" s="297">
        <f t="shared" si="6"/>
        <v>2800</v>
      </c>
    </row>
    <row r="358" spans="1:15">
      <c r="A358" s="287" t="s">
        <v>287</v>
      </c>
      <c r="B358" t="s">
        <v>22</v>
      </c>
      <c r="C358" s="210" t="s">
        <v>269</v>
      </c>
      <c r="D358" t="s">
        <v>188</v>
      </c>
      <c r="G358" s="294">
        <v>42990</v>
      </c>
      <c r="H358" s="304">
        <v>28000</v>
      </c>
      <c r="J358" s="298">
        <v>10313</v>
      </c>
      <c r="K358" s="299">
        <v>1133</v>
      </c>
      <c r="L358" s="297">
        <f t="shared" si="6"/>
        <v>2800</v>
      </c>
    </row>
    <row r="359" spans="1:15">
      <c r="A359" s="287" t="s">
        <v>287</v>
      </c>
      <c r="B359" t="s">
        <v>23</v>
      </c>
      <c r="C359" s="210" t="s">
        <v>269</v>
      </c>
      <c r="D359" t="s">
        <v>188</v>
      </c>
      <c r="G359" s="294"/>
      <c r="H359" s="304">
        <v>5419</v>
      </c>
      <c r="J359" s="298"/>
      <c r="K359" s="299">
        <v>0</v>
      </c>
      <c r="L359" s="297">
        <f t="shared" si="6"/>
        <v>541.9</v>
      </c>
    </row>
    <row r="360" spans="1:15">
      <c r="A360" s="287" t="s">
        <v>287</v>
      </c>
      <c r="B360" t="s">
        <v>24</v>
      </c>
      <c r="C360" s="210" t="s">
        <v>269</v>
      </c>
      <c r="G360" s="294"/>
      <c r="H360" s="304"/>
      <c r="J360" s="298"/>
      <c r="K360" s="299">
        <v>0</v>
      </c>
      <c r="L360" s="297">
        <f t="shared" si="6"/>
        <v>0</v>
      </c>
    </row>
    <row r="361" spans="1:15">
      <c r="A361" s="287" t="s">
        <v>287</v>
      </c>
      <c r="B361" t="s">
        <v>25</v>
      </c>
      <c r="C361" s="210" t="s">
        <v>269</v>
      </c>
      <c r="G361" s="294"/>
      <c r="H361" s="304"/>
      <c r="J361" s="298"/>
      <c r="K361" s="299">
        <f>IF((J361-J360)*5.5&gt;0,(J361-J360)*5.5,0)</f>
        <v>0</v>
      </c>
      <c r="L361" s="297">
        <f t="shared" si="6"/>
        <v>0</v>
      </c>
    </row>
    <row r="362" spans="1:15" s="281" customFormat="1">
      <c r="A362" s="286">
        <v>159</v>
      </c>
      <c r="B362" s="281" t="s">
        <v>14</v>
      </c>
      <c r="C362" s="282" t="s">
        <v>248</v>
      </c>
      <c r="E362" s="285"/>
      <c r="G362" s="295"/>
      <c r="H362" s="305"/>
      <c r="I362" s="288"/>
      <c r="J362" s="300">
        <v>6621</v>
      </c>
      <c r="K362" s="301" t="s">
        <v>104</v>
      </c>
      <c r="L362" s="288">
        <f t="shared" si="6"/>
        <v>0</v>
      </c>
      <c r="M362" s="310" t="s">
        <v>94</v>
      </c>
      <c r="N362" s="310"/>
      <c r="O362" s="310"/>
    </row>
    <row r="363" spans="1:15">
      <c r="A363" s="287">
        <v>159</v>
      </c>
      <c r="B363" t="s">
        <v>15</v>
      </c>
      <c r="C363" s="210" t="s">
        <v>248</v>
      </c>
      <c r="G363" s="294"/>
      <c r="H363" s="304"/>
      <c r="J363" s="298">
        <v>6987</v>
      </c>
      <c r="K363" s="299">
        <v>2013</v>
      </c>
      <c r="L363" s="297">
        <f t="shared" si="6"/>
        <v>0</v>
      </c>
    </row>
    <row r="364" spans="1:15">
      <c r="A364" s="287">
        <v>159</v>
      </c>
      <c r="B364" t="s">
        <v>16</v>
      </c>
      <c r="C364" s="210" t="s">
        <v>248</v>
      </c>
      <c r="G364" s="294"/>
      <c r="H364" s="304"/>
      <c r="J364" s="298">
        <v>7055</v>
      </c>
      <c r="K364" s="299">
        <v>374</v>
      </c>
      <c r="L364" s="297">
        <f t="shared" si="6"/>
        <v>0</v>
      </c>
    </row>
    <row r="365" spans="1:15">
      <c r="A365" s="287">
        <v>159</v>
      </c>
      <c r="B365" t="s">
        <v>17</v>
      </c>
      <c r="C365" s="210" t="s">
        <v>248</v>
      </c>
      <c r="G365" s="294"/>
      <c r="H365" s="304"/>
      <c r="J365" s="298">
        <v>7117</v>
      </c>
      <c r="K365" s="299">
        <v>341</v>
      </c>
      <c r="L365" s="297">
        <f t="shared" si="6"/>
        <v>0</v>
      </c>
    </row>
    <row r="366" spans="1:15">
      <c r="A366" s="287">
        <v>159</v>
      </c>
      <c r="B366" t="s">
        <v>18</v>
      </c>
      <c r="C366" s="210" t="s">
        <v>248</v>
      </c>
      <c r="G366" s="294">
        <v>42858</v>
      </c>
      <c r="H366" s="304">
        <v>20000</v>
      </c>
      <c r="I366" s="297">
        <v>42000</v>
      </c>
      <c r="J366" s="298"/>
      <c r="K366" s="299">
        <v>0</v>
      </c>
      <c r="L366" s="297">
        <f t="shared" si="6"/>
        <v>2000</v>
      </c>
    </row>
    <row r="367" spans="1:15">
      <c r="A367" s="287">
        <v>159</v>
      </c>
      <c r="B367" t="s">
        <v>19</v>
      </c>
      <c r="C367" s="210" t="s">
        <v>248</v>
      </c>
      <c r="G367" s="294">
        <v>42886</v>
      </c>
      <c r="H367" s="304">
        <v>20000</v>
      </c>
      <c r="J367" s="298"/>
      <c r="K367" s="299">
        <v>0</v>
      </c>
      <c r="L367" s="297">
        <f t="shared" si="6"/>
        <v>2000</v>
      </c>
    </row>
    <row r="368" spans="1:15">
      <c r="A368" s="287">
        <v>159</v>
      </c>
      <c r="B368" t="s">
        <v>20</v>
      </c>
      <c r="C368" s="210" t="s">
        <v>248</v>
      </c>
      <c r="G368" s="294">
        <v>42908</v>
      </c>
      <c r="H368" s="304">
        <v>20000</v>
      </c>
      <c r="J368" s="298">
        <v>7485</v>
      </c>
      <c r="K368" s="299">
        <v>2024</v>
      </c>
      <c r="L368" s="297">
        <f t="shared" si="6"/>
        <v>2000</v>
      </c>
    </row>
    <row r="369" spans="1:12">
      <c r="A369" s="287">
        <v>159</v>
      </c>
      <c r="B369" t="s">
        <v>21</v>
      </c>
      <c r="C369" s="210" t="s">
        <v>248</v>
      </c>
      <c r="D369" t="s">
        <v>191</v>
      </c>
      <c r="F369" t="s">
        <v>286</v>
      </c>
      <c r="G369" s="294">
        <v>42951</v>
      </c>
      <c r="H369" s="304">
        <v>21000</v>
      </c>
      <c r="J369" s="298" t="s">
        <v>198</v>
      </c>
      <c r="K369" s="299">
        <v>583</v>
      </c>
      <c r="L369" s="297">
        <f t="shared" si="6"/>
        <v>2100</v>
      </c>
    </row>
    <row r="370" spans="1:12">
      <c r="A370" s="287">
        <v>159</v>
      </c>
      <c r="B370" t="s">
        <v>22</v>
      </c>
      <c r="C370" s="210" t="s">
        <v>248</v>
      </c>
      <c r="D370" t="s">
        <v>191</v>
      </c>
      <c r="G370" s="294">
        <v>42978</v>
      </c>
      <c r="H370" s="304">
        <v>21000</v>
      </c>
      <c r="J370" s="298">
        <v>7765</v>
      </c>
      <c r="K370" s="299">
        <v>891</v>
      </c>
      <c r="L370" s="297">
        <f t="shared" ref="L370:L421" si="8">H370*0.1</f>
        <v>2100</v>
      </c>
    </row>
    <row r="371" spans="1:12">
      <c r="A371" s="287">
        <v>159</v>
      </c>
      <c r="B371" t="s">
        <v>23</v>
      </c>
      <c r="C371" s="210" t="s">
        <v>248</v>
      </c>
      <c r="D371" t="s">
        <v>191</v>
      </c>
      <c r="G371" s="294">
        <v>43010</v>
      </c>
      <c r="H371" s="304">
        <v>21000</v>
      </c>
      <c r="J371" s="298">
        <v>7897</v>
      </c>
      <c r="K371" s="299">
        <v>726</v>
      </c>
      <c r="L371" s="297">
        <f t="shared" si="8"/>
        <v>2100</v>
      </c>
    </row>
    <row r="372" spans="1:12">
      <c r="A372" s="287">
        <v>159</v>
      </c>
      <c r="B372" t="s">
        <v>24</v>
      </c>
      <c r="C372" s="210" t="s">
        <v>248</v>
      </c>
      <c r="D372" t="s">
        <v>191</v>
      </c>
      <c r="G372" s="294">
        <v>43039</v>
      </c>
      <c r="H372" s="304">
        <v>21000</v>
      </c>
      <c r="J372" s="298">
        <v>8009</v>
      </c>
      <c r="K372" s="299">
        <v>616</v>
      </c>
      <c r="L372" s="297">
        <f t="shared" si="8"/>
        <v>2100</v>
      </c>
    </row>
    <row r="373" spans="1:12">
      <c r="A373" s="287">
        <v>159</v>
      </c>
      <c r="B373" t="s">
        <v>25</v>
      </c>
      <c r="C373" s="210" t="s">
        <v>248</v>
      </c>
      <c r="D373" t="s">
        <v>191</v>
      </c>
      <c r="G373" s="294">
        <v>43077</v>
      </c>
      <c r="H373" s="304">
        <v>21000</v>
      </c>
      <c r="J373" s="298"/>
      <c r="K373" s="299">
        <v>0</v>
      </c>
      <c r="L373" s="297">
        <f t="shared" si="8"/>
        <v>2100</v>
      </c>
    </row>
    <row r="374" spans="1:12">
      <c r="A374" s="287">
        <v>159</v>
      </c>
      <c r="B374" t="s">
        <v>14</v>
      </c>
      <c r="C374" s="210" t="s">
        <v>260</v>
      </c>
      <c r="G374" s="294"/>
      <c r="H374" s="304"/>
      <c r="J374" s="298"/>
      <c r="K374" s="299"/>
      <c r="L374" s="297">
        <f t="shared" si="8"/>
        <v>0</v>
      </c>
    </row>
    <row r="375" spans="1:12">
      <c r="A375" s="287">
        <v>159</v>
      </c>
      <c r="B375" t="s">
        <v>15</v>
      </c>
      <c r="C375" s="210" t="s">
        <v>260</v>
      </c>
      <c r="G375" s="294"/>
      <c r="H375" s="304"/>
      <c r="J375" s="298"/>
      <c r="K375" s="299">
        <v>0</v>
      </c>
      <c r="L375" s="297">
        <f t="shared" si="8"/>
        <v>0</v>
      </c>
    </row>
    <row r="376" spans="1:12">
      <c r="A376" s="287">
        <v>159</v>
      </c>
      <c r="B376" t="s">
        <v>16</v>
      </c>
      <c r="C376" s="210" t="s">
        <v>260</v>
      </c>
      <c r="G376" s="294"/>
      <c r="H376" s="304"/>
      <c r="J376" s="298"/>
      <c r="K376" s="299">
        <v>0</v>
      </c>
      <c r="L376" s="297">
        <f t="shared" si="8"/>
        <v>0</v>
      </c>
    </row>
    <row r="377" spans="1:12">
      <c r="A377" s="287">
        <v>159</v>
      </c>
      <c r="B377" t="s">
        <v>17</v>
      </c>
      <c r="C377" s="210" t="s">
        <v>260</v>
      </c>
      <c r="G377" s="294"/>
      <c r="H377" s="304"/>
      <c r="J377" s="298">
        <v>6628</v>
      </c>
      <c r="K377" s="299"/>
      <c r="L377" s="297">
        <f t="shared" si="8"/>
        <v>0</v>
      </c>
    </row>
    <row r="378" spans="1:12">
      <c r="A378" s="287">
        <v>159</v>
      </c>
      <c r="B378" t="s">
        <v>18</v>
      </c>
      <c r="C378" s="210" t="s">
        <v>260</v>
      </c>
      <c r="D378" t="s">
        <v>91</v>
      </c>
      <c r="E378" s="284" t="s">
        <v>92</v>
      </c>
      <c r="F378" t="s">
        <v>93</v>
      </c>
      <c r="G378" s="294"/>
      <c r="H378" s="304">
        <v>16000</v>
      </c>
      <c r="J378" s="298">
        <v>6738</v>
      </c>
      <c r="K378" s="299">
        <v>605</v>
      </c>
      <c r="L378" s="297">
        <f t="shared" si="8"/>
        <v>1600</v>
      </c>
    </row>
    <row r="379" spans="1:12">
      <c r="A379" s="287">
        <v>159</v>
      </c>
      <c r="B379" t="s">
        <v>19</v>
      </c>
      <c r="C379" s="210" t="s">
        <v>260</v>
      </c>
      <c r="D379" t="s">
        <v>91</v>
      </c>
      <c r="G379" s="294">
        <v>42885</v>
      </c>
      <c r="H379" s="304">
        <v>16000</v>
      </c>
      <c r="J379" s="298">
        <v>6882</v>
      </c>
      <c r="K379" s="299">
        <v>792</v>
      </c>
      <c r="L379" s="297">
        <f t="shared" si="8"/>
        <v>1600</v>
      </c>
    </row>
    <row r="380" spans="1:12">
      <c r="A380" s="287">
        <v>159</v>
      </c>
      <c r="B380" t="s">
        <v>20</v>
      </c>
      <c r="C380" s="210" t="s">
        <v>260</v>
      </c>
      <c r="D380" t="s">
        <v>91</v>
      </c>
      <c r="G380" s="294">
        <v>42918</v>
      </c>
      <c r="H380" s="304">
        <v>16000</v>
      </c>
      <c r="J380" s="298">
        <v>7042</v>
      </c>
      <c r="K380" s="299">
        <v>880</v>
      </c>
      <c r="L380" s="297">
        <f t="shared" si="8"/>
        <v>1600</v>
      </c>
    </row>
    <row r="381" spans="1:12">
      <c r="A381" s="287">
        <v>159</v>
      </c>
      <c r="B381" t="s">
        <v>21</v>
      </c>
      <c r="C381" s="210" t="s">
        <v>260</v>
      </c>
      <c r="D381" t="s">
        <v>91</v>
      </c>
      <c r="G381" s="294">
        <v>42950</v>
      </c>
      <c r="H381" s="304">
        <v>16000</v>
      </c>
      <c r="J381" s="298">
        <v>7226</v>
      </c>
      <c r="K381" s="299">
        <v>1012</v>
      </c>
      <c r="L381" s="297">
        <f t="shared" si="8"/>
        <v>1600</v>
      </c>
    </row>
    <row r="382" spans="1:12">
      <c r="A382" s="287">
        <v>159</v>
      </c>
      <c r="B382" t="s">
        <v>22</v>
      </c>
      <c r="C382" s="210" t="s">
        <v>260</v>
      </c>
      <c r="D382" t="s">
        <v>91</v>
      </c>
      <c r="G382" s="294">
        <v>42979</v>
      </c>
      <c r="H382" s="304">
        <v>16000</v>
      </c>
      <c r="J382" s="298">
        <v>7372</v>
      </c>
      <c r="K382" s="299">
        <v>803</v>
      </c>
      <c r="L382" s="297">
        <f t="shared" si="8"/>
        <v>1600</v>
      </c>
    </row>
    <row r="383" spans="1:12">
      <c r="A383" s="287">
        <v>159</v>
      </c>
      <c r="B383" t="s">
        <v>23</v>
      </c>
      <c r="C383" s="210" t="s">
        <v>260</v>
      </c>
      <c r="D383" t="s">
        <v>91</v>
      </c>
      <c r="G383" s="294">
        <v>43009</v>
      </c>
      <c r="H383" s="304">
        <v>16000</v>
      </c>
      <c r="J383" s="298">
        <v>7512</v>
      </c>
      <c r="K383" s="299">
        <v>770</v>
      </c>
      <c r="L383" s="297">
        <f t="shared" si="8"/>
        <v>1600</v>
      </c>
    </row>
    <row r="384" spans="1:12">
      <c r="A384" s="287">
        <v>159</v>
      </c>
      <c r="B384" t="s">
        <v>24</v>
      </c>
      <c r="C384" s="210" t="s">
        <v>260</v>
      </c>
      <c r="D384" t="s">
        <v>91</v>
      </c>
      <c r="G384" s="294">
        <v>43041</v>
      </c>
      <c r="H384" s="304">
        <v>16000</v>
      </c>
      <c r="J384" s="298">
        <v>7628</v>
      </c>
      <c r="K384" s="299">
        <v>638</v>
      </c>
      <c r="L384" s="297">
        <f t="shared" si="8"/>
        <v>1600</v>
      </c>
    </row>
    <row r="385" spans="1:12">
      <c r="A385" s="287">
        <v>159</v>
      </c>
      <c r="B385" t="s">
        <v>25</v>
      </c>
      <c r="C385" s="210" t="s">
        <v>260</v>
      </c>
      <c r="D385" t="s">
        <v>91</v>
      </c>
      <c r="G385" s="294">
        <v>43072</v>
      </c>
      <c r="H385" s="304">
        <v>16000</v>
      </c>
      <c r="J385" s="298"/>
      <c r="K385" s="299">
        <v>0</v>
      </c>
      <c r="L385" s="297">
        <f t="shared" si="8"/>
        <v>1600</v>
      </c>
    </row>
    <row r="386" spans="1:12">
      <c r="A386" s="287">
        <v>159</v>
      </c>
      <c r="B386" t="s">
        <v>14</v>
      </c>
      <c r="C386" s="210" t="s">
        <v>261</v>
      </c>
      <c r="D386" t="s">
        <v>117</v>
      </c>
      <c r="E386" s="284" t="s">
        <v>111</v>
      </c>
      <c r="G386" s="294"/>
      <c r="H386" s="304"/>
      <c r="J386" s="298"/>
      <c r="K386" s="299"/>
      <c r="L386" s="297">
        <f t="shared" si="8"/>
        <v>0</v>
      </c>
    </row>
    <row r="387" spans="1:12">
      <c r="A387" s="287">
        <v>159</v>
      </c>
      <c r="B387" t="s">
        <v>15</v>
      </c>
      <c r="C387" s="210" t="s">
        <v>261</v>
      </c>
      <c r="D387" t="s">
        <v>117</v>
      </c>
      <c r="G387" s="294"/>
      <c r="H387" s="304"/>
      <c r="J387" s="298"/>
      <c r="K387" s="299">
        <v>0</v>
      </c>
      <c r="L387" s="297">
        <f t="shared" si="8"/>
        <v>0</v>
      </c>
    </row>
    <row r="388" spans="1:12">
      <c r="A388" s="287">
        <v>159</v>
      </c>
      <c r="B388" t="s">
        <v>16</v>
      </c>
      <c r="C388" s="210" t="s">
        <v>261</v>
      </c>
      <c r="D388" t="s">
        <v>117</v>
      </c>
      <c r="G388" s="294"/>
      <c r="H388" s="304"/>
      <c r="J388" s="298"/>
      <c r="K388" s="299">
        <v>0</v>
      </c>
      <c r="L388" s="297">
        <f t="shared" si="8"/>
        <v>0</v>
      </c>
    </row>
    <row r="389" spans="1:12">
      <c r="A389" s="287">
        <v>159</v>
      </c>
      <c r="B389" t="s">
        <v>17</v>
      </c>
      <c r="C389" s="210" t="s">
        <v>261</v>
      </c>
      <c r="D389" t="s">
        <v>117</v>
      </c>
      <c r="G389" s="294"/>
      <c r="H389" s="304"/>
      <c r="J389" s="298">
        <v>11444</v>
      </c>
      <c r="K389" s="299"/>
      <c r="L389" s="297">
        <f t="shared" si="8"/>
        <v>0</v>
      </c>
    </row>
    <row r="390" spans="1:12">
      <c r="A390" s="287">
        <v>159</v>
      </c>
      <c r="B390" t="s">
        <v>18</v>
      </c>
      <c r="C390" s="210" t="s">
        <v>261</v>
      </c>
      <c r="D390" t="s">
        <v>117</v>
      </c>
      <c r="G390" s="294">
        <v>42860</v>
      </c>
      <c r="H390" s="304">
        <v>14600</v>
      </c>
      <c r="J390" s="298">
        <v>11585</v>
      </c>
      <c r="K390" s="299">
        <v>775.5</v>
      </c>
      <c r="L390" s="297">
        <f t="shared" si="8"/>
        <v>1460</v>
      </c>
    </row>
    <row r="391" spans="1:12">
      <c r="A391" s="287">
        <v>159</v>
      </c>
      <c r="B391" t="s">
        <v>19</v>
      </c>
      <c r="C391" s="210" t="s">
        <v>261</v>
      </c>
      <c r="D391" t="s">
        <v>117</v>
      </c>
      <c r="G391" s="294">
        <v>42885</v>
      </c>
      <c r="H391" s="304">
        <v>17500</v>
      </c>
      <c r="J391" s="298">
        <v>11735</v>
      </c>
      <c r="K391" s="299">
        <v>825</v>
      </c>
      <c r="L391" s="297">
        <f t="shared" si="8"/>
        <v>1750</v>
      </c>
    </row>
    <row r="392" spans="1:12">
      <c r="A392" s="287">
        <v>159</v>
      </c>
      <c r="B392" t="s">
        <v>20</v>
      </c>
      <c r="C392" s="210" t="s">
        <v>261</v>
      </c>
      <c r="D392" t="s">
        <v>117</v>
      </c>
      <c r="G392" s="294">
        <v>42919</v>
      </c>
      <c r="H392" s="304">
        <v>17500</v>
      </c>
      <c r="J392" s="298">
        <v>11987</v>
      </c>
      <c r="K392" s="299">
        <v>1386</v>
      </c>
      <c r="L392" s="297">
        <f t="shared" si="8"/>
        <v>1750</v>
      </c>
    </row>
    <row r="393" spans="1:12">
      <c r="A393" s="287">
        <v>159</v>
      </c>
      <c r="B393" t="s">
        <v>21</v>
      </c>
      <c r="C393" s="210" t="s">
        <v>261</v>
      </c>
      <c r="D393" t="s">
        <v>117</v>
      </c>
      <c r="G393" s="294">
        <v>42944</v>
      </c>
      <c r="H393" s="304">
        <v>17500</v>
      </c>
      <c r="J393" s="298">
        <v>12157</v>
      </c>
      <c r="K393" s="299">
        <v>935</v>
      </c>
      <c r="L393" s="297">
        <f t="shared" si="8"/>
        <v>1750</v>
      </c>
    </row>
    <row r="394" spans="1:12">
      <c r="A394" s="287">
        <v>159</v>
      </c>
      <c r="B394" t="s">
        <v>22</v>
      </c>
      <c r="C394" s="210" t="s">
        <v>261</v>
      </c>
      <c r="D394" t="s">
        <v>117</v>
      </c>
      <c r="G394" s="294">
        <v>42983</v>
      </c>
      <c r="H394" s="304">
        <v>17500</v>
      </c>
      <c r="J394" s="298">
        <v>12381</v>
      </c>
      <c r="K394" s="299">
        <v>1232</v>
      </c>
      <c r="L394" s="297">
        <f t="shared" si="8"/>
        <v>1750</v>
      </c>
    </row>
    <row r="395" spans="1:12">
      <c r="A395" s="287">
        <v>159</v>
      </c>
      <c r="B395" t="s">
        <v>23</v>
      </c>
      <c r="C395" s="210" t="s">
        <v>261</v>
      </c>
      <c r="D395" t="s">
        <v>117</v>
      </c>
      <c r="G395" s="294">
        <v>43011</v>
      </c>
      <c r="H395" s="304">
        <v>17500</v>
      </c>
      <c r="J395" s="298">
        <v>12515</v>
      </c>
      <c r="K395" s="299">
        <v>737</v>
      </c>
      <c r="L395" s="297">
        <f t="shared" si="8"/>
        <v>1750</v>
      </c>
    </row>
    <row r="396" spans="1:12">
      <c r="A396" s="287">
        <v>159</v>
      </c>
      <c r="B396" t="s">
        <v>24</v>
      </c>
      <c r="C396" s="210" t="s">
        <v>261</v>
      </c>
      <c r="D396" t="s">
        <v>117</v>
      </c>
      <c r="G396" s="294">
        <v>43038</v>
      </c>
      <c r="H396" s="304">
        <v>17500</v>
      </c>
      <c r="J396" s="298">
        <v>12619</v>
      </c>
      <c r="K396" s="299">
        <v>572</v>
      </c>
      <c r="L396" s="297">
        <f t="shared" si="8"/>
        <v>1750</v>
      </c>
    </row>
    <row r="397" spans="1:12">
      <c r="A397" s="287">
        <v>159</v>
      </c>
      <c r="B397" t="s">
        <v>25</v>
      </c>
      <c r="C397" s="210" t="s">
        <v>261</v>
      </c>
      <c r="D397" t="s">
        <v>117</v>
      </c>
      <c r="G397" s="294">
        <v>43069</v>
      </c>
      <c r="H397" s="304">
        <v>17500</v>
      </c>
      <c r="J397" s="298"/>
      <c r="K397" s="299">
        <v>0</v>
      </c>
      <c r="L397" s="297">
        <f t="shared" si="8"/>
        <v>1750</v>
      </c>
    </row>
    <row r="398" spans="1:12">
      <c r="A398" s="287">
        <v>159</v>
      </c>
      <c r="B398" t="s">
        <v>14</v>
      </c>
      <c r="C398" s="210" t="s">
        <v>268</v>
      </c>
      <c r="G398" s="294"/>
      <c r="H398" s="304"/>
      <c r="J398" s="298"/>
      <c r="K398" s="299"/>
      <c r="L398" s="297">
        <f t="shared" si="8"/>
        <v>0</v>
      </c>
    </row>
    <row r="399" spans="1:12">
      <c r="A399" s="287">
        <v>159</v>
      </c>
      <c r="B399" t="s">
        <v>15</v>
      </c>
      <c r="C399" s="210" t="s">
        <v>268</v>
      </c>
      <c r="G399" s="294"/>
      <c r="H399" s="304"/>
      <c r="J399" s="298"/>
      <c r="K399" s="299">
        <v>0</v>
      </c>
      <c r="L399" s="297">
        <f t="shared" si="8"/>
        <v>0</v>
      </c>
    </row>
    <row r="400" spans="1:12">
      <c r="A400" s="287">
        <v>159</v>
      </c>
      <c r="B400" t="s">
        <v>16</v>
      </c>
      <c r="C400" s="210" t="s">
        <v>268</v>
      </c>
      <c r="G400" s="294"/>
      <c r="H400" s="304"/>
      <c r="J400" s="298"/>
      <c r="K400" s="299">
        <v>0</v>
      </c>
      <c r="L400" s="297">
        <f t="shared" si="8"/>
        <v>0</v>
      </c>
    </row>
    <row r="401" spans="1:13">
      <c r="A401" s="287">
        <v>159</v>
      </c>
      <c r="B401" t="s">
        <v>17</v>
      </c>
      <c r="C401" s="210" t="s">
        <v>268</v>
      </c>
      <c r="G401" s="294"/>
      <c r="H401" s="304"/>
      <c r="J401" s="298">
        <v>8046</v>
      </c>
      <c r="K401" s="299"/>
      <c r="L401" s="297">
        <f t="shared" si="8"/>
        <v>0</v>
      </c>
    </row>
    <row r="402" spans="1:13">
      <c r="A402" s="287">
        <v>159</v>
      </c>
      <c r="B402" t="s">
        <v>18</v>
      </c>
      <c r="C402" s="210" t="s">
        <v>268</v>
      </c>
      <c r="G402" s="294"/>
      <c r="H402" s="304">
        <v>17000</v>
      </c>
      <c r="J402" s="298">
        <v>8188</v>
      </c>
      <c r="K402" s="299">
        <v>781</v>
      </c>
      <c r="L402" s="297">
        <f t="shared" si="8"/>
        <v>1700</v>
      </c>
    </row>
    <row r="403" spans="1:13">
      <c r="A403" s="287">
        <v>159</v>
      </c>
      <c r="B403" t="s">
        <v>19</v>
      </c>
      <c r="C403" s="210" t="s">
        <v>268</v>
      </c>
      <c r="G403" s="294">
        <v>42900</v>
      </c>
      <c r="H403" s="304">
        <v>17000</v>
      </c>
      <c r="J403" s="298">
        <v>8352</v>
      </c>
      <c r="K403" s="299">
        <v>902</v>
      </c>
      <c r="L403" s="297">
        <f t="shared" si="8"/>
        <v>1700</v>
      </c>
    </row>
    <row r="404" spans="1:13">
      <c r="A404" s="287">
        <v>159</v>
      </c>
      <c r="B404" t="s">
        <v>20</v>
      </c>
      <c r="C404" s="210" t="s">
        <v>268</v>
      </c>
      <c r="G404" s="294">
        <v>42921</v>
      </c>
      <c r="H404" s="304">
        <v>17000</v>
      </c>
      <c r="J404" s="298">
        <v>8560</v>
      </c>
      <c r="K404" s="299">
        <v>1144</v>
      </c>
      <c r="L404" s="297">
        <f t="shared" si="8"/>
        <v>1700</v>
      </c>
    </row>
    <row r="405" spans="1:13">
      <c r="A405" s="287">
        <v>159</v>
      </c>
      <c r="B405" t="s">
        <v>21</v>
      </c>
      <c r="C405" s="210" t="s">
        <v>268</v>
      </c>
      <c r="G405" s="294">
        <v>42956</v>
      </c>
      <c r="H405" s="304">
        <v>17000</v>
      </c>
      <c r="J405" s="298">
        <v>8802</v>
      </c>
      <c r="K405" s="299">
        <v>1331</v>
      </c>
      <c r="L405" s="297">
        <f t="shared" si="8"/>
        <v>1700</v>
      </c>
    </row>
    <row r="406" spans="1:13">
      <c r="A406" s="287">
        <v>159</v>
      </c>
      <c r="B406" t="s">
        <v>22</v>
      </c>
      <c r="C406" s="210" t="s">
        <v>268</v>
      </c>
      <c r="D406" t="s">
        <v>203</v>
      </c>
      <c r="F406" t="s">
        <v>215</v>
      </c>
      <c r="G406" s="294">
        <v>42984</v>
      </c>
      <c r="H406" s="304">
        <v>17000</v>
      </c>
      <c r="J406" s="298">
        <v>9016</v>
      </c>
      <c r="K406" s="299">
        <v>1177</v>
      </c>
      <c r="L406" s="297">
        <f t="shared" si="8"/>
        <v>1700</v>
      </c>
    </row>
    <row r="407" spans="1:13">
      <c r="A407" s="287">
        <v>159</v>
      </c>
      <c r="B407" t="s">
        <v>23</v>
      </c>
      <c r="C407" s="210" t="s">
        <v>268</v>
      </c>
      <c r="G407" s="294">
        <v>43014</v>
      </c>
      <c r="H407" s="304">
        <v>17000</v>
      </c>
      <c r="J407" s="298">
        <v>9206</v>
      </c>
      <c r="K407" s="299">
        <v>1045</v>
      </c>
      <c r="L407" s="297">
        <f t="shared" si="8"/>
        <v>1700</v>
      </c>
    </row>
    <row r="408" spans="1:13">
      <c r="A408" s="287">
        <v>159</v>
      </c>
      <c r="B408" t="s">
        <v>24</v>
      </c>
      <c r="C408" s="210" t="s">
        <v>268</v>
      </c>
      <c r="G408" s="294">
        <v>43050</v>
      </c>
      <c r="H408" s="304">
        <v>17000</v>
      </c>
      <c r="J408" s="298">
        <v>9344</v>
      </c>
      <c r="K408" s="299">
        <v>759</v>
      </c>
      <c r="L408" s="297">
        <f t="shared" si="8"/>
        <v>1700</v>
      </c>
    </row>
    <row r="409" spans="1:13">
      <c r="A409" s="287">
        <v>159</v>
      </c>
      <c r="B409" t="s">
        <v>25</v>
      </c>
      <c r="C409" s="210" t="s">
        <v>268</v>
      </c>
      <c r="G409" s="294">
        <v>43080</v>
      </c>
      <c r="H409" s="304">
        <v>17000</v>
      </c>
      <c r="J409" s="298"/>
      <c r="K409" s="299">
        <v>0</v>
      </c>
      <c r="L409" s="297">
        <f t="shared" si="8"/>
        <v>1700</v>
      </c>
    </row>
    <row r="410" spans="1:13" s="281" customFormat="1">
      <c r="A410" s="286">
        <v>243</v>
      </c>
      <c r="B410" s="281" t="s">
        <v>14</v>
      </c>
      <c r="C410" s="282" t="s">
        <v>248</v>
      </c>
      <c r="E410" s="285"/>
      <c r="G410" s="295"/>
      <c r="H410" s="305">
        <v>25000</v>
      </c>
      <c r="I410" s="288">
        <v>50000</v>
      </c>
      <c r="J410" s="300">
        <v>6593</v>
      </c>
      <c r="K410" s="301"/>
      <c r="L410" s="288">
        <f t="shared" si="8"/>
        <v>2500</v>
      </c>
      <c r="M410" s="281" t="s">
        <v>95</v>
      </c>
    </row>
    <row r="411" spans="1:13">
      <c r="A411" s="287">
        <v>243</v>
      </c>
      <c r="B411" t="s">
        <v>15</v>
      </c>
      <c r="C411" s="210" t="s">
        <v>248</v>
      </c>
      <c r="G411" s="294"/>
      <c r="H411" s="304">
        <v>25000</v>
      </c>
      <c r="J411" s="298">
        <v>6593</v>
      </c>
      <c r="K411" s="299">
        <f t="shared" ref="K411:K421" si="9">IF((J411-J410)*5.5&gt;0,(J411-J410)*5.5,0)</f>
        <v>0</v>
      </c>
      <c r="L411" s="297">
        <f t="shared" si="8"/>
        <v>2500</v>
      </c>
    </row>
    <row r="412" spans="1:13">
      <c r="A412" s="287">
        <v>243</v>
      </c>
      <c r="B412" t="s">
        <v>16</v>
      </c>
      <c r="C412" s="210" t="s">
        <v>248</v>
      </c>
      <c r="G412" s="294"/>
      <c r="H412" s="304">
        <v>25000</v>
      </c>
      <c r="J412" s="298">
        <v>6593</v>
      </c>
      <c r="K412" s="299">
        <f t="shared" si="9"/>
        <v>0</v>
      </c>
      <c r="L412" s="297">
        <f t="shared" si="8"/>
        <v>2500</v>
      </c>
    </row>
    <row r="413" spans="1:13">
      <c r="A413" s="287">
        <v>243</v>
      </c>
      <c r="B413" t="s">
        <v>17</v>
      </c>
      <c r="C413" s="210" t="s">
        <v>248</v>
      </c>
      <c r="D413" t="s">
        <v>98</v>
      </c>
      <c r="E413" s="284" t="s">
        <v>99</v>
      </c>
      <c r="F413" t="s">
        <v>100</v>
      </c>
      <c r="G413" s="294">
        <v>42830</v>
      </c>
      <c r="H413" s="304">
        <v>25000</v>
      </c>
      <c r="J413" s="298">
        <v>6709</v>
      </c>
      <c r="K413" s="299">
        <f t="shared" si="9"/>
        <v>638</v>
      </c>
      <c r="L413" s="297">
        <f t="shared" si="8"/>
        <v>2500</v>
      </c>
    </row>
    <row r="414" spans="1:13">
      <c r="A414" s="287">
        <v>243</v>
      </c>
      <c r="B414" t="s">
        <v>18</v>
      </c>
      <c r="C414" s="210" t="s">
        <v>248</v>
      </c>
      <c r="D414" t="s">
        <v>98</v>
      </c>
      <c r="G414" s="294"/>
      <c r="H414" s="304">
        <v>25000</v>
      </c>
      <c r="J414" s="298">
        <v>6932</v>
      </c>
      <c r="K414" s="299">
        <f t="shared" si="9"/>
        <v>1226.5</v>
      </c>
      <c r="L414" s="297">
        <f t="shared" si="8"/>
        <v>2500</v>
      </c>
    </row>
    <row r="415" spans="1:13">
      <c r="A415" s="287">
        <v>243</v>
      </c>
      <c r="B415" t="s">
        <v>19</v>
      </c>
      <c r="C415" s="210" t="s">
        <v>248</v>
      </c>
      <c r="D415" t="s">
        <v>98</v>
      </c>
      <c r="G415" s="294">
        <v>42887</v>
      </c>
      <c r="H415" s="304">
        <v>25000</v>
      </c>
      <c r="J415" s="298">
        <v>7254</v>
      </c>
      <c r="K415" s="299">
        <f t="shared" si="9"/>
        <v>1771</v>
      </c>
      <c r="L415" s="297">
        <f t="shared" si="8"/>
        <v>2500</v>
      </c>
    </row>
    <row r="416" spans="1:13">
      <c r="A416" s="287">
        <v>243</v>
      </c>
      <c r="B416" t="s">
        <v>20</v>
      </c>
      <c r="C416" s="210" t="s">
        <v>248</v>
      </c>
      <c r="D416" t="s">
        <v>98</v>
      </c>
      <c r="G416" s="294">
        <v>42919</v>
      </c>
      <c r="H416" s="304">
        <v>25000</v>
      </c>
      <c r="J416" s="298">
        <v>7574</v>
      </c>
      <c r="K416" s="299">
        <f t="shared" si="9"/>
        <v>1760</v>
      </c>
      <c r="L416" s="297">
        <f t="shared" si="8"/>
        <v>2500</v>
      </c>
    </row>
    <row r="417" spans="1:12">
      <c r="A417" s="287">
        <v>243</v>
      </c>
      <c r="B417" t="s">
        <v>21</v>
      </c>
      <c r="C417" s="210" t="s">
        <v>248</v>
      </c>
      <c r="D417" t="s">
        <v>98</v>
      </c>
      <c r="G417" s="294">
        <v>42949</v>
      </c>
      <c r="H417" s="304">
        <v>25000</v>
      </c>
      <c r="J417" s="298">
        <v>7992</v>
      </c>
      <c r="K417" s="299">
        <f t="shared" si="9"/>
        <v>2299</v>
      </c>
      <c r="L417" s="297">
        <f t="shared" si="8"/>
        <v>2500</v>
      </c>
    </row>
    <row r="418" spans="1:12">
      <c r="A418" s="287">
        <v>243</v>
      </c>
      <c r="B418" t="s">
        <v>22</v>
      </c>
      <c r="C418" s="210" t="s">
        <v>248</v>
      </c>
      <c r="D418" t="s">
        <v>98</v>
      </c>
      <c r="G418" s="294">
        <v>42979</v>
      </c>
      <c r="H418" s="304">
        <v>25000</v>
      </c>
      <c r="J418" s="298">
        <v>8338</v>
      </c>
      <c r="K418" s="299">
        <f t="shared" si="9"/>
        <v>1903</v>
      </c>
      <c r="L418" s="297">
        <f t="shared" si="8"/>
        <v>2500</v>
      </c>
    </row>
    <row r="419" spans="1:12">
      <c r="A419" s="287">
        <v>243</v>
      </c>
      <c r="B419" t="s">
        <v>23</v>
      </c>
      <c r="C419" s="210" t="s">
        <v>248</v>
      </c>
      <c r="D419" t="s">
        <v>98</v>
      </c>
      <c r="G419" s="294">
        <v>43010</v>
      </c>
      <c r="H419" s="304">
        <v>25000</v>
      </c>
      <c r="J419" s="298">
        <v>8610</v>
      </c>
      <c r="K419" s="299">
        <f t="shared" si="9"/>
        <v>1496</v>
      </c>
      <c r="L419" s="297">
        <f t="shared" si="8"/>
        <v>2500</v>
      </c>
    </row>
    <row r="420" spans="1:12">
      <c r="A420" s="287">
        <v>243</v>
      </c>
      <c r="B420" t="s">
        <v>24</v>
      </c>
      <c r="C420" s="210" t="s">
        <v>248</v>
      </c>
      <c r="D420" t="s">
        <v>98</v>
      </c>
      <c r="G420" s="294">
        <v>43040</v>
      </c>
      <c r="H420" s="304">
        <v>25000</v>
      </c>
      <c r="J420" s="298">
        <v>8804</v>
      </c>
      <c r="K420" s="299">
        <f t="shared" si="9"/>
        <v>1067</v>
      </c>
      <c r="L420" s="297">
        <f t="shared" si="8"/>
        <v>2500</v>
      </c>
    </row>
    <row r="421" spans="1:12">
      <c r="A421" s="287">
        <v>243</v>
      </c>
      <c r="B421" t="s">
        <v>25</v>
      </c>
      <c r="C421" s="210" t="s">
        <v>248</v>
      </c>
      <c r="D421" t="s">
        <v>98</v>
      </c>
      <c r="G421" s="294">
        <v>43072</v>
      </c>
      <c r="H421" s="304">
        <v>25000</v>
      </c>
      <c r="J421" s="298"/>
      <c r="K421" s="299">
        <f t="shared" si="9"/>
        <v>0</v>
      </c>
      <c r="L421" s="297">
        <f t="shared" si="8"/>
        <v>2500</v>
      </c>
    </row>
    <row r="422" spans="1:12">
      <c r="A422" s="287">
        <v>243</v>
      </c>
      <c r="B422" t="s">
        <v>14</v>
      </c>
      <c r="C422" s="210" t="s">
        <v>260</v>
      </c>
      <c r="G422" s="294"/>
      <c r="H422" s="304">
        <v>25000</v>
      </c>
      <c r="I422" s="297">
        <v>50000</v>
      </c>
      <c r="J422" s="298">
        <v>6797</v>
      </c>
      <c r="K422" s="299"/>
      <c r="L422" s="297">
        <f>H422*0.15</f>
        <v>3750</v>
      </c>
    </row>
    <row r="423" spans="1:12">
      <c r="A423" s="287">
        <v>243</v>
      </c>
      <c r="B423" t="s">
        <v>15</v>
      </c>
      <c r="C423" s="210" t="s">
        <v>260</v>
      </c>
      <c r="G423" s="294"/>
      <c r="H423" s="304">
        <v>25000</v>
      </c>
      <c r="J423" s="298">
        <v>6797</v>
      </c>
      <c r="K423" s="299">
        <f t="shared" ref="K423:K433" si="10">IF((J423-J422)*5.5&gt;0,(J423-J422)*5.5,0)</f>
        <v>0</v>
      </c>
      <c r="L423" s="297">
        <f t="shared" ref="L423:L433" si="11">H423*0.15</f>
        <v>3750</v>
      </c>
    </row>
    <row r="424" spans="1:12">
      <c r="A424" s="287">
        <v>243</v>
      </c>
      <c r="B424" t="s">
        <v>16</v>
      </c>
      <c r="C424" s="210" t="s">
        <v>260</v>
      </c>
      <c r="G424" s="294"/>
      <c r="H424" s="304">
        <v>25000</v>
      </c>
      <c r="J424" s="298">
        <v>6797</v>
      </c>
      <c r="K424" s="299">
        <f t="shared" si="10"/>
        <v>0</v>
      </c>
      <c r="L424" s="297">
        <f t="shared" si="11"/>
        <v>3750</v>
      </c>
    </row>
    <row r="425" spans="1:12">
      <c r="A425" s="287">
        <v>243</v>
      </c>
      <c r="B425" t="s">
        <v>17</v>
      </c>
      <c r="C425" s="210" t="s">
        <v>260</v>
      </c>
      <c r="D425" t="s">
        <v>98</v>
      </c>
      <c r="E425" s="284" t="s">
        <v>99</v>
      </c>
      <c r="F425" t="s">
        <v>100</v>
      </c>
      <c r="G425" s="294">
        <v>42830</v>
      </c>
      <c r="H425" s="304">
        <v>25000</v>
      </c>
      <c r="J425" s="298">
        <v>6965</v>
      </c>
      <c r="K425" s="299">
        <f t="shared" si="10"/>
        <v>924</v>
      </c>
      <c r="L425" s="297">
        <f t="shared" si="11"/>
        <v>3750</v>
      </c>
    </row>
    <row r="426" spans="1:12">
      <c r="A426" s="287">
        <v>243</v>
      </c>
      <c r="B426" t="s">
        <v>18</v>
      </c>
      <c r="C426" s="210" t="s">
        <v>260</v>
      </c>
      <c r="D426" t="s">
        <v>98</v>
      </c>
      <c r="G426" s="294"/>
      <c r="H426" s="304">
        <v>25000</v>
      </c>
      <c r="J426" s="298">
        <v>7198</v>
      </c>
      <c r="K426" s="299">
        <f t="shared" si="10"/>
        <v>1281.5</v>
      </c>
      <c r="L426" s="297">
        <f t="shared" si="11"/>
        <v>3750</v>
      </c>
    </row>
    <row r="427" spans="1:12">
      <c r="A427" s="287">
        <v>243</v>
      </c>
      <c r="B427" t="s">
        <v>19</v>
      </c>
      <c r="C427" s="210" t="s">
        <v>260</v>
      </c>
      <c r="D427" t="s">
        <v>98</v>
      </c>
      <c r="G427" s="294">
        <v>42887</v>
      </c>
      <c r="H427" s="304">
        <v>25000</v>
      </c>
      <c r="J427" s="298">
        <v>7472</v>
      </c>
      <c r="K427" s="299">
        <f t="shared" si="10"/>
        <v>1507</v>
      </c>
      <c r="L427" s="297">
        <f t="shared" si="11"/>
        <v>3750</v>
      </c>
    </row>
    <row r="428" spans="1:12">
      <c r="A428" s="287">
        <v>243</v>
      </c>
      <c r="B428" t="s">
        <v>20</v>
      </c>
      <c r="C428" s="210" t="s">
        <v>260</v>
      </c>
      <c r="D428" t="s">
        <v>98</v>
      </c>
      <c r="G428" s="294">
        <v>42919</v>
      </c>
      <c r="H428" s="304">
        <v>25000</v>
      </c>
      <c r="J428" s="298">
        <v>7908</v>
      </c>
      <c r="K428" s="299">
        <f t="shared" si="10"/>
        <v>2398</v>
      </c>
      <c r="L428" s="297">
        <f t="shared" si="11"/>
        <v>3750</v>
      </c>
    </row>
    <row r="429" spans="1:12">
      <c r="A429" s="287">
        <v>243</v>
      </c>
      <c r="B429" t="s">
        <v>21</v>
      </c>
      <c r="C429" s="210" t="s">
        <v>260</v>
      </c>
      <c r="D429" t="s">
        <v>98</v>
      </c>
      <c r="G429" s="294">
        <v>42949</v>
      </c>
      <c r="H429" s="304">
        <v>25000</v>
      </c>
      <c r="J429" s="298">
        <v>8210</v>
      </c>
      <c r="K429" s="299">
        <f t="shared" si="10"/>
        <v>1661</v>
      </c>
      <c r="L429" s="297">
        <f t="shared" si="11"/>
        <v>3750</v>
      </c>
    </row>
    <row r="430" spans="1:12">
      <c r="A430" s="287">
        <v>243</v>
      </c>
      <c r="B430" t="s">
        <v>22</v>
      </c>
      <c r="C430" s="210" t="s">
        <v>260</v>
      </c>
      <c r="D430" t="s">
        <v>98</v>
      </c>
      <c r="G430" s="294">
        <v>42979</v>
      </c>
      <c r="H430" s="304">
        <v>25000</v>
      </c>
      <c r="J430" s="298">
        <v>8536</v>
      </c>
      <c r="K430" s="299">
        <f t="shared" si="10"/>
        <v>1793</v>
      </c>
      <c r="L430" s="297">
        <f t="shared" si="11"/>
        <v>3750</v>
      </c>
    </row>
    <row r="431" spans="1:12">
      <c r="A431" s="287">
        <v>243</v>
      </c>
      <c r="B431" t="s">
        <v>23</v>
      </c>
      <c r="C431" s="210" t="s">
        <v>260</v>
      </c>
      <c r="D431" t="s">
        <v>98</v>
      </c>
      <c r="G431" s="294">
        <v>43010</v>
      </c>
      <c r="H431" s="304">
        <v>25000</v>
      </c>
      <c r="J431" s="298">
        <v>8852</v>
      </c>
      <c r="K431" s="299">
        <f t="shared" si="10"/>
        <v>1738</v>
      </c>
      <c r="L431" s="297">
        <f t="shared" si="11"/>
        <v>3750</v>
      </c>
    </row>
    <row r="432" spans="1:12">
      <c r="A432" s="287">
        <v>243</v>
      </c>
      <c r="B432" t="s">
        <v>24</v>
      </c>
      <c r="C432" s="210" t="s">
        <v>260</v>
      </c>
      <c r="D432" t="s">
        <v>98</v>
      </c>
      <c r="G432" s="294">
        <v>43040</v>
      </c>
      <c r="H432" s="304">
        <v>25000</v>
      </c>
      <c r="J432" s="298">
        <v>9002</v>
      </c>
      <c r="K432" s="299">
        <f t="shared" si="10"/>
        <v>825</v>
      </c>
      <c r="L432" s="297">
        <f t="shared" si="11"/>
        <v>3750</v>
      </c>
    </row>
    <row r="433" spans="1:12">
      <c r="A433" s="287">
        <v>243</v>
      </c>
      <c r="B433" t="s">
        <v>25</v>
      </c>
      <c r="C433" s="210" t="s">
        <v>260</v>
      </c>
      <c r="D433" t="s">
        <v>98</v>
      </c>
      <c r="G433" s="294">
        <v>43072</v>
      </c>
      <c r="H433" s="304">
        <v>25000</v>
      </c>
      <c r="J433" s="298"/>
      <c r="K433" s="299">
        <f t="shared" si="10"/>
        <v>0</v>
      </c>
      <c r="L433" s="297">
        <f t="shared" si="11"/>
        <v>3750</v>
      </c>
    </row>
    <row r="434" spans="1:12">
      <c r="A434" s="287">
        <v>243</v>
      </c>
      <c r="B434" t="s">
        <v>14</v>
      </c>
      <c r="C434" s="210" t="s">
        <v>261</v>
      </c>
      <c r="D434" t="s">
        <v>87</v>
      </c>
      <c r="G434" s="294"/>
      <c r="H434" s="304">
        <v>30000</v>
      </c>
      <c r="J434" s="298"/>
      <c r="K434" s="299"/>
    </row>
    <row r="435" spans="1:12">
      <c r="A435" s="287">
        <v>243</v>
      </c>
      <c r="B435" t="s">
        <v>15</v>
      </c>
      <c r="C435" s="210" t="s">
        <v>261</v>
      </c>
      <c r="D435" t="s">
        <v>87</v>
      </c>
      <c r="G435" s="294"/>
      <c r="H435" s="304">
        <v>30000</v>
      </c>
      <c r="J435" s="298"/>
      <c r="K435" s="299"/>
    </row>
    <row r="436" spans="1:12">
      <c r="A436" s="287">
        <v>243</v>
      </c>
      <c r="B436" t="s">
        <v>16</v>
      </c>
      <c r="C436" s="210" t="s">
        <v>261</v>
      </c>
      <c r="D436" t="s">
        <v>87</v>
      </c>
      <c r="G436" s="294"/>
      <c r="H436" s="304">
        <v>30000</v>
      </c>
      <c r="J436" s="298"/>
      <c r="K436" s="299"/>
    </row>
    <row r="437" spans="1:12">
      <c r="A437" s="287">
        <v>243</v>
      </c>
      <c r="B437" t="s">
        <v>17</v>
      </c>
      <c r="C437" s="210" t="s">
        <v>261</v>
      </c>
      <c r="D437" t="s">
        <v>87</v>
      </c>
      <c r="G437" s="294"/>
      <c r="H437" s="304">
        <v>30000</v>
      </c>
      <c r="J437" s="298"/>
      <c r="K437" s="299"/>
    </row>
    <row r="438" spans="1:12">
      <c r="A438" s="287">
        <v>243</v>
      </c>
      <c r="B438" t="s">
        <v>18</v>
      </c>
      <c r="C438" s="210" t="s">
        <v>261</v>
      </c>
      <c r="D438" t="s">
        <v>87</v>
      </c>
      <c r="G438" s="294"/>
      <c r="H438" s="304">
        <v>38936</v>
      </c>
      <c r="J438" s="298"/>
      <c r="K438" s="299"/>
    </row>
    <row r="439" spans="1:12">
      <c r="A439" s="287">
        <v>243</v>
      </c>
      <c r="B439" t="s">
        <v>19</v>
      </c>
      <c r="C439" s="210" t="s">
        <v>261</v>
      </c>
      <c r="D439" t="s">
        <v>87</v>
      </c>
      <c r="G439" s="294"/>
      <c r="H439" s="304">
        <v>38693</v>
      </c>
      <c r="J439" s="298"/>
      <c r="K439" s="299"/>
    </row>
    <row r="440" spans="1:12">
      <c r="A440" s="287">
        <v>243</v>
      </c>
      <c r="B440" t="s">
        <v>20</v>
      </c>
      <c r="C440" s="210" t="s">
        <v>261</v>
      </c>
      <c r="D440" t="s">
        <v>87</v>
      </c>
      <c r="G440" s="294"/>
      <c r="H440" s="304">
        <v>44594</v>
      </c>
      <c r="J440" s="298"/>
      <c r="K440" s="299"/>
    </row>
    <row r="441" spans="1:12">
      <c r="A441" s="287">
        <v>243</v>
      </c>
      <c r="B441" t="s">
        <v>21</v>
      </c>
      <c r="C441" s="210" t="s">
        <v>261</v>
      </c>
      <c r="D441" t="s">
        <v>87</v>
      </c>
      <c r="G441" s="294"/>
      <c r="H441" s="304">
        <f>10280+8785+13754</f>
        <v>32819</v>
      </c>
      <c r="J441" s="298"/>
      <c r="K441" s="299"/>
    </row>
    <row r="442" spans="1:12">
      <c r="A442" s="287">
        <v>243</v>
      </c>
      <c r="B442" t="s">
        <v>22</v>
      </c>
      <c r="C442" s="210" t="s">
        <v>261</v>
      </c>
      <c r="D442" t="s">
        <v>87</v>
      </c>
      <c r="G442" s="294"/>
      <c r="H442" s="304">
        <v>37511</v>
      </c>
      <c r="J442" s="298"/>
      <c r="K442" s="299"/>
    </row>
    <row r="443" spans="1:12">
      <c r="A443" s="287">
        <v>243</v>
      </c>
      <c r="B443" t="s">
        <v>23</v>
      </c>
      <c r="C443" s="210" t="s">
        <v>261</v>
      </c>
      <c r="D443" t="s">
        <v>87</v>
      </c>
      <c r="G443" s="294"/>
      <c r="H443" s="304">
        <v>38761</v>
      </c>
      <c r="J443" s="298"/>
      <c r="K443" s="299"/>
    </row>
    <row r="444" spans="1:12">
      <c r="A444" s="287">
        <v>243</v>
      </c>
      <c r="B444" t="s">
        <v>24</v>
      </c>
      <c r="C444" s="210" t="s">
        <v>261</v>
      </c>
      <c r="D444" t="s">
        <v>87</v>
      </c>
      <c r="G444" s="294"/>
      <c r="H444" s="304">
        <v>37511</v>
      </c>
      <c r="J444" s="298"/>
      <c r="K444" s="299"/>
    </row>
    <row r="445" spans="1:12">
      <c r="A445" s="287">
        <v>243</v>
      </c>
      <c r="B445" t="s">
        <v>25</v>
      </c>
      <c r="C445" s="210" t="s">
        <v>261</v>
      </c>
      <c r="D445" t="s">
        <v>87</v>
      </c>
      <c r="G445" s="294"/>
      <c r="H445" s="304">
        <f>2500</f>
        <v>2500</v>
      </c>
      <c r="J445" s="298"/>
      <c r="K445" s="299"/>
    </row>
    <row r="446" spans="1:12" s="281" customFormat="1">
      <c r="A446" s="286"/>
      <c r="C446" s="282"/>
      <c r="E446" s="285"/>
      <c r="G446" s="295"/>
      <c r="H446" s="305"/>
      <c r="I446" s="288"/>
      <c r="J446" s="300"/>
      <c r="K446" s="301"/>
      <c r="L446" s="288"/>
    </row>
  </sheetData>
  <mergeCells count="1">
    <mergeCell ref="M362:O36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61C1-4549-4EF3-B55D-C956B53C1788}">
  <dimension ref="A1:O37"/>
  <sheetViews>
    <sheetView tabSelected="1" workbookViewId="0">
      <selection activeCell="J7" sqref="J7"/>
    </sheetView>
  </sheetViews>
  <sheetFormatPr defaultRowHeight="14.25"/>
  <cols>
    <col min="1" max="1" width="13.3984375" bestFit="1" customWidth="1"/>
    <col min="2" max="2" width="8" bestFit="1" customWidth="1"/>
    <col min="3" max="5" width="7.09765625" bestFit="1" customWidth="1"/>
    <col min="6" max="7" width="8" bestFit="1" customWidth="1"/>
    <col min="8" max="12" width="7.09765625" bestFit="1" customWidth="1"/>
    <col min="13" max="13" width="8" bestFit="1" customWidth="1"/>
    <col min="14" max="14" width="5.59765625" bestFit="1" customWidth="1"/>
    <col min="15" max="15" width="9.09765625" bestFit="1" customWidth="1"/>
  </cols>
  <sheetData>
    <row r="1" spans="1:15">
      <c r="A1" s="291" t="s">
        <v>312</v>
      </c>
      <c r="B1" t="s">
        <v>313</v>
      </c>
    </row>
    <row r="3" spans="1:15">
      <c r="A3" s="291" t="s">
        <v>314</v>
      </c>
      <c r="B3" s="291" t="s">
        <v>311</v>
      </c>
    </row>
    <row r="4" spans="1:15">
      <c r="A4" s="291" t="s">
        <v>289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308</v>
      </c>
      <c r="O4" t="s">
        <v>309</v>
      </c>
    </row>
    <row r="5" spans="1:15">
      <c r="A5" s="287" t="s">
        <v>283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</row>
    <row r="6" spans="1:15">
      <c r="A6" s="287" t="s">
        <v>290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</row>
    <row r="7" spans="1:15">
      <c r="A7" s="287" t="s">
        <v>291</v>
      </c>
      <c r="B7" s="331"/>
      <c r="C7" s="331"/>
      <c r="D7" s="331"/>
      <c r="E7" s="331"/>
      <c r="F7" s="331"/>
      <c r="G7" s="331"/>
      <c r="H7" s="331"/>
      <c r="I7" s="331">
        <v>50000</v>
      </c>
      <c r="J7" s="331"/>
      <c r="K7" s="331"/>
      <c r="L7" s="331"/>
      <c r="M7" s="331"/>
      <c r="N7" s="331"/>
      <c r="O7" s="331">
        <v>50000</v>
      </c>
    </row>
    <row r="8" spans="1:15">
      <c r="A8" s="287" t="s">
        <v>254</v>
      </c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</row>
    <row r="9" spans="1:15">
      <c r="A9" s="287" t="s">
        <v>292</v>
      </c>
      <c r="B9" s="331"/>
      <c r="C9" s="331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</row>
    <row r="10" spans="1:15">
      <c r="A10" s="287" t="s">
        <v>293</v>
      </c>
      <c r="B10" s="331"/>
      <c r="C10" s="331"/>
      <c r="D10" s="331"/>
      <c r="E10" s="331"/>
      <c r="F10" s="331"/>
      <c r="G10" s="331"/>
      <c r="H10" s="331"/>
      <c r="I10" s="331"/>
      <c r="J10" s="331"/>
      <c r="K10" s="331">
        <v>28000</v>
      </c>
      <c r="L10" s="331"/>
      <c r="M10" s="331"/>
      <c r="N10" s="331"/>
      <c r="O10" s="331">
        <v>28000</v>
      </c>
    </row>
    <row r="11" spans="1:15">
      <c r="A11" s="287" t="s">
        <v>294</v>
      </c>
      <c r="B11" s="331"/>
      <c r="C11" s="331"/>
      <c r="D11" s="331"/>
      <c r="E11" s="331"/>
      <c r="F11" s="331"/>
      <c r="G11" s="331"/>
      <c r="H11" s="331"/>
      <c r="I11" s="331"/>
      <c r="J11" s="331"/>
      <c r="K11" s="331"/>
      <c r="L11" s="331"/>
      <c r="M11" s="331">
        <v>64000</v>
      </c>
      <c r="N11" s="331"/>
      <c r="O11" s="331">
        <v>64000</v>
      </c>
    </row>
    <row r="12" spans="1:15">
      <c r="A12" s="287" t="s">
        <v>274</v>
      </c>
      <c r="B12" s="331">
        <v>26000</v>
      </c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>
        <v>26000</v>
      </c>
    </row>
    <row r="13" spans="1:15">
      <c r="A13" s="287" t="s">
        <v>262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31"/>
      <c r="N13" s="331"/>
      <c r="O13" s="331"/>
    </row>
    <row r="14" spans="1:15">
      <c r="A14" s="287" t="s">
        <v>295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</row>
    <row r="15" spans="1:15">
      <c r="A15" s="287" t="s">
        <v>264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</row>
    <row r="16" spans="1:15">
      <c r="A16" s="287" t="s">
        <v>296</v>
      </c>
      <c r="B16" s="331">
        <v>56000</v>
      </c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>
        <v>56000</v>
      </c>
    </row>
    <row r="17" spans="1:15">
      <c r="A17" s="287" t="s">
        <v>297</v>
      </c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</row>
    <row r="18" spans="1:15">
      <c r="A18" s="287" t="s">
        <v>250</v>
      </c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</row>
    <row r="19" spans="1:15">
      <c r="A19" s="287" t="s">
        <v>64</v>
      </c>
      <c r="B19" s="331">
        <v>30000</v>
      </c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>
        <v>30000</v>
      </c>
    </row>
    <row r="20" spans="1:15">
      <c r="A20" s="287" t="s">
        <v>298</v>
      </c>
      <c r="B20" s="331"/>
      <c r="C20" s="331"/>
      <c r="D20" s="331"/>
      <c r="E20" s="331"/>
      <c r="F20" s="331">
        <v>106000</v>
      </c>
      <c r="G20" s="331"/>
      <c r="H20" s="331"/>
      <c r="I20" s="331"/>
      <c r="J20" s="331"/>
      <c r="K20" s="331"/>
      <c r="L20" s="331"/>
      <c r="M20" s="331"/>
      <c r="N20" s="331"/>
      <c r="O20" s="331">
        <v>106000</v>
      </c>
    </row>
    <row r="21" spans="1:15">
      <c r="A21" s="287" t="s">
        <v>34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</row>
    <row r="22" spans="1:15">
      <c r="A22" s="287" t="s">
        <v>271</v>
      </c>
      <c r="B22" s="331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</row>
    <row r="23" spans="1:15">
      <c r="A23" s="287" t="s">
        <v>299</v>
      </c>
      <c r="B23" s="331"/>
      <c r="C23" s="331"/>
      <c r="D23" s="331"/>
      <c r="E23" s="331"/>
      <c r="F23" s="331"/>
      <c r="G23" s="331">
        <v>100000</v>
      </c>
      <c r="H23" s="331"/>
      <c r="I23" s="331"/>
      <c r="J23" s="331"/>
      <c r="K23" s="331"/>
      <c r="L23" s="331"/>
      <c r="M23" s="331"/>
      <c r="N23" s="331"/>
      <c r="O23" s="331">
        <v>100000</v>
      </c>
    </row>
    <row r="24" spans="1:15">
      <c r="A24" s="287" t="s">
        <v>300</v>
      </c>
      <c r="B24" s="331"/>
      <c r="C24" s="331"/>
      <c r="D24" s="331"/>
      <c r="E24" s="331"/>
      <c r="F24" s="331"/>
      <c r="G24" s="331"/>
      <c r="H24" s="331">
        <v>28000</v>
      </c>
      <c r="I24" s="331"/>
      <c r="J24" s="331"/>
      <c r="K24" s="331"/>
      <c r="L24" s="331"/>
      <c r="M24" s="331"/>
      <c r="N24" s="331"/>
      <c r="O24" s="331">
        <v>28000</v>
      </c>
    </row>
    <row r="25" spans="1:15">
      <c r="A25" s="287" t="s">
        <v>277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</row>
    <row r="26" spans="1:15">
      <c r="A26" s="287" t="s">
        <v>38</v>
      </c>
      <c r="B26" s="331"/>
      <c r="C26" s="331"/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</row>
    <row r="27" spans="1:15">
      <c r="A27" s="287" t="s">
        <v>301</v>
      </c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>
        <v>56000</v>
      </c>
      <c r="N27" s="331"/>
      <c r="O27" s="331">
        <v>56000</v>
      </c>
    </row>
    <row r="28" spans="1:15">
      <c r="A28" s="287" t="s">
        <v>302</v>
      </c>
      <c r="B28" s="331"/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</row>
    <row r="29" spans="1:15">
      <c r="A29" s="287" t="s">
        <v>303</v>
      </c>
      <c r="B29" s="331"/>
      <c r="C29" s="331"/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</row>
    <row r="30" spans="1:15">
      <c r="A30" s="287" t="s">
        <v>304</v>
      </c>
      <c r="B30" s="331"/>
      <c r="C30" s="331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</row>
    <row r="31" spans="1:15">
      <c r="A31" s="287" t="s">
        <v>305</v>
      </c>
      <c r="B31" s="331">
        <v>50000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>
        <v>50000</v>
      </c>
    </row>
    <row r="32" spans="1:15">
      <c r="A32" s="287" t="s">
        <v>306</v>
      </c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1">
        <v>28000</v>
      </c>
      <c r="N32" s="331"/>
      <c r="O32" s="331">
        <v>28000</v>
      </c>
    </row>
    <row r="33" spans="1:15">
      <c r="A33" s="287" t="s">
        <v>307</v>
      </c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</row>
    <row r="34" spans="1:15">
      <c r="A34" s="287" t="s">
        <v>265</v>
      </c>
      <c r="B34" s="331">
        <v>32000</v>
      </c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>
        <v>32000</v>
      </c>
    </row>
    <row r="35" spans="1:15">
      <c r="A35" s="287" t="s">
        <v>195</v>
      </c>
      <c r="B35" s="331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</row>
    <row r="36" spans="1:15">
      <c r="A36" s="287" t="s">
        <v>308</v>
      </c>
      <c r="B36" s="331">
        <v>533000</v>
      </c>
      <c r="C36" s="331"/>
      <c r="D36" s="331"/>
      <c r="E36" s="331"/>
      <c r="F36" s="331">
        <v>42000</v>
      </c>
      <c r="G36" s="331"/>
      <c r="H36" s="331"/>
      <c r="I36" s="331"/>
      <c r="J36" s="331"/>
      <c r="K36" s="331"/>
      <c r="L36" s="331"/>
      <c r="M36" s="331"/>
      <c r="N36" s="331"/>
      <c r="O36" s="331">
        <v>575000</v>
      </c>
    </row>
    <row r="37" spans="1:15">
      <c r="A37" s="287" t="s">
        <v>309</v>
      </c>
      <c r="B37" s="331">
        <v>727000</v>
      </c>
      <c r="C37" s="331"/>
      <c r="D37" s="331"/>
      <c r="E37" s="331"/>
      <c r="F37" s="331">
        <v>148000</v>
      </c>
      <c r="G37" s="331">
        <v>100000</v>
      </c>
      <c r="H37" s="331">
        <v>28000</v>
      </c>
      <c r="I37" s="331">
        <v>50000</v>
      </c>
      <c r="J37" s="331"/>
      <c r="K37" s="331">
        <v>28000</v>
      </c>
      <c r="L37" s="331"/>
      <c r="M37" s="331">
        <v>148000</v>
      </c>
      <c r="N37" s="331"/>
      <c r="O37" s="331">
        <v>1229000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0"/>
  <sheetViews>
    <sheetView showZeros="0" topLeftCell="B1" workbookViewId="0">
      <selection activeCell="B4" sqref="B4"/>
    </sheetView>
  </sheetViews>
  <sheetFormatPr defaultColWidth="10.296875" defaultRowHeight="18" customHeight="1"/>
  <cols>
    <col min="1" max="2" width="10.296875" style="2"/>
    <col min="3" max="14" width="9.5" style="2" customWidth="1"/>
    <col min="15" max="15" width="5.09765625" style="2" customWidth="1"/>
    <col min="16" max="16" width="8.796875" style="2" customWidth="1"/>
    <col min="17" max="21" width="8.796875" style="16" customWidth="1"/>
    <col min="22" max="16384" width="10.296875" style="2"/>
  </cols>
  <sheetData>
    <row r="1" spans="1:21" ht="18" customHeight="1" thickBot="1"/>
    <row r="2" spans="1:21" ht="18" customHeight="1">
      <c r="A2" s="16" t="s">
        <v>122</v>
      </c>
      <c r="C2" s="53" t="s">
        <v>14</v>
      </c>
      <c r="D2" s="53" t="s">
        <v>15</v>
      </c>
      <c r="E2" s="53" t="s">
        <v>16</v>
      </c>
      <c r="F2" s="53" t="s">
        <v>17</v>
      </c>
      <c r="G2" s="53" t="s">
        <v>18</v>
      </c>
      <c r="H2" s="53" t="s">
        <v>19</v>
      </c>
      <c r="I2" s="53" t="s">
        <v>20</v>
      </c>
      <c r="J2" s="53" t="s">
        <v>21</v>
      </c>
      <c r="K2" s="53" t="s">
        <v>22</v>
      </c>
      <c r="L2" s="53" t="s">
        <v>23</v>
      </c>
      <c r="M2" s="53" t="s">
        <v>24</v>
      </c>
      <c r="N2" s="53" t="s">
        <v>25</v>
      </c>
      <c r="P2" s="221" t="s">
        <v>156</v>
      </c>
      <c r="Q2" s="311">
        <f>SUM(Q4:Q25,T4:T23)</f>
        <v>804500</v>
      </c>
      <c r="R2" s="311"/>
      <c r="S2" s="311"/>
      <c r="T2" s="311"/>
      <c r="U2" s="312"/>
    </row>
    <row r="3" spans="1:21" ht="18" customHeight="1">
      <c r="A3" s="114" t="s">
        <v>0</v>
      </c>
      <c r="B3" s="115" t="s">
        <v>1</v>
      </c>
      <c r="C3" s="116">
        <f>'代1-南山'!G8</f>
        <v>46500</v>
      </c>
      <c r="D3" s="116">
        <f>'代1-南山'!H8</f>
        <v>46500</v>
      </c>
      <c r="E3" s="116">
        <f>'代1-南山'!I8</f>
        <v>46500</v>
      </c>
      <c r="F3" s="116">
        <f>'代1-南山'!J8</f>
        <v>46500</v>
      </c>
      <c r="G3" s="116">
        <f>'代1-南山'!K8</f>
        <v>54267</v>
      </c>
      <c r="H3" s="116">
        <f>'代1-南山'!L8</f>
        <v>46000</v>
      </c>
      <c r="I3" s="116">
        <f>'代1-南山'!M8</f>
        <v>46000</v>
      </c>
      <c r="J3" s="261">
        <f>'代1-南山'!N8</f>
        <v>46000</v>
      </c>
      <c r="K3" s="261">
        <f>'代1-南山'!O8</f>
        <v>46000</v>
      </c>
      <c r="L3" s="261">
        <f>'代1-南山'!P8</f>
        <v>46000</v>
      </c>
      <c r="M3" s="116">
        <f>'代1-南山'!Q8</f>
        <v>46000</v>
      </c>
      <c r="N3" s="116">
        <f>'代1-南山'!R8</f>
        <v>46000</v>
      </c>
      <c r="P3" s="222" t="s">
        <v>157</v>
      </c>
      <c r="Q3" s="219" t="s">
        <v>158</v>
      </c>
      <c r="R3" s="231"/>
      <c r="S3" s="232"/>
      <c r="T3" s="219"/>
      <c r="U3" s="223"/>
    </row>
    <row r="4" spans="1:21" ht="18" customHeight="1">
      <c r="A4" s="114" t="s">
        <v>2</v>
      </c>
      <c r="B4" s="115" t="s">
        <v>3</v>
      </c>
      <c r="C4" s="116">
        <f>'代2-景平'!G11</f>
        <v>0</v>
      </c>
      <c r="D4" s="116">
        <f>'代2-景平'!H11</f>
        <v>6677</v>
      </c>
      <c r="E4" s="116">
        <f>'代2-景平'!I11</f>
        <v>42200</v>
      </c>
      <c r="F4" s="116">
        <f>'代2-景平'!J11</f>
        <v>51000</v>
      </c>
      <c r="G4" s="116">
        <f>'代2-景平'!K11</f>
        <v>67000</v>
      </c>
      <c r="H4" s="116">
        <f>'代2-景平'!L11</f>
        <v>65566</v>
      </c>
      <c r="I4" s="116">
        <f>'代2-景平'!M11</f>
        <v>80000</v>
      </c>
      <c r="J4" s="261">
        <f>'代2-景平'!N11</f>
        <v>71682</v>
      </c>
      <c r="K4" s="261">
        <f>'代2-景平'!O11</f>
        <v>67000</v>
      </c>
      <c r="L4" s="261">
        <f>'代2-景平'!P11</f>
        <v>67000</v>
      </c>
      <c r="M4" s="116">
        <f>'代2-景平'!Q11</f>
        <v>75500</v>
      </c>
      <c r="N4" s="116">
        <f>'代2-景平'!R11</f>
        <v>35833</v>
      </c>
      <c r="P4" s="227" t="s">
        <v>159</v>
      </c>
      <c r="Q4" s="228">
        <v>15500</v>
      </c>
      <c r="R4" s="313">
        <f>SUM(Q4:Q6)</f>
        <v>46000</v>
      </c>
      <c r="S4" s="232" t="s">
        <v>139</v>
      </c>
      <c r="T4" s="219">
        <v>28000</v>
      </c>
      <c r="U4" s="316">
        <f>SUM(T4:T8)</f>
        <v>138000</v>
      </c>
    </row>
    <row r="5" spans="1:21" ht="18" customHeight="1">
      <c r="A5" s="114" t="s">
        <v>4</v>
      </c>
      <c r="B5" s="115" t="s">
        <v>5</v>
      </c>
      <c r="C5" s="116">
        <f>'代3-天母雅砌'!G14</f>
        <v>86500</v>
      </c>
      <c r="D5" s="116">
        <f>'代3-天母雅砌'!H14</f>
        <v>86500</v>
      </c>
      <c r="E5" s="116">
        <f>'代3-天母雅砌'!I14</f>
        <v>80337</v>
      </c>
      <c r="F5" s="116">
        <f>'代3-天母雅砌'!J14</f>
        <v>86500</v>
      </c>
      <c r="G5" s="116">
        <f>'代3-天母雅砌'!K14</f>
        <v>87500</v>
      </c>
      <c r="H5" s="116">
        <f>'代3-天母雅砌'!L14</f>
        <v>87500</v>
      </c>
      <c r="I5" s="116">
        <f>'代3-天母雅砌'!M14</f>
        <v>69500</v>
      </c>
      <c r="J5" s="261">
        <f>'代3-天母雅砌'!N14</f>
        <v>66790</v>
      </c>
      <c r="K5" s="265">
        <f>'代3-天母雅砌'!O14</f>
        <v>81600</v>
      </c>
      <c r="L5" s="261">
        <f>'代3-天母雅砌'!P14</f>
        <v>87000</v>
      </c>
      <c r="M5" s="116">
        <f>'代3-天母雅砌'!Q14</f>
        <v>87000</v>
      </c>
      <c r="N5" s="116">
        <f>'代3-天母雅砌'!R14</f>
        <v>87000</v>
      </c>
      <c r="P5" s="227" t="s">
        <v>160</v>
      </c>
      <c r="Q5" s="228">
        <v>15500</v>
      </c>
      <c r="R5" s="313"/>
      <c r="S5" s="232" t="s">
        <v>140</v>
      </c>
      <c r="T5" s="219">
        <v>28000</v>
      </c>
      <c r="U5" s="316"/>
    </row>
    <row r="6" spans="1:21" ht="18" customHeight="1">
      <c r="A6" s="114" t="s">
        <v>6</v>
      </c>
      <c r="B6" s="115" t="s">
        <v>177</v>
      </c>
      <c r="C6" s="116">
        <f>'代-張宇音'!G9</f>
        <v>89000</v>
      </c>
      <c r="D6" s="116">
        <f>'代-張宇音'!H9</f>
        <v>89000</v>
      </c>
      <c r="E6" s="116">
        <f>'代-張宇音'!I9</f>
        <v>89000</v>
      </c>
      <c r="F6" s="116">
        <f>'代-張宇音'!J9</f>
        <v>89000</v>
      </c>
      <c r="G6" s="116">
        <f>表格10[[#This Row],[欄11]]+'代-張宇音'!K8</f>
        <v>58000</v>
      </c>
      <c r="H6" s="116">
        <f>表格10[[#This Row],[欄12]]+'代-張宇音'!L8</f>
        <v>58000</v>
      </c>
      <c r="I6" s="116">
        <f>表格10[[#This Row],[欄13]]+'代-張宇音'!M8</f>
        <v>58000</v>
      </c>
      <c r="J6" s="261">
        <f>表格10[[#This Row],[欄14]]+'代-張宇音'!N8</f>
        <v>58000</v>
      </c>
      <c r="K6" s="261">
        <f>表格10[[#This Row],[欄15]]+'代-張宇音'!O8</f>
        <v>60000</v>
      </c>
      <c r="L6" s="261">
        <f>'代-張宇音'!P9</f>
        <v>60000</v>
      </c>
      <c r="M6" s="116">
        <f>'代-張宇音'!Q9</f>
        <v>60000</v>
      </c>
      <c r="N6" s="116">
        <f>'代-張宇音'!R9</f>
        <v>56741</v>
      </c>
      <c r="P6" s="227" t="s">
        <v>161</v>
      </c>
      <c r="Q6" s="228">
        <v>15000</v>
      </c>
      <c r="R6" s="313"/>
      <c r="S6" s="232" t="s">
        <v>141</v>
      </c>
      <c r="T6" s="219">
        <v>25000</v>
      </c>
      <c r="U6" s="316"/>
    </row>
    <row r="7" spans="1:21" ht="18" customHeight="1">
      <c r="A7" s="114" t="s">
        <v>7</v>
      </c>
      <c r="B7" s="115">
        <v>121</v>
      </c>
      <c r="C7" s="116">
        <f>'代-張宇音'!G29</f>
        <v>101000</v>
      </c>
      <c r="D7" s="116">
        <f>'代-張宇音'!H29</f>
        <v>101000</v>
      </c>
      <c r="E7" s="116">
        <f>'代-張宇音'!I29</f>
        <v>100000</v>
      </c>
      <c r="F7" s="116">
        <f>'代-張宇音'!J29</f>
        <v>100000</v>
      </c>
      <c r="G7" s="116">
        <f>'代-張宇音'!K29</f>
        <v>93394</v>
      </c>
      <c r="H7" s="116">
        <f>'代-張宇音'!L29</f>
        <v>101000</v>
      </c>
      <c r="I7" s="116">
        <f>'代-張宇音'!M29</f>
        <v>104000</v>
      </c>
      <c r="J7" s="116">
        <f>'代-張宇音'!N29</f>
        <v>106000</v>
      </c>
      <c r="K7" s="116">
        <f>'代-張宇音'!O29</f>
        <v>103366</v>
      </c>
      <c r="L7" s="116">
        <f>'代-張宇音'!P29</f>
        <v>98566</v>
      </c>
      <c r="M7" s="116">
        <f>'代-張宇音'!Q29</f>
        <v>63000</v>
      </c>
      <c r="N7" s="116">
        <f>'代-張宇音'!R29</f>
        <v>101338</v>
      </c>
      <c r="P7" s="222" t="s">
        <v>162</v>
      </c>
      <c r="Q7" s="219">
        <v>17000</v>
      </c>
      <c r="R7" s="314">
        <f>SUM(Q7:Q10)</f>
        <v>67000</v>
      </c>
      <c r="S7" s="232" t="s">
        <v>142</v>
      </c>
      <c r="T7" s="219">
        <v>25000</v>
      </c>
      <c r="U7" s="316"/>
    </row>
    <row r="8" spans="1:21" ht="18" customHeight="1">
      <c r="A8" s="114" t="s">
        <v>8</v>
      </c>
      <c r="B8" s="115" t="s">
        <v>9</v>
      </c>
      <c r="C8" s="116">
        <f>'代-張宇音'!G53</f>
        <v>139000</v>
      </c>
      <c r="D8" s="116">
        <f>'代-張宇音'!H53</f>
        <v>139000</v>
      </c>
      <c r="E8" s="116">
        <f>'代-張宇音'!I53</f>
        <v>139000</v>
      </c>
      <c r="F8" s="116">
        <f>'代-張宇音'!J53</f>
        <v>139000</v>
      </c>
      <c r="G8" s="116">
        <f>'代-張宇音'!K53</f>
        <v>139000</v>
      </c>
      <c r="H8" s="116">
        <f>'代-張宇音'!L53</f>
        <v>141500</v>
      </c>
      <c r="I8" s="116">
        <f>'代-張宇音'!M53</f>
        <v>138500</v>
      </c>
      <c r="J8" s="261">
        <f>'代-張宇音'!N53</f>
        <v>138500</v>
      </c>
      <c r="K8" s="265">
        <f>'代-張宇音'!O53</f>
        <v>135185</v>
      </c>
      <c r="L8" s="261">
        <f>'代-張宇音'!P53</f>
        <v>92551</v>
      </c>
      <c r="M8" s="116">
        <f>'代-張宇音'!Q53</f>
        <v>43885</v>
      </c>
      <c r="N8" s="116">
        <f>'代-張宇音'!R53</f>
        <v>74274.193548387091</v>
      </c>
      <c r="P8" s="222" t="s">
        <v>163</v>
      </c>
      <c r="Q8" s="219">
        <v>16000</v>
      </c>
      <c r="R8" s="314"/>
      <c r="S8" s="232" t="s">
        <v>143</v>
      </c>
      <c r="T8" s="219">
        <v>32000</v>
      </c>
      <c r="U8" s="316"/>
    </row>
    <row r="9" spans="1:21" ht="18" customHeight="1">
      <c r="A9" s="114" t="s">
        <v>10</v>
      </c>
      <c r="B9" s="115" t="s">
        <v>11</v>
      </c>
      <c r="C9" s="116">
        <f>'代-張宇音'!G79</f>
        <v>0</v>
      </c>
      <c r="D9" s="116">
        <f>'代-張宇音'!H79</f>
        <v>0</v>
      </c>
      <c r="E9" s="116">
        <f>'代-張宇音'!I79</f>
        <v>0</v>
      </c>
      <c r="F9" s="116">
        <f>'代-張宇音'!J79</f>
        <v>24300</v>
      </c>
      <c r="G9" s="116">
        <f>'代-張宇音'!K79</f>
        <v>78000</v>
      </c>
      <c r="H9" s="116">
        <f>'代-張宇音'!L79</f>
        <v>128000</v>
      </c>
      <c r="I9" s="116">
        <f>'代-張宇音'!M79</f>
        <v>131000</v>
      </c>
      <c r="J9" s="116">
        <f>'代-張宇音'!N79</f>
        <v>131000</v>
      </c>
      <c r="K9" s="116">
        <f>'代-張宇音'!O79</f>
        <v>131000</v>
      </c>
      <c r="L9" s="116">
        <f>'代-張宇音'!P79</f>
        <v>108419</v>
      </c>
      <c r="M9" s="116">
        <f>'代-張宇音'!Q79</f>
        <v>103000</v>
      </c>
      <c r="N9" s="116">
        <f>'代-張宇音'!R79</f>
        <v>103000</v>
      </c>
      <c r="P9" s="222" t="s">
        <v>164</v>
      </c>
      <c r="Q9" s="219">
        <v>17000</v>
      </c>
      <c r="R9" s="314"/>
      <c r="S9" s="233" t="s">
        <v>144</v>
      </c>
      <c r="T9" s="228">
        <v>25000</v>
      </c>
      <c r="U9" s="317">
        <f>SUM(T9:T13)</f>
        <v>128000</v>
      </c>
    </row>
    <row r="10" spans="1:21" ht="18" customHeight="1">
      <c r="A10" s="114" t="s">
        <v>12</v>
      </c>
      <c r="B10" s="115">
        <v>159</v>
      </c>
      <c r="C10" s="116">
        <f>'代-張宇音'!G103</f>
        <v>0</v>
      </c>
      <c r="D10" s="116">
        <f>'代-張宇音'!H103</f>
        <v>0</v>
      </c>
      <c r="E10" s="116">
        <f>'代-張宇音'!I103</f>
        <v>0</v>
      </c>
      <c r="F10" s="116">
        <f>'代-張宇音'!J103</f>
        <v>0</v>
      </c>
      <c r="G10" s="116">
        <f>'代-張宇音'!K103</f>
        <v>67600</v>
      </c>
      <c r="H10" s="116">
        <f>'代-張宇音'!L103</f>
        <v>70500</v>
      </c>
      <c r="I10" s="116">
        <f>'代-張宇音'!M103</f>
        <v>70500</v>
      </c>
      <c r="J10" s="116">
        <f>'代-張宇音'!N103</f>
        <v>71500</v>
      </c>
      <c r="K10" s="116">
        <f>'代-張宇音'!O103</f>
        <v>71500</v>
      </c>
      <c r="L10" s="116">
        <f>'代-張宇音'!P103</f>
        <v>71500</v>
      </c>
      <c r="M10" s="116">
        <f>'代-張宇音'!Q103</f>
        <v>71500</v>
      </c>
      <c r="N10" s="116">
        <f>'代-張宇音'!R103</f>
        <v>71500</v>
      </c>
      <c r="P10" s="222" t="s">
        <v>165</v>
      </c>
      <c r="Q10" s="219">
        <v>17000</v>
      </c>
      <c r="R10" s="314"/>
      <c r="S10" s="233" t="s">
        <v>145</v>
      </c>
      <c r="T10" s="228">
        <v>25000</v>
      </c>
      <c r="U10" s="317"/>
    </row>
    <row r="11" spans="1:21" ht="18" customHeight="1">
      <c r="A11" s="117" t="s">
        <v>13</v>
      </c>
      <c r="B11" s="115" t="s">
        <v>178</v>
      </c>
      <c r="C11" s="116">
        <f>'代-張宇音'!G123</f>
        <v>80000</v>
      </c>
      <c r="D11" s="116">
        <f>'代-張宇音'!H123</f>
        <v>80000</v>
      </c>
      <c r="E11" s="116">
        <f>'代-張宇音'!I123</f>
        <v>80000</v>
      </c>
      <c r="F11" s="116">
        <f>'代-張宇音'!J123</f>
        <v>80000</v>
      </c>
      <c r="G11" s="116">
        <f>'代-張宇音'!K118+'代-張宇音'!K120</f>
        <v>50000</v>
      </c>
      <c r="H11" s="116">
        <f>'代-張宇音'!L118+'代-張宇音'!L120</f>
        <v>50000</v>
      </c>
      <c r="I11" s="116">
        <f>'代-張宇音'!M118+'代-張宇音'!M120</f>
        <v>50000</v>
      </c>
      <c r="J11" s="116">
        <f>'代-張宇音'!N118+'代-張宇音'!N120</f>
        <v>50000</v>
      </c>
      <c r="K11" s="116">
        <f>'代-張宇音'!O118+'代-張宇音'!O120</f>
        <v>50000</v>
      </c>
      <c r="L11" s="116">
        <f>'代-張宇音'!P118+'代-張宇音'!P120</f>
        <v>50000</v>
      </c>
      <c r="M11" s="116">
        <f>'代-張宇音'!Q118+'代-張宇音'!Q120</f>
        <v>50000</v>
      </c>
      <c r="N11" s="116">
        <f>'代-張宇音'!R118+'代-張宇音'!R120</f>
        <v>50000</v>
      </c>
      <c r="P11" s="227" t="s">
        <v>166</v>
      </c>
      <c r="Q11" s="228">
        <v>14000</v>
      </c>
      <c r="R11" s="313">
        <f>SUM(Q11:Q16)</f>
        <v>87000</v>
      </c>
      <c r="S11" s="233" t="s">
        <v>146</v>
      </c>
      <c r="T11" s="228">
        <v>25000</v>
      </c>
      <c r="U11" s="317"/>
    </row>
    <row r="12" spans="1:21" ht="18" customHeight="1">
      <c r="A12" s="118" t="s">
        <v>174</v>
      </c>
      <c r="B12" s="119" t="s">
        <v>175</v>
      </c>
      <c r="C12" s="120">
        <f>SUBTOTAL(109,C3:C11)</f>
        <v>542000</v>
      </c>
      <c r="D12" s="120">
        <f t="shared" ref="D12:N12" si="0">SUBTOTAL(109,D3:D11)</f>
        <v>548677</v>
      </c>
      <c r="E12" s="120">
        <f t="shared" si="0"/>
        <v>577037</v>
      </c>
      <c r="F12" s="120">
        <f t="shared" si="0"/>
        <v>616300</v>
      </c>
      <c r="G12" s="120">
        <f>SUBTOTAL(109,G3:G11)</f>
        <v>694761</v>
      </c>
      <c r="H12" s="120">
        <f>SUBTOTAL(109,H3:H11)</f>
        <v>748066</v>
      </c>
      <c r="I12" s="120">
        <f>SUBTOTAL(109,I3:I11)</f>
        <v>747500</v>
      </c>
      <c r="J12" s="120">
        <f t="shared" si="0"/>
        <v>739472</v>
      </c>
      <c r="K12" s="120">
        <f t="shared" si="0"/>
        <v>745651</v>
      </c>
      <c r="L12" s="120">
        <f t="shared" si="0"/>
        <v>681036</v>
      </c>
      <c r="M12" s="120">
        <f t="shared" si="0"/>
        <v>599885</v>
      </c>
      <c r="N12" s="120">
        <f t="shared" si="0"/>
        <v>625686.19354838715</v>
      </c>
      <c r="P12" s="227" t="s">
        <v>167</v>
      </c>
      <c r="Q12" s="228">
        <v>12000</v>
      </c>
      <c r="R12" s="313"/>
      <c r="S12" s="233" t="s">
        <v>147</v>
      </c>
      <c r="T12" s="228">
        <v>28000</v>
      </c>
      <c r="U12" s="317"/>
    </row>
    <row r="13" spans="1:21" ht="18" customHeight="1">
      <c r="A13" s="214">
        <f>Q2</f>
        <v>804500</v>
      </c>
      <c r="B13" s="215" t="s">
        <v>172</v>
      </c>
      <c r="C13" s="116"/>
      <c r="D13" s="116"/>
      <c r="E13" s="116"/>
      <c r="F13" s="116"/>
      <c r="G13" s="217">
        <f>'代-張宇音'!K4</f>
        <v>31000</v>
      </c>
      <c r="H13" s="217">
        <f>'代-張宇音'!L4</f>
        <v>37288</v>
      </c>
      <c r="I13" s="217">
        <f>'代-張宇音'!M4</f>
        <v>36351</v>
      </c>
      <c r="J13" s="262">
        <f>'代-張宇音'!N4</f>
        <v>36781</v>
      </c>
      <c r="K13" s="262">
        <f>'代-張宇音'!O4</f>
        <v>23700</v>
      </c>
      <c r="L13" s="217">
        <f>'代-張宇音'!P4</f>
        <v>0</v>
      </c>
      <c r="M13" s="217"/>
      <c r="N13" s="262">
        <v>20160</v>
      </c>
      <c r="P13" s="227" t="s">
        <v>168</v>
      </c>
      <c r="Q13" s="228">
        <v>16000</v>
      </c>
      <c r="R13" s="313"/>
      <c r="S13" s="233" t="s">
        <v>148</v>
      </c>
      <c r="T13" s="228">
        <v>25000</v>
      </c>
      <c r="U13" s="317"/>
    </row>
    <row r="14" spans="1:21" ht="18" customHeight="1">
      <c r="A14" s="216"/>
      <c r="B14" s="215" t="s">
        <v>173</v>
      </c>
      <c r="C14" s="116"/>
      <c r="D14" s="116"/>
      <c r="E14" s="116"/>
      <c r="F14" s="116"/>
      <c r="G14" s="217">
        <f>'代-張宇音'!K122</f>
        <v>38936</v>
      </c>
      <c r="H14" s="217">
        <f>'代-張宇音'!L122</f>
        <v>38693</v>
      </c>
      <c r="I14" s="217">
        <f>'代-張宇音'!M122</f>
        <v>44594</v>
      </c>
      <c r="J14" s="217">
        <f>'代-張宇音'!N122</f>
        <v>32819</v>
      </c>
      <c r="K14" s="217">
        <f>'代-張宇音'!O122</f>
        <v>37511</v>
      </c>
      <c r="L14" s="217">
        <f>'代-張宇音'!P122</f>
        <v>38761</v>
      </c>
      <c r="M14" s="217"/>
      <c r="N14" s="262">
        <v>54993</v>
      </c>
      <c r="P14" s="227" t="s">
        <v>169</v>
      </c>
      <c r="Q14" s="228">
        <v>14000</v>
      </c>
      <c r="R14" s="313"/>
      <c r="S14" s="232" t="s">
        <v>149</v>
      </c>
      <c r="T14" s="219">
        <v>18000</v>
      </c>
      <c r="U14" s="316">
        <f>SUM(T14:T17)</f>
        <v>68500</v>
      </c>
    </row>
    <row r="15" spans="1:21" ht="18" customHeight="1">
      <c r="A15" s="216"/>
      <c r="B15" s="215" t="s">
        <v>176</v>
      </c>
      <c r="C15" s="120"/>
      <c r="D15" s="120"/>
      <c r="E15" s="120"/>
      <c r="F15" s="120"/>
      <c r="G15" s="218">
        <f t="shared" ref="G15:N15" si="1">G12+G13+G14</f>
        <v>764697</v>
      </c>
      <c r="H15" s="218">
        <f t="shared" si="1"/>
        <v>824047</v>
      </c>
      <c r="I15" s="218">
        <f t="shared" si="1"/>
        <v>828445</v>
      </c>
      <c r="J15" s="218">
        <f t="shared" si="1"/>
        <v>809072</v>
      </c>
      <c r="K15" s="218">
        <f t="shared" si="1"/>
        <v>806862</v>
      </c>
      <c r="L15" s="218">
        <f t="shared" si="1"/>
        <v>719797</v>
      </c>
      <c r="M15" s="218">
        <f t="shared" si="1"/>
        <v>599885</v>
      </c>
      <c r="N15" s="218">
        <f t="shared" si="1"/>
        <v>700839.19354838715</v>
      </c>
      <c r="P15" s="227" t="s">
        <v>170</v>
      </c>
      <c r="Q15" s="228">
        <v>13000</v>
      </c>
      <c r="R15" s="313"/>
      <c r="S15" s="232" t="s">
        <v>150</v>
      </c>
      <c r="T15" s="219">
        <v>16000</v>
      </c>
      <c r="U15" s="316"/>
    </row>
    <row r="16" spans="1:21" ht="18" customHeight="1">
      <c r="P16" s="227" t="s">
        <v>171</v>
      </c>
      <c r="Q16" s="228">
        <v>18000</v>
      </c>
      <c r="R16" s="313"/>
      <c r="S16" s="232" t="s">
        <v>152</v>
      </c>
      <c r="T16" s="219">
        <v>17500</v>
      </c>
      <c r="U16" s="316"/>
    </row>
    <row r="17" spans="1:21" ht="18" customHeight="1">
      <c r="A17" s="16" t="s">
        <v>69</v>
      </c>
      <c r="C17" s="53" t="s">
        <v>14</v>
      </c>
      <c r="D17" s="53" t="s">
        <v>15</v>
      </c>
      <c r="E17" s="53" t="s">
        <v>16</v>
      </c>
      <c r="F17" s="53" t="s">
        <v>17</v>
      </c>
      <c r="G17" s="53" t="s">
        <v>18</v>
      </c>
      <c r="H17" s="53" t="s">
        <v>19</v>
      </c>
      <c r="I17" s="53" t="s">
        <v>20</v>
      </c>
      <c r="J17" s="53" t="s">
        <v>21</v>
      </c>
      <c r="K17" s="53" t="s">
        <v>22</v>
      </c>
      <c r="L17" s="53" t="s">
        <v>23</v>
      </c>
      <c r="M17" s="53" t="s">
        <v>24</v>
      </c>
      <c r="N17" s="53" t="s">
        <v>25</v>
      </c>
      <c r="P17" s="224" t="s">
        <v>179</v>
      </c>
      <c r="Q17" s="220">
        <v>31000</v>
      </c>
      <c r="R17" s="314">
        <f>SUM(Q17:Q19)</f>
        <v>89000</v>
      </c>
      <c r="S17" s="232" t="s">
        <v>151</v>
      </c>
      <c r="T17" s="219">
        <v>17000</v>
      </c>
      <c r="U17" s="316"/>
    </row>
    <row r="18" spans="1:21" ht="18" customHeight="1">
      <c r="A18" s="114" t="s">
        <v>0</v>
      </c>
      <c r="B18" s="115" t="s">
        <v>1</v>
      </c>
      <c r="C18" s="116">
        <f t="shared" ref="C18:G19" si="2">C3*0.1</f>
        <v>4650</v>
      </c>
      <c r="D18" s="116">
        <f t="shared" si="2"/>
        <v>4650</v>
      </c>
      <c r="E18" s="116">
        <f t="shared" si="2"/>
        <v>4650</v>
      </c>
      <c r="F18" s="116">
        <f t="shared" si="2"/>
        <v>4650</v>
      </c>
      <c r="G18" s="116">
        <f t="shared" si="2"/>
        <v>5426.7000000000007</v>
      </c>
      <c r="H18" s="116">
        <f t="shared" ref="H18" si="3">H3*0.1</f>
        <v>4600</v>
      </c>
      <c r="I18" s="116">
        <f t="shared" ref="I18" si="4">I3*0.1</f>
        <v>4600</v>
      </c>
      <c r="J18" s="116">
        <f>-'代1-南山'!N9</f>
        <v>4600</v>
      </c>
      <c r="K18" s="116">
        <f>-'代1-南山'!O9</f>
        <v>4600</v>
      </c>
      <c r="L18" s="116">
        <f>-'代1-南山'!P9</f>
        <v>4600</v>
      </c>
      <c r="M18" s="116">
        <f>-'代1-南山'!Q9</f>
        <v>4600</v>
      </c>
      <c r="N18" s="116">
        <f>-'代1-南山'!R9</f>
        <v>4600</v>
      </c>
      <c r="P18" s="222" t="s">
        <v>133</v>
      </c>
      <c r="Q18" s="219">
        <v>30000</v>
      </c>
      <c r="R18" s="314"/>
      <c r="S18" s="233" t="s">
        <v>153</v>
      </c>
      <c r="T18" s="228">
        <v>25000</v>
      </c>
      <c r="U18" s="317">
        <f>SUM(T18:T20)</f>
        <v>80000</v>
      </c>
    </row>
    <row r="19" spans="1:21" ht="18" customHeight="1">
      <c r="A19" s="114" t="s">
        <v>2</v>
      </c>
      <c r="B19" s="115" t="s">
        <v>3</v>
      </c>
      <c r="C19" s="116">
        <f t="shared" ref="C19" si="5">C4*0.1</f>
        <v>0</v>
      </c>
      <c r="D19" s="116">
        <f t="shared" si="2"/>
        <v>667.7</v>
      </c>
      <c r="E19" s="116">
        <f t="shared" si="2"/>
        <v>4220</v>
      </c>
      <c r="F19" s="116">
        <f t="shared" si="2"/>
        <v>5100</v>
      </c>
      <c r="G19" s="116">
        <f t="shared" si="2"/>
        <v>6700</v>
      </c>
      <c r="H19" s="116">
        <f t="shared" ref="H19" si="6">H4*0.1</f>
        <v>6556.6</v>
      </c>
      <c r="I19" s="116">
        <f t="shared" ref="I19" si="7">I4*0.1</f>
        <v>8000</v>
      </c>
      <c r="J19" s="116">
        <f>-'代2-景平'!N12</f>
        <v>7168.2000000000007</v>
      </c>
      <c r="K19" s="116">
        <f>-'代2-景平'!O12</f>
        <v>6700</v>
      </c>
      <c r="L19" s="116">
        <f>-'代2-景平'!P12</f>
        <v>6700</v>
      </c>
      <c r="M19" s="116">
        <f>-'代2-景平'!Q12</f>
        <v>7550</v>
      </c>
      <c r="N19" s="116">
        <f>-'代2-景平'!R12</f>
        <v>3583.3</v>
      </c>
      <c r="P19" s="222" t="s">
        <v>134</v>
      </c>
      <c r="Q19" s="219">
        <v>28000</v>
      </c>
      <c r="R19" s="314"/>
      <c r="S19" s="233" t="s">
        <v>154</v>
      </c>
      <c r="T19" s="228">
        <v>25000</v>
      </c>
      <c r="U19" s="317"/>
    </row>
    <row r="20" spans="1:21" ht="18" customHeight="1">
      <c r="A20" s="114" t="s">
        <v>4</v>
      </c>
      <c r="B20" s="115" t="s">
        <v>5</v>
      </c>
      <c r="C20" s="116">
        <f t="shared" ref="C20:G20" si="8">C5*7%</f>
        <v>6055.0000000000009</v>
      </c>
      <c r="D20" s="116">
        <f t="shared" si="8"/>
        <v>6055.0000000000009</v>
      </c>
      <c r="E20" s="116">
        <f t="shared" si="8"/>
        <v>5623.59</v>
      </c>
      <c r="F20" s="116">
        <f t="shared" si="8"/>
        <v>6055.0000000000009</v>
      </c>
      <c r="G20" s="116">
        <f t="shared" si="8"/>
        <v>6125.0000000000009</v>
      </c>
      <c r="H20" s="116">
        <f>H5*7%</f>
        <v>6125.0000000000009</v>
      </c>
      <c r="I20" s="116">
        <f>I5*7%</f>
        <v>4865.0000000000009</v>
      </c>
      <c r="J20" s="116">
        <f>-'代3-天母雅砌'!N15</f>
        <v>4675.3</v>
      </c>
      <c r="K20" s="116">
        <f>-'代3-天母雅砌'!O15</f>
        <v>5712.0000000000009</v>
      </c>
      <c r="L20" s="116">
        <f>-'代3-天母雅砌'!P15</f>
        <v>6090.0000000000009</v>
      </c>
      <c r="M20" s="116">
        <f>-'代3-天母雅砌'!Q15</f>
        <v>6090.0000000000009</v>
      </c>
      <c r="N20" s="116">
        <f>-'代3-天母雅砌'!R15</f>
        <v>6090.0000000000009</v>
      </c>
      <c r="P20" s="227" t="s">
        <v>135</v>
      </c>
      <c r="Q20" s="228">
        <v>25000</v>
      </c>
      <c r="R20" s="313">
        <f>SUM(Q20:Q23)</f>
        <v>101000</v>
      </c>
      <c r="S20" s="233" t="s">
        <v>155</v>
      </c>
      <c r="T20" s="228">
        <v>30000</v>
      </c>
      <c r="U20" s="317"/>
    </row>
    <row r="21" spans="1:21" ht="18" customHeight="1">
      <c r="A21" s="257" t="s">
        <v>6</v>
      </c>
      <c r="B21" s="258">
        <v>269</v>
      </c>
      <c r="C21" s="116">
        <f t="shared" ref="C21:G25" si="9">C6*0.1</f>
        <v>8900</v>
      </c>
      <c r="D21" s="116">
        <f t="shared" si="9"/>
        <v>8900</v>
      </c>
      <c r="E21" s="116">
        <f t="shared" si="9"/>
        <v>8900</v>
      </c>
      <c r="F21" s="116">
        <f t="shared" si="9"/>
        <v>8900</v>
      </c>
      <c r="G21" s="116">
        <f t="shared" si="9"/>
        <v>5800</v>
      </c>
      <c r="H21" s="116">
        <f t="shared" ref="H21" si="10">H6*0.1</f>
        <v>5800</v>
      </c>
      <c r="I21" s="116">
        <f>I6*0.1</f>
        <v>5800</v>
      </c>
      <c r="J21" s="116">
        <f>J6*0.1</f>
        <v>5800</v>
      </c>
      <c r="K21" s="116">
        <f t="shared" ref="K21:N21" si="11">K6*0.1</f>
        <v>6000</v>
      </c>
      <c r="L21" s="116">
        <f t="shared" si="11"/>
        <v>6000</v>
      </c>
      <c r="M21" s="116">
        <f t="shared" si="11"/>
        <v>6000</v>
      </c>
      <c r="N21" s="116">
        <f t="shared" si="11"/>
        <v>5674.1</v>
      </c>
      <c r="P21" s="227" t="s">
        <v>136</v>
      </c>
      <c r="Q21" s="228">
        <v>24000</v>
      </c>
      <c r="R21" s="313"/>
      <c r="S21" s="232"/>
      <c r="T21" s="219"/>
      <c r="U21" s="223"/>
    </row>
    <row r="22" spans="1:21" ht="18" customHeight="1">
      <c r="A22" s="257" t="s">
        <v>7</v>
      </c>
      <c r="B22" s="258">
        <v>121</v>
      </c>
      <c r="C22" s="116">
        <f t="shared" ref="C22" si="12">C7*0.1</f>
        <v>10100</v>
      </c>
      <c r="D22" s="116">
        <f t="shared" si="9"/>
        <v>10100</v>
      </c>
      <c r="E22" s="116">
        <f t="shared" si="9"/>
        <v>10000</v>
      </c>
      <c r="F22" s="116">
        <f t="shared" si="9"/>
        <v>10000</v>
      </c>
      <c r="G22" s="116">
        <f t="shared" si="9"/>
        <v>9339.4</v>
      </c>
      <c r="H22" s="116">
        <f t="shared" ref="H22" si="13">H7*0.1</f>
        <v>10100</v>
      </c>
      <c r="I22" s="116">
        <f t="shared" ref="I22:I26" si="14">I7*0.1</f>
        <v>10400</v>
      </c>
      <c r="J22" s="116">
        <f>-'代-張宇音'!N30</f>
        <v>10600</v>
      </c>
      <c r="K22" s="116">
        <f>-'代-張宇音'!O30</f>
        <v>10336.6</v>
      </c>
      <c r="L22" s="116">
        <f>-'代-張宇音'!P30</f>
        <v>9856.6</v>
      </c>
      <c r="M22" s="116">
        <f>-'代-張宇音'!Q30</f>
        <v>6300</v>
      </c>
      <c r="N22" s="116">
        <f>-'代-張宇音'!R30</f>
        <v>10133.800000000001</v>
      </c>
      <c r="P22" s="227" t="s">
        <v>137</v>
      </c>
      <c r="Q22" s="228">
        <v>24000</v>
      </c>
      <c r="R22" s="313"/>
      <c r="S22" s="232"/>
      <c r="T22" s="219"/>
      <c r="U22" s="223"/>
    </row>
    <row r="23" spans="1:21" ht="18" customHeight="1" thickBot="1">
      <c r="A23" s="257" t="s">
        <v>8</v>
      </c>
      <c r="B23" s="258" t="s">
        <v>9</v>
      </c>
      <c r="C23" s="116">
        <f t="shared" ref="C23" si="15">C8*0.1</f>
        <v>13900</v>
      </c>
      <c r="D23" s="116">
        <f t="shared" si="9"/>
        <v>13900</v>
      </c>
      <c r="E23" s="116">
        <f t="shared" si="9"/>
        <v>13900</v>
      </c>
      <c r="F23" s="116">
        <f t="shared" si="9"/>
        <v>13900</v>
      </c>
      <c r="G23" s="116">
        <f t="shared" si="9"/>
        <v>13900</v>
      </c>
      <c r="H23" s="116">
        <f t="shared" ref="H23" si="16">H8*0.1</f>
        <v>14150</v>
      </c>
      <c r="I23" s="116">
        <f t="shared" si="14"/>
        <v>13850</v>
      </c>
      <c r="J23" s="116">
        <f>-'代-張宇音'!N54</f>
        <v>13850</v>
      </c>
      <c r="K23" s="116">
        <f>-'代-張宇音'!O54</f>
        <v>13518.5</v>
      </c>
      <c r="L23" s="116">
        <f>-'代-張宇音'!P54</f>
        <v>9255.1</v>
      </c>
      <c r="M23" s="116">
        <f>-'代-張宇音'!Q54</f>
        <v>4388.5</v>
      </c>
      <c r="N23" s="116">
        <f>-'代-張宇音'!R54</f>
        <v>7427.4193548387093</v>
      </c>
      <c r="P23" s="229" t="s">
        <v>138</v>
      </c>
      <c r="Q23" s="230">
        <v>28000</v>
      </c>
      <c r="R23" s="315"/>
      <c r="S23" s="234"/>
      <c r="T23" s="225"/>
      <c r="U23" s="226"/>
    </row>
    <row r="24" spans="1:21" ht="18" customHeight="1">
      <c r="A24" s="257" t="s">
        <v>10</v>
      </c>
      <c r="B24" s="258" t="s">
        <v>11</v>
      </c>
      <c r="C24" s="116">
        <f t="shared" ref="C24" si="17">C9*0.1</f>
        <v>0</v>
      </c>
      <c r="D24" s="116">
        <f t="shared" si="9"/>
        <v>0</v>
      </c>
      <c r="E24" s="116">
        <f t="shared" si="9"/>
        <v>0</v>
      </c>
      <c r="F24" s="116">
        <f t="shared" si="9"/>
        <v>2430</v>
      </c>
      <c r="G24" s="116">
        <f t="shared" si="9"/>
        <v>7800</v>
      </c>
      <c r="H24" s="116">
        <f t="shared" ref="H24" si="18">H9*0.1</f>
        <v>12800</v>
      </c>
      <c r="I24" s="116">
        <f t="shared" si="14"/>
        <v>13100</v>
      </c>
      <c r="J24" s="116">
        <f>-'代-張宇音'!N80</f>
        <v>13100</v>
      </c>
      <c r="K24" s="116">
        <f>-'代-張宇音'!O80</f>
        <v>13100</v>
      </c>
      <c r="L24" s="116">
        <f>-'代-張宇音'!P80</f>
        <v>10841.900000000001</v>
      </c>
      <c r="M24" s="116">
        <f>-'代-張宇音'!Q80</f>
        <v>10300</v>
      </c>
      <c r="N24" s="116">
        <f>-'代-張宇音'!R80</f>
        <v>10300</v>
      </c>
    </row>
    <row r="25" spans="1:21" ht="18" customHeight="1">
      <c r="A25" s="257" t="s">
        <v>12</v>
      </c>
      <c r="B25" s="258">
        <v>159</v>
      </c>
      <c r="C25" s="116">
        <f t="shared" ref="C25" si="19">C10*0.1</f>
        <v>0</v>
      </c>
      <c r="D25" s="116">
        <f t="shared" si="9"/>
        <v>0</v>
      </c>
      <c r="E25" s="116">
        <f t="shared" si="9"/>
        <v>0</v>
      </c>
      <c r="F25" s="116">
        <f t="shared" si="9"/>
        <v>0</v>
      </c>
      <c r="G25" s="116">
        <f t="shared" si="9"/>
        <v>6760</v>
      </c>
      <c r="H25" s="116">
        <f t="shared" ref="H25" si="20">H10*0.1</f>
        <v>7050</v>
      </c>
      <c r="I25" s="116">
        <f t="shared" ref="I25" si="21">I10*0.1</f>
        <v>7050</v>
      </c>
      <c r="J25" s="116">
        <f>-'代-張宇音'!N104</f>
        <v>7150</v>
      </c>
      <c r="K25" s="116">
        <f>-'代-張宇音'!O104</f>
        <v>7150</v>
      </c>
      <c r="L25" s="116">
        <f>-'代-張宇音'!P104</f>
        <v>7150</v>
      </c>
      <c r="M25" s="116">
        <f>-'代-張宇音'!Q104</f>
        <v>7150</v>
      </c>
      <c r="N25" s="116">
        <f>-'代-張宇音'!R104</f>
        <v>7150</v>
      </c>
      <c r="R25" s="213"/>
    </row>
    <row r="26" spans="1:21" ht="18" customHeight="1">
      <c r="A26" s="259" t="s">
        <v>13</v>
      </c>
      <c r="B26" s="258">
        <v>243</v>
      </c>
      <c r="C26" s="116">
        <f t="shared" ref="C26:G26" si="22">C11*0.1</f>
        <v>8000</v>
      </c>
      <c r="D26" s="116">
        <f t="shared" si="22"/>
        <v>8000</v>
      </c>
      <c r="E26" s="116">
        <f t="shared" si="22"/>
        <v>8000</v>
      </c>
      <c r="F26" s="116">
        <f t="shared" si="22"/>
        <v>8000</v>
      </c>
      <c r="G26" s="116">
        <f t="shared" si="22"/>
        <v>5000</v>
      </c>
      <c r="H26" s="116">
        <f t="shared" ref="H26" si="23">H11*0.1</f>
        <v>5000</v>
      </c>
      <c r="I26" s="116">
        <f t="shared" si="14"/>
        <v>5000</v>
      </c>
      <c r="J26" s="116">
        <f>-'代-張宇音'!N124</f>
        <v>9922.8499999999985</v>
      </c>
      <c r="K26" s="116">
        <f>-'代-張宇音'!O124</f>
        <v>10626.65</v>
      </c>
      <c r="L26" s="116">
        <f>-'代-張宇音'!P124</f>
        <v>10814.15</v>
      </c>
      <c r="M26" s="116">
        <f>-'代-張宇音'!Q124</f>
        <v>10626.65</v>
      </c>
      <c r="N26" s="116">
        <f>-'代-張宇音'!R124</f>
        <v>5375</v>
      </c>
      <c r="P26" s="213"/>
      <c r="T26" s="2"/>
      <c r="U26" s="2"/>
    </row>
    <row r="27" spans="1:21" ht="18" customHeight="1">
      <c r="A27" s="118"/>
      <c r="B27" s="119" t="s">
        <v>180</v>
      </c>
      <c r="C27" s="120">
        <f>SUBTOTAL(109,C18:C26)</f>
        <v>51605</v>
      </c>
      <c r="D27" s="120">
        <f t="shared" ref="D27:N27" si="24">SUBTOTAL(109,D18:D26)</f>
        <v>52272.7</v>
      </c>
      <c r="E27" s="120">
        <f t="shared" si="24"/>
        <v>55293.59</v>
      </c>
      <c r="F27" s="120">
        <f t="shared" si="24"/>
        <v>59035</v>
      </c>
      <c r="G27" s="120">
        <f>SUBTOTAL(109,G18:G26)</f>
        <v>66851.100000000006</v>
      </c>
      <c r="H27" s="120">
        <f t="shared" si="24"/>
        <v>72181.600000000006</v>
      </c>
      <c r="I27" s="120">
        <f>SUBTOTAL(109,I18:I26)</f>
        <v>72665</v>
      </c>
      <c r="J27" s="120">
        <f t="shared" si="24"/>
        <v>76866.350000000006</v>
      </c>
      <c r="K27" s="120">
        <f t="shared" si="24"/>
        <v>77743.75</v>
      </c>
      <c r="L27" s="120">
        <f t="shared" si="24"/>
        <v>71307.75</v>
      </c>
      <c r="M27" s="120">
        <f t="shared" si="24"/>
        <v>63005.15</v>
      </c>
      <c r="N27" s="120">
        <f t="shared" si="24"/>
        <v>60333.619354838716</v>
      </c>
      <c r="P27" s="16"/>
      <c r="T27" s="2"/>
      <c r="U27" s="2"/>
    </row>
    <row r="28" spans="1:21" ht="18" customHeight="1">
      <c r="A28" s="216"/>
      <c r="B28" s="215" t="s">
        <v>181</v>
      </c>
      <c r="C28" s="116"/>
      <c r="D28" s="116"/>
      <c r="E28" s="116"/>
      <c r="F28" s="116"/>
      <c r="G28" s="217">
        <f>31000*0.1</f>
        <v>3100</v>
      </c>
      <c r="H28" s="217">
        <f t="shared" ref="H28:N29" si="25">H13*0.15</f>
        <v>5593.2</v>
      </c>
      <c r="I28" s="217">
        <f t="shared" si="25"/>
        <v>5452.65</v>
      </c>
      <c r="J28" s="217">
        <f t="shared" si="25"/>
        <v>5517.15</v>
      </c>
      <c r="K28" s="217">
        <f t="shared" si="25"/>
        <v>3555</v>
      </c>
      <c r="L28" s="217">
        <f t="shared" si="25"/>
        <v>0</v>
      </c>
      <c r="M28" s="217">
        <f t="shared" si="25"/>
        <v>0</v>
      </c>
      <c r="N28" s="217">
        <f t="shared" si="25"/>
        <v>3024</v>
      </c>
      <c r="P28" s="16"/>
      <c r="T28" s="2"/>
      <c r="U28" s="2"/>
    </row>
    <row r="29" spans="1:21" ht="18" customHeight="1">
      <c r="A29" s="216"/>
      <c r="B29" s="215" t="s">
        <v>182</v>
      </c>
      <c r="C29" s="116"/>
      <c r="D29" s="116"/>
      <c r="E29" s="116"/>
      <c r="F29" s="116"/>
      <c r="G29" s="217">
        <f>G14*0.15</f>
        <v>5840.4</v>
      </c>
      <c r="H29" s="217">
        <f t="shared" si="25"/>
        <v>5803.95</v>
      </c>
      <c r="I29" s="217">
        <f t="shared" si="25"/>
        <v>6689.0999999999995</v>
      </c>
      <c r="J29" s="217">
        <f t="shared" si="25"/>
        <v>4922.8499999999995</v>
      </c>
      <c r="K29" s="217">
        <f t="shared" si="25"/>
        <v>5626.65</v>
      </c>
      <c r="L29" s="217">
        <f t="shared" si="25"/>
        <v>5814.15</v>
      </c>
      <c r="M29" s="217">
        <f t="shared" si="25"/>
        <v>0</v>
      </c>
      <c r="N29" s="217">
        <f t="shared" si="25"/>
        <v>8248.9499999999989</v>
      </c>
      <c r="P29" s="16"/>
      <c r="T29" s="2"/>
      <c r="U29" s="2"/>
    </row>
    <row r="30" spans="1:21" ht="18" customHeight="1">
      <c r="A30" s="216"/>
      <c r="B30" s="215" t="s">
        <v>183</v>
      </c>
      <c r="C30" s="218">
        <f t="shared" ref="C30:N30" si="26">C27+C28+C29</f>
        <v>51605</v>
      </c>
      <c r="D30" s="218">
        <f t="shared" si="26"/>
        <v>52272.7</v>
      </c>
      <c r="E30" s="218">
        <f t="shared" si="26"/>
        <v>55293.59</v>
      </c>
      <c r="F30" s="218">
        <f t="shared" si="26"/>
        <v>59035</v>
      </c>
      <c r="G30" s="218">
        <f t="shared" si="26"/>
        <v>75791.5</v>
      </c>
      <c r="H30" s="218">
        <f t="shared" si="26"/>
        <v>83578.75</v>
      </c>
      <c r="I30" s="218">
        <f t="shared" si="26"/>
        <v>84806.75</v>
      </c>
      <c r="J30" s="218">
        <f t="shared" si="26"/>
        <v>87306.35</v>
      </c>
      <c r="K30" s="218">
        <f t="shared" si="26"/>
        <v>86925.4</v>
      </c>
      <c r="L30" s="218">
        <f t="shared" si="26"/>
        <v>77121.899999999994</v>
      </c>
      <c r="M30" s="218">
        <f t="shared" si="26"/>
        <v>63005.15</v>
      </c>
      <c r="N30" s="218">
        <f t="shared" si="26"/>
        <v>71606.569354838721</v>
      </c>
      <c r="P30" s="16"/>
      <c r="T30" s="2"/>
      <c r="U30" s="2"/>
    </row>
    <row r="31" spans="1:21" ht="18" customHeight="1">
      <c r="P31" s="16"/>
      <c r="T31" s="2"/>
      <c r="U31" s="2"/>
    </row>
    <row r="32" spans="1:21" ht="18" customHeight="1">
      <c r="P32" s="16"/>
      <c r="T32" s="2"/>
      <c r="U32" s="2"/>
    </row>
    <row r="33" spans="9:21" ht="18" customHeight="1">
      <c r="I33" s="260"/>
      <c r="J33" s="260"/>
      <c r="P33" s="16"/>
      <c r="T33" s="2"/>
      <c r="U33" s="2"/>
    </row>
    <row r="34" spans="9:21" ht="18" customHeight="1">
      <c r="P34" s="16"/>
      <c r="T34" s="2"/>
      <c r="U34" s="2"/>
    </row>
    <row r="35" spans="9:21" ht="18" customHeight="1">
      <c r="P35" s="16"/>
      <c r="T35" s="2"/>
      <c r="U35" s="2"/>
    </row>
    <row r="36" spans="9:21" ht="18" customHeight="1">
      <c r="P36" s="16"/>
      <c r="T36" s="2"/>
      <c r="U36" s="2"/>
    </row>
    <row r="37" spans="9:21" ht="18" customHeight="1">
      <c r="P37" s="16"/>
      <c r="T37" s="2"/>
      <c r="U37" s="2"/>
    </row>
    <row r="38" spans="9:21" ht="18" customHeight="1">
      <c r="P38" s="16"/>
      <c r="T38" s="2"/>
      <c r="U38" s="2"/>
    </row>
    <row r="39" spans="9:21" ht="18" customHeight="1">
      <c r="P39" s="16"/>
      <c r="T39" s="2"/>
      <c r="U39" s="2"/>
    </row>
    <row r="40" spans="9:21" ht="18" customHeight="1">
      <c r="P40" s="16"/>
      <c r="T40" s="2"/>
      <c r="U40" s="2"/>
    </row>
  </sheetData>
  <mergeCells count="10">
    <mergeCell ref="R20:R23"/>
    <mergeCell ref="U4:U8"/>
    <mergeCell ref="U9:U13"/>
    <mergeCell ref="U14:U17"/>
    <mergeCell ref="U18:U20"/>
    <mergeCell ref="Q2:U2"/>
    <mergeCell ref="R4:R6"/>
    <mergeCell ref="R7:R10"/>
    <mergeCell ref="R11:R16"/>
    <mergeCell ref="R17:R19"/>
  </mergeCells>
  <phoneticPr fontId="5" type="noConversion"/>
  <pageMargins left="0.31496062992125984" right="0.27559055118110237" top="0.55118110236220474" bottom="0.31496062992125984" header="0.23622047244094491" footer="0.15748031496062992"/>
  <pageSetup paperSize="9" scale="73" orientation="landscape" r:id="rId1"/>
  <headerFooter>
    <oddHeader>&amp;C&amp;18代管物件明細表</oddHead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showZeros="0" topLeftCell="A9" workbookViewId="0">
      <selection activeCell="E5" sqref="E5"/>
    </sheetView>
  </sheetViews>
  <sheetFormatPr defaultColWidth="9.09765625" defaultRowHeight="21.75" customHeight="1"/>
  <cols>
    <col min="1" max="2" width="9.09765625" style="2"/>
    <col min="3" max="3" width="15.5" style="2" customWidth="1"/>
    <col min="4" max="4" width="9.59765625" style="2" customWidth="1"/>
    <col min="5" max="5" width="13.796875" style="2" customWidth="1"/>
    <col min="6" max="6" width="18.69921875" style="2" customWidth="1"/>
    <col min="7" max="7" width="9.59765625" style="2" customWidth="1"/>
    <col min="8" max="16384" width="9.09765625" style="2"/>
  </cols>
  <sheetData>
    <row r="1" spans="1:18" s="161" customFormat="1" ht="21.75" customHeight="1">
      <c r="A1" s="46" t="s">
        <v>57</v>
      </c>
      <c r="B1" s="46" t="s">
        <v>26</v>
      </c>
      <c r="C1" s="235" t="s">
        <v>27</v>
      </c>
      <c r="D1" s="236" t="s">
        <v>28</v>
      </c>
      <c r="E1" s="237" t="s">
        <v>29</v>
      </c>
      <c r="F1" s="46" t="s">
        <v>30</v>
      </c>
      <c r="G1" s="46" t="s">
        <v>14</v>
      </c>
      <c r="H1" s="46" t="s">
        <v>15</v>
      </c>
      <c r="I1" s="46" t="s">
        <v>16</v>
      </c>
      <c r="J1" s="46" t="s">
        <v>17</v>
      </c>
      <c r="K1" s="46" t="s">
        <v>18</v>
      </c>
      <c r="L1" s="46" t="s">
        <v>19</v>
      </c>
      <c r="M1" s="46" t="s">
        <v>20</v>
      </c>
      <c r="N1" s="46" t="s">
        <v>21</v>
      </c>
      <c r="O1" s="46" t="s">
        <v>22</v>
      </c>
      <c r="P1" s="46" t="s">
        <v>23</v>
      </c>
      <c r="Q1" s="46" t="s">
        <v>24</v>
      </c>
      <c r="R1" s="46" t="s">
        <v>25</v>
      </c>
    </row>
    <row r="2" spans="1:18" s="161" customFormat="1" ht="21.75" customHeight="1">
      <c r="A2" s="46" t="s">
        <v>31</v>
      </c>
      <c r="B2" s="46" t="s">
        <v>102</v>
      </c>
      <c r="C2" s="235" t="s">
        <v>103</v>
      </c>
      <c r="D2" s="236">
        <v>15500</v>
      </c>
      <c r="E2" s="237">
        <v>31000</v>
      </c>
      <c r="F2" s="45" t="s">
        <v>101</v>
      </c>
      <c r="G2" s="45">
        <v>42739</v>
      </c>
      <c r="H2" s="45">
        <v>42770</v>
      </c>
      <c r="I2" s="45">
        <v>42796</v>
      </c>
      <c r="J2" s="45">
        <v>42829</v>
      </c>
      <c r="K2" s="135">
        <v>42857</v>
      </c>
      <c r="L2" s="135">
        <v>42887</v>
      </c>
      <c r="M2" s="135">
        <v>42916</v>
      </c>
      <c r="N2" s="135">
        <v>42948</v>
      </c>
      <c r="O2" s="135">
        <v>42979</v>
      </c>
      <c r="P2" s="135">
        <v>43010</v>
      </c>
      <c r="Q2" s="135">
        <v>43040</v>
      </c>
      <c r="R2" s="135">
        <v>43070</v>
      </c>
    </row>
    <row r="3" spans="1:18" s="161" customFormat="1" ht="21.75" customHeight="1">
      <c r="A3" s="46"/>
      <c r="B3" s="46"/>
      <c r="C3" s="235"/>
      <c r="D3" s="236"/>
      <c r="E3" s="237"/>
      <c r="F3" s="46"/>
      <c r="G3" s="167">
        <v>16000</v>
      </c>
      <c r="H3" s="167">
        <v>16000</v>
      </c>
      <c r="I3" s="167">
        <v>16000</v>
      </c>
      <c r="J3" s="167">
        <v>16000</v>
      </c>
      <c r="K3" s="136">
        <v>15500</v>
      </c>
      <c r="L3" s="136">
        <v>15500</v>
      </c>
      <c r="M3" s="136">
        <v>15500</v>
      </c>
      <c r="N3" s="136">
        <v>15500</v>
      </c>
      <c r="O3" s="136">
        <v>15500</v>
      </c>
      <c r="P3" s="136">
        <v>15500</v>
      </c>
      <c r="Q3" s="136">
        <v>15500</v>
      </c>
      <c r="R3" s="136">
        <v>15500</v>
      </c>
    </row>
    <row r="4" spans="1:18" s="161" customFormat="1" ht="21.75" customHeight="1">
      <c r="A4" s="46" t="s">
        <v>32</v>
      </c>
      <c r="B4" s="238" t="s">
        <v>119</v>
      </c>
      <c r="C4" s="239" t="s">
        <v>116</v>
      </c>
      <c r="D4" s="236">
        <v>15500</v>
      </c>
      <c r="E4" s="237">
        <v>31000</v>
      </c>
      <c r="F4" s="45" t="s">
        <v>115</v>
      </c>
      <c r="G4" s="45">
        <v>42736</v>
      </c>
      <c r="H4" s="45">
        <v>42770</v>
      </c>
      <c r="I4" s="45">
        <v>42796</v>
      </c>
      <c r="J4" s="45">
        <v>42830</v>
      </c>
      <c r="K4" s="135">
        <v>42866</v>
      </c>
      <c r="L4" s="135">
        <v>42896</v>
      </c>
      <c r="M4" s="135">
        <v>42927</v>
      </c>
      <c r="N4" s="135">
        <v>42926</v>
      </c>
      <c r="O4" s="135">
        <v>42989</v>
      </c>
      <c r="P4" s="135">
        <v>43019</v>
      </c>
      <c r="Q4" s="135">
        <v>43050</v>
      </c>
      <c r="R4" s="135">
        <v>43080</v>
      </c>
    </row>
    <row r="5" spans="1:18" s="161" customFormat="1" ht="21.75" customHeight="1">
      <c r="A5" s="46"/>
      <c r="B5" s="238"/>
      <c r="C5" s="239"/>
      <c r="D5" s="236"/>
      <c r="E5" s="240" t="s">
        <v>105</v>
      </c>
      <c r="F5" s="50"/>
      <c r="G5" s="167">
        <v>15500</v>
      </c>
      <c r="H5" s="167">
        <v>15500</v>
      </c>
      <c r="I5" s="136">
        <v>15500</v>
      </c>
      <c r="J5" s="136">
        <v>15500</v>
      </c>
      <c r="K5" s="167">
        <f>8267+15500</f>
        <v>23767</v>
      </c>
      <c r="L5" s="136">
        <v>15500</v>
      </c>
      <c r="M5" s="136">
        <v>15500</v>
      </c>
      <c r="N5" s="167">
        <v>15500</v>
      </c>
      <c r="O5" s="167">
        <v>15500</v>
      </c>
      <c r="P5" s="167">
        <v>15500</v>
      </c>
      <c r="Q5" s="167">
        <v>15500</v>
      </c>
      <c r="R5" s="167">
        <v>15500</v>
      </c>
    </row>
    <row r="6" spans="1:18" s="161" customFormat="1" ht="21.75" customHeight="1">
      <c r="A6" s="46" t="s">
        <v>33</v>
      </c>
      <c r="B6" s="238" t="s">
        <v>64</v>
      </c>
      <c r="C6" s="239" t="s">
        <v>62</v>
      </c>
      <c r="D6" s="236">
        <v>15000</v>
      </c>
      <c r="E6" s="237">
        <v>30000</v>
      </c>
      <c r="F6" s="45" t="s">
        <v>61</v>
      </c>
      <c r="G6" s="45">
        <v>42736</v>
      </c>
      <c r="H6" s="45">
        <v>42761</v>
      </c>
      <c r="I6" s="45">
        <v>42795</v>
      </c>
      <c r="J6" s="45">
        <v>42825</v>
      </c>
      <c r="K6" s="135">
        <v>42854</v>
      </c>
      <c r="L6" s="135">
        <v>42886</v>
      </c>
      <c r="M6" s="135">
        <v>42917</v>
      </c>
      <c r="N6" s="135">
        <v>42947</v>
      </c>
      <c r="O6" s="135">
        <v>42982</v>
      </c>
      <c r="P6" s="135">
        <v>43006</v>
      </c>
      <c r="Q6" s="135">
        <v>43040</v>
      </c>
      <c r="R6" s="135">
        <v>43070</v>
      </c>
    </row>
    <row r="7" spans="1:18" s="161" customFormat="1" ht="21.75" customHeight="1">
      <c r="A7" s="46"/>
      <c r="B7" s="238"/>
      <c r="C7" s="241" t="s">
        <v>70</v>
      </c>
      <c r="D7" s="236"/>
      <c r="E7" s="237"/>
      <c r="F7" s="127"/>
      <c r="G7" s="167">
        <v>15000</v>
      </c>
      <c r="H7" s="167">
        <v>15000</v>
      </c>
      <c r="I7" s="167">
        <v>15000</v>
      </c>
      <c r="J7" s="167">
        <v>15000</v>
      </c>
      <c r="K7" s="167">
        <v>15000</v>
      </c>
      <c r="L7" s="167">
        <v>15000</v>
      </c>
      <c r="M7" s="167">
        <v>15000</v>
      </c>
      <c r="N7" s="167">
        <v>15000</v>
      </c>
      <c r="O7" s="167">
        <v>15000</v>
      </c>
      <c r="P7" s="167">
        <v>15000</v>
      </c>
      <c r="Q7" s="167">
        <v>15000</v>
      </c>
      <c r="R7" s="167">
        <v>15000</v>
      </c>
    </row>
    <row r="8" spans="1:18" s="161" customFormat="1" ht="21.75" customHeight="1">
      <c r="A8" s="238"/>
      <c r="B8" s="238"/>
      <c r="C8" s="242"/>
      <c r="D8" s="243">
        <v>46500</v>
      </c>
      <c r="E8" s="244">
        <v>93000</v>
      </c>
      <c r="F8" s="245">
        <v>93000</v>
      </c>
      <c r="G8" s="246">
        <f>G3+G5+G7</f>
        <v>46500</v>
      </c>
      <c r="H8" s="246">
        <f t="shared" ref="H8:R8" si="0">H3+H5+H7</f>
        <v>46500</v>
      </c>
      <c r="I8" s="246">
        <f t="shared" si="0"/>
        <v>46500</v>
      </c>
      <c r="J8" s="246">
        <f t="shared" si="0"/>
        <v>46500</v>
      </c>
      <c r="K8" s="246">
        <f t="shared" si="0"/>
        <v>54267</v>
      </c>
      <c r="L8" s="246">
        <f t="shared" si="0"/>
        <v>46000</v>
      </c>
      <c r="M8" s="246">
        <f t="shared" si="0"/>
        <v>46000</v>
      </c>
      <c r="N8" s="246">
        <f t="shared" si="0"/>
        <v>46000</v>
      </c>
      <c r="O8" s="246">
        <f t="shared" si="0"/>
        <v>46000</v>
      </c>
      <c r="P8" s="246">
        <f t="shared" si="0"/>
        <v>46000</v>
      </c>
      <c r="Q8" s="246">
        <f t="shared" si="0"/>
        <v>46000</v>
      </c>
      <c r="R8" s="246">
        <f t="shared" si="0"/>
        <v>46000</v>
      </c>
    </row>
    <row r="9" spans="1:18" ht="21.75" customHeight="1">
      <c r="A9" s="17"/>
      <c r="B9" s="17"/>
      <c r="C9" s="18"/>
      <c r="D9" s="7"/>
      <c r="E9" s="19" t="s">
        <v>42</v>
      </c>
      <c r="F9" s="20">
        <v>0.1</v>
      </c>
      <c r="G9" s="40">
        <f t="shared" ref="G9:R9" si="1">-G8*$F$9</f>
        <v>-4650</v>
      </c>
      <c r="H9" s="40">
        <f t="shared" si="1"/>
        <v>-4650</v>
      </c>
      <c r="I9" s="40">
        <f t="shared" si="1"/>
        <v>-4650</v>
      </c>
      <c r="J9" s="40">
        <f t="shared" si="1"/>
        <v>-4650</v>
      </c>
      <c r="K9" s="40">
        <f t="shared" si="1"/>
        <v>-5426.7000000000007</v>
      </c>
      <c r="L9" s="40">
        <f t="shared" si="1"/>
        <v>-4600</v>
      </c>
      <c r="M9" s="40">
        <f t="shared" si="1"/>
        <v>-4600</v>
      </c>
      <c r="N9" s="40">
        <f t="shared" si="1"/>
        <v>-4600</v>
      </c>
      <c r="O9" s="40">
        <f t="shared" si="1"/>
        <v>-4600</v>
      </c>
      <c r="P9" s="40">
        <f t="shared" si="1"/>
        <v>-4600</v>
      </c>
      <c r="Q9" s="40">
        <f t="shared" si="1"/>
        <v>-4600</v>
      </c>
      <c r="R9" s="40">
        <f t="shared" si="1"/>
        <v>-4600</v>
      </c>
    </row>
    <row r="10" spans="1:18" ht="21.75" customHeight="1">
      <c r="A10" s="21"/>
      <c r="B10" s="21"/>
      <c r="C10" s="21"/>
      <c r="D10" s="21"/>
      <c r="E10" s="247"/>
      <c r="F10" s="247" t="s">
        <v>63</v>
      </c>
      <c r="G10" s="46" t="s">
        <v>14</v>
      </c>
      <c r="H10" s="46" t="s">
        <v>15</v>
      </c>
      <c r="I10" s="46" t="s">
        <v>16</v>
      </c>
      <c r="J10" s="46" t="s">
        <v>17</v>
      </c>
      <c r="K10" s="46" t="s">
        <v>18</v>
      </c>
      <c r="L10" s="46" t="s">
        <v>19</v>
      </c>
      <c r="M10" s="46" t="s">
        <v>20</v>
      </c>
      <c r="N10" s="46" t="s">
        <v>21</v>
      </c>
      <c r="O10" s="46" t="s">
        <v>22</v>
      </c>
      <c r="P10" s="46" t="s">
        <v>23</v>
      </c>
      <c r="Q10" s="46" t="s">
        <v>24</v>
      </c>
      <c r="R10" s="46" t="s">
        <v>25</v>
      </c>
    </row>
    <row r="11" spans="1:18" ht="21.75" customHeight="1">
      <c r="A11" s="16"/>
      <c r="B11" s="16"/>
      <c r="C11" s="16"/>
      <c r="D11" s="16"/>
      <c r="E11" s="248" t="s">
        <v>31</v>
      </c>
      <c r="F11" s="248" t="s">
        <v>46</v>
      </c>
      <c r="G11" s="249">
        <v>777</v>
      </c>
      <c r="H11" s="249">
        <v>845</v>
      </c>
      <c r="I11" s="249">
        <v>977</v>
      </c>
      <c r="J11" s="249">
        <v>978</v>
      </c>
      <c r="K11" s="249">
        <v>1064</v>
      </c>
      <c r="L11" s="249">
        <v>1232</v>
      </c>
      <c r="M11" s="249">
        <v>1450</v>
      </c>
      <c r="N11" s="249">
        <v>1774</v>
      </c>
      <c r="O11" s="249">
        <v>2032</v>
      </c>
      <c r="P11" s="249">
        <v>2184</v>
      </c>
      <c r="Q11" s="249">
        <v>2236</v>
      </c>
      <c r="R11" s="248"/>
    </row>
    <row r="12" spans="1:18" ht="21.75" customHeight="1">
      <c r="A12" s="21"/>
      <c r="B12" s="21"/>
      <c r="C12" s="21"/>
      <c r="D12" s="21"/>
      <c r="E12" s="250"/>
      <c r="F12" s="250" t="s">
        <v>47</v>
      </c>
      <c r="G12" s="251">
        <v>209</v>
      </c>
      <c r="H12" s="251">
        <v>374</v>
      </c>
      <c r="I12" s="251">
        <v>726</v>
      </c>
      <c r="J12" s="251"/>
      <c r="K12" s="251">
        <v>473</v>
      </c>
      <c r="L12" s="251">
        <v>924</v>
      </c>
      <c r="M12" s="251">
        <v>1199</v>
      </c>
      <c r="N12" s="251">
        <v>1782</v>
      </c>
      <c r="O12" s="251">
        <v>1419</v>
      </c>
      <c r="P12" s="251">
        <v>836</v>
      </c>
      <c r="Q12" s="251">
        <v>286</v>
      </c>
      <c r="R12" s="151">
        <v>0</v>
      </c>
    </row>
    <row r="13" spans="1:18" ht="21.75" customHeight="1">
      <c r="A13" s="16"/>
      <c r="B13" s="16"/>
      <c r="C13" s="16"/>
      <c r="D13" s="16"/>
      <c r="E13" s="248" t="s">
        <v>32</v>
      </c>
      <c r="F13" s="248" t="s">
        <v>46</v>
      </c>
      <c r="G13" s="249">
        <v>1419</v>
      </c>
      <c r="H13" s="249">
        <v>1443</v>
      </c>
      <c r="I13" s="249">
        <v>1463</v>
      </c>
      <c r="J13" s="249">
        <v>1481</v>
      </c>
      <c r="K13" s="249" t="s">
        <v>130</v>
      </c>
      <c r="L13" s="249">
        <v>1736</v>
      </c>
      <c r="M13" s="249">
        <v>1882</v>
      </c>
      <c r="N13" s="249">
        <v>2056</v>
      </c>
      <c r="O13" s="249">
        <v>2214</v>
      </c>
      <c r="P13" s="249">
        <v>2344</v>
      </c>
      <c r="Q13" s="249">
        <v>2396</v>
      </c>
      <c r="R13" s="248"/>
    </row>
    <row r="14" spans="1:18" ht="21.75" customHeight="1">
      <c r="A14" s="21"/>
      <c r="B14" s="21"/>
      <c r="C14" s="21"/>
      <c r="D14" s="21"/>
      <c r="E14" s="250"/>
      <c r="F14" s="250" t="s">
        <v>47</v>
      </c>
      <c r="G14" s="251">
        <v>110</v>
      </c>
      <c r="H14" s="251">
        <v>132</v>
      </c>
      <c r="I14" s="251">
        <v>110</v>
      </c>
      <c r="J14" s="251">
        <v>99</v>
      </c>
      <c r="K14" s="251">
        <v>297</v>
      </c>
      <c r="L14" s="251">
        <v>979</v>
      </c>
      <c r="M14" s="251">
        <v>803</v>
      </c>
      <c r="N14" s="251">
        <v>957</v>
      </c>
      <c r="O14" s="251">
        <v>869</v>
      </c>
      <c r="P14" s="251">
        <v>715</v>
      </c>
      <c r="Q14" s="251">
        <v>286</v>
      </c>
      <c r="R14" s="151">
        <v>0</v>
      </c>
    </row>
    <row r="15" spans="1:18" ht="21.75" customHeight="1">
      <c r="A15" s="16"/>
      <c r="B15" s="16"/>
      <c r="C15" s="16"/>
      <c r="D15" s="16"/>
      <c r="E15" s="252" t="s">
        <v>33</v>
      </c>
      <c r="F15" s="248" t="s">
        <v>46</v>
      </c>
      <c r="G15" s="249">
        <v>860</v>
      </c>
      <c r="H15" s="249">
        <v>946</v>
      </c>
      <c r="I15" s="249">
        <v>1024</v>
      </c>
      <c r="J15" s="249">
        <v>1098</v>
      </c>
      <c r="K15" s="249">
        <v>1172</v>
      </c>
      <c r="L15" s="249">
        <v>1296</v>
      </c>
      <c r="M15" s="249">
        <v>1472</v>
      </c>
      <c r="N15" s="249">
        <v>1688</v>
      </c>
      <c r="O15" s="249">
        <v>1848</v>
      </c>
      <c r="P15" s="249">
        <v>1960</v>
      </c>
      <c r="Q15" s="249">
        <v>2002</v>
      </c>
      <c r="R15" s="248"/>
    </row>
    <row r="16" spans="1:18" ht="21.75" customHeight="1">
      <c r="A16" s="24"/>
      <c r="B16" s="24"/>
      <c r="C16" s="24"/>
      <c r="D16" s="24"/>
      <c r="E16" s="250"/>
      <c r="F16" s="250" t="s">
        <v>47</v>
      </c>
      <c r="G16" s="253">
        <v>330</v>
      </c>
      <c r="H16" s="253">
        <v>473</v>
      </c>
      <c r="I16" s="253">
        <v>429</v>
      </c>
      <c r="J16" s="253">
        <v>407</v>
      </c>
      <c r="K16" s="253">
        <v>407</v>
      </c>
      <c r="L16" s="253">
        <v>682</v>
      </c>
      <c r="M16" s="253">
        <v>968</v>
      </c>
      <c r="N16" s="253">
        <v>1188</v>
      </c>
      <c r="O16" s="253">
        <v>880</v>
      </c>
      <c r="P16" s="253">
        <v>616</v>
      </c>
      <c r="Q16" s="254">
        <v>231</v>
      </c>
      <c r="R16" s="254">
        <v>0</v>
      </c>
    </row>
    <row r="17" spans="1:18" ht="21.75" customHeight="1">
      <c r="A17" s="16"/>
      <c r="B17" s="25"/>
      <c r="C17" s="26"/>
      <c r="D17" s="26"/>
      <c r="E17" s="27" t="s">
        <v>48</v>
      </c>
      <c r="F17" s="28">
        <v>1628</v>
      </c>
      <c r="G17" s="29">
        <f>G12+G14+G16</f>
        <v>649</v>
      </c>
      <c r="H17" s="29">
        <f t="shared" ref="H17:R17" si="2">H12+H14+H16</f>
        <v>979</v>
      </c>
      <c r="I17" s="29">
        <f t="shared" si="2"/>
        <v>1265</v>
      </c>
      <c r="J17" s="29">
        <f t="shared" si="2"/>
        <v>506</v>
      </c>
      <c r="K17" s="29">
        <f t="shared" si="2"/>
        <v>1177</v>
      </c>
      <c r="L17" s="29">
        <f t="shared" si="2"/>
        <v>2585</v>
      </c>
      <c r="M17" s="29">
        <f t="shared" si="2"/>
        <v>2970</v>
      </c>
      <c r="N17" s="29">
        <f t="shared" si="2"/>
        <v>3927</v>
      </c>
      <c r="O17" s="29">
        <f t="shared" si="2"/>
        <v>3168</v>
      </c>
      <c r="P17" s="29">
        <f t="shared" si="2"/>
        <v>2167</v>
      </c>
      <c r="Q17" s="29">
        <f t="shared" si="2"/>
        <v>803</v>
      </c>
      <c r="R17" s="29">
        <f t="shared" si="2"/>
        <v>0</v>
      </c>
    </row>
    <row r="18" spans="1:18" ht="21.75" customHeight="1">
      <c r="A18" s="21"/>
      <c r="B18" s="16"/>
      <c r="D18" s="30"/>
      <c r="E18" s="318" t="s">
        <v>65</v>
      </c>
      <c r="F18" s="318"/>
      <c r="G18" s="32"/>
      <c r="H18" s="32">
        <v>-382</v>
      </c>
      <c r="I18" s="32"/>
      <c r="J18" s="32">
        <v>-309</v>
      </c>
      <c r="K18" s="32"/>
      <c r="L18" s="32">
        <v>-342</v>
      </c>
      <c r="M18" s="31"/>
      <c r="N18" s="3"/>
      <c r="O18" s="33"/>
      <c r="P18" s="34"/>
      <c r="Q18" s="34"/>
      <c r="R18" s="34"/>
    </row>
    <row r="19" spans="1:18" ht="21.75" customHeight="1">
      <c r="A19" s="16"/>
      <c r="B19" s="16"/>
      <c r="D19" s="30"/>
      <c r="E19" s="318" t="s">
        <v>66</v>
      </c>
      <c r="F19" s="318"/>
      <c r="G19" s="35">
        <v>-1245</v>
      </c>
      <c r="H19" s="35"/>
      <c r="I19" s="35">
        <v>-761</v>
      </c>
      <c r="J19" s="35"/>
      <c r="K19" s="32">
        <v>-701</v>
      </c>
      <c r="L19" s="35"/>
      <c r="M19" s="32">
        <v>-1009</v>
      </c>
      <c r="N19" s="31"/>
      <c r="O19" s="31"/>
      <c r="P19" s="31"/>
      <c r="Q19" s="3"/>
      <c r="R19" s="3"/>
    </row>
    <row r="20" spans="1:18" ht="21.75" customHeight="1">
      <c r="A20" s="16"/>
      <c r="B20" s="16"/>
      <c r="E20" s="318" t="s">
        <v>67</v>
      </c>
      <c r="F20" s="318"/>
      <c r="G20" s="35"/>
      <c r="H20" s="35">
        <v>-399</v>
      </c>
      <c r="I20" s="35"/>
      <c r="J20" s="32">
        <v>-431</v>
      </c>
      <c r="K20" s="35"/>
      <c r="L20" s="32">
        <v>-626</v>
      </c>
      <c r="M20" s="3"/>
      <c r="N20" s="3">
        <v>-1179</v>
      </c>
      <c r="O20" s="31"/>
      <c r="P20" s="31">
        <v>-1134</v>
      </c>
      <c r="Q20" s="3"/>
      <c r="R20" s="3"/>
    </row>
    <row r="21" spans="1:18" ht="33.75" customHeight="1">
      <c r="A21" s="21"/>
      <c r="B21" s="16"/>
      <c r="C21" s="21"/>
      <c r="D21" s="21"/>
      <c r="E21" s="319" t="s">
        <v>68</v>
      </c>
      <c r="F21" s="319"/>
      <c r="G21" s="35"/>
      <c r="H21" s="35">
        <v>-2112</v>
      </c>
      <c r="I21" s="35"/>
      <c r="J21" s="32"/>
      <c r="K21" s="32">
        <v>-2112</v>
      </c>
      <c r="L21" s="32"/>
      <c r="M21" s="32"/>
      <c r="N21" s="31"/>
      <c r="O21" s="3"/>
      <c r="P21" s="3"/>
      <c r="Q21" s="3"/>
      <c r="R21" s="3"/>
    </row>
    <row r="22" spans="1:18" ht="21.75" customHeight="1">
      <c r="E22" s="16" t="s">
        <v>45</v>
      </c>
      <c r="F22" s="36">
        <v>-4138</v>
      </c>
      <c r="G22" s="3">
        <f>SUM(G18:G21)</f>
        <v>-1245</v>
      </c>
      <c r="H22" s="3">
        <f>SUM(H18:H21)</f>
        <v>-2893</v>
      </c>
      <c r="I22" s="3">
        <f t="shared" ref="I22:R22" si="3">SUM(I18:I21)</f>
        <v>-761</v>
      </c>
      <c r="J22" s="3">
        <f t="shared" si="3"/>
        <v>-740</v>
      </c>
      <c r="K22" s="3">
        <f t="shared" si="3"/>
        <v>-2813</v>
      </c>
      <c r="L22" s="3">
        <f t="shared" si="3"/>
        <v>-968</v>
      </c>
      <c r="M22" s="3">
        <f t="shared" si="3"/>
        <v>-1009</v>
      </c>
      <c r="N22" s="3">
        <f t="shared" si="3"/>
        <v>-1179</v>
      </c>
      <c r="O22" s="3">
        <f t="shared" si="3"/>
        <v>0</v>
      </c>
      <c r="P22" s="3">
        <f t="shared" si="3"/>
        <v>-1134</v>
      </c>
      <c r="Q22" s="3">
        <f t="shared" si="3"/>
        <v>0</v>
      </c>
      <c r="R22" s="3">
        <f t="shared" si="3"/>
        <v>0</v>
      </c>
    </row>
    <row r="23" spans="1:18" ht="21.75" customHeight="1">
      <c r="E23" s="19" t="s">
        <v>49</v>
      </c>
      <c r="F23" s="37">
        <f>SUM(G23:R23)</f>
        <v>513494.3</v>
      </c>
      <c r="G23" s="38">
        <f>G8+G9+G17+G22</f>
        <v>41254</v>
      </c>
      <c r="H23" s="38">
        <f t="shared" ref="H23:R23" si="4">H8+H9+H17+H22</f>
        <v>39936</v>
      </c>
      <c r="I23" s="38">
        <f t="shared" si="4"/>
        <v>42354</v>
      </c>
      <c r="J23" s="38">
        <f t="shared" si="4"/>
        <v>41616</v>
      </c>
      <c r="K23" s="38">
        <f t="shared" si="4"/>
        <v>47204.3</v>
      </c>
      <c r="L23" s="38">
        <f t="shared" si="4"/>
        <v>43017</v>
      </c>
      <c r="M23" s="38">
        <f t="shared" si="4"/>
        <v>43361</v>
      </c>
      <c r="N23" s="38">
        <f t="shared" si="4"/>
        <v>44148</v>
      </c>
      <c r="O23" s="38">
        <f t="shared" si="4"/>
        <v>44568</v>
      </c>
      <c r="P23" s="38">
        <f t="shared" si="4"/>
        <v>42433</v>
      </c>
      <c r="Q23" s="38">
        <f t="shared" si="4"/>
        <v>42203</v>
      </c>
      <c r="R23" s="38">
        <f t="shared" si="4"/>
        <v>41400</v>
      </c>
    </row>
  </sheetData>
  <mergeCells count="4">
    <mergeCell ref="E19:F19"/>
    <mergeCell ref="E20:F20"/>
    <mergeCell ref="E21:F21"/>
    <mergeCell ref="E18:F18"/>
  </mergeCells>
  <phoneticPr fontId="5" type="noConversion"/>
  <hyperlinks>
    <hyperlink ref="C7" r:id="rId1" xr:uid="{00000000-0004-0000-0100-000000000000}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28"/>
  <sheetViews>
    <sheetView showZeros="0" zoomScaleNormal="100" workbookViewId="0">
      <selection activeCell="G25" sqref="G25:R26"/>
    </sheetView>
  </sheetViews>
  <sheetFormatPr defaultColWidth="9.09765625" defaultRowHeight="22.5" customHeight="1"/>
  <cols>
    <col min="1" max="1" width="8" style="176" customWidth="1"/>
    <col min="2" max="2" width="9.09765625" style="176"/>
    <col min="3" max="3" width="11.59765625" style="176" customWidth="1"/>
    <col min="4" max="4" width="9.09765625" style="176"/>
    <col min="5" max="5" width="10.5" style="176" customWidth="1"/>
    <col min="6" max="6" width="17.796875" style="176" customWidth="1"/>
    <col min="7" max="18" width="9.09765625" style="176"/>
    <col min="19" max="19" width="10.296875" style="176" customWidth="1"/>
    <col min="20" max="22" width="11.5" style="176" customWidth="1"/>
    <col min="23" max="16384" width="9.09765625" style="176"/>
  </cols>
  <sheetData>
    <row r="2" spans="1:20" ht="22.5" customHeight="1">
      <c r="A2" s="172"/>
      <c r="B2" s="175" t="s">
        <v>26</v>
      </c>
      <c r="C2" s="174" t="s">
        <v>27</v>
      </c>
      <c r="D2" s="13" t="s">
        <v>28</v>
      </c>
      <c r="E2" s="13" t="s">
        <v>29</v>
      </c>
      <c r="F2" s="172" t="s">
        <v>30</v>
      </c>
      <c r="G2" s="175" t="s">
        <v>14</v>
      </c>
      <c r="H2" s="175" t="s">
        <v>15</v>
      </c>
      <c r="I2" s="175" t="s">
        <v>16</v>
      </c>
      <c r="J2" s="175" t="s">
        <v>17</v>
      </c>
      <c r="K2" s="175" t="s">
        <v>18</v>
      </c>
      <c r="L2" s="175" t="s">
        <v>19</v>
      </c>
      <c r="M2" s="175" t="s">
        <v>20</v>
      </c>
      <c r="N2" s="175" t="s">
        <v>21</v>
      </c>
      <c r="O2" s="175" t="s">
        <v>22</v>
      </c>
      <c r="P2" s="175" t="s">
        <v>23</v>
      </c>
      <c r="Q2" s="175" t="s">
        <v>24</v>
      </c>
      <c r="R2" s="175" t="s">
        <v>25</v>
      </c>
    </row>
    <row r="3" spans="1:20" ht="22.5" customHeight="1">
      <c r="A3" s="177" t="s">
        <v>31</v>
      </c>
      <c r="B3" s="177" t="s">
        <v>202</v>
      </c>
      <c r="C3" s="178"/>
      <c r="D3" s="13">
        <v>16000</v>
      </c>
      <c r="E3" s="168">
        <v>32000</v>
      </c>
      <c r="F3" s="135" t="s">
        <v>201</v>
      </c>
      <c r="G3" s="177"/>
      <c r="H3" s="177"/>
      <c r="I3" s="177">
        <v>42811</v>
      </c>
      <c r="J3" s="177">
        <v>42835</v>
      </c>
      <c r="K3" s="10">
        <v>42881</v>
      </c>
      <c r="L3" s="10" t="s">
        <v>184</v>
      </c>
      <c r="M3" s="10">
        <v>42916</v>
      </c>
      <c r="N3" s="10">
        <v>42943</v>
      </c>
      <c r="O3" s="10">
        <v>42975</v>
      </c>
      <c r="P3" s="10">
        <v>43005</v>
      </c>
      <c r="Q3" s="10">
        <v>43041</v>
      </c>
      <c r="R3" s="10">
        <v>43067</v>
      </c>
    </row>
    <row r="4" spans="1:20" ht="22.5" customHeight="1">
      <c r="A4" s="172"/>
      <c r="B4" s="172"/>
      <c r="C4" s="174"/>
      <c r="D4" s="13"/>
      <c r="E4" s="13"/>
      <c r="F4" s="166"/>
      <c r="G4" s="13"/>
      <c r="H4" s="13"/>
      <c r="I4" s="168">
        <v>8200</v>
      </c>
      <c r="J4" s="168">
        <v>17000</v>
      </c>
      <c r="K4" s="168">
        <v>17000</v>
      </c>
      <c r="L4" s="168">
        <v>10766</v>
      </c>
      <c r="M4" s="168">
        <f>20000+10000</f>
        <v>30000</v>
      </c>
      <c r="N4" s="168">
        <f>18000-2350</f>
        <v>15650</v>
      </c>
      <c r="O4" s="168">
        <v>16000</v>
      </c>
      <c r="P4" s="168">
        <v>16000</v>
      </c>
      <c r="Q4" s="168">
        <v>16000</v>
      </c>
      <c r="R4" s="168">
        <v>16000</v>
      </c>
    </row>
    <row r="5" spans="1:20" ht="22.5" customHeight="1">
      <c r="A5" s="177" t="s">
        <v>32</v>
      </c>
      <c r="B5" s="179" t="s">
        <v>195</v>
      </c>
      <c r="C5" s="180"/>
      <c r="D5" s="13">
        <v>17000</v>
      </c>
      <c r="E5" s="168">
        <v>34000</v>
      </c>
      <c r="F5" s="135" t="s">
        <v>196</v>
      </c>
      <c r="G5" s="177"/>
      <c r="H5" s="177"/>
      <c r="I5" s="177"/>
      <c r="J5" s="177"/>
      <c r="K5" s="10">
        <v>42854</v>
      </c>
      <c r="L5" s="177" t="s">
        <v>185</v>
      </c>
      <c r="M5" s="10">
        <v>42926</v>
      </c>
      <c r="N5" s="10">
        <v>42957</v>
      </c>
      <c r="O5" s="10">
        <v>42986</v>
      </c>
      <c r="P5" s="10">
        <v>43018</v>
      </c>
      <c r="Q5" s="10">
        <v>43048</v>
      </c>
      <c r="R5" s="10"/>
    </row>
    <row r="6" spans="1:20" ht="22.5" customHeight="1">
      <c r="A6" s="172"/>
      <c r="B6" s="181"/>
      <c r="C6" s="182"/>
      <c r="D6" s="13"/>
      <c r="E6" s="13"/>
      <c r="F6" s="137"/>
      <c r="G6" s="183"/>
      <c r="H6" s="183"/>
      <c r="I6" s="183"/>
      <c r="J6" s="183"/>
      <c r="K6" s="168">
        <v>16000</v>
      </c>
      <c r="L6" s="168">
        <f>16000+4800</f>
        <v>20800</v>
      </c>
      <c r="M6" s="168">
        <v>16000</v>
      </c>
      <c r="N6" s="168">
        <f>16000+6032</f>
        <v>22032</v>
      </c>
      <c r="O6" s="168">
        <v>17000</v>
      </c>
      <c r="P6" s="168">
        <v>17000</v>
      </c>
      <c r="Q6" s="168">
        <f>17000/30*15+17000</f>
        <v>25500</v>
      </c>
      <c r="R6" s="13"/>
    </row>
    <row r="7" spans="1:20" ht="22.5" customHeight="1">
      <c r="A7" s="177" t="s">
        <v>33</v>
      </c>
      <c r="B7" s="179" t="s">
        <v>34</v>
      </c>
      <c r="C7" s="180" t="s">
        <v>35</v>
      </c>
      <c r="D7" s="13">
        <v>17000</v>
      </c>
      <c r="E7" s="168">
        <v>34000</v>
      </c>
      <c r="F7" s="135" t="s">
        <v>36</v>
      </c>
      <c r="G7" s="183"/>
      <c r="H7" s="177"/>
      <c r="I7" s="177">
        <v>42795</v>
      </c>
      <c r="J7" s="177">
        <v>42834</v>
      </c>
      <c r="K7" s="177">
        <v>42859</v>
      </c>
      <c r="L7" s="177">
        <v>42892</v>
      </c>
      <c r="M7" s="177">
        <v>42923</v>
      </c>
      <c r="N7" s="177">
        <v>42956</v>
      </c>
      <c r="O7" s="177">
        <v>42983</v>
      </c>
      <c r="P7" s="10">
        <v>43015</v>
      </c>
      <c r="Q7" s="10">
        <v>43044</v>
      </c>
      <c r="R7" s="13" t="s">
        <v>239</v>
      </c>
    </row>
    <row r="8" spans="1:20" ht="22.5" customHeight="1">
      <c r="A8" s="172"/>
      <c r="B8" s="181"/>
      <c r="C8" s="184" t="s">
        <v>129</v>
      </c>
      <c r="D8" s="13"/>
      <c r="E8" s="13"/>
      <c r="F8" s="137"/>
      <c r="G8" s="183"/>
      <c r="H8" s="183"/>
      <c r="I8" s="39">
        <v>17000</v>
      </c>
      <c r="J8" s="39">
        <v>17000</v>
      </c>
      <c r="K8" s="168">
        <v>17000</v>
      </c>
      <c r="L8" s="168">
        <v>17000</v>
      </c>
      <c r="M8" s="168">
        <v>17000</v>
      </c>
      <c r="N8" s="168">
        <v>17000</v>
      </c>
      <c r="O8" s="168">
        <v>17000</v>
      </c>
      <c r="P8" s="168">
        <v>17000</v>
      </c>
      <c r="Q8" s="168">
        <v>17000</v>
      </c>
      <c r="R8" s="13">
        <v>2833</v>
      </c>
    </row>
    <row r="9" spans="1:20" ht="22.5" customHeight="1">
      <c r="A9" s="177" t="s">
        <v>37</v>
      </c>
      <c r="B9" s="179" t="s">
        <v>38</v>
      </c>
      <c r="C9" s="180" t="s">
        <v>39</v>
      </c>
      <c r="D9" s="13">
        <v>17000</v>
      </c>
      <c r="E9" s="168">
        <v>34000</v>
      </c>
      <c r="F9" s="135" t="s">
        <v>40</v>
      </c>
      <c r="G9" s="183"/>
      <c r="H9" s="177">
        <v>42783</v>
      </c>
      <c r="I9" s="177">
        <v>42800</v>
      </c>
      <c r="J9" s="177">
        <v>42835</v>
      </c>
      <c r="K9" s="177">
        <v>42865</v>
      </c>
      <c r="L9" s="177">
        <v>42895</v>
      </c>
      <c r="M9" s="177">
        <v>42923</v>
      </c>
      <c r="N9" s="177">
        <v>42955</v>
      </c>
      <c r="O9" s="177">
        <v>42986</v>
      </c>
      <c r="P9" s="10">
        <v>43018</v>
      </c>
      <c r="Q9" s="10">
        <v>43048</v>
      </c>
      <c r="R9" s="10">
        <v>43070</v>
      </c>
    </row>
    <row r="10" spans="1:20" ht="22.5" customHeight="1">
      <c r="A10" s="172"/>
      <c r="B10" s="181"/>
      <c r="C10" s="184" t="s">
        <v>129</v>
      </c>
      <c r="D10" s="13"/>
      <c r="E10" s="13"/>
      <c r="F10" s="137"/>
      <c r="G10" s="183"/>
      <c r="H10" s="39">
        <v>6677</v>
      </c>
      <c r="I10" s="39">
        <v>17000</v>
      </c>
      <c r="J10" s="39">
        <v>17000</v>
      </c>
      <c r="K10" s="168">
        <v>17000</v>
      </c>
      <c r="L10" s="168">
        <v>17000</v>
      </c>
      <c r="M10" s="168">
        <v>17000</v>
      </c>
      <c r="N10" s="168">
        <v>17000</v>
      </c>
      <c r="O10" s="168">
        <v>17000</v>
      </c>
      <c r="P10" s="168">
        <v>17000</v>
      </c>
      <c r="Q10" s="168">
        <v>17000</v>
      </c>
      <c r="R10" s="168">
        <v>17000</v>
      </c>
    </row>
    <row r="11" spans="1:20" ht="22.5" customHeight="1">
      <c r="A11" s="185"/>
      <c r="B11" s="185"/>
      <c r="C11" s="186"/>
      <c r="D11" s="173">
        <v>51000</v>
      </c>
      <c r="E11" s="187">
        <v>102000</v>
      </c>
      <c r="F11" s="187" t="s">
        <v>41</v>
      </c>
      <c r="G11" s="187">
        <v>0</v>
      </c>
      <c r="H11" s="188">
        <v>6677</v>
      </c>
      <c r="I11" s="188">
        <f t="shared" ref="I11:R11" si="0">I4+I6+I8+I10</f>
        <v>42200</v>
      </c>
      <c r="J11" s="188">
        <f t="shared" si="0"/>
        <v>51000</v>
      </c>
      <c r="K11" s="188">
        <f t="shared" si="0"/>
        <v>67000</v>
      </c>
      <c r="L11" s="188">
        <f t="shared" si="0"/>
        <v>65566</v>
      </c>
      <c r="M11" s="188">
        <f t="shared" si="0"/>
        <v>80000</v>
      </c>
      <c r="N11" s="188">
        <f t="shared" si="0"/>
        <v>71682</v>
      </c>
      <c r="O11" s="188">
        <f t="shared" si="0"/>
        <v>67000</v>
      </c>
      <c r="P11" s="188">
        <f t="shared" si="0"/>
        <v>67000</v>
      </c>
      <c r="Q11" s="187">
        <f t="shared" si="0"/>
        <v>75500</v>
      </c>
      <c r="R11" s="187">
        <f t="shared" si="0"/>
        <v>35833</v>
      </c>
    </row>
    <row r="12" spans="1:20" ht="22.5" customHeight="1">
      <c r="A12" s="185"/>
      <c r="B12" s="185"/>
      <c r="C12" s="186"/>
      <c r="D12" s="323" t="s">
        <v>42</v>
      </c>
      <c r="E12" s="323"/>
      <c r="F12" s="189">
        <v>0.1</v>
      </c>
      <c r="G12" s="59">
        <f>-G11*$F$12</f>
        <v>0</v>
      </c>
      <c r="H12" s="59">
        <f>-H11*$F$12</f>
        <v>-667.7</v>
      </c>
      <c r="I12" s="59">
        <f>-I11*$F$12</f>
        <v>-4220</v>
      </c>
      <c r="J12" s="59">
        <f>-J11*$F$12</f>
        <v>-5100</v>
      </c>
      <c r="K12" s="59">
        <f t="shared" ref="K12:R12" si="1">-K11*$F$12</f>
        <v>-6700</v>
      </c>
      <c r="L12" s="59">
        <f t="shared" si="1"/>
        <v>-6556.6</v>
      </c>
      <c r="M12" s="59">
        <f t="shared" si="1"/>
        <v>-8000</v>
      </c>
      <c r="N12" s="59">
        <f t="shared" si="1"/>
        <v>-7168.2000000000007</v>
      </c>
      <c r="O12" s="59">
        <f t="shared" si="1"/>
        <v>-6700</v>
      </c>
      <c r="P12" s="59">
        <f t="shared" si="1"/>
        <v>-6700</v>
      </c>
      <c r="Q12" s="60">
        <f t="shared" si="1"/>
        <v>-7550</v>
      </c>
      <c r="R12" s="60">
        <f t="shared" si="1"/>
        <v>-3583.3</v>
      </c>
      <c r="S12" s="275"/>
    </row>
    <row r="13" spans="1:20" ht="22.5" customHeight="1">
      <c r="A13" s="190"/>
      <c r="B13" s="190"/>
      <c r="C13" s="190"/>
      <c r="D13" s="324" t="s">
        <v>43</v>
      </c>
      <c r="E13" s="324"/>
      <c r="F13" s="324"/>
      <c r="G13" s="59">
        <v>-165</v>
      </c>
      <c r="H13" s="191"/>
      <c r="I13" s="59">
        <v>-291</v>
      </c>
      <c r="J13" s="59"/>
      <c r="K13" s="59">
        <v>-198</v>
      </c>
      <c r="L13" s="32"/>
      <c r="M13" s="32">
        <v>-270</v>
      </c>
      <c r="N13" s="192"/>
      <c r="O13" s="32">
        <v>-375</v>
      </c>
      <c r="P13" s="192"/>
      <c r="Q13" s="196">
        <v>-404</v>
      </c>
      <c r="R13" s="192"/>
      <c r="S13" s="275"/>
    </row>
    <row r="14" spans="1:20" ht="22.5" customHeight="1">
      <c r="A14" s="193"/>
      <c r="B14" s="193"/>
      <c r="C14" s="193"/>
      <c r="D14" s="324" t="s">
        <v>44</v>
      </c>
      <c r="E14" s="324"/>
      <c r="F14" s="324"/>
      <c r="G14" s="194"/>
      <c r="H14" s="194">
        <v>-262</v>
      </c>
      <c r="I14" s="194"/>
      <c r="J14" s="194">
        <v>-2908</v>
      </c>
      <c r="K14" s="60"/>
      <c r="L14" s="196">
        <v>-2759</v>
      </c>
      <c r="M14" s="31"/>
      <c r="N14" s="32">
        <v>-5379</v>
      </c>
      <c r="O14" s="31"/>
      <c r="P14" s="32">
        <v>-8249</v>
      </c>
      <c r="Q14" s="192"/>
      <c r="R14" s="196">
        <v>-4999</v>
      </c>
      <c r="S14" s="275"/>
    </row>
    <row r="15" spans="1:20" ht="22.5" customHeight="1">
      <c r="A15" s="190"/>
      <c r="B15" s="190"/>
      <c r="C15" s="190"/>
      <c r="D15" s="325" t="s">
        <v>240</v>
      </c>
      <c r="E15" s="325"/>
      <c r="F15" s="325"/>
      <c r="G15" s="195"/>
      <c r="H15" s="194">
        <v>-2225</v>
      </c>
      <c r="I15" s="194">
        <v>-5250</v>
      </c>
      <c r="J15" s="59"/>
      <c r="K15" s="194"/>
      <c r="L15" s="32">
        <v>-5250</v>
      </c>
      <c r="M15" s="196"/>
      <c r="N15" s="196"/>
      <c r="O15" s="32">
        <v>-5250</v>
      </c>
      <c r="P15" s="32"/>
      <c r="Q15" s="196"/>
      <c r="R15" s="196">
        <v>-750</v>
      </c>
      <c r="S15" s="275"/>
    </row>
    <row r="16" spans="1:20" ht="22.5" customHeight="1">
      <c r="A16" s="190"/>
      <c r="B16" s="190"/>
      <c r="C16" s="190"/>
      <c r="D16" s="325" t="s">
        <v>241</v>
      </c>
      <c r="E16" s="325"/>
      <c r="F16" s="325"/>
      <c r="G16" s="195"/>
      <c r="H16" s="195"/>
      <c r="I16" s="195"/>
      <c r="J16" s="60"/>
      <c r="K16" s="195"/>
      <c r="L16" s="31"/>
      <c r="M16" s="192"/>
      <c r="N16" s="192"/>
      <c r="O16" s="31"/>
      <c r="P16" s="31"/>
      <c r="Q16" s="192"/>
      <c r="R16" s="196">
        <v>-2000</v>
      </c>
      <c r="S16" s="275"/>
      <c r="T16" s="274"/>
    </row>
    <row r="17" spans="1:19" ht="22.5" customHeight="1" thickBot="1">
      <c r="A17" s="190"/>
      <c r="B17" s="190"/>
      <c r="C17" s="190"/>
      <c r="D17" s="325" t="s">
        <v>45</v>
      </c>
      <c r="E17" s="325"/>
      <c r="F17" s="325"/>
      <c r="G17" s="192">
        <f>SUM(G12:G16)</f>
        <v>-165</v>
      </c>
      <c r="H17" s="192">
        <f>SUM(H12:H16)</f>
        <v>-3154.7</v>
      </c>
      <c r="I17" s="192">
        <f t="shared" ref="I17:R17" si="2">SUM(I12:I16)</f>
        <v>-9761</v>
      </c>
      <c r="J17" s="192">
        <f t="shared" si="2"/>
        <v>-8008</v>
      </c>
      <c r="K17" s="192">
        <f t="shared" si="2"/>
        <v>-6898</v>
      </c>
      <c r="L17" s="192">
        <f t="shared" si="2"/>
        <v>-14565.6</v>
      </c>
      <c r="M17" s="192">
        <f t="shared" si="2"/>
        <v>-8270</v>
      </c>
      <c r="N17" s="192">
        <f t="shared" si="2"/>
        <v>-12547.2</v>
      </c>
      <c r="O17" s="192">
        <f t="shared" si="2"/>
        <v>-12325</v>
      </c>
      <c r="P17" s="192">
        <f t="shared" si="2"/>
        <v>-14949</v>
      </c>
      <c r="Q17" s="192">
        <f t="shared" si="2"/>
        <v>-7954</v>
      </c>
      <c r="R17" s="192">
        <f t="shared" si="2"/>
        <v>-11332.3</v>
      </c>
      <c r="S17" s="277"/>
    </row>
    <row r="18" spans="1:19" ht="22.5" customHeight="1">
      <c r="B18" s="197"/>
      <c r="C18" s="198"/>
      <c r="D18" s="197"/>
      <c r="E18" s="199"/>
      <c r="F18" s="200"/>
      <c r="G18" s="201" t="s">
        <v>14</v>
      </c>
      <c r="H18" s="201" t="s">
        <v>15</v>
      </c>
      <c r="I18" s="201" t="s">
        <v>16</v>
      </c>
      <c r="J18" s="201" t="s">
        <v>17</v>
      </c>
      <c r="K18" s="201" t="s">
        <v>18</v>
      </c>
      <c r="L18" s="201" t="s">
        <v>19</v>
      </c>
      <c r="M18" s="201" t="s">
        <v>20</v>
      </c>
      <c r="N18" s="201" t="s">
        <v>21</v>
      </c>
      <c r="O18" s="201" t="s">
        <v>22</v>
      </c>
      <c r="P18" s="201" t="s">
        <v>23</v>
      </c>
      <c r="Q18" s="201" t="s">
        <v>24</v>
      </c>
      <c r="R18" s="202" t="s">
        <v>25</v>
      </c>
      <c r="S18" s="320" t="s">
        <v>242</v>
      </c>
    </row>
    <row r="19" spans="1:19" ht="22.5" customHeight="1">
      <c r="B19" s="197"/>
      <c r="C19" s="198"/>
      <c r="D19" s="197"/>
      <c r="E19" s="85" t="s">
        <v>31</v>
      </c>
      <c r="F19" s="68" t="s">
        <v>46</v>
      </c>
      <c r="G19" s="69">
        <v>88</v>
      </c>
      <c r="H19" s="69">
        <v>88</v>
      </c>
      <c r="I19" s="69">
        <v>88</v>
      </c>
      <c r="J19" s="69">
        <v>302</v>
      </c>
      <c r="K19" s="69">
        <v>460</v>
      </c>
      <c r="L19" s="69">
        <v>614</v>
      </c>
      <c r="M19" s="69">
        <v>648</v>
      </c>
      <c r="N19" s="69">
        <v>1186</v>
      </c>
      <c r="O19" s="69" t="s">
        <v>214</v>
      </c>
      <c r="P19" s="69">
        <v>1778</v>
      </c>
      <c r="Q19" s="69">
        <v>2034</v>
      </c>
      <c r="R19" s="97">
        <v>2234</v>
      </c>
      <c r="S19" s="321"/>
    </row>
    <row r="20" spans="1:19" ht="22.5" customHeight="1">
      <c r="B20" s="197"/>
      <c r="C20" s="198"/>
      <c r="D20" s="197"/>
      <c r="E20" s="203"/>
      <c r="F20" s="204" t="s">
        <v>47</v>
      </c>
      <c r="G20" s="71"/>
      <c r="H20" s="23">
        <v>0</v>
      </c>
      <c r="I20" s="23">
        <v>0</v>
      </c>
      <c r="J20" s="22">
        <v>1177</v>
      </c>
      <c r="K20" s="22">
        <v>869</v>
      </c>
      <c r="L20" s="22">
        <v>847</v>
      </c>
      <c r="M20" s="23"/>
      <c r="N20" s="22">
        <v>2959</v>
      </c>
      <c r="O20" s="22">
        <v>1628</v>
      </c>
      <c r="P20" s="22">
        <v>1595</v>
      </c>
      <c r="Q20" s="22">
        <v>1408</v>
      </c>
      <c r="R20" s="22">
        <v>1100</v>
      </c>
      <c r="S20" s="321"/>
    </row>
    <row r="21" spans="1:19" ht="22.5" customHeight="1">
      <c r="B21" s="197"/>
      <c r="C21" s="198"/>
      <c r="D21" s="197"/>
      <c r="E21" s="85" t="s">
        <v>32</v>
      </c>
      <c r="F21" s="68" t="s">
        <v>46</v>
      </c>
      <c r="G21" s="69"/>
      <c r="H21" s="69"/>
      <c r="I21" s="69"/>
      <c r="J21" s="69">
        <v>152</v>
      </c>
      <c r="K21" s="69">
        <v>248</v>
      </c>
      <c r="L21" s="69">
        <v>426</v>
      </c>
      <c r="M21" s="69">
        <v>512</v>
      </c>
      <c r="N21" s="69" t="s">
        <v>197</v>
      </c>
      <c r="O21" s="69">
        <v>998</v>
      </c>
      <c r="P21" s="69"/>
      <c r="Q21" s="69">
        <v>1189</v>
      </c>
      <c r="R21" s="97"/>
      <c r="S21" s="321"/>
    </row>
    <row r="22" spans="1:19" ht="22.5" customHeight="1">
      <c r="B22" s="197"/>
      <c r="C22" s="198"/>
      <c r="D22" s="197"/>
      <c r="E22" s="203"/>
      <c r="F22" s="204" t="s">
        <v>47</v>
      </c>
      <c r="G22" s="71"/>
      <c r="H22" s="23">
        <v>0</v>
      </c>
      <c r="I22" s="23">
        <v>0</v>
      </c>
      <c r="J22" s="23"/>
      <c r="K22" s="22">
        <v>528</v>
      </c>
      <c r="L22" s="22">
        <v>979</v>
      </c>
      <c r="M22" s="22">
        <v>473</v>
      </c>
      <c r="N22" s="22">
        <v>528</v>
      </c>
      <c r="O22" s="22">
        <v>1848</v>
      </c>
      <c r="P22" s="206"/>
      <c r="Q22" s="22">
        <v>1050.5</v>
      </c>
      <c r="R22" s="23">
        <v>0</v>
      </c>
      <c r="S22" s="321"/>
    </row>
    <row r="23" spans="1:19" ht="22.5" customHeight="1">
      <c r="B23" s="197"/>
      <c r="C23" s="198"/>
      <c r="D23" s="197"/>
      <c r="E23" s="205" t="s">
        <v>33</v>
      </c>
      <c r="F23" s="68" t="s">
        <v>46</v>
      </c>
      <c r="G23" s="72">
        <v>113</v>
      </c>
      <c r="H23" s="72">
        <v>113</v>
      </c>
      <c r="I23" s="72">
        <v>355</v>
      </c>
      <c r="J23" s="72">
        <v>571</v>
      </c>
      <c r="K23" s="206">
        <v>779</v>
      </c>
      <c r="L23" s="206">
        <v>1061</v>
      </c>
      <c r="M23" s="206">
        <v>1365</v>
      </c>
      <c r="N23" s="206">
        <v>1697</v>
      </c>
      <c r="O23" s="206">
        <v>1993</v>
      </c>
      <c r="P23" s="206">
        <v>2263</v>
      </c>
      <c r="Q23" s="206"/>
      <c r="R23" s="207">
        <v>2495</v>
      </c>
      <c r="S23" s="321"/>
    </row>
    <row r="24" spans="1:19" ht="22.5" customHeight="1">
      <c r="B24" s="197"/>
      <c r="C24" s="198"/>
      <c r="D24" s="197"/>
      <c r="E24" s="203"/>
      <c r="F24" s="204" t="s">
        <v>47</v>
      </c>
      <c r="G24" s="71"/>
      <c r="H24" s="23">
        <v>0</v>
      </c>
      <c r="I24" s="22">
        <v>1331</v>
      </c>
      <c r="J24" s="22">
        <v>1188</v>
      </c>
      <c r="K24" s="22">
        <v>1144</v>
      </c>
      <c r="L24" s="22">
        <v>1551</v>
      </c>
      <c r="M24" s="22">
        <v>1672</v>
      </c>
      <c r="N24" s="22">
        <v>1826</v>
      </c>
      <c r="O24" s="22">
        <v>1628</v>
      </c>
      <c r="P24" s="22">
        <v>1485</v>
      </c>
      <c r="Q24" s="23">
        <v>0</v>
      </c>
      <c r="R24" s="22">
        <v>1276</v>
      </c>
      <c r="S24" s="321"/>
    </row>
    <row r="25" spans="1:19" ht="22.5" customHeight="1">
      <c r="B25" s="197"/>
      <c r="C25" s="198"/>
      <c r="D25" s="197"/>
      <c r="E25" s="205" t="s">
        <v>37</v>
      </c>
      <c r="F25" s="68" t="s">
        <v>46</v>
      </c>
      <c r="G25" s="69">
        <v>244</v>
      </c>
      <c r="H25" s="69">
        <v>244</v>
      </c>
      <c r="I25" s="69">
        <v>450</v>
      </c>
      <c r="J25" s="69">
        <v>546</v>
      </c>
      <c r="K25" s="206">
        <v>590</v>
      </c>
      <c r="L25" s="206">
        <v>700</v>
      </c>
      <c r="M25" s="206">
        <v>840</v>
      </c>
      <c r="N25" s="206">
        <v>1070</v>
      </c>
      <c r="O25" s="206">
        <v>1216</v>
      </c>
      <c r="P25" s="206">
        <v>1378</v>
      </c>
      <c r="Q25" s="206">
        <v>1498</v>
      </c>
      <c r="R25" s="207">
        <v>1656</v>
      </c>
      <c r="S25" s="321"/>
    </row>
    <row r="26" spans="1:19" ht="22.5" customHeight="1">
      <c r="B26" s="197"/>
      <c r="C26" s="198"/>
      <c r="D26" s="197"/>
      <c r="E26" s="208"/>
      <c r="F26" s="204" t="s">
        <v>47</v>
      </c>
      <c r="G26" s="71"/>
      <c r="H26" s="23">
        <v>0</v>
      </c>
      <c r="I26" s="22">
        <v>1133</v>
      </c>
      <c r="J26" s="22">
        <v>528</v>
      </c>
      <c r="K26" s="22">
        <v>242</v>
      </c>
      <c r="L26" s="22">
        <v>605</v>
      </c>
      <c r="M26" s="22">
        <v>770</v>
      </c>
      <c r="N26" s="22">
        <v>1265</v>
      </c>
      <c r="O26" s="22">
        <v>803</v>
      </c>
      <c r="P26" s="22">
        <v>891</v>
      </c>
      <c r="Q26" s="22">
        <v>660</v>
      </c>
      <c r="R26" s="22">
        <v>869</v>
      </c>
      <c r="S26" s="321"/>
    </row>
    <row r="27" spans="1:19" ht="22.5" customHeight="1" thickBot="1">
      <c r="B27" s="197"/>
      <c r="C27" s="198"/>
      <c r="D27" s="197"/>
      <c r="E27" s="209"/>
      <c r="F27" s="95" t="s">
        <v>48</v>
      </c>
      <c r="G27" s="95">
        <v>0</v>
      </c>
      <c r="H27" s="95">
        <v>0</v>
      </c>
      <c r="I27" s="95">
        <v>2464</v>
      </c>
      <c r="J27" s="95">
        <v>2893</v>
      </c>
      <c r="K27" s="95">
        <v>2783</v>
      </c>
      <c r="L27" s="95">
        <v>3982</v>
      </c>
      <c r="M27" s="95">
        <v>2915</v>
      </c>
      <c r="N27" s="95">
        <v>6578</v>
      </c>
      <c r="O27" s="95">
        <v>5907</v>
      </c>
      <c r="P27" s="95">
        <v>3971</v>
      </c>
      <c r="Q27" s="95">
        <v>3118.5</v>
      </c>
      <c r="R27" s="99">
        <v>3245</v>
      </c>
      <c r="S27" s="322"/>
    </row>
    <row r="28" spans="1:19" ht="22.5" customHeight="1">
      <c r="E28" s="273"/>
      <c r="F28" s="273">
        <f>SUBTOTAL(109,表格16[[#All],[欄2]])</f>
        <v>0</v>
      </c>
      <c r="G28" s="195">
        <f>G11+G17+G27</f>
        <v>-165</v>
      </c>
      <c r="H28" s="195">
        <f>H11+H17+H27</f>
        <v>3522.3</v>
      </c>
      <c r="I28" s="195">
        <f>I11+I17+I27</f>
        <v>34903</v>
      </c>
      <c r="J28" s="195">
        <f t="shared" ref="J28:R28" si="3">J11+J17+J27</f>
        <v>45885</v>
      </c>
      <c r="K28" s="195">
        <f t="shared" si="3"/>
        <v>62885</v>
      </c>
      <c r="L28" s="195">
        <f t="shared" si="3"/>
        <v>54982.400000000001</v>
      </c>
      <c r="M28" s="195">
        <f t="shared" si="3"/>
        <v>74645</v>
      </c>
      <c r="N28" s="195">
        <f t="shared" si="3"/>
        <v>65712.800000000003</v>
      </c>
      <c r="O28" s="195">
        <f t="shared" si="3"/>
        <v>60582</v>
      </c>
      <c r="P28" s="195">
        <f t="shared" si="3"/>
        <v>56022</v>
      </c>
      <c r="Q28" s="195">
        <f t="shared" si="3"/>
        <v>70664.5</v>
      </c>
      <c r="R28" s="195">
        <f t="shared" si="3"/>
        <v>27745.7</v>
      </c>
      <c r="S28" s="276">
        <f>SUM(G28:R28)</f>
        <v>557384.69999999995</v>
      </c>
    </row>
  </sheetData>
  <mergeCells count="7">
    <mergeCell ref="S18:S27"/>
    <mergeCell ref="D12:E12"/>
    <mergeCell ref="D13:F13"/>
    <mergeCell ref="D14:F14"/>
    <mergeCell ref="D15:F15"/>
    <mergeCell ref="D17:F17"/>
    <mergeCell ref="D16:F16"/>
  </mergeCells>
  <phoneticPr fontId="5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"/>
  <sheetViews>
    <sheetView showZeros="0" workbookViewId="0">
      <selection activeCell="G31" sqref="G31:R36"/>
    </sheetView>
  </sheetViews>
  <sheetFormatPr defaultColWidth="9.09765625" defaultRowHeight="21" customHeight="1"/>
  <cols>
    <col min="1" max="1" width="7" style="2" customWidth="1"/>
    <col min="2" max="2" width="15.19921875" style="16" customWidth="1"/>
    <col min="3" max="3" width="12.796875" style="16" customWidth="1"/>
    <col min="4" max="4" width="9.09765625" style="16"/>
    <col min="5" max="5" width="9.59765625" style="16" customWidth="1"/>
    <col min="6" max="6" width="18.796875" style="16" customWidth="1"/>
    <col min="7" max="8" width="9.09765625" style="161"/>
    <col min="9" max="9" width="10" style="161" customWidth="1"/>
    <col min="10" max="18" width="9.09765625" style="161"/>
    <col min="19" max="19" width="9.09765625" style="2"/>
    <col min="20" max="20" width="15.09765625" style="2" customWidth="1"/>
    <col min="21" max="23" width="14.09765625" style="2" customWidth="1"/>
    <col min="24" max="16384" width="9.09765625" style="2"/>
  </cols>
  <sheetData>
    <row r="1" spans="1:18" ht="21" customHeight="1">
      <c r="A1" s="4"/>
      <c r="B1" s="5" t="s">
        <v>26</v>
      </c>
      <c r="C1" s="6" t="s">
        <v>27</v>
      </c>
      <c r="D1" s="43" t="s">
        <v>28</v>
      </c>
      <c r="E1" s="8" t="s">
        <v>29</v>
      </c>
      <c r="F1" s="4" t="s">
        <v>30</v>
      </c>
      <c r="G1" s="46" t="s">
        <v>14</v>
      </c>
      <c r="H1" s="46" t="s">
        <v>15</v>
      </c>
      <c r="I1" s="46" t="s">
        <v>16</v>
      </c>
      <c r="J1" s="46" t="s">
        <v>17</v>
      </c>
      <c r="K1" s="46" t="s">
        <v>18</v>
      </c>
      <c r="L1" s="46" t="s">
        <v>19</v>
      </c>
      <c r="M1" s="46" t="s">
        <v>20</v>
      </c>
      <c r="N1" s="46" t="s">
        <v>21</v>
      </c>
      <c r="O1" s="46" t="s">
        <v>22</v>
      </c>
      <c r="P1" s="46" t="s">
        <v>23</v>
      </c>
      <c r="Q1" s="46" t="s">
        <v>24</v>
      </c>
      <c r="R1" s="46" t="s">
        <v>25</v>
      </c>
    </row>
    <row r="2" spans="1:18" ht="21" customHeight="1">
      <c r="A2" s="9" t="s">
        <v>31</v>
      </c>
      <c r="B2" s="9" t="s">
        <v>199</v>
      </c>
      <c r="C2" s="105" t="s">
        <v>200</v>
      </c>
      <c r="D2" s="106">
        <v>14000</v>
      </c>
      <c r="E2" s="106">
        <v>28000</v>
      </c>
      <c r="F2" s="103" t="s">
        <v>209</v>
      </c>
      <c r="G2" s="135">
        <v>42758</v>
      </c>
      <c r="H2" s="135">
        <v>42758</v>
      </c>
      <c r="I2" s="135">
        <v>42810</v>
      </c>
      <c r="J2" s="135">
        <v>42842</v>
      </c>
      <c r="K2" s="135">
        <v>42851</v>
      </c>
      <c r="L2" s="135">
        <v>42893</v>
      </c>
      <c r="M2" s="135">
        <v>42919</v>
      </c>
      <c r="N2" s="135">
        <v>42956</v>
      </c>
      <c r="O2" s="135">
        <v>42977</v>
      </c>
      <c r="P2" s="45">
        <v>43010</v>
      </c>
      <c r="Q2" s="135">
        <v>43041</v>
      </c>
      <c r="R2" s="135">
        <v>43070</v>
      </c>
    </row>
    <row r="3" spans="1:18" ht="21" customHeight="1">
      <c r="A3" s="4"/>
      <c r="B3" s="4"/>
      <c r="C3" s="107"/>
      <c r="D3" s="108"/>
      <c r="E3" s="108"/>
      <c r="F3" s="104"/>
      <c r="G3" s="136">
        <v>14500</v>
      </c>
      <c r="H3" s="136">
        <v>14500</v>
      </c>
      <c r="I3" s="136">
        <v>14500</v>
      </c>
      <c r="J3" s="136">
        <v>14500</v>
      </c>
      <c r="K3" s="136">
        <v>14500</v>
      </c>
      <c r="L3" s="136">
        <v>14500</v>
      </c>
      <c r="M3" s="136">
        <v>14500</v>
      </c>
      <c r="N3" s="136">
        <v>14500</v>
      </c>
      <c r="O3" s="136">
        <v>14000</v>
      </c>
      <c r="P3" s="136">
        <v>14000</v>
      </c>
      <c r="Q3" s="136">
        <v>14000</v>
      </c>
      <c r="R3" s="136">
        <v>14000</v>
      </c>
    </row>
    <row r="4" spans="1:18" ht="21" customHeight="1">
      <c r="A4" s="9" t="s">
        <v>32</v>
      </c>
      <c r="B4" s="47" t="s">
        <v>216</v>
      </c>
      <c r="C4" s="109"/>
      <c r="D4" s="106"/>
      <c r="E4" s="106"/>
      <c r="F4" s="103"/>
      <c r="G4" s="135">
        <v>42739</v>
      </c>
      <c r="H4" s="135">
        <v>42773</v>
      </c>
      <c r="I4" s="135">
        <v>42795</v>
      </c>
      <c r="J4" s="135">
        <v>42835</v>
      </c>
      <c r="K4" s="135">
        <v>42858</v>
      </c>
      <c r="L4" s="135">
        <v>42893</v>
      </c>
      <c r="M4" s="135">
        <v>42919</v>
      </c>
      <c r="N4" s="45">
        <v>42955</v>
      </c>
      <c r="O4" s="135">
        <v>42967</v>
      </c>
      <c r="P4" s="45">
        <v>43010</v>
      </c>
      <c r="Q4" s="135">
        <v>43035</v>
      </c>
      <c r="R4" s="135">
        <v>43074</v>
      </c>
    </row>
    <row r="5" spans="1:18" ht="21" customHeight="1">
      <c r="A5" s="4"/>
      <c r="C5" s="110"/>
      <c r="D5" s="108"/>
      <c r="E5" s="108"/>
      <c r="F5" s="104"/>
      <c r="G5" s="136">
        <v>12000</v>
      </c>
      <c r="H5" s="136">
        <v>12000</v>
      </c>
      <c r="I5" s="136">
        <v>12000</v>
      </c>
      <c r="J5" s="136">
        <v>12000</v>
      </c>
      <c r="K5" s="167">
        <v>12000</v>
      </c>
      <c r="L5" s="167">
        <v>12000</v>
      </c>
      <c r="M5" s="167">
        <v>12000</v>
      </c>
      <c r="N5" s="167">
        <f>12000-2710</f>
        <v>9290</v>
      </c>
      <c r="O5" s="167">
        <v>12000</v>
      </c>
      <c r="P5" s="167">
        <v>12000</v>
      </c>
      <c r="Q5" s="167">
        <v>12000</v>
      </c>
      <c r="R5" s="167">
        <v>12000</v>
      </c>
    </row>
    <row r="6" spans="1:18" ht="21" customHeight="1">
      <c r="A6" s="9" t="s">
        <v>33</v>
      </c>
      <c r="B6" s="101" t="s">
        <v>71</v>
      </c>
      <c r="C6" s="102" t="s">
        <v>73</v>
      </c>
      <c r="D6" s="106">
        <v>16000</v>
      </c>
      <c r="E6" s="106">
        <v>32000</v>
      </c>
      <c r="F6" s="103" t="s">
        <v>74</v>
      </c>
      <c r="G6" s="135">
        <v>43099</v>
      </c>
      <c r="H6" s="135">
        <v>42759</v>
      </c>
      <c r="I6" s="135">
        <v>42795</v>
      </c>
      <c r="J6" s="135">
        <v>42825</v>
      </c>
      <c r="K6" s="135">
        <v>42853</v>
      </c>
      <c r="L6" s="135">
        <v>42887</v>
      </c>
      <c r="M6" s="135">
        <v>42916</v>
      </c>
      <c r="N6" s="135">
        <v>42948</v>
      </c>
      <c r="O6" s="135">
        <v>42975</v>
      </c>
      <c r="P6" s="45">
        <v>43010</v>
      </c>
      <c r="Q6" s="135">
        <v>43039</v>
      </c>
      <c r="R6" s="135">
        <v>43068</v>
      </c>
    </row>
    <row r="7" spans="1:18" ht="21" customHeight="1">
      <c r="A7" s="4"/>
      <c r="B7" s="48"/>
      <c r="C7" s="111"/>
      <c r="D7" s="108"/>
      <c r="E7" s="108"/>
      <c r="F7" s="104"/>
      <c r="G7" s="136">
        <v>16000</v>
      </c>
      <c r="H7" s="136">
        <v>16000</v>
      </c>
      <c r="I7" s="136">
        <v>16000</v>
      </c>
      <c r="J7" s="136">
        <v>16000</v>
      </c>
      <c r="K7" s="136">
        <v>16000</v>
      </c>
      <c r="L7" s="136">
        <v>16000</v>
      </c>
      <c r="M7" s="136">
        <v>16000</v>
      </c>
      <c r="N7" s="136">
        <v>16000</v>
      </c>
      <c r="O7" s="167">
        <v>16000</v>
      </c>
      <c r="P7" s="167">
        <v>16000</v>
      </c>
      <c r="Q7" s="167">
        <v>16000</v>
      </c>
      <c r="R7" s="167">
        <v>16000</v>
      </c>
    </row>
    <row r="8" spans="1:18" ht="21" customHeight="1">
      <c r="A8" s="9" t="s">
        <v>37</v>
      </c>
      <c r="B8" s="102" t="s">
        <v>72</v>
      </c>
      <c r="C8" s="102" t="s">
        <v>75</v>
      </c>
      <c r="D8" s="106">
        <v>14000</v>
      </c>
      <c r="E8" s="106">
        <v>28000</v>
      </c>
      <c r="F8" s="103" t="s">
        <v>76</v>
      </c>
      <c r="G8" s="135">
        <v>42744</v>
      </c>
      <c r="H8" s="135">
        <v>42773</v>
      </c>
      <c r="I8" s="135" t="s">
        <v>50</v>
      </c>
      <c r="J8" s="135">
        <v>42839</v>
      </c>
      <c r="K8" s="135">
        <v>42857</v>
      </c>
      <c r="L8" s="135">
        <v>42894</v>
      </c>
      <c r="M8" s="135">
        <v>42914</v>
      </c>
      <c r="N8" s="135">
        <v>42949</v>
      </c>
      <c r="O8" s="135">
        <v>42978</v>
      </c>
      <c r="P8" s="45">
        <v>43019</v>
      </c>
      <c r="Q8" s="135">
        <v>43040</v>
      </c>
      <c r="R8" s="135">
        <v>43075</v>
      </c>
    </row>
    <row r="9" spans="1:18" ht="21" customHeight="1">
      <c r="A9" s="78"/>
      <c r="B9" s="48"/>
      <c r="C9" s="111"/>
      <c r="D9" s="108"/>
      <c r="E9" s="108"/>
      <c r="F9" s="104"/>
      <c r="G9" s="136">
        <v>13000</v>
      </c>
      <c r="H9" s="136">
        <v>13000</v>
      </c>
      <c r="I9" s="136">
        <v>12645</v>
      </c>
      <c r="J9" s="136">
        <v>13000</v>
      </c>
      <c r="K9" s="167">
        <v>14000</v>
      </c>
      <c r="L9" s="167">
        <v>14000</v>
      </c>
      <c r="M9" s="167">
        <v>14000</v>
      </c>
      <c r="N9" s="167">
        <v>14000</v>
      </c>
      <c r="O9" s="167">
        <v>14000</v>
      </c>
      <c r="P9" s="167">
        <v>14000</v>
      </c>
      <c r="Q9" s="167">
        <v>14000</v>
      </c>
      <c r="R9" s="167">
        <v>14000</v>
      </c>
    </row>
    <row r="10" spans="1:18" ht="21" customHeight="1">
      <c r="A10" s="78" t="s">
        <v>51</v>
      </c>
      <c r="B10" s="102" t="s">
        <v>77</v>
      </c>
      <c r="C10" s="102" t="s">
        <v>78</v>
      </c>
      <c r="D10" s="106">
        <v>13000</v>
      </c>
      <c r="E10" s="106">
        <v>26000</v>
      </c>
      <c r="F10" s="103" t="s">
        <v>79</v>
      </c>
      <c r="G10" s="135">
        <v>42736</v>
      </c>
      <c r="H10" s="135">
        <v>42768</v>
      </c>
      <c r="I10" s="135">
        <v>42795</v>
      </c>
      <c r="J10" s="135">
        <v>42842</v>
      </c>
      <c r="K10" s="45">
        <v>42852</v>
      </c>
      <c r="L10" s="135">
        <v>42887</v>
      </c>
      <c r="M10" s="45">
        <v>42919</v>
      </c>
      <c r="N10" s="45">
        <v>42955</v>
      </c>
      <c r="O10" s="45">
        <v>42977</v>
      </c>
      <c r="P10" s="45">
        <v>43010</v>
      </c>
      <c r="Q10" s="45">
        <v>43045</v>
      </c>
      <c r="R10" s="45">
        <v>43073</v>
      </c>
    </row>
    <row r="11" spans="1:18" ht="21" customHeight="1">
      <c r="A11" s="78"/>
      <c r="B11" s="48"/>
      <c r="C11" s="111"/>
      <c r="D11" s="108"/>
      <c r="E11" s="108"/>
      <c r="F11" s="104"/>
      <c r="G11" s="136">
        <v>13000</v>
      </c>
      <c r="H11" s="136">
        <v>13000</v>
      </c>
      <c r="I11" s="136">
        <v>13000</v>
      </c>
      <c r="J11" s="136">
        <v>13000</v>
      </c>
      <c r="K11" s="167">
        <v>13000</v>
      </c>
      <c r="L11" s="167">
        <v>13000</v>
      </c>
      <c r="M11" s="167">
        <v>13000</v>
      </c>
      <c r="N11" s="167">
        <v>13000</v>
      </c>
      <c r="O11" s="167">
        <v>13000</v>
      </c>
      <c r="P11" s="167">
        <v>13000</v>
      </c>
      <c r="Q11" s="167">
        <v>13000</v>
      </c>
      <c r="R11" s="167">
        <v>13000</v>
      </c>
    </row>
    <row r="12" spans="1:18" ht="21" customHeight="1">
      <c r="A12" s="78" t="s">
        <v>52</v>
      </c>
      <c r="B12" s="102" t="s">
        <v>206</v>
      </c>
      <c r="C12" s="102" t="s">
        <v>208</v>
      </c>
      <c r="D12" s="106">
        <v>18000</v>
      </c>
      <c r="E12" s="106">
        <v>36000</v>
      </c>
      <c r="F12" s="103" t="s">
        <v>207</v>
      </c>
      <c r="G12" s="135">
        <v>42738</v>
      </c>
      <c r="H12" s="135">
        <v>42779</v>
      </c>
      <c r="I12" s="135">
        <v>42808</v>
      </c>
      <c r="J12" s="135">
        <v>42830</v>
      </c>
      <c r="K12" s="135">
        <v>42857</v>
      </c>
      <c r="L12" s="135">
        <v>42882</v>
      </c>
      <c r="M12" s="135"/>
      <c r="N12" s="135"/>
      <c r="O12" s="135" t="s">
        <v>210</v>
      </c>
      <c r="P12" s="135">
        <v>43010</v>
      </c>
      <c r="Q12" s="135">
        <v>43039</v>
      </c>
      <c r="R12" s="135">
        <v>43070</v>
      </c>
    </row>
    <row r="13" spans="1:18" ht="21" customHeight="1">
      <c r="A13" s="4"/>
      <c r="B13" s="48"/>
      <c r="C13" s="49"/>
      <c r="D13" s="43"/>
      <c r="E13" s="8"/>
      <c r="F13" s="14"/>
      <c r="G13" s="136">
        <v>18000</v>
      </c>
      <c r="H13" s="136">
        <v>18000</v>
      </c>
      <c r="I13" s="136">
        <v>12192</v>
      </c>
      <c r="J13" s="136">
        <v>18000</v>
      </c>
      <c r="K13" s="136">
        <v>18000</v>
      </c>
      <c r="L13" s="167">
        <v>18000</v>
      </c>
      <c r="M13" s="50"/>
      <c r="N13" s="50"/>
      <c r="O13" s="167">
        <v>12600</v>
      </c>
      <c r="P13" s="167">
        <v>18000</v>
      </c>
      <c r="Q13" s="167">
        <v>18000</v>
      </c>
      <c r="R13" s="167">
        <v>18000</v>
      </c>
    </row>
    <row r="14" spans="1:18" ht="21" customHeight="1">
      <c r="A14" s="52"/>
      <c r="B14" s="52"/>
      <c r="C14" s="53"/>
      <c r="D14" s="57">
        <v>0</v>
      </c>
      <c r="E14" s="54">
        <f>SUM(E2:E13)</f>
        <v>150000</v>
      </c>
      <c r="F14" s="55" t="s">
        <v>41</v>
      </c>
      <c r="G14" s="138">
        <f>G3+G5+G7+G9+G11+G13</f>
        <v>86500</v>
      </c>
      <c r="H14" s="138">
        <f t="shared" ref="H14:R14" si="0">H3+H5+H7+H9+H11+H13</f>
        <v>86500</v>
      </c>
      <c r="I14" s="138">
        <f t="shared" si="0"/>
        <v>80337</v>
      </c>
      <c r="J14" s="138">
        <f t="shared" si="0"/>
        <v>86500</v>
      </c>
      <c r="K14" s="138">
        <f t="shared" si="0"/>
        <v>87500</v>
      </c>
      <c r="L14" s="138">
        <f t="shared" si="0"/>
        <v>87500</v>
      </c>
      <c r="M14" s="138">
        <f>M3+M5+M7+M9+M11+M13</f>
        <v>69500</v>
      </c>
      <c r="N14" s="138">
        <f t="shared" si="0"/>
        <v>66790</v>
      </c>
      <c r="O14" s="138">
        <f t="shared" si="0"/>
        <v>81600</v>
      </c>
      <c r="P14" s="138">
        <f t="shared" si="0"/>
        <v>87000</v>
      </c>
      <c r="Q14" s="138">
        <f t="shared" si="0"/>
        <v>87000</v>
      </c>
      <c r="R14" s="138">
        <f t="shared" si="0"/>
        <v>87000</v>
      </c>
    </row>
    <row r="15" spans="1:18" ht="21" customHeight="1">
      <c r="A15" s="52"/>
      <c r="B15" s="52"/>
      <c r="C15" s="53"/>
      <c r="D15" s="323" t="s">
        <v>42</v>
      </c>
      <c r="E15" s="323"/>
      <c r="F15" s="58">
        <v>7.0000000000000007E-2</v>
      </c>
      <c r="G15" s="263">
        <f>-G14*$F$15</f>
        <v>-6055.0000000000009</v>
      </c>
      <c r="H15" s="263">
        <f t="shared" ref="H15:R15" si="1">-H14*$F$15</f>
        <v>-6055.0000000000009</v>
      </c>
      <c r="I15" s="263">
        <f t="shared" si="1"/>
        <v>-5623.59</v>
      </c>
      <c r="J15" s="263">
        <f t="shared" si="1"/>
        <v>-6055.0000000000009</v>
      </c>
      <c r="K15" s="263">
        <f t="shared" si="1"/>
        <v>-6125.0000000000009</v>
      </c>
      <c r="L15" s="263">
        <f t="shared" si="1"/>
        <v>-6125.0000000000009</v>
      </c>
      <c r="M15" s="263">
        <f t="shared" si="1"/>
        <v>-4865.0000000000009</v>
      </c>
      <c r="N15" s="263">
        <f t="shared" si="1"/>
        <v>-4675.3</v>
      </c>
      <c r="O15" s="263">
        <f t="shared" si="1"/>
        <v>-5712.0000000000009</v>
      </c>
      <c r="P15" s="263">
        <f t="shared" si="1"/>
        <v>-6090.0000000000009</v>
      </c>
      <c r="Q15" s="139">
        <f t="shared" si="1"/>
        <v>-6090.0000000000009</v>
      </c>
      <c r="R15" s="139">
        <f t="shared" si="1"/>
        <v>-6090.0000000000009</v>
      </c>
    </row>
    <row r="16" spans="1:18" ht="21" customHeight="1">
      <c r="A16" s="61"/>
      <c r="B16" s="65"/>
      <c r="C16" s="65"/>
      <c r="D16" s="324" t="s">
        <v>53</v>
      </c>
      <c r="E16" s="324"/>
      <c r="F16" s="324"/>
      <c r="G16" s="143">
        <v>-635</v>
      </c>
      <c r="H16" s="142"/>
      <c r="I16" s="143">
        <v>-726</v>
      </c>
      <c r="J16" s="143"/>
      <c r="K16" s="143">
        <v>-736</v>
      </c>
      <c r="L16" s="143"/>
      <c r="M16" s="143">
        <v>-671</v>
      </c>
      <c r="N16" s="142"/>
      <c r="O16" s="143">
        <v>-563</v>
      </c>
      <c r="P16" s="278"/>
      <c r="Q16" s="141">
        <v>-613</v>
      </c>
      <c r="R16" s="141"/>
    </row>
    <row r="17" spans="2:22" ht="21" customHeight="1">
      <c r="B17" s="62"/>
      <c r="C17" s="62"/>
      <c r="D17" s="324" t="s">
        <v>54</v>
      </c>
      <c r="E17" s="324"/>
      <c r="F17" s="324"/>
      <c r="G17" s="142">
        <v>-5126</v>
      </c>
      <c r="H17" s="142"/>
      <c r="I17" s="142">
        <v>-4671</v>
      </c>
      <c r="J17" s="142"/>
      <c r="K17" s="143">
        <v>-5179</v>
      </c>
      <c r="L17" s="142"/>
      <c r="M17" s="143">
        <v>-6082</v>
      </c>
      <c r="N17" s="143"/>
      <c r="O17" s="143">
        <v>-9402</v>
      </c>
      <c r="P17" s="143"/>
      <c r="Q17" s="140">
        <v>-12703</v>
      </c>
      <c r="R17" s="140"/>
    </row>
    <row r="18" spans="2:22" ht="21" customHeight="1">
      <c r="B18" s="65"/>
      <c r="C18" s="65"/>
      <c r="D18" s="325" t="s">
        <v>55</v>
      </c>
      <c r="E18" s="325"/>
      <c r="F18" s="325"/>
      <c r="G18" s="142">
        <v>-1344</v>
      </c>
      <c r="H18" s="142">
        <v>-1344</v>
      </c>
      <c r="I18" s="142">
        <v>-1344</v>
      </c>
      <c r="J18" s="143">
        <v>-1344</v>
      </c>
      <c r="K18" s="142">
        <v>-1344</v>
      </c>
      <c r="L18" s="143">
        <v>-1344</v>
      </c>
      <c r="M18" s="142">
        <v>-1344</v>
      </c>
      <c r="N18" s="142">
        <v>-1344</v>
      </c>
      <c r="O18" s="143">
        <v>-1344</v>
      </c>
      <c r="P18" s="143">
        <v>-1344</v>
      </c>
      <c r="Q18" s="140">
        <v>-1344</v>
      </c>
      <c r="R18" s="140">
        <v>-1344</v>
      </c>
    </row>
    <row r="19" spans="2:22" ht="21" customHeight="1">
      <c r="B19" s="65"/>
      <c r="C19" s="65"/>
      <c r="D19" s="325" t="s">
        <v>56</v>
      </c>
      <c r="E19" s="325"/>
      <c r="F19" s="325"/>
      <c r="G19" s="142">
        <v>-1545</v>
      </c>
      <c r="H19" s="142">
        <v>-1572</v>
      </c>
      <c r="I19" s="142">
        <v>-1559</v>
      </c>
      <c r="J19" s="143">
        <v>-1344</v>
      </c>
      <c r="K19" s="142">
        <v>-1344</v>
      </c>
      <c r="L19" s="143">
        <v>-1344</v>
      </c>
      <c r="M19" s="142">
        <v>-1344</v>
      </c>
      <c r="N19" s="142">
        <v>-1344</v>
      </c>
      <c r="O19" s="143">
        <v>-1344</v>
      </c>
      <c r="P19" s="143">
        <v>-1344</v>
      </c>
      <c r="Q19" s="140">
        <v>-1344</v>
      </c>
      <c r="R19" s="140">
        <v>-1344</v>
      </c>
    </row>
    <row r="20" spans="2:22" ht="21" customHeight="1">
      <c r="B20" s="65"/>
      <c r="C20" s="65"/>
      <c r="D20" s="325" t="s">
        <v>80</v>
      </c>
      <c r="E20" s="325"/>
      <c r="F20" s="325"/>
      <c r="G20" s="142">
        <v>-205</v>
      </c>
      <c r="H20" s="142"/>
      <c r="I20" s="142">
        <v>-623</v>
      </c>
      <c r="J20" s="143"/>
      <c r="K20" s="142">
        <v>-761</v>
      </c>
      <c r="L20" s="143"/>
      <c r="M20" s="142">
        <v>-673</v>
      </c>
      <c r="N20" s="142"/>
      <c r="O20" s="143">
        <v>-460</v>
      </c>
      <c r="P20" s="143"/>
      <c r="Q20" s="140">
        <v>-308</v>
      </c>
      <c r="R20" s="140"/>
    </row>
    <row r="21" spans="2:22" ht="21" customHeight="1">
      <c r="B21" s="65"/>
      <c r="C21" s="65"/>
      <c r="D21" s="325" t="s">
        <v>81</v>
      </c>
      <c r="E21" s="325"/>
      <c r="F21" s="325"/>
      <c r="G21" s="142">
        <v>-3960</v>
      </c>
      <c r="H21" s="142">
        <v>-3960</v>
      </c>
      <c r="I21" s="142">
        <v>-3960</v>
      </c>
      <c r="J21" s="142">
        <v>-3960</v>
      </c>
      <c r="K21" s="142">
        <v>-3960</v>
      </c>
      <c r="L21" s="142">
        <v>-3960</v>
      </c>
      <c r="M21" s="142">
        <v>-3960</v>
      </c>
      <c r="N21" s="142">
        <v>-3960</v>
      </c>
      <c r="O21" s="142">
        <v>-3960</v>
      </c>
      <c r="P21" s="142">
        <v>-3960</v>
      </c>
      <c r="Q21" s="142"/>
      <c r="R21" s="142"/>
    </row>
    <row r="22" spans="2:22" ht="21" customHeight="1">
      <c r="B22" s="65"/>
      <c r="C22" s="65"/>
      <c r="D22" s="325" t="s">
        <v>114</v>
      </c>
      <c r="E22" s="325"/>
      <c r="F22" s="325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T22" s="172"/>
      <c r="U22" s="172"/>
      <c r="V22" s="175"/>
    </row>
    <row r="23" spans="2:22" ht="21" customHeight="1">
      <c r="B23" s="65"/>
      <c r="C23" s="65"/>
      <c r="D23" s="325" t="s">
        <v>45</v>
      </c>
      <c r="E23" s="325"/>
      <c r="F23" s="325"/>
      <c r="G23" s="140">
        <f>SUM(G15:G22)</f>
        <v>-18870</v>
      </c>
      <c r="H23" s="140">
        <f t="shared" ref="H23:R23" si="2">SUM(H16:H22)</f>
        <v>-6876</v>
      </c>
      <c r="I23" s="140">
        <f t="shared" si="2"/>
        <v>-12883</v>
      </c>
      <c r="J23" s="140">
        <f t="shared" si="2"/>
        <v>-6648</v>
      </c>
      <c r="K23" s="140">
        <f t="shared" si="2"/>
        <v>-13324</v>
      </c>
      <c r="L23" s="140">
        <f t="shared" si="2"/>
        <v>-6648</v>
      </c>
      <c r="M23" s="140">
        <f t="shared" si="2"/>
        <v>-14074</v>
      </c>
      <c r="N23" s="140">
        <f t="shared" si="2"/>
        <v>-6648</v>
      </c>
      <c r="O23" s="140">
        <f t="shared" si="2"/>
        <v>-17073</v>
      </c>
      <c r="P23" s="140">
        <f t="shared" si="2"/>
        <v>-6648</v>
      </c>
      <c r="Q23" s="140">
        <f t="shared" si="2"/>
        <v>-16312</v>
      </c>
      <c r="R23" s="140">
        <f t="shared" si="2"/>
        <v>-2688</v>
      </c>
      <c r="T23" s="172"/>
      <c r="U23" s="172"/>
      <c r="V23" s="175"/>
    </row>
    <row r="24" spans="2:22" ht="21" customHeight="1">
      <c r="B24" s="100"/>
      <c r="C24" s="100"/>
      <c r="D24" s="100"/>
      <c r="E24" s="90"/>
      <c r="F24" s="91"/>
      <c r="G24" s="144" t="s">
        <v>14</v>
      </c>
      <c r="H24" s="144" t="s">
        <v>15</v>
      </c>
      <c r="I24" s="144" t="s">
        <v>16</v>
      </c>
      <c r="J24" s="144" t="s">
        <v>17</v>
      </c>
      <c r="K24" s="144" t="s">
        <v>18</v>
      </c>
      <c r="L24" s="144" t="s">
        <v>19</v>
      </c>
      <c r="M24" s="144" t="s">
        <v>20</v>
      </c>
      <c r="N24" s="144" t="s">
        <v>21</v>
      </c>
      <c r="O24" s="144" t="s">
        <v>22</v>
      </c>
      <c r="P24" s="144" t="s">
        <v>23</v>
      </c>
      <c r="Q24" s="144" t="s">
        <v>24</v>
      </c>
      <c r="R24" s="145" t="s">
        <v>25</v>
      </c>
      <c r="S24" s="326" t="s">
        <v>243</v>
      </c>
      <c r="V24" s="172"/>
    </row>
    <row r="25" spans="2:22" ht="21" customHeight="1">
      <c r="B25" s="100"/>
      <c r="C25" s="100"/>
      <c r="D25" s="100"/>
      <c r="E25" s="85" t="s">
        <v>31</v>
      </c>
      <c r="F25" s="68" t="s">
        <v>46</v>
      </c>
      <c r="G25" s="146">
        <v>17533</v>
      </c>
      <c r="H25" s="146">
        <v>17801</v>
      </c>
      <c r="I25" s="146">
        <v>17801</v>
      </c>
      <c r="J25" s="146">
        <v>18055</v>
      </c>
      <c r="K25" s="146"/>
      <c r="L25" s="146">
        <v>18375</v>
      </c>
      <c r="M25" s="146"/>
      <c r="N25" s="146">
        <v>18800</v>
      </c>
      <c r="O25" s="146"/>
      <c r="P25" s="146">
        <v>19184</v>
      </c>
      <c r="Q25" s="146"/>
      <c r="R25" s="147">
        <v>19444</v>
      </c>
      <c r="S25" s="326"/>
      <c r="V25" s="172"/>
    </row>
    <row r="26" spans="2:22" ht="21" customHeight="1">
      <c r="B26" s="100"/>
      <c r="C26" s="100"/>
      <c r="D26" s="100"/>
      <c r="E26" s="86"/>
      <c r="F26" s="70" t="s">
        <v>47</v>
      </c>
      <c r="G26" s="148"/>
      <c r="H26" s="149">
        <v>1474</v>
      </c>
      <c r="I26" s="150">
        <v>0</v>
      </c>
      <c r="J26" s="149">
        <v>1397</v>
      </c>
      <c r="K26" s="150">
        <v>0</v>
      </c>
      <c r="L26" s="149">
        <v>1760</v>
      </c>
      <c r="M26" s="150">
        <v>0</v>
      </c>
      <c r="N26" s="150"/>
      <c r="O26" s="150">
        <v>0</v>
      </c>
      <c r="P26" s="149">
        <v>2112</v>
      </c>
      <c r="Q26" s="150">
        <v>0</v>
      </c>
      <c r="R26" s="150">
        <v>1430</v>
      </c>
      <c r="S26" s="326"/>
      <c r="V26" s="172"/>
    </row>
    <row r="27" spans="2:22" ht="21" customHeight="1">
      <c r="B27" s="100"/>
      <c r="C27" s="100"/>
      <c r="D27" s="100"/>
      <c r="E27" s="85" t="s">
        <v>32</v>
      </c>
      <c r="F27" s="68" t="s">
        <v>46</v>
      </c>
      <c r="G27" s="146">
        <v>3029</v>
      </c>
      <c r="H27" s="146">
        <v>3069</v>
      </c>
      <c r="I27" s="146">
        <v>3184</v>
      </c>
      <c r="J27" s="146">
        <v>3284</v>
      </c>
      <c r="K27" s="146"/>
      <c r="L27" s="146">
        <v>3598</v>
      </c>
      <c r="M27" s="146"/>
      <c r="N27" s="146">
        <v>4073</v>
      </c>
      <c r="O27" s="146"/>
      <c r="P27" s="146">
        <v>4167</v>
      </c>
      <c r="Q27" s="146"/>
      <c r="R27" s="147">
        <v>4289</v>
      </c>
      <c r="S27" s="326"/>
      <c r="V27" s="172"/>
    </row>
    <row r="28" spans="2:22" ht="21" customHeight="1">
      <c r="B28" s="100"/>
      <c r="C28" s="100"/>
      <c r="D28" s="100"/>
      <c r="E28" s="170" t="s">
        <v>82</v>
      </c>
      <c r="F28" s="70" t="s">
        <v>47</v>
      </c>
      <c r="G28" s="148"/>
      <c r="H28" s="149">
        <v>220</v>
      </c>
      <c r="I28" s="149">
        <v>632.5</v>
      </c>
      <c r="J28" s="149">
        <v>800</v>
      </c>
      <c r="K28" s="150">
        <v>0</v>
      </c>
      <c r="L28" s="149">
        <v>1727</v>
      </c>
      <c r="M28" s="150">
        <v>0</v>
      </c>
      <c r="N28" s="149">
        <v>2842.5</v>
      </c>
      <c r="O28" s="150">
        <v>0</v>
      </c>
      <c r="P28" s="149">
        <v>440</v>
      </c>
      <c r="Q28" s="150">
        <v>0</v>
      </c>
      <c r="R28" s="151">
        <v>867</v>
      </c>
      <c r="S28" s="326"/>
    </row>
    <row r="29" spans="2:22" ht="21" customHeight="1">
      <c r="B29" s="100"/>
      <c r="C29" s="100"/>
      <c r="D29" s="100"/>
      <c r="E29" s="87" t="s">
        <v>33</v>
      </c>
      <c r="F29" s="68" t="s">
        <v>46</v>
      </c>
      <c r="G29" s="152">
        <v>15346</v>
      </c>
      <c r="H29" s="152">
        <v>15680</v>
      </c>
      <c r="I29" s="152">
        <v>15680</v>
      </c>
      <c r="J29" s="152">
        <v>16046</v>
      </c>
      <c r="K29" s="152"/>
      <c r="L29" s="152">
        <v>16394</v>
      </c>
      <c r="M29" s="152"/>
      <c r="N29" s="152">
        <v>16948</v>
      </c>
      <c r="O29" s="153"/>
      <c r="P29" s="152">
        <v>17340</v>
      </c>
      <c r="Q29" s="152"/>
      <c r="R29" s="154">
        <v>17662</v>
      </c>
      <c r="S29" s="326"/>
    </row>
    <row r="30" spans="2:22" ht="21" customHeight="1">
      <c r="B30" s="100"/>
      <c r="C30" s="100"/>
      <c r="D30" s="100"/>
      <c r="E30" s="86"/>
      <c r="F30" s="70" t="s">
        <v>47</v>
      </c>
      <c r="G30" s="155"/>
      <c r="H30" s="149">
        <v>1837</v>
      </c>
      <c r="I30" s="150">
        <v>0</v>
      </c>
      <c r="J30" s="149">
        <v>2013</v>
      </c>
      <c r="K30" s="150">
        <v>0</v>
      </c>
      <c r="L30" s="149">
        <v>1914</v>
      </c>
      <c r="M30" s="150">
        <v>0</v>
      </c>
      <c r="N30" s="149">
        <v>3047</v>
      </c>
      <c r="O30" s="150">
        <v>0</v>
      </c>
      <c r="P30" s="149">
        <v>2156</v>
      </c>
      <c r="Q30" s="150">
        <v>0</v>
      </c>
      <c r="R30" s="151">
        <v>1771</v>
      </c>
      <c r="S30" s="326"/>
    </row>
    <row r="31" spans="2:22" ht="21" customHeight="1">
      <c r="B31" s="100"/>
      <c r="C31" s="100"/>
      <c r="D31" s="100"/>
      <c r="E31" s="87" t="s">
        <v>37</v>
      </c>
      <c r="F31" s="68" t="s">
        <v>46</v>
      </c>
      <c r="G31" s="152">
        <v>16645</v>
      </c>
      <c r="H31" s="152">
        <v>17017</v>
      </c>
      <c r="I31" s="152">
        <v>17026</v>
      </c>
      <c r="J31" s="152">
        <v>17354</v>
      </c>
      <c r="K31" s="152"/>
      <c r="L31" s="152">
        <v>17788</v>
      </c>
      <c r="M31" s="152"/>
      <c r="N31" s="152">
        <v>17978</v>
      </c>
      <c r="O31" s="153"/>
      <c r="P31" s="152">
        <v>18462</v>
      </c>
      <c r="Q31" s="152"/>
      <c r="R31" s="154">
        <v>18790</v>
      </c>
      <c r="S31" s="326"/>
    </row>
    <row r="32" spans="2:22" ht="21" customHeight="1">
      <c r="B32" s="100"/>
      <c r="C32" s="100"/>
      <c r="D32" s="100"/>
      <c r="E32" s="88"/>
      <c r="F32" s="70" t="s">
        <v>47</v>
      </c>
      <c r="G32" s="155"/>
      <c r="H32" s="149">
        <v>2046</v>
      </c>
      <c r="I32" s="150"/>
      <c r="J32" s="149">
        <v>1804</v>
      </c>
      <c r="K32" s="150">
        <v>0</v>
      </c>
      <c r="L32" s="149">
        <v>2387</v>
      </c>
      <c r="M32" s="150">
        <v>0</v>
      </c>
      <c r="N32" s="149">
        <v>1045</v>
      </c>
      <c r="O32" s="150">
        <v>0</v>
      </c>
      <c r="P32" s="149">
        <v>2662</v>
      </c>
      <c r="Q32" s="150">
        <v>0</v>
      </c>
      <c r="R32" s="151">
        <v>1804</v>
      </c>
      <c r="S32" s="326"/>
    </row>
    <row r="33" spans="2:19" ht="21" customHeight="1">
      <c r="B33" s="100"/>
      <c r="C33" s="100"/>
      <c r="D33" s="100"/>
      <c r="E33" s="89" t="s">
        <v>51</v>
      </c>
      <c r="F33" s="68" t="s">
        <v>46</v>
      </c>
      <c r="G33" s="156">
        <v>7284</v>
      </c>
      <c r="H33" s="156">
        <v>7532</v>
      </c>
      <c r="I33" s="156">
        <v>7532</v>
      </c>
      <c r="J33" s="156">
        <v>7794</v>
      </c>
      <c r="K33" s="156"/>
      <c r="L33" s="156">
        <v>8194</v>
      </c>
      <c r="M33" s="156"/>
      <c r="N33" s="156">
        <v>8988</v>
      </c>
      <c r="O33" s="157"/>
      <c r="P33" s="156">
        <v>9710</v>
      </c>
      <c r="Q33" s="156"/>
      <c r="R33" s="158">
        <v>10092</v>
      </c>
      <c r="S33" s="326"/>
    </row>
    <row r="34" spans="2:19" ht="21" customHeight="1">
      <c r="E34" s="171" t="s">
        <v>82</v>
      </c>
      <c r="F34" s="70" t="s">
        <v>47</v>
      </c>
      <c r="G34" s="148"/>
      <c r="H34" s="149">
        <v>1364</v>
      </c>
      <c r="I34" s="150">
        <v>0</v>
      </c>
      <c r="J34" s="149">
        <v>1691</v>
      </c>
      <c r="K34" s="150">
        <v>0</v>
      </c>
      <c r="L34" s="149">
        <v>2200</v>
      </c>
      <c r="M34" s="150">
        <v>0</v>
      </c>
      <c r="N34" s="149">
        <v>4367</v>
      </c>
      <c r="O34" s="150">
        <v>0</v>
      </c>
      <c r="P34" s="149">
        <v>4125</v>
      </c>
      <c r="Q34" s="150">
        <v>0</v>
      </c>
      <c r="R34" s="151">
        <v>2297</v>
      </c>
      <c r="S34" s="326"/>
    </row>
    <row r="35" spans="2:19" ht="21" customHeight="1">
      <c r="E35" s="89" t="s">
        <v>52</v>
      </c>
      <c r="F35" s="68" t="s">
        <v>46</v>
      </c>
      <c r="G35" s="146">
        <v>16151</v>
      </c>
      <c r="H35" s="146">
        <v>16273</v>
      </c>
      <c r="I35" s="146" t="s">
        <v>86</v>
      </c>
      <c r="J35" s="146">
        <v>16408</v>
      </c>
      <c r="K35" s="146"/>
      <c r="L35" s="146"/>
      <c r="M35" s="146"/>
      <c r="N35" s="146"/>
      <c r="O35" s="146">
        <v>16694</v>
      </c>
      <c r="P35" s="146">
        <v>17242</v>
      </c>
      <c r="Q35" s="146"/>
      <c r="R35" s="147">
        <v>17618</v>
      </c>
      <c r="S35" s="326"/>
    </row>
    <row r="36" spans="2:19" ht="21" customHeight="1">
      <c r="E36" s="170" t="s">
        <v>82</v>
      </c>
      <c r="F36" s="70" t="s">
        <v>47</v>
      </c>
      <c r="G36" s="148"/>
      <c r="H36" s="149">
        <v>671</v>
      </c>
      <c r="I36" s="149">
        <v>198</v>
      </c>
      <c r="J36" s="149">
        <v>624</v>
      </c>
      <c r="K36" s="150">
        <v>0</v>
      </c>
      <c r="L36" s="150">
        <v>0</v>
      </c>
      <c r="M36" s="150">
        <v>0</v>
      </c>
      <c r="N36" s="150">
        <v>0</v>
      </c>
      <c r="O36" s="150"/>
      <c r="P36" s="149">
        <v>3014</v>
      </c>
      <c r="Q36" s="150">
        <v>154</v>
      </c>
      <c r="R36" s="151">
        <v>2264</v>
      </c>
      <c r="S36" s="326"/>
    </row>
    <row r="37" spans="2:19" ht="21" customHeight="1">
      <c r="E37" s="93"/>
      <c r="F37" s="94" t="s">
        <v>48</v>
      </c>
      <c r="G37" s="159">
        <f t="shared" ref="G37:Q37" si="3">G26+G28+G30+G32+G34+G36</f>
        <v>0</v>
      </c>
      <c r="H37" s="159">
        <f t="shared" si="3"/>
        <v>7612</v>
      </c>
      <c r="I37" s="159">
        <f t="shared" si="3"/>
        <v>830.5</v>
      </c>
      <c r="J37" s="159">
        <f t="shared" si="3"/>
        <v>8329</v>
      </c>
      <c r="K37" s="159">
        <f t="shared" si="3"/>
        <v>0</v>
      </c>
      <c r="L37" s="159">
        <f t="shared" si="3"/>
        <v>9988</v>
      </c>
      <c r="M37" s="159">
        <f t="shared" si="3"/>
        <v>0</v>
      </c>
      <c r="N37" s="159">
        <f t="shared" si="3"/>
        <v>11301.5</v>
      </c>
      <c r="O37" s="159">
        <f t="shared" si="3"/>
        <v>0</v>
      </c>
      <c r="P37" s="159">
        <f t="shared" si="3"/>
        <v>14509</v>
      </c>
      <c r="Q37" s="159">
        <f t="shared" si="3"/>
        <v>154</v>
      </c>
      <c r="R37" s="159">
        <f>R26+R28+R30+R32+R34+R36</f>
        <v>10433</v>
      </c>
      <c r="S37" s="326"/>
    </row>
    <row r="38" spans="2:19" ht="21" customHeight="1">
      <c r="E38" s="327" t="s">
        <v>49</v>
      </c>
      <c r="F38" s="327"/>
      <c r="G38" s="160">
        <f>G14+G23+G37</f>
        <v>67630</v>
      </c>
      <c r="H38" s="160">
        <f t="shared" ref="H38:R38" si="4">H14+H23+H37</f>
        <v>87236</v>
      </c>
      <c r="I38" s="160">
        <f t="shared" si="4"/>
        <v>68284.5</v>
      </c>
      <c r="J38" s="160">
        <f t="shared" si="4"/>
        <v>88181</v>
      </c>
      <c r="K38" s="160">
        <f t="shared" si="4"/>
        <v>74176</v>
      </c>
      <c r="L38" s="160">
        <f t="shared" si="4"/>
        <v>90840</v>
      </c>
      <c r="M38" s="160">
        <f t="shared" si="4"/>
        <v>55426</v>
      </c>
      <c r="N38" s="160">
        <f t="shared" si="4"/>
        <v>71443.5</v>
      </c>
      <c r="O38" s="160">
        <f t="shared" si="4"/>
        <v>64527</v>
      </c>
      <c r="P38" s="160">
        <f t="shared" si="4"/>
        <v>94861</v>
      </c>
      <c r="Q38" s="160">
        <f t="shared" si="4"/>
        <v>70842</v>
      </c>
      <c r="R38" s="160">
        <f t="shared" si="4"/>
        <v>94745</v>
      </c>
      <c r="S38" s="279">
        <f>SUM(G38:R38)</f>
        <v>928192</v>
      </c>
    </row>
    <row r="41" spans="2:19" ht="21" customHeight="1">
      <c r="H41" s="162"/>
    </row>
    <row r="42" spans="2:19" ht="21" customHeight="1">
      <c r="H42" s="163"/>
    </row>
    <row r="43" spans="2:19" ht="21" customHeight="1">
      <c r="H43" s="162"/>
    </row>
    <row r="44" spans="2:19" ht="21" customHeight="1">
      <c r="H44" s="163"/>
    </row>
    <row r="45" spans="2:19" ht="21" customHeight="1">
      <c r="H45" s="162"/>
    </row>
    <row r="46" spans="2:19" ht="21" customHeight="1">
      <c r="H46" s="163"/>
    </row>
    <row r="47" spans="2:19" ht="21" customHeight="1">
      <c r="H47" s="162"/>
    </row>
    <row r="48" spans="2:19" ht="21" customHeight="1">
      <c r="H48" s="163"/>
    </row>
    <row r="49" spans="8:8" ht="21" customHeight="1">
      <c r="H49" s="162"/>
    </row>
    <row r="50" spans="8:8" ht="21" customHeight="1">
      <c r="H50" s="163"/>
    </row>
    <row r="51" spans="8:8" ht="21" customHeight="1">
      <c r="H51" s="162"/>
    </row>
    <row r="52" spans="8:8" ht="21" customHeight="1">
      <c r="H52" s="163"/>
    </row>
    <row r="53" spans="8:8" ht="21" customHeight="1">
      <c r="H53" s="164"/>
    </row>
    <row r="54" spans="8:8" ht="21" customHeight="1">
      <c r="H54" s="165"/>
    </row>
    <row r="55" spans="8:8" ht="21" customHeight="1">
      <c r="H55" s="165"/>
    </row>
    <row r="56" spans="8:8" ht="21" customHeight="1">
      <c r="H56" s="165"/>
    </row>
    <row r="57" spans="8:8" ht="21" customHeight="1">
      <c r="H57" s="165"/>
    </row>
    <row r="58" spans="8:8" ht="21" customHeight="1">
      <c r="H58" s="166"/>
    </row>
    <row r="59" spans="8:8" ht="21" customHeight="1">
      <c r="H59" s="166"/>
    </row>
    <row r="60" spans="8:8" ht="21" customHeight="1">
      <c r="H60" s="165"/>
    </row>
  </sheetData>
  <mergeCells count="11">
    <mergeCell ref="S24:S37"/>
    <mergeCell ref="D21:F21"/>
    <mergeCell ref="D23:F23"/>
    <mergeCell ref="E38:F38"/>
    <mergeCell ref="D15:E15"/>
    <mergeCell ref="D19:F19"/>
    <mergeCell ref="D16:F16"/>
    <mergeCell ref="D17:F17"/>
    <mergeCell ref="D18:F18"/>
    <mergeCell ref="D20:F20"/>
    <mergeCell ref="D22:F22"/>
  </mergeCells>
  <phoneticPr fontId="5" type="noConversion"/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35"/>
  <sheetViews>
    <sheetView showZeros="0" zoomScale="70" zoomScaleNormal="70" workbookViewId="0">
      <selection activeCell="R24" sqref="R24"/>
    </sheetView>
  </sheetViews>
  <sheetFormatPr defaultColWidth="9.09765625" defaultRowHeight="22.5" customHeight="1"/>
  <cols>
    <col min="2" max="2" width="20" customWidth="1"/>
    <col min="3" max="3" width="15.09765625" customWidth="1"/>
    <col min="4" max="5" width="10.59765625" customWidth="1"/>
    <col min="6" max="6" width="13.59765625" customWidth="1"/>
    <col min="7" max="10" width="10.59765625" customWidth="1"/>
    <col min="11" max="11" width="10" customWidth="1"/>
    <col min="12" max="12" width="10.09765625" customWidth="1"/>
    <col min="13" max="14" width="10.796875" customWidth="1"/>
    <col min="15" max="15" width="12.09765625" customWidth="1"/>
    <col min="16" max="18" width="10.796875" customWidth="1"/>
    <col min="19" max="19" width="10.19921875" customWidth="1"/>
    <col min="22" max="22" width="12.09765625" style="210" customWidth="1"/>
    <col min="23" max="23" width="10.09765625" style="210" customWidth="1"/>
    <col min="24" max="24" width="10" style="210" customWidth="1"/>
    <col min="25" max="30" width="9.09765625" style="210"/>
  </cols>
  <sheetData>
    <row r="1" spans="1:25" ht="22.5" customHeight="1">
      <c r="A1" s="17" t="s">
        <v>58</v>
      </c>
      <c r="B1" s="130" t="s">
        <v>85</v>
      </c>
      <c r="C1" s="131"/>
      <c r="D1" s="132"/>
      <c r="E1" s="123"/>
    </row>
    <row r="2" spans="1:25" ht="22.5" customHeight="1">
      <c r="A2" s="4" t="s">
        <v>123</v>
      </c>
      <c r="B2" s="5" t="s">
        <v>26</v>
      </c>
      <c r="C2" s="6" t="s">
        <v>27</v>
      </c>
      <c r="D2" s="7" t="s">
        <v>28</v>
      </c>
      <c r="E2" s="8" t="s">
        <v>29</v>
      </c>
      <c r="F2" s="4" t="s">
        <v>30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12"/>
    </row>
    <row r="3" spans="1:25" ht="22.5" customHeight="1">
      <c r="A3" s="4" t="s">
        <v>31</v>
      </c>
      <c r="B3" s="4" t="s">
        <v>113</v>
      </c>
      <c r="C3" s="6"/>
      <c r="D3" s="7"/>
      <c r="E3" s="8"/>
      <c r="F3" s="45"/>
      <c r="G3" s="9"/>
      <c r="H3" s="9"/>
      <c r="I3" s="9"/>
      <c r="J3" s="9"/>
      <c r="K3" s="10"/>
      <c r="L3" s="10"/>
      <c r="M3" s="10"/>
      <c r="N3" s="10"/>
      <c r="O3" s="10"/>
      <c r="P3" s="10"/>
      <c r="Q3" s="10"/>
      <c r="R3" s="10"/>
      <c r="S3" s="12"/>
      <c r="W3" s="211"/>
    </row>
    <row r="4" spans="1:25" ht="22.5" customHeight="1">
      <c r="A4" s="4"/>
      <c r="B4" s="4"/>
      <c r="C4" s="6"/>
      <c r="D4" s="7"/>
      <c r="E4" s="8"/>
      <c r="F4" s="46"/>
      <c r="G4" s="11">
        <v>31000</v>
      </c>
      <c r="H4" s="11">
        <v>31000</v>
      </c>
      <c r="I4" s="11">
        <v>31000</v>
      </c>
      <c r="J4" s="11">
        <v>31000</v>
      </c>
      <c r="K4" s="168">
        <v>31000</v>
      </c>
      <c r="L4" s="168">
        <v>37288</v>
      </c>
      <c r="M4" s="168">
        <v>36351</v>
      </c>
      <c r="N4" s="168">
        <f>5049+4653+17403+9676</f>
        <v>36781</v>
      </c>
      <c r="O4" s="168">
        <v>23700</v>
      </c>
      <c r="P4" s="168"/>
      <c r="Q4" s="13"/>
      <c r="R4" s="168">
        <v>19000</v>
      </c>
      <c r="S4" s="12"/>
      <c r="W4" s="211"/>
      <c r="Y4" s="212"/>
    </row>
    <row r="5" spans="1:25" ht="22.5" customHeight="1">
      <c r="A5" s="4" t="s">
        <v>32</v>
      </c>
      <c r="B5" s="52"/>
      <c r="C5" s="124"/>
      <c r="D5" s="7">
        <v>30000</v>
      </c>
      <c r="E5" s="8">
        <v>60000</v>
      </c>
      <c r="F5" s="125"/>
      <c r="G5" s="9"/>
      <c r="H5" s="9"/>
      <c r="I5" s="9"/>
      <c r="J5" s="9">
        <v>42838</v>
      </c>
      <c r="K5" s="10">
        <v>42866</v>
      </c>
      <c r="L5" s="10">
        <v>42898</v>
      </c>
      <c r="M5" s="10">
        <v>42923</v>
      </c>
      <c r="N5" s="10">
        <v>42954</v>
      </c>
      <c r="O5" s="10">
        <v>42983</v>
      </c>
      <c r="P5" s="10">
        <v>43014</v>
      </c>
      <c r="Q5" s="10">
        <v>43044</v>
      </c>
      <c r="R5" s="10">
        <v>43081</v>
      </c>
      <c r="S5" s="12"/>
      <c r="W5" s="211"/>
      <c r="Y5" s="212"/>
    </row>
    <row r="6" spans="1:25" ht="22.5" customHeight="1">
      <c r="A6" s="4"/>
      <c r="B6" s="52"/>
      <c r="C6" s="126"/>
      <c r="D6" s="7"/>
      <c r="E6" s="8"/>
      <c r="F6" s="50"/>
      <c r="G6" s="15">
        <v>30000</v>
      </c>
      <c r="H6" s="15">
        <v>30000</v>
      </c>
      <c r="I6" s="15">
        <v>30000</v>
      </c>
      <c r="J6" s="15">
        <v>30000</v>
      </c>
      <c r="K6" s="11">
        <v>30000</v>
      </c>
      <c r="L6" s="11">
        <v>30000</v>
      </c>
      <c r="M6" s="11">
        <v>30000</v>
      </c>
      <c r="N6" s="11">
        <v>30000</v>
      </c>
      <c r="O6" s="11">
        <v>30000</v>
      </c>
      <c r="P6" s="11">
        <v>30000</v>
      </c>
      <c r="Q6" s="11">
        <v>30000</v>
      </c>
      <c r="R6" s="11">
        <v>7741</v>
      </c>
      <c r="S6" s="12"/>
      <c r="W6" s="211"/>
      <c r="Y6" s="212"/>
    </row>
    <row r="7" spans="1:25" ht="22.5" customHeight="1">
      <c r="A7" s="4" t="s">
        <v>33</v>
      </c>
      <c r="B7" s="52" t="s">
        <v>204</v>
      </c>
      <c r="C7" s="124"/>
      <c r="D7" s="7">
        <v>30000</v>
      </c>
      <c r="E7" s="8">
        <v>60000</v>
      </c>
      <c r="F7" s="125" t="s">
        <v>205</v>
      </c>
      <c r="G7" s="9"/>
      <c r="H7" s="9"/>
      <c r="I7" s="9" t="s">
        <v>84</v>
      </c>
      <c r="J7" s="9"/>
      <c r="K7" s="12"/>
      <c r="L7" s="12"/>
      <c r="M7" s="12"/>
      <c r="N7" s="12"/>
      <c r="O7" s="10">
        <v>42985</v>
      </c>
      <c r="P7" s="10">
        <v>43013</v>
      </c>
      <c r="Q7" s="10">
        <v>43047</v>
      </c>
      <c r="R7" s="10">
        <v>43075</v>
      </c>
      <c r="S7" s="12" t="s">
        <v>212</v>
      </c>
      <c r="W7" s="211"/>
    </row>
    <row r="8" spans="1:25" ht="22.5" customHeight="1">
      <c r="A8" s="4"/>
      <c r="B8" s="52"/>
      <c r="C8" s="126"/>
      <c r="D8" s="7"/>
      <c r="E8" s="8"/>
      <c r="F8" s="50"/>
      <c r="G8" s="15">
        <v>28000</v>
      </c>
      <c r="H8" s="15">
        <v>28000</v>
      </c>
      <c r="I8" s="15">
        <v>28000</v>
      </c>
      <c r="J8" s="15">
        <v>28000</v>
      </c>
      <c r="K8" s="15">
        <v>28000</v>
      </c>
      <c r="L8" s="15">
        <v>28000</v>
      </c>
      <c r="M8" s="15">
        <v>28000</v>
      </c>
      <c r="N8" s="15">
        <v>28000</v>
      </c>
      <c r="O8" s="15">
        <v>30000</v>
      </c>
      <c r="P8" s="15">
        <v>30000</v>
      </c>
      <c r="Q8" s="15">
        <v>30000</v>
      </c>
      <c r="R8" s="15">
        <v>30000</v>
      </c>
      <c r="S8" s="12"/>
      <c r="W8" s="211"/>
      <c r="Y8" s="212"/>
    </row>
    <row r="9" spans="1:25" ht="22.5" customHeight="1">
      <c r="A9" s="52"/>
      <c r="B9" s="52"/>
      <c r="C9" s="53"/>
      <c r="D9" s="57">
        <v>58000</v>
      </c>
      <c r="E9" s="54">
        <v>120000</v>
      </c>
      <c r="F9" s="55" t="s">
        <v>41</v>
      </c>
      <c r="G9" s="56">
        <f>G4+G6+G8</f>
        <v>89000</v>
      </c>
      <c r="H9" s="56">
        <f t="shared" ref="H9:R9" si="0">H4+H6+H8</f>
        <v>89000</v>
      </c>
      <c r="I9" s="56">
        <f t="shared" si="0"/>
        <v>89000</v>
      </c>
      <c r="J9" s="56">
        <f t="shared" si="0"/>
        <v>89000</v>
      </c>
      <c r="K9" s="56">
        <f t="shared" si="0"/>
        <v>89000</v>
      </c>
      <c r="L9" s="56">
        <f t="shared" si="0"/>
        <v>95288</v>
      </c>
      <c r="M9" s="56">
        <f>M6+M8</f>
        <v>58000</v>
      </c>
      <c r="N9" s="56">
        <f t="shared" si="0"/>
        <v>94781</v>
      </c>
      <c r="O9" s="56">
        <f t="shared" si="0"/>
        <v>83700</v>
      </c>
      <c r="P9" s="56">
        <f t="shared" si="0"/>
        <v>60000</v>
      </c>
      <c r="Q9" s="56">
        <f t="shared" si="0"/>
        <v>60000</v>
      </c>
      <c r="R9" s="56">
        <f t="shared" si="0"/>
        <v>56741</v>
      </c>
      <c r="S9" s="12"/>
      <c r="W9" s="211"/>
      <c r="Y9" s="212"/>
    </row>
    <row r="10" spans="1:25" ht="22.5" customHeight="1" thickBot="1">
      <c r="A10" s="52"/>
      <c r="B10" s="52"/>
      <c r="C10" s="53"/>
      <c r="D10" s="329"/>
      <c r="E10" s="329"/>
      <c r="F10" s="58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25" ht="22.5" customHeight="1">
      <c r="A11" s="65"/>
      <c r="B11" s="65"/>
      <c r="C11" s="66"/>
      <c r="D11" s="67"/>
      <c r="E11" s="84"/>
      <c r="F11" s="63"/>
      <c r="G11" s="64" t="s">
        <v>14</v>
      </c>
      <c r="H11" s="64" t="s">
        <v>15</v>
      </c>
      <c r="I11" s="64" t="s">
        <v>16</v>
      </c>
      <c r="J11" s="64" t="s">
        <v>17</v>
      </c>
      <c r="K11" s="64" t="s">
        <v>18</v>
      </c>
      <c r="L11" s="64" t="s">
        <v>19</v>
      </c>
      <c r="M11" s="64" t="s">
        <v>20</v>
      </c>
      <c r="N11" s="64" t="s">
        <v>21</v>
      </c>
      <c r="O11" s="64" t="s">
        <v>22</v>
      </c>
      <c r="P11" s="64" t="s">
        <v>23</v>
      </c>
      <c r="Q11" s="64" t="s">
        <v>24</v>
      </c>
      <c r="R11" s="112" t="s">
        <v>25</v>
      </c>
    </row>
    <row r="12" spans="1:25" ht="22.5" customHeight="1">
      <c r="A12" s="65"/>
      <c r="B12" s="65"/>
      <c r="C12" s="66"/>
      <c r="D12" s="67"/>
      <c r="E12" s="85" t="s">
        <v>31</v>
      </c>
      <c r="F12" s="68" t="s">
        <v>46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97"/>
      <c r="Y12" s="212"/>
    </row>
    <row r="13" spans="1:25" ht="22.5" customHeight="1">
      <c r="A13" s="65"/>
      <c r="B13" s="65"/>
      <c r="C13" s="66"/>
      <c r="D13" s="67"/>
      <c r="E13" s="86"/>
      <c r="F13" s="70" t="s">
        <v>47</v>
      </c>
      <c r="G13" s="128"/>
      <c r="H13" s="128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v>0</v>
      </c>
      <c r="Q13" s="129">
        <v>0</v>
      </c>
      <c r="R13" s="134">
        <v>0</v>
      </c>
    </row>
    <row r="14" spans="1:25" ht="22.5" customHeight="1">
      <c r="A14" s="65"/>
      <c r="B14" s="65"/>
      <c r="C14" s="66"/>
      <c r="D14" s="67"/>
      <c r="E14" s="85" t="s">
        <v>32</v>
      </c>
      <c r="F14" s="68" t="s">
        <v>46</v>
      </c>
      <c r="G14" s="69">
        <v>6063</v>
      </c>
      <c r="H14" s="69">
        <v>6407</v>
      </c>
      <c r="I14" s="69">
        <v>6723</v>
      </c>
      <c r="J14" s="69">
        <v>7153</v>
      </c>
      <c r="K14" s="69">
        <v>7599</v>
      </c>
      <c r="L14" s="69">
        <v>8591</v>
      </c>
      <c r="M14" s="69">
        <v>9663</v>
      </c>
      <c r="N14" s="69">
        <v>10953</v>
      </c>
      <c r="O14" s="69">
        <v>12137</v>
      </c>
      <c r="P14" s="69">
        <v>13197</v>
      </c>
      <c r="Q14" s="69">
        <v>13861</v>
      </c>
      <c r="R14" s="97"/>
    </row>
    <row r="15" spans="1:25" ht="22.5" customHeight="1">
      <c r="A15" s="65"/>
      <c r="B15" s="65"/>
      <c r="C15" s="66"/>
      <c r="D15" s="67"/>
      <c r="E15" s="86"/>
      <c r="F15" s="70" t="s">
        <v>47</v>
      </c>
      <c r="G15" s="133"/>
      <c r="H15" s="82">
        <f>IF((H14-G14)*5.5&gt;0,(H14-G14)*5.5,0)</f>
        <v>1892</v>
      </c>
      <c r="I15" s="82">
        <f>IF((I14-H14)*5.5&gt;0,(I14-H14)*5.5,0)</f>
        <v>1738</v>
      </c>
      <c r="J15" s="82">
        <f t="shared" ref="J15:R15" si="1">IF((J14-I14)*5.5&gt;0,(J14-I14)*5.5,0)</f>
        <v>2365</v>
      </c>
      <c r="K15" s="82">
        <f t="shared" si="1"/>
        <v>2453</v>
      </c>
      <c r="L15" s="82">
        <f t="shared" si="1"/>
        <v>5456</v>
      </c>
      <c r="M15" s="82">
        <f t="shared" si="1"/>
        <v>5896</v>
      </c>
      <c r="N15" s="82">
        <f t="shared" si="1"/>
        <v>7095</v>
      </c>
      <c r="O15" s="82">
        <f t="shared" si="1"/>
        <v>6512</v>
      </c>
      <c r="P15" s="82">
        <f t="shared" si="1"/>
        <v>5830</v>
      </c>
      <c r="Q15" s="82">
        <f t="shared" si="1"/>
        <v>3652</v>
      </c>
      <c r="R15" s="23">
        <f t="shared" si="1"/>
        <v>0</v>
      </c>
    </row>
    <row r="16" spans="1:25" ht="22.5" customHeight="1">
      <c r="A16" s="65"/>
      <c r="B16" s="65"/>
      <c r="C16" s="66"/>
      <c r="D16" s="67"/>
      <c r="E16" s="87" t="s">
        <v>33</v>
      </c>
      <c r="F16" s="68" t="s">
        <v>46</v>
      </c>
      <c r="G16" s="69">
        <v>2777</v>
      </c>
      <c r="H16" s="69">
        <v>2905</v>
      </c>
      <c r="I16" s="72">
        <v>3033</v>
      </c>
      <c r="J16" s="72">
        <v>3139</v>
      </c>
      <c r="K16" s="73">
        <v>3248</v>
      </c>
      <c r="L16" s="73">
        <v>3410</v>
      </c>
      <c r="M16" s="73">
        <v>3580</v>
      </c>
      <c r="N16" s="73">
        <v>3789</v>
      </c>
      <c r="O16" s="73" t="s">
        <v>217</v>
      </c>
      <c r="P16" s="73">
        <v>4070</v>
      </c>
      <c r="Q16" s="73">
        <v>4158</v>
      </c>
      <c r="R16" s="98"/>
    </row>
    <row r="17" spans="1:23" ht="22.5" customHeight="1">
      <c r="A17" s="65"/>
      <c r="B17" s="65"/>
      <c r="C17" s="66"/>
      <c r="D17" s="67"/>
      <c r="E17" s="86"/>
      <c r="F17" s="70" t="s">
        <v>47</v>
      </c>
      <c r="G17" s="133">
        <v>-5126</v>
      </c>
      <c r="H17" s="82">
        <f>IF((H16-G16)*5.5&gt;0,(H16-G16)*5.5,0)</f>
        <v>704</v>
      </c>
      <c r="I17" s="82">
        <f>IF((I16-H16)*5.5&gt;0,(I16-H16)*5.5,0)</f>
        <v>704</v>
      </c>
      <c r="J17" s="82">
        <f t="shared" ref="J17:R17" si="2">IF((J16-I16)*5.5&gt;0,(J16-I16)*5.5,0)</f>
        <v>583</v>
      </c>
      <c r="K17" s="82">
        <f t="shared" si="2"/>
        <v>599.5</v>
      </c>
      <c r="L17" s="82">
        <f t="shared" si="2"/>
        <v>891</v>
      </c>
      <c r="M17" s="82">
        <f t="shared" si="2"/>
        <v>935</v>
      </c>
      <c r="N17" s="82">
        <f t="shared" si="2"/>
        <v>1149.5</v>
      </c>
      <c r="O17" s="82">
        <f>IF((3940-3800)*5.5&gt;0,(3940-3800)*5.5,0)</f>
        <v>770</v>
      </c>
      <c r="P17" s="82">
        <f>IF((P16-3940)*5.5&gt;0,(P16-3940)*5.5,0)</f>
        <v>715</v>
      </c>
      <c r="Q17" s="82">
        <f t="shared" si="2"/>
        <v>484</v>
      </c>
      <c r="R17" s="23">
        <f t="shared" si="2"/>
        <v>0</v>
      </c>
    </row>
    <row r="18" spans="1:23" ht="22.5" customHeight="1">
      <c r="A18" s="65"/>
      <c r="B18" s="65"/>
      <c r="C18" s="66"/>
      <c r="D18" s="67"/>
      <c r="E18" s="93"/>
      <c r="F18" s="94" t="s">
        <v>48</v>
      </c>
      <c r="G18" s="95">
        <v>-1344</v>
      </c>
      <c r="H18" s="95">
        <v>-1344</v>
      </c>
      <c r="I18" s="95">
        <v>-1344</v>
      </c>
      <c r="J18" s="95">
        <v>0</v>
      </c>
      <c r="K18" s="95">
        <v>0</v>
      </c>
      <c r="L18" s="95">
        <v>0</v>
      </c>
      <c r="M18" s="95">
        <v>0</v>
      </c>
      <c r="N18" s="95">
        <v>0</v>
      </c>
      <c r="O18" s="95">
        <v>0</v>
      </c>
      <c r="P18" s="95">
        <v>0</v>
      </c>
      <c r="Q18" s="95">
        <v>0</v>
      </c>
      <c r="R18" s="99">
        <v>0</v>
      </c>
    </row>
    <row r="19" spans="1:23" ht="22.5" customHeight="1">
      <c r="A19" s="65"/>
      <c r="B19" s="65"/>
      <c r="C19" s="66"/>
      <c r="D19" s="67"/>
      <c r="E19" s="327"/>
      <c r="F19" s="327"/>
      <c r="G19" s="75"/>
      <c r="H19" s="75"/>
      <c r="I19" s="75"/>
      <c r="J19" s="75"/>
      <c r="K19" s="75"/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</row>
    <row r="20" spans="1:23" ht="22.5" customHeight="1">
      <c r="A20" s="4" t="s">
        <v>124</v>
      </c>
      <c r="B20" s="5" t="s">
        <v>26</v>
      </c>
      <c r="C20" s="6" t="s">
        <v>27</v>
      </c>
      <c r="D20" s="43" t="s">
        <v>28</v>
      </c>
      <c r="E20" s="8" t="s">
        <v>29</v>
      </c>
      <c r="F20" s="4" t="s">
        <v>30</v>
      </c>
      <c r="G20" s="5" t="s">
        <v>14</v>
      </c>
      <c r="H20" s="5" t="s">
        <v>15</v>
      </c>
      <c r="I20" s="5" t="s">
        <v>16</v>
      </c>
      <c r="J20" s="5" t="s">
        <v>17</v>
      </c>
      <c r="K20" s="5" t="s">
        <v>18</v>
      </c>
      <c r="L20" s="5" t="s">
        <v>19</v>
      </c>
      <c r="M20" s="5" t="s">
        <v>20</v>
      </c>
      <c r="N20" s="5" t="s">
        <v>21</v>
      </c>
      <c r="O20" s="5" t="s">
        <v>22</v>
      </c>
      <c r="P20" s="5" t="s">
        <v>23</v>
      </c>
      <c r="Q20" s="5" t="s">
        <v>24</v>
      </c>
      <c r="R20" s="5" t="s">
        <v>25</v>
      </c>
    </row>
    <row r="21" spans="1:23" ht="22.5" customHeight="1">
      <c r="A21" s="9" t="s">
        <v>31</v>
      </c>
      <c r="B21" s="9" t="s">
        <v>131</v>
      </c>
      <c r="C21" s="44"/>
      <c r="D21" s="43">
        <v>25000</v>
      </c>
      <c r="E21" s="169">
        <v>50000</v>
      </c>
      <c r="F21" s="45"/>
      <c r="G21" s="9"/>
      <c r="H21" s="9"/>
      <c r="I21" s="9" t="s">
        <v>59</v>
      </c>
      <c r="J21" s="9" t="s">
        <v>59</v>
      </c>
      <c r="K21" s="255" t="s">
        <v>112</v>
      </c>
      <c r="L21" s="10">
        <v>42886</v>
      </c>
      <c r="M21" s="10">
        <v>42921</v>
      </c>
      <c r="N21" s="10">
        <v>42954</v>
      </c>
      <c r="O21" s="10">
        <v>42984</v>
      </c>
      <c r="P21" s="10">
        <v>43019</v>
      </c>
      <c r="Q21" s="10">
        <v>43045</v>
      </c>
      <c r="R21" s="10">
        <v>43075</v>
      </c>
    </row>
    <row r="22" spans="1:23" ht="22.5" customHeight="1">
      <c r="A22" s="4"/>
      <c r="B22" s="4"/>
      <c r="C22" s="79" t="s">
        <v>132</v>
      </c>
      <c r="D22" s="43"/>
      <c r="E22" s="8"/>
      <c r="F22" s="46"/>
      <c r="G22" s="11">
        <v>25000</v>
      </c>
      <c r="H22" s="11">
        <v>25000</v>
      </c>
      <c r="I22" s="11">
        <v>24000</v>
      </c>
      <c r="J22" s="11">
        <v>24000</v>
      </c>
      <c r="K22" s="13">
        <f>6194+11200</f>
        <v>17394</v>
      </c>
      <c r="L22" s="168">
        <v>25000</v>
      </c>
      <c r="M22" s="168">
        <v>25000</v>
      </c>
      <c r="N22" s="168">
        <v>25000</v>
      </c>
      <c r="O22" s="168">
        <v>25000</v>
      </c>
      <c r="P22" s="168">
        <v>25000</v>
      </c>
      <c r="Q22" s="168">
        <v>25000</v>
      </c>
      <c r="R22" s="168">
        <v>25000</v>
      </c>
    </row>
    <row r="23" spans="1:23" ht="22.5" customHeight="1">
      <c r="A23" s="9" t="s">
        <v>32</v>
      </c>
      <c r="B23" s="47" t="s">
        <v>234</v>
      </c>
      <c r="C23" s="47"/>
      <c r="D23" s="43">
        <v>28000</v>
      </c>
      <c r="E23" s="169">
        <v>28000</v>
      </c>
      <c r="F23" s="45" t="s">
        <v>233</v>
      </c>
      <c r="G23" s="9">
        <v>42739</v>
      </c>
      <c r="H23" s="9">
        <v>42769</v>
      </c>
      <c r="I23" s="9">
        <v>42796</v>
      </c>
      <c r="J23" s="9">
        <v>42830</v>
      </c>
      <c r="K23" s="10"/>
      <c r="L23" s="10">
        <v>42889</v>
      </c>
      <c r="M23" s="10">
        <v>42908</v>
      </c>
      <c r="N23" s="10">
        <v>42948</v>
      </c>
      <c r="O23" s="10">
        <v>42979</v>
      </c>
      <c r="P23" s="10"/>
      <c r="Q23" s="10"/>
      <c r="R23" s="10" t="s">
        <v>244</v>
      </c>
    </row>
    <row r="24" spans="1:23" ht="22.5" customHeight="1">
      <c r="A24" s="4"/>
      <c r="B24" s="48"/>
      <c r="C24" s="80"/>
      <c r="D24" s="43"/>
      <c r="E24" s="8"/>
      <c r="F24" s="50"/>
      <c r="G24" s="15">
        <v>24000</v>
      </c>
      <c r="H24" s="15">
        <v>24000</v>
      </c>
      <c r="I24" s="15">
        <v>24000</v>
      </c>
      <c r="J24" s="15">
        <v>24000</v>
      </c>
      <c r="K24" s="11">
        <v>24000</v>
      </c>
      <c r="L24" s="11">
        <v>24000</v>
      </c>
      <c r="M24" s="11">
        <v>27000</v>
      </c>
      <c r="N24" s="11">
        <v>28000</v>
      </c>
      <c r="O24" s="11">
        <v>28000</v>
      </c>
      <c r="P24" s="11">
        <f>24000+7000</f>
        <v>31000</v>
      </c>
      <c r="Q24" s="12">
        <f>7000+6000</f>
        <v>13000</v>
      </c>
      <c r="R24" s="11">
        <v>23338</v>
      </c>
    </row>
    <row r="25" spans="1:23" ht="22.5" customHeight="1">
      <c r="A25" s="9" t="s">
        <v>33</v>
      </c>
      <c r="B25" s="65" t="s">
        <v>193</v>
      </c>
      <c r="C25" s="51"/>
      <c r="D25" s="43">
        <v>25000</v>
      </c>
      <c r="E25" s="169">
        <v>50000</v>
      </c>
      <c r="F25" s="45" t="s">
        <v>194</v>
      </c>
      <c r="G25" s="14"/>
      <c r="H25" s="9"/>
      <c r="I25" s="9"/>
      <c r="J25" s="9"/>
      <c r="K25" s="9">
        <v>42858</v>
      </c>
      <c r="L25" s="10">
        <v>42886</v>
      </c>
      <c r="M25" s="10">
        <v>42908</v>
      </c>
      <c r="N25" s="10">
        <v>42950</v>
      </c>
      <c r="O25" s="10">
        <v>42978</v>
      </c>
      <c r="P25" s="10">
        <v>43013</v>
      </c>
      <c r="Q25" s="10">
        <v>43049</v>
      </c>
      <c r="R25" s="10">
        <v>43073</v>
      </c>
    </row>
    <row r="26" spans="1:23" ht="22.5" customHeight="1">
      <c r="A26" s="4"/>
      <c r="B26" s="1"/>
      <c r="C26" s="80"/>
      <c r="D26" s="43"/>
      <c r="E26" s="8"/>
      <c r="F26" s="50"/>
      <c r="G26" s="15">
        <v>24000</v>
      </c>
      <c r="H26" s="15">
        <v>24000</v>
      </c>
      <c r="I26" s="15">
        <v>24000</v>
      </c>
      <c r="J26" s="15">
        <v>24000</v>
      </c>
      <c r="K26" s="11">
        <v>24000</v>
      </c>
      <c r="L26" s="11">
        <v>24000</v>
      </c>
      <c r="M26" s="11">
        <v>24000</v>
      </c>
      <c r="N26" s="11">
        <v>25000</v>
      </c>
      <c r="O26" s="11">
        <v>25000</v>
      </c>
      <c r="P26" s="11">
        <v>25000</v>
      </c>
      <c r="Q26" s="11">
        <v>25000</v>
      </c>
      <c r="R26" s="11">
        <v>25000</v>
      </c>
    </row>
    <row r="27" spans="1:23" ht="22.5" customHeight="1">
      <c r="A27" s="9" t="s">
        <v>37</v>
      </c>
      <c r="B27" s="47" t="s">
        <v>229</v>
      </c>
      <c r="C27" s="51"/>
      <c r="D27" s="43">
        <v>28000</v>
      </c>
      <c r="E27" s="169">
        <v>56000</v>
      </c>
      <c r="F27" s="45" t="s">
        <v>230</v>
      </c>
      <c r="G27" s="14"/>
      <c r="H27" s="9"/>
      <c r="I27" s="9"/>
      <c r="J27" s="9"/>
      <c r="K27" s="9">
        <v>42863</v>
      </c>
      <c r="L27" s="9">
        <v>42892</v>
      </c>
      <c r="M27" s="10">
        <v>42922</v>
      </c>
      <c r="N27" s="10">
        <v>42970</v>
      </c>
      <c r="O27" s="10" t="s">
        <v>211</v>
      </c>
      <c r="P27" s="264" t="s">
        <v>227</v>
      </c>
      <c r="Q27" s="12"/>
      <c r="R27" s="10">
        <v>43058</v>
      </c>
    </row>
    <row r="28" spans="1:23" ht="22.5" customHeight="1">
      <c r="A28" s="4"/>
      <c r="B28" s="48"/>
      <c r="C28" s="80"/>
      <c r="D28" s="43"/>
      <c r="E28" s="8"/>
      <c r="F28" s="50"/>
      <c r="G28" s="15">
        <v>28000</v>
      </c>
      <c r="H28" s="15">
        <v>28000</v>
      </c>
      <c r="I28" s="15">
        <v>28000</v>
      </c>
      <c r="J28" s="15">
        <v>28000</v>
      </c>
      <c r="K28" s="11">
        <v>28000</v>
      </c>
      <c r="L28" s="11">
        <v>28000</v>
      </c>
      <c r="M28" s="11">
        <v>28000</v>
      </c>
      <c r="N28" s="11">
        <v>28000</v>
      </c>
      <c r="O28" s="11">
        <f>14000+11366</f>
        <v>25366</v>
      </c>
      <c r="P28" s="11">
        <v>17566</v>
      </c>
      <c r="Q28" s="12"/>
      <c r="R28" s="11">
        <v>28000</v>
      </c>
      <c r="W28" s="211"/>
    </row>
    <row r="29" spans="1:23" ht="22.5" customHeight="1">
      <c r="A29" s="52"/>
      <c r="B29" s="52"/>
      <c r="C29" s="53"/>
      <c r="D29" s="57">
        <v>101000</v>
      </c>
      <c r="E29" s="54">
        <v>177000</v>
      </c>
      <c r="F29" s="55" t="s">
        <v>41</v>
      </c>
      <c r="G29" s="56">
        <f t="shared" ref="G29:R29" si="3">G22+G24+G26+G28</f>
        <v>101000</v>
      </c>
      <c r="H29" s="56">
        <f t="shared" si="3"/>
        <v>101000</v>
      </c>
      <c r="I29" s="56">
        <f t="shared" si="3"/>
        <v>100000</v>
      </c>
      <c r="J29" s="56">
        <f t="shared" si="3"/>
        <v>100000</v>
      </c>
      <c r="K29" s="56">
        <f t="shared" si="3"/>
        <v>93394</v>
      </c>
      <c r="L29" s="56">
        <f t="shared" si="3"/>
        <v>101000</v>
      </c>
      <c r="M29" s="56">
        <f t="shared" si="3"/>
        <v>104000</v>
      </c>
      <c r="N29" s="56">
        <f t="shared" si="3"/>
        <v>106000</v>
      </c>
      <c r="O29" s="56">
        <f t="shared" si="3"/>
        <v>103366</v>
      </c>
      <c r="P29" s="56">
        <f t="shared" si="3"/>
        <v>98566</v>
      </c>
      <c r="Q29" s="56">
        <f t="shared" si="3"/>
        <v>63000</v>
      </c>
      <c r="R29" s="56">
        <f t="shared" si="3"/>
        <v>101338</v>
      </c>
      <c r="W29" s="211"/>
    </row>
    <row r="30" spans="1:23" ht="22.5" customHeight="1">
      <c r="A30" s="52"/>
      <c r="B30" s="52"/>
      <c r="C30" s="53"/>
      <c r="D30" s="329" t="s">
        <v>42</v>
      </c>
      <c r="E30" s="329"/>
      <c r="F30" s="58">
        <v>0.1</v>
      </c>
      <c r="G30" s="60">
        <f t="shared" ref="G30:R30" si="4">-G29*$F$30</f>
        <v>-10100</v>
      </c>
      <c r="H30" s="60">
        <f t="shared" si="4"/>
        <v>-10100</v>
      </c>
      <c r="I30" s="60">
        <f t="shared" si="4"/>
        <v>-10000</v>
      </c>
      <c r="J30" s="60">
        <f t="shared" si="4"/>
        <v>-10000</v>
      </c>
      <c r="K30" s="60">
        <f t="shared" si="4"/>
        <v>-9339.4</v>
      </c>
      <c r="L30" s="60">
        <f t="shared" si="4"/>
        <v>-10100</v>
      </c>
      <c r="M30" s="60">
        <f t="shared" si="4"/>
        <v>-10400</v>
      </c>
      <c r="N30" s="60">
        <f t="shared" si="4"/>
        <v>-10600</v>
      </c>
      <c r="O30" s="60">
        <f t="shared" si="4"/>
        <v>-10336.6</v>
      </c>
      <c r="P30" s="60">
        <f t="shared" si="4"/>
        <v>-9856.6</v>
      </c>
      <c r="Q30" s="60">
        <f t="shared" si="4"/>
        <v>-6300</v>
      </c>
      <c r="R30" s="60">
        <f t="shared" si="4"/>
        <v>-10133.800000000001</v>
      </c>
    </row>
    <row r="31" spans="1:23" ht="22.5" customHeight="1">
      <c r="A31" s="65"/>
      <c r="B31" s="65"/>
      <c r="C31" s="66"/>
      <c r="D31" s="67"/>
      <c r="E31" s="90"/>
      <c r="F31" s="91"/>
      <c r="G31" s="92" t="s">
        <v>14</v>
      </c>
      <c r="H31" s="92" t="s">
        <v>15</v>
      </c>
      <c r="I31" s="92" t="s">
        <v>16</v>
      </c>
      <c r="J31" s="92" t="s">
        <v>17</v>
      </c>
      <c r="K31" s="92" t="s">
        <v>18</v>
      </c>
      <c r="L31" s="92" t="s">
        <v>19</v>
      </c>
      <c r="M31" s="92" t="s">
        <v>20</v>
      </c>
      <c r="N31" s="92" t="s">
        <v>21</v>
      </c>
      <c r="O31" s="92" t="s">
        <v>22</v>
      </c>
      <c r="P31" s="92" t="s">
        <v>23</v>
      </c>
      <c r="Q31" s="92" t="s">
        <v>24</v>
      </c>
      <c r="R31" s="96" t="s">
        <v>25</v>
      </c>
    </row>
    <row r="32" spans="1:23" ht="22.5" customHeight="1">
      <c r="A32" s="65"/>
      <c r="B32" s="123"/>
      <c r="C32" s="66"/>
      <c r="D32" s="67"/>
      <c r="E32" s="85" t="s">
        <v>31</v>
      </c>
      <c r="F32" s="68" t="s">
        <v>46</v>
      </c>
      <c r="G32" s="69">
        <v>2917</v>
      </c>
      <c r="H32" s="69">
        <v>2995</v>
      </c>
      <c r="I32" s="69">
        <v>3169</v>
      </c>
      <c r="J32" s="69">
        <v>3357</v>
      </c>
      <c r="K32" s="69">
        <v>3599</v>
      </c>
      <c r="L32" s="69">
        <v>3845</v>
      </c>
      <c r="M32" s="69">
        <v>4113</v>
      </c>
      <c r="N32" s="69">
        <v>4479</v>
      </c>
      <c r="O32" s="69">
        <v>4843</v>
      </c>
      <c r="P32" s="69">
        <v>5139</v>
      </c>
      <c r="Q32" s="69">
        <v>5319</v>
      </c>
      <c r="R32" s="97"/>
    </row>
    <row r="33" spans="1:28" ht="22.15" customHeight="1">
      <c r="A33" s="65"/>
      <c r="B33" s="65"/>
      <c r="C33" s="66"/>
      <c r="D33" s="67"/>
      <c r="E33" s="86"/>
      <c r="F33" s="70" t="s">
        <v>47</v>
      </c>
      <c r="G33" s="121"/>
      <c r="H33" s="82">
        <f t="shared" ref="H33:R33" si="5">IF((H32-G32)*5.5&gt;0,(H32-G32)*5.5,0)</f>
        <v>429</v>
      </c>
      <c r="I33" s="82">
        <f t="shared" si="5"/>
        <v>957</v>
      </c>
      <c r="J33" s="83">
        <f t="shared" si="5"/>
        <v>1034</v>
      </c>
      <c r="K33" s="83"/>
      <c r="L33" s="82">
        <f>IF((L32-K32)*5.5&gt;0,(L32-K32)*5.5,0)</f>
        <v>1353</v>
      </c>
      <c r="M33" s="82">
        <f>IF((M32-L32)*5.5&gt;0,(M32-L32)*5.5,0)</f>
        <v>1474</v>
      </c>
      <c r="N33" s="82">
        <f>IF((N32-L32)*5.5&gt;0,(N32-L32)*5.5,0)</f>
        <v>3487</v>
      </c>
      <c r="O33" s="82">
        <f t="shared" si="5"/>
        <v>2002</v>
      </c>
      <c r="P33" s="82">
        <f t="shared" si="5"/>
        <v>1628</v>
      </c>
      <c r="Q33" s="82">
        <f t="shared" si="5"/>
        <v>990</v>
      </c>
      <c r="R33" s="23">
        <f t="shared" si="5"/>
        <v>0</v>
      </c>
    </row>
    <row r="34" spans="1:28" ht="22.5" customHeight="1">
      <c r="A34" s="65"/>
      <c r="B34" s="65"/>
      <c r="C34" s="66"/>
      <c r="D34" s="67"/>
      <c r="E34" s="85" t="s">
        <v>32</v>
      </c>
      <c r="F34" s="68" t="s">
        <v>46</v>
      </c>
      <c r="G34" s="69">
        <v>4205</v>
      </c>
      <c r="H34" s="69">
        <v>4427</v>
      </c>
      <c r="I34" s="69">
        <v>4659</v>
      </c>
      <c r="J34" s="69">
        <v>4845</v>
      </c>
      <c r="K34" s="69">
        <v>5133</v>
      </c>
      <c r="L34" s="69" t="s">
        <v>190</v>
      </c>
      <c r="M34" s="69">
        <v>5670</v>
      </c>
      <c r="N34" s="69"/>
      <c r="O34" s="69"/>
      <c r="P34" s="69"/>
      <c r="Q34" s="69"/>
      <c r="R34" s="97"/>
    </row>
    <row r="35" spans="1:28" ht="22.5" customHeight="1">
      <c r="A35" s="65"/>
      <c r="B35" s="65"/>
      <c r="C35" s="66"/>
      <c r="D35" s="67"/>
      <c r="E35" s="86"/>
      <c r="F35" s="70" t="s">
        <v>47</v>
      </c>
      <c r="G35" s="121"/>
      <c r="H35" s="82">
        <f t="shared" ref="H35:R35" si="6">IF((H34-G34)*5.5&gt;0,(H34-G34)*5.5,0)</f>
        <v>1221</v>
      </c>
      <c r="I35" s="82">
        <f t="shared" si="6"/>
        <v>1276</v>
      </c>
      <c r="J35" s="82">
        <f t="shared" si="6"/>
        <v>1023</v>
      </c>
      <c r="K35" s="82">
        <f t="shared" si="6"/>
        <v>1584</v>
      </c>
      <c r="L35" s="83">
        <f>IF((5663-5371)*5.5&gt;0,(5663-5371)*5.5,0)</f>
        <v>1606</v>
      </c>
      <c r="M35" s="83"/>
      <c r="N35" s="83">
        <f>IF((N34-M34)*5.5&gt;0,(N34-M34)*5.5,0)</f>
        <v>0</v>
      </c>
      <c r="O35" s="83">
        <f t="shared" si="6"/>
        <v>0</v>
      </c>
      <c r="P35" s="83">
        <f t="shared" si="6"/>
        <v>0</v>
      </c>
      <c r="Q35" s="83">
        <f t="shared" si="6"/>
        <v>0</v>
      </c>
      <c r="R35" s="23">
        <f t="shared" si="6"/>
        <v>0</v>
      </c>
    </row>
    <row r="36" spans="1:28" ht="22.5" customHeight="1">
      <c r="A36" s="65"/>
      <c r="B36" s="65"/>
      <c r="C36" s="66"/>
      <c r="D36" s="67"/>
      <c r="E36" s="87" t="s">
        <v>33</v>
      </c>
      <c r="F36" s="68" t="s">
        <v>46</v>
      </c>
      <c r="G36" s="72">
        <v>3822</v>
      </c>
      <c r="H36" s="72">
        <v>4374</v>
      </c>
      <c r="I36" s="72">
        <v>4508</v>
      </c>
      <c r="J36" s="72">
        <v>4630</v>
      </c>
      <c r="K36" s="73"/>
      <c r="L36" s="73">
        <v>5140</v>
      </c>
      <c r="M36" s="73">
        <v>5151</v>
      </c>
      <c r="N36" s="73">
        <v>5381</v>
      </c>
      <c r="O36" s="74">
        <v>5647</v>
      </c>
      <c r="P36" s="73">
        <v>5929</v>
      </c>
      <c r="Q36" s="73">
        <v>6073</v>
      </c>
      <c r="R36" s="98"/>
    </row>
    <row r="37" spans="1:28" ht="22.5" customHeight="1">
      <c r="A37" s="65"/>
      <c r="B37" s="65"/>
      <c r="C37" s="66"/>
      <c r="D37" s="67"/>
      <c r="E37" s="86"/>
      <c r="F37" s="70" t="s">
        <v>47</v>
      </c>
      <c r="G37" s="113" t="s">
        <v>90</v>
      </c>
      <c r="H37" s="82">
        <f t="shared" ref="H37:R39" si="7">IF((H36-G36)*5.5&gt;0,(H36-G36)*5.5,0)</f>
        <v>3036</v>
      </c>
      <c r="I37" s="82">
        <f t="shared" si="7"/>
        <v>737</v>
      </c>
      <c r="J37" s="82">
        <f t="shared" si="7"/>
        <v>671</v>
      </c>
      <c r="K37" s="83">
        <f t="shared" si="7"/>
        <v>0</v>
      </c>
      <c r="L37" s="83">
        <f>IF((L36-J36)*5.5&gt;0,(L36-J36)*5.5,0)</f>
        <v>2805</v>
      </c>
      <c r="M37" s="83"/>
      <c r="N37" s="82">
        <f t="shared" si="7"/>
        <v>1265</v>
      </c>
      <c r="O37" s="82">
        <f t="shared" si="7"/>
        <v>1463</v>
      </c>
      <c r="P37" s="82">
        <f t="shared" si="7"/>
        <v>1551</v>
      </c>
      <c r="Q37" s="82">
        <f t="shared" si="7"/>
        <v>792</v>
      </c>
      <c r="R37" s="83">
        <f t="shared" si="7"/>
        <v>0</v>
      </c>
    </row>
    <row r="38" spans="1:28" ht="22.5" customHeight="1">
      <c r="A38" s="65"/>
      <c r="B38" s="65"/>
      <c r="C38" s="66"/>
      <c r="D38" s="67"/>
      <c r="E38" s="87" t="s">
        <v>37</v>
      </c>
      <c r="F38" s="68" t="s">
        <v>46</v>
      </c>
      <c r="G38" s="69">
        <v>7432</v>
      </c>
      <c r="H38" s="69">
        <v>7706</v>
      </c>
      <c r="I38" s="69">
        <v>7940</v>
      </c>
      <c r="J38" s="69">
        <v>8142</v>
      </c>
      <c r="K38" s="73">
        <v>8308</v>
      </c>
      <c r="L38" s="73">
        <v>8624</v>
      </c>
      <c r="M38" s="256">
        <v>8884</v>
      </c>
      <c r="N38" s="73">
        <v>9162</v>
      </c>
      <c r="O38" s="74"/>
      <c r="P38" s="73"/>
      <c r="Q38" s="73"/>
      <c r="R38" s="98"/>
    </row>
    <row r="39" spans="1:28" ht="22.5" customHeight="1">
      <c r="A39" s="65"/>
      <c r="B39" s="65"/>
      <c r="C39" s="66"/>
      <c r="D39" s="67"/>
      <c r="E39" s="88"/>
      <c r="F39" s="70" t="s">
        <v>47</v>
      </c>
      <c r="G39" s="121"/>
      <c r="H39" s="82">
        <f t="shared" ref="H39:R39" si="8">IF((H38-G38)*5.5&gt;0,(H38-G38)*5.5,0)</f>
        <v>1507</v>
      </c>
      <c r="I39" s="82">
        <f t="shared" si="8"/>
        <v>1287</v>
      </c>
      <c r="J39" s="82">
        <f t="shared" si="8"/>
        <v>1111</v>
      </c>
      <c r="K39" s="82">
        <f t="shared" si="8"/>
        <v>913</v>
      </c>
      <c r="L39" s="82">
        <f t="shared" si="7"/>
        <v>1738</v>
      </c>
      <c r="M39" s="82">
        <f t="shared" si="7"/>
        <v>1430</v>
      </c>
      <c r="N39" s="82">
        <f>IF((N38-M38)*5.5&gt;0,(N38-M38)*5.5,0)</f>
        <v>1529</v>
      </c>
      <c r="O39" s="83">
        <f t="shared" si="8"/>
        <v>0</v>
      </c>
      <c r="P39" s="83">
        <f t="shared" si="8"/>
        <v>0</v>
      </c>
      <c r="Q39" s="83">
        <f t="shared" si="8"/>
        <v>0</v>
      </c>
      <c r="R39" s="23">
        <f t="shared" si="8"/>
        <v>0</v>
      </c>
    </row>
    <row r="40" spans="1:28" ht="22.5" customHeight="1">
      <c r="A40" s="122"/>
      <c r="B40" s="122"/>
      <c r="C40" s="122"/>
      <c r="D40" s="122"/>
      <c r="E40" s="93"/>
      <c r="F40" s="94" t="s">
        <v>48</v>
      </c>
      <c r="G40" s="95">
        <v>0</v>
      </c>
      <c r="H40" s="95">
        <f t="shared" ref="H40:R40" si="9">H33+H35+H37+H39</f>
        <v>6193</v>
      </c>
      <c r="I40" s="95">
        <f t="shared" si="9"/>
        <v>4257</v>
      </c>
      <c r="J40" s="95">
        <f t="shared" si="9"/>
        <v>3839</v>
      </c>
      <c r="K40" s="95">
        <f t="shared" si="9"/>
        <v>2497</v>
      </c>
      <c r="L40" s="95">
        <f t="shared" si="9"/>
        <v>7502</v>
      </c>
      <c r="M40" s="95">
        <f t="shared" si="9"/>
        <v>2904</v>
      </c>
      <c r="N40" s="95">
        <f t="shared" si="9"/>
        <v>6281</v>
      </c>
      <c r="O40" s="95">
        <f t="shared" si="9"/>
        <v>3465</v>
      </c>
      <c r="P40" s="95">
        <f t="shared" si="9"/>
        <v>3179</v>
      </c>
      <c r="Q40" s="95">
        <f t="shared" si="9"/>
        <v>1782</v>
      </c>
      <c r="R40" s="99">
        <f t="shared" si="9"/>
        <v>0</v>
      </c>
    </row>
    <row r="41" spans="1:28" ht="22.15" customHeight="1">
      <c r="H41" s="81"/>
    </row>
    <row r="42" spans="1:28" ht="22.5" customHeight="1">
      <c r="A42" s="41" t="s">
        <v>125</v>
      </c>
      <c r="B42" s="42" t="s">
        <v>26</v>
      </c>
      <c r="C42" s="6" t="s">
        <v>27</v>
      </c>
      <c r="D42" s="43" t="s">
        <v>28</v>
      </c>
      <c r="E42" s="8" t="s">
        <v>29</v>
      </c>
      <c r="F42" s="4" t="s">
        <v>30</v>
      </c>
      <c r="G42" s="5" t="s">
        <v>14</v>
      </c>
      <c r="H42" s="5" t="s">
        <v>15</v>
      </c>
      <c r="I42" s="5" t="s">
        <v>16</v>
      </c>
      <c r="J42" s="5" t="s">
        <v>17</v>
      </c>
      <c r="K42" s="5" t="s">
        <v>18</v>
      </c>
      <c r="L42" s="5" t="s">
        <v>19</v>
      </c>
      <c r="M42" s="5" t="s">
        <v>20</v>
      </c>
      <c r="N42" s="5" t="s">
        <v>21</v>
      </c>
      <c r="O42" s="5" t="s">
        <v>22</v>
      </c>
      <c r="P42" s="5" t="s">
        <v>23</v>
      </c>
      <c r="Q42" s="5" t="s">
        <v>24</v>
      </c>
      <c r="R42" s="5" t="s">
        <v>25</v>
      </c>
    </row>
    <row r="43" spans="1:28" ht="22.5" customHeight="1">
      <c r="A43" s="9" t="s">
        <v>31</v>
      </c>
      <c r="B43" s="9" t="s">
        <v>236</v>
      </c>
      <c r="C43" s="9"/>
      <c r="D43" s="43">
        <v>28000</v>
      </c>
      <c r="E43" s="8">
        <v>28000</v>
      </c>
      <c r="F43" s="45" t="s">
        <v>237</v>
      </c>
      <c r="G43" s="9"/>
      <c r="H43" s="9"/>
      <c r="I43" s="9"/>
      <c r="J43" s="9"/>
      <c r="K43" s="10">
        <v>42874</v>
      </c>
      <c r="L43" s="10"/>
      <c r="M43" s="10"/>
      <c r="N43" s="10">
        <v>42954</v>
      </c>
      <c r="O43" s="10">
        <v>42978</v>
      </c>
      <c r="P43" s="10"/>
      <c r="Q43" s="10"/>
      <c r="R43" s="10">
        <v>43081</v>
      </c>
    </row>
    <row r="44" spans="1:28" ht="22.5" customHeight="1">
      <c r="A44" s="4"/>
      <c r="B44" s="4"/>
      <c r="C44" s="6"/>
      <c r="D44" s="43"/>
      <c r="E44" s="8"/>
      <c r="F44" s="46"/>
      <c r="G44" s="11">
        <v>28000</v>
      </c>
      <c r="H44" s="11">
        <v>28000</v>
      </c>
      <c r="I44" s="11">
        <v>28000</v>
      </c>
      <c r="J44" s="11">
        <v>28000</v>
      </c>
      <c r="K44" s="168">
        <v>28000</v>
      </c>
      <c r="L44" s="168">
        <v>28000</v>
      </c>
      <c r="M44" s="168">
        <v>28000</v>
      </c>
      <c r="N44" s="168">
        <v>28000</v>
      </c>
      <c r="O44" s="168">
        <v>28000</v>
      </c>
      <c r="P44" s="168">
        <v>9333</v>
      </c>
      <c r="Q44" s="13"/>
      <c r="R44" s="168">
        <f>28000/31*21</f>
        <v>18967.741935483871</v>
      </c>
    </row>
    <row r="45" spans="1:28" ht="22.15" customHeight="1">
      <c r="A45" s="9" t="s">
        <v>32</v>
      </c>
      <c r="B45" s="47" t="s">
        <v>235</v>
      </c>
      <c r="C45" s="9"/>
      <c r="D45" s="43">
        <v>22000</v>
      </c>
      <c r="E45" s="8">
        <v>56000</v>
      </c>
      <c r="F45" s="45" t="s">
        <v>97</v>
      </c>
      <c r="G45" s="9"/>
      <c r="H45" s="9"/>
      <c r="I45" s="9"/>
      <c r="J45" s="9"/>
      <c r="K45" s="10">
        <v>42874</v>
      </c>
      <c r="L45" s="10"/>
      <c r="M45" s="10"/>
      <c r="N45" s="10">
        <v>42954</v>
      </c>
      <c r="O45" s="10">
        <v>42978</v>
      </c>
      <c r="P45" s="10"/>
      <c r="Q45" s="10"/>
      <c r="R45" s="10">
        <v>43090</v>
      </c>
    </row>
    <row r="46" spans="1:28" ht="22.5" customHeight="1">
      <c r="A46" s="4"/>
      <c r="B46" s="48"/>
      <c r="C46" s="49"/>
      <c r="D46" s="43"/>
      <c r="E46" s="8"/>
      <c r="F46" s="50"/>
      <c r="G46" s="15">
        <v>28000</v>
      </c>
      <c r="H46" s="15">
        <v>28000</v>
      </c>
      <c r="I46" s="15">
        <v>28000</v>
      </c>
      <c r="J46" s="15">
        <v>28000</v>
      </c>
      <c r="K46" s="11">
        <v>28000</v>
      </c>
      <c r="L46" s="168">
        <v>28000</v>
      </c>
      <c r="M46" s="11">
        <v>28000</v>
      </c>
      <c r="N46" s="11">
        <v>28000</v>
      </c>
      <c r="O46" s="11">
        <v>28000</v>
      </c>
      <c r="P46" s="11">
        <v>12333</v>
      </c>
      <c r="Q46" s="12"/>
      <c r="R46" s="11">
        <f>22000/31*11</f>
        <v>7806.4516129032254</v>
      </c>
      <c r="U46" s="256" t="s">
        <v>31</v>
      </c>
      <c r="V46" s="256" t="s">
        <v>60</v>
      </c>
      <c r="W46" s="270"/>
      <c r="X46" s="270">
        <f>9333+1947</f>
        <v>11280</v>
      </c>
      <c r="Y46" s="269" t="s">
        <v>221</v>
      </c>
      <c r="Z46" s="268"/>
      <c r="AA46" s="267">
        <v>1947</v>
      </c>
      <c r="AB46" s="266" t="s">
        <v>226</v>
      </c>
    </row>
    <row r="47" spans="1:28" ht="22.5" customHeight="1">
      <c r="A47" s="9" t="s">
        <v>33</v>
      </c>
      <c r="B47" s="47" t="s">
        <v>218</v>
      </c>
      <c r="C47" s="47"/>
      <c r="D47" s="43">
        <v>28000</v>
      </c>
      <c r="E47" s="8">
        <v>28000</v>
      </c>
      <c r="F47" s="45" t="s">
        <v>219</v>
      </c>
      <c r="G47" s="14"/>
      <c r="H47" s="9"/>
      <c r="I47" s="9"/>
      <c r="J47" s="9">
        <v>42835</v>
      </c>
      <c r="K47" s="9">
        <v>42857</v>
      </c>
      <c r="L47" s="9">
        <v>42908</v>
      </c>
      <c r="M47" s="9">
        <v>42941</v>
      </c>
      <c r="N47" s="9">
        <v>42968</v>
      </c>
      <c r="O47" s="9" t="s">
        <v>213</v>
      </c>
      <c r="P47" s="10">
        <v>43019</v>
      </c>
      <c r="Q47" s="10">
        <v>43050</v>
      </c>
      <c r="R47" s="10">
        <v>43080</v>
      </c>
      <c r="U47" s="256" t="s">
        <v>32</v>
      </c>
      <c r="V47" s="256" t="s">
        <v>60</v>
      </c>
      <c r="W47" s="270"/>
      <c r="X47" s="270">
        <f>9333+3000+1496</f>
        <v>13829</v>
      </c>
      <c r="Y47" s="269" t="s">
        <v>221</v>
      </c>
      <c r="Z47" s="268"/>
      <c r="AA47" s="267">
        <v>1496</v>
      </c>
      <c r="AB47" s="272" t="s">
        <v>225</v>
      </c>
    </row>
    <row r="48" spans="1:28" ht="22.15" customHeight="1">
      <c r="A48" s="4"/>
      <c r="B48" s="48"/>
      <c r="C48" s="80"/>
      <c r="D48" s="43"/>
      <c r="E48" s="8"/>
      <c r="F48" s="50"/>
      <c r="G48" s="15">
        <v>23000</v>
      </c>
      <c r="H48" s="15">
        <v>23000</v>
      </c>
      <c r="I48" s="15">
        <v>23000</v>
      </c>
      <c r="J48" s="15">
        <v>23000</v>
      </c>
      <c r="K48" s="11">
        <v>23000</v>
      </c>
      <c r="L48" s="11">
        <v>25500</v>
      </c>
      <c r="M48" s="11">
        <v>25500</v>
      </c>
      <c r="N48" s="11">
        <f>25500</f>
        <v>25500</v>
      </c>
      <c r="O48" s="11">
        <f>25500-10200+6885</f>
        <v>22185</v>
      </c>
      <c r="P48" s="11">
        <f>6885+28000</f>
        <v>34885</v>
      </c>
      <c r="Q48" s="11">
        <f>6885+28000</f>
        <v>34885</v>
      </c>
      <c r="R48" s="11">
        <v>28000</v>
      </c>
      <c r="U48" s="256" t="s">
        <v>33</v>
      </c>
      <c r="V48" s="271" t="s">
        <v>224</v>
      </c>
      <c r="W48" s="270"/>
      <c r="X48" s="270">
        <v>56000</v>
      </c>
      <c r="Y48" s="269" t="s">
        <v>221</v>
      </c>
      <c r="Z48" s="268">
        <v>43019</v>
      </c>
      <c r="AA48" s="267">
        <v>28000</v>
      </c>
      <c r="AB48" s="272" t="s">
        <v>223</v>
      </c>
    </row>
    <row r="49" spans="1:28" ht="22.15" customHeight="1">
      <c r="A49" s="9" t="s">
        <v>37</v>
      </c>
      <c r="B49" s="48" t="s">
        <v>238</v>
      </c>
      <c r="C49" s="9"/>
      <c r="D49" s="76">
        <v>25000</v>
      </c>
      <c r="E49" s="77">
        <v>25000</v>
      </c>
      <c r="F49" s="45" t="s">
        <v>187</v>
      </c>
      <c r="G49" s="14"/>
      <c r="H49" s="14"/>
      <c r="I49" s="14"/>
      <c r="J49" s="14"/>
      <c r="K49" s="10">
        <v>42874</v>
      </c>
      <c r="L49" s="12"/>
      <c r="M49" s="10">
        <v>42927</v>
      </c>
      <c r="N49" s="10">
        <v>42958</v>
      </c>
      <c r="O49" s="10">
        <v>42984</v>
      </c>
      <c r="P49" s="12"/>
      <c r="Q49" s="12"/>
      <c r="R49" s="10">
        <v>43082</v>
      </c>
      <c r="U49" s="256" t="s">
        <v>37</v>
      </c>
      <c r="V49" s="256" t="s">
        <v>60</v>
      </c>
      <c r="W49" s="270"/>
      <c r="X49" s="270">
        <v>4000</v>
      </c>
      <c r="Y49" s="269" t="s">
        <v>221</v>
      </c>
      <c r="Z49" s="268"/>
      <c r="AA49" s="267"/>
      <c r="AB49" s="266"/>
    </row>
    <row r="50" spans="1:28" ht="22.5" customHeight="1">
      <c r="A50" s="78"/>
      <c r="B50" s="48"/>
      <c r="C50" s="49"/>
      <c r="D50" s="76"/>
      <c r="E50" s="77"/>
      <c r="F50" s="12"/>
      <c r="G50" s="15">
        <v>28000</v>
      </c>
      <c r="H50" s="15">
        <v>28000</v>
      </c>
      <c r="I50" s="15">
        <v>28000</v>
      </c>
      <c r="J50" s="15">
        <v>28000</v>
      </c>
      <c r="K50" s="11">
        <v>28000</v>
      </c>
      <c r="L50" s="168">
        <v>28000</v>
      </c>
      <c r="M50" s="11">
        <v>25000</v>
      </c>
      <c r="N50" s="11">
        <v>25000</v>
      </c>
      <c r="O50" s="11">
        <v>25000</v>
      </c>
      <c r="P50" s="11">
        <v>4000</v>
      </c>
      <c r="Q50" s="12"/>
      <c r="R50" s="11">
        <v>12000</v>
      </c>
      <c r="U50" s="256" t="s">
        <v>51</v>
      </c>
      <c r="V50" s="271" t="s">
        <v>222</v>
      </c>
      <c r="W50" s="270"/>
      <c r="X50" s="270">
        <f>32000+2030</f>
        <v>34030</v>
      </c>
      <c r="Y50" s="269" t="s">
        <v>221</v>
      </c>
      <c r="Z50" s="268"/>
      <c r="AA50" s="267">
        <v>2030</v>
      </c>
      <c r="AB50" s="266" t="s">
        <v>220</v>
      </c>
    </row>
    <row r="51" spans="1:28" ht="22.5" customHeight="1">
      <c r="A51" s="78" t="s">
        <v>51</v>
      </c>
      <c r="B51" s="47" t="s">
        <v>232</v>
      </c>
      <c r="C51" s="9"/>
      <c r="D51" s="43">
        <v>32000</v>
      </c>
      <c r="E51" s="8">
        <v>64000</v>
      </c>
      <c r="F51" s="45" t="s">
        <v>231</v>
      </c>
      <c r="G51" s="14"/>
      <c r="H51" s="9"/>
      <c r="I51" s="9"/>
      <c r="J51" s="9"/>
      <c r="K51" s="10">
        <v>42874</v>
      </c>
      <c r="L51" s="12"/>
      <c r="M51" s="12"/>
      <c r="N51" s="10">
        <v>42954</v>
      </c>
      <c r="O51" s="10">
        <v>42978</v>
      </c>
      <c r="P51" s="12"/>
      <c r="Q51" s="12"/>
      <c r="R51" s="12"/>
    </row>
    <row r="52" spans="1:28" ht="22.5" customHeight="1">
      <c r="A52" s="4"/>
      <c r="B52" s="48"/>
      <c r="C52" s="49"/>
      <c r="D52" s="43"/>
      <c r="E52" s="8"/>
      <c r="F52" s="50"/>
      <c r="G52" s="15">
        <v>32000</v>
      </c>
      <c r="H52" s="15">
        <v>32000</v>
      </c>
      <c r="I52" s="15">
        <v>32000</v>
      </c>
      <c r="J52" s="15">
        <v>32000</v>
      </c>
      <c r="K52" s="11">
        <v>32000</v>
      </c>
      <c r="L52" s="168">
        <v>32000</v>
      </c>
      <c r="M52" s="11">
        <v>32000</v>
      </c>
      <c r="N52" s="11">
        <v>32000</v>
      </c>
      <c r="O52" s="11">
        <v>32000</v>
      </c>
      <c r="P52" s="11">
        <v>32000</v>
      </c>
      <c r="Q52" s="11">
        <f>1500*6</f>
        <v>9000</v>
      </c>
      <c r="R52" s="11">
        <f>16500-表格6[[#This Row],[欄17]]</f>
        <v>7500</v>
      </c>
    </row>
    <row r="53" spans="1:28" ht="22.5" customHeight="1">
      <c r="A53" s="52"/>
      <c r="B53" s="52"/>
      <c r="C53" s="53"/>
      <c r="D53" s="57">
        <v>139000</v>
      </c>
      <c r="E53" s="54">
        <v>278000</v>
      </c>
      <c r="F53" s="55" t="s">
        <v>41</v>
      </c>
      <c r="G53" s="56">
        <f t="shared" ref="G53:R53" si="10">G44+G46+G48+G50+G52</f>
        <v>139000</v>
      </c>
      <c r="H53" s="56">
        <f t="shared" si="10"/>
        <v>139000</v>
      </c>
      <c r="I53" s="56">
        <f t="shared" si="10"/>
        <v>139000</v>
      </c>
      <c r="J53" s="56">
        <f t="shared" si="10"/>
        <v>139000</v>
      </c>
      <c r="K53" s="56">
        <f t="shared" si="10"/>
        <v>139000</v>
      </c>
      <c r="L53" s="56">
        <f t="shared" si="10"/>
        <v>141500</v>
      </c>
      <c r="M53" s="56">
        <f t="shared" si="10"/>
        <v>138500</v>
      </c>
      <c r="N53" s="56">
        <f t="shared" si="10"/>
        <v>138500</v>
      </c>
      <c r="O53" s="56">
        <f t="shared" si="10"/>
        <v>135185</v>
      </c>
      <c r="P53" s="56">
        <f t="shared" si="10"/>
        <v>92551</v>
      </c>
      <c r="Q53" s="56">
        <f t="shared" si="10"/>
        <v>43885</v>
      </c>
      <c r="R53" s="56">
        <f t="shared" si="10"/>
        <v>74274.193548387091</v>
      </c>
    </row>
    <row r="54" spans="1:28" ht="22.5" customHeight="1" thickBot="1">
      <c r="A54" s="330" t="s">
        <v>95</v>
      </c>
      <c r="B54" s="330"/>
      <c r="C54" s="330"/>
      <c r="D54" s="329" t="s">
        <v>42</v>
      </c>
      <c r="E54" s="329"/>
      <c r="F54" s="58">
        <v>0.1</v>
      </c>
      <c r="G54" s="60">
        <f t="shared" ref="G54:R54" si="11">-G53*$F$54</f>
        <v>-13900</v>
      </c>
      <c r="H54" s="60">
        <f t="shared" si="11"/>
        <v>-13900</v>
      </c>
      <c r="I54" s="60">
        <f t="shared" si="11"/>
        <v>-13900</v>
      </c>
      <c r="J54" s="60">
        <f t="shared" si="11"/>
        <v>-13900</v>
      </c>
      <c r="K54" s="60">
        <f t="shared" si="11"/>
        <v>-13900</v>
      </c>
      <c r="L54" s="60">
        <f t="shared" si="11"/>
        <v>-14150</v>
      </c>
      <c r="M54" s="60">
        <f t="shared" si="11"/>
        <v>-13850</v>
      </c>
      <c r="N54" s="60">
        <f t="shared" si="11"/>
        <v>-13850</v>
      </c>
      <c r="O54" s="60">
        <f t="shared" si="11"/>
        <v>-13518.5</v>
      </c>
      <c r="P54" s="60">
        <f t="shared" si="11"/>
        <v>-9255.1</v>
      </c>
      <c r="Q54" s="60">
        <f t="shared" si="11"/>
        <v>-4388.5</v>
      </c>
      <c r="R54" s="60">
        <f t="shared" si="11"/>
        <v>-7427.4193548387093</v>
      </c>
    </row>
    <row r="55" spans="1:28" ht="22.5" customHeight="1">
      <c r="A55" s="65"/>
      <c r="B55" s="65"/>
      <c r="C55" s="66"/>
      <c r="D55" s="67"/>
      <c r="E55" s="84"/>
      <c r="F55" s="63"/>
      <c r="G55" s="64" t="s">
        <v>14</v>
      </c>
      <c r="H55" s="64" t="s">
        <v>15</v>
      </c>
      <c r="I55" s="64" t="s">
        <v>16</v>
      </c>
      <c r="J55" s="64" t="s">
        <v>17</v>
      </c>
      <c r="K55" s="64" t="s">
        <v>18</v>
      </c>
      <c r="L55" s="64" t="s">
        <v>19</v>
      </c>
      <c r="M55" s="64" t="s">
        <v>20</v>
      </c>
      <c r="N55" s="64" t="s">
        <v>21</v>
      </c>
      <c r="O55" s="64" t="s">
        <v>22</v>
      </c>
      <c r="P55" s="64" t="s">
        <v>23</v>
      </c>
      <c r="Q55" s="64" t="s">
        <v>24</v>
      </c>
      <c r="R55" s="112" t="s">
        <v>25</v>
      </c>
    </row>
    <row r="56" spans="1:28" ht="22.5" customHeight="1">
      <c r="A56" s="65"/>
      <c r="B56" s="65"/>
      <c r="C56" s="66"/>
      <c r="D56" s="67"/>
      <c r="E56" s="85" t="s">
        <v>31</v>
      </c>
      <c r="F56" s="68" t="s">
        <v>46</v>
      </c>
      <c r="G56" s="69">
        <v>5531</v>
      </c>
      <c r="H56" s="69">
        <v>5697</v>
      </c>
      <c r="I56" s="69">
        <v>5945</v>
      </c>
      <c r="J56" s="69">
        <v>6099</v>
      </c>
      <c r="K56" s="69">
        <v>6293</v>
      </c>
      <c r="L56" s="69">
        <v>6497</v>
      </c>
      <c r="M56" s="69">
        <v>6799</v>
      </c>
      <c r="N56" s="69">
        <v>7193</v>
      </c>
      <c r="O56" s="69"/>
      <c r="P56" s="69"/>
      <c r="Q56" s="69">
        <v>7699</v>
      </c>
      <c r="R56" s="97"/>
    </row>
    <row r="57" spans="1:28" ht="22.5" customHeight="1">
      <c r="A57" s="65"/>
      <c r="B57" s="65"/>
      <c r="C57" s="66"/>
      <c r="D57" s="67"/>
      <c r="E57" s="86"/>
      <c r="F57" s="70" t="s">
        <v>47</v>
      </c>
      <c r="G57" s="113"/>
      <c r="H57" s="82">
        <f t="shared" ref="H57:R57" si="12">IF((H56-G56)*5.5&gt;0,(H56-G56)*5.5,0)</f>
        <v>913</v>
      </c>
      <c r="I57" s="82">
        <f t="shared" si="12"/>
        <v>1364</v>
      </c>
      <c r="J57" s="82">
        <f t="shared" si="12"/>
        <v>847</v>
      </c>
      <c r="K57" s="82">
        <f t="shared" si="12"/>
        <v>1067</v>
      </c>
      <c r="L57" s="82">
        <f t="shared" si="12"/>
        <v>1122</v>
      </c>
      <c r="M57" s="82">
        <f t="shared" si="12"/>
        <v>1661</v>
      </c>
      <c r="N57" s="82">
        <f t="shared" si="12"/>
        <v>2167</v>
      </c>
      <c r="O57" s="83">
        <f t="shared" si="12"/>
        <v>0</v>
      </c>
      <c r="P57" s="83">
        <f t="shared" si="12"/>
        <v>0</v>
      </c>
      <c r="Q57" s="83"/>
      <c r="R57" s="83">
        <f t="shared" si="12"/>
        <v>0</v>
      </c>
    </row>
    <row r="58" spans="1:28" ht="22.5" customHeight="1">
      <c r="A58" s="65"/>
      <c r="B58" s="65"/>
      <c r="C58" s="66"/>
      <c r="D58" s="67"/>
      <c r="E58" s="85" t="s">
        <v>32</v>
      </c>
      <c r="F58" s="68" t="s">
        <v>46</v>
      </c>
      <c r="G58" s="69">
        <v>4906</v>
      </c>
      <c r="H58" s="69">
        <v>5034</v>
      </c>
      <c r="I58" s="69">
        <v>5238</v>
      </c>
      <c r="J58" s="69">
        <v>5344</v>
      </c>
      <c r="K58" s="69">
        <v>5514</v>
      </c>
      <c r="L58" s="69">
        <v>5572</v>
      </c>
      <c r="M58" s="69">
        <v>5712</v>
      </c>
      <c r="N58" s="69">
        <v>5936</v>
      </c>
      <c r="O58" s="69"/>
      <c r="P58" s="69"/>
      <c r="Q58" s="69">
        <v>6355</v>
      </c>
      <c r="R58" s="97"/>
    </row>
    <row r="59" spans="1:28" ht="22.5" customHeight="1">
      <c r="A59" s="65"/>
      <c r="B59" s="65"/>
      <c r="C59" s="66"/>
      <c r="D59" s="67"/>
      <c r="E59" s="86"/>
      <c r="F59" s="70" t="s">
        <v>47</v>
      </c>
      <c r="G59" s="113"/>
      <c r="H59" s="82">
        <f t="shared" ref="H59:R59" si="13">IF((H58-G58)*5.5&gt;0,(H58-G58)*5.5,0)</f>
        <v>704</v>
      </c>
      <c r="I59" s="82">
        <f t="shared" si="13"/>
        <v>1122</v>
      </c>
      <c r="J59" s="82">
        <f t="shared" si="13"/>
        <v>583</v>
      </c>
      <c r="K59" s="82">
        <f t="shared" si="13"/>
        <v>935</v>
      </c>
      <c r="L59" s="82">
        <f t="shared" si="13"/>
        <v>319</v>
      </c>
      <c r="M59" s="82">
        <f t="shared" si="13"/>
        <v>770</v>
      </c>
      <c r="N59" s="82">
        <f t="shared" si="13"/>
        <v>1232</v>
      </c>
      <c r="O59" s="83">
        <f t="shared" si="13"/>
        <v>0</v>
      </c>
      <c r="P59" s="83">
        <f t="shared" si="13"/>
        <v>0</v>
      </c>
      <c r="Q59" s="83"/>
      <c r="R59" s="83">
        <f t="shared" si="13"/>
        <v>0</v>
      </c>
    </row>
    <row r="60" spans="1:28" ht="22.5" customHeight="1">
      <c r="A60" s="65"/>
      <c r="B60" s="65"/>
      <c r="C60" s="66"/>
      <c r="D60" s="67"/>
      <c r="E60" s="87" t="s">
        <v>33</v>
      </c>
      <c r="F60" s="68" t="s">
        <v>46</v>
      </c>
      <c r="G60" s="72">
        <v>4324</v>
      </c>
      <c r="H60" s="72">
        <v>4390</v>
      </c>
      <c r="I60" s="72">
        <v>4462</v>
      </c>
      <c r="J60" s="72">
        <v>4524</v>
      </c>
      <c r="K60" s="210">
        <v>4613</v>
      </c>
      <c r="L60" s="73">
        <v>4893</v>
      </c>
      <c r="M60" s="73">
        <v>4959</v>
      </c>
      <c r="N60" s="73">
        <v>5495</v>
      </c>
      <c r="O60" s="74"/>
      <c r="P60" s="74" t="s">
        <v>228</v>
      </c>
      <c r="Q60" s="73">
        <v>6084</v>
      </c>
      <c r="R60" s="98"/>
    </row>
    <row r="61" spans="1:28" ht="22.5" customHeight="1">
      <c r="A61" s="65"/>
      <c r="B61" s="65"/>
      <c r="C61" s="66"/>
      <c r="D61" s="67"/>
      <c r="E61" s="86"/>
      <c r="F61" s="70" t="s">
        <v>47</v>
      </c>
      <c r="G61" s="113"/>
      <c r="H61" s="82">
        <f t="shared" ref="H61:R61" si="14">IF((H60-G60)*5.5&gt;0,(H60-G60)*5.5,0)</f>
        <v>363</v>
      </c>
      <c r="I61" s="82">
        <f t="shared" si="14"/>
        <v>396</v>
      </c>
      <c r="J61" s="82">
        <f t="shared" si="14"/>
        <v>341</v>
      </c>
      <c r="K61" s="83"/>
      <c r="L61" s="83">
        <f t="shared" si="14"/>
        <v>1540</v>
      </c>
      <c r="M61" s="82">
        <f t="shared" si="14"/>
        <v>363</v>
      </c>
      <c r="N61" s="82">
        <f t="shared" si="14"/>
        <v>2948</v>
      </c>
      <c r="O61" s="83"/>
      <c r="P61" s="82">
        <f>IF((5982-5884)*5.5&gt;0,(5982-5884)*5.5,0)</f>
        <v>539</v>
      </c>
      <c r="Q61" s="82">
        <f>IF((Q60-5982)*5.5&gt;0,(Q60-5982)*5.5,0)</f>
        <v>561</v>
      </c>
      <c r="R61" s="83">
        <f t="shared" si="14"/>
        <v>0</v>
      </c>
    </row>
    <row r="62" spans="1:28" ht="22.5" customHeight="1">
      <c r="A62" s="65"/>
      <c r="B62" s="65"/>
      <c r="C62" s="66"/>
      <c r="D62" s="67"/>
      <c r="E62" s="87" t="s">
        <v>37</v>
      </c>
      <c r="F62" s="68" t="s">
        <v>46</v>
      </c>
      <c r="G62" s="73">
        <v>6788</v>
      </c>
      <c r="H62" s="73">
        <v>6932</v>
      </c>
      <c r="I62" s="73">
        <v>7138</v>
      </c>
      <c r="J62" s="73">
        <v>7328</v>
      </c>
      <c r="K62" s="73">
        <v>7482</v>
      </c>
      <c r="L62" s="73">
        <v>7688</v>
      </c>
      <c r="M62" s="73" t="s">
        <v>189</v>
      </c>
      <c r="N62" s="73">
        <v>8149</v>
      </c>
      <c r="O62" s="74"/>
      <c r="P62" s="73"/>
      <c r="Q62" s="73">
        <v>8616</v>
      </c>
      <c r="R62" s="98"/>
    </row>
    <row r="63" spans="1:28" ht="22.5" customHeight="1">
      <c r="A63" s="65"/>
      <c r="B63" s="65"/>
      <c r="C63" s="66"/>
      <c r="D63" s="67"/>
      <c r="E63" s="88"/>
      <c r="F63" s="70" t="s">
        <v>47</v>
      </c>
      <c r="G63" s="73"/>
      <c r="H63" s="82">
        <f t="shared" ref="H63:R63" si="15">IF((H62-G62)*5.5&gt;0,(H62-G62)*5.5,0)</f>
        <v>792</v>
      </c>
      <c r="I63" s="82">
        <f t="shared" si="15"/>
        <v>1133</v>
      </c>
      <c r="J63" s="82">
        <f t="shared" si="15"/>
        <v>1045</v>
      </c>
      <c r="K63" s="82">
        <f t="shared" si="15"/>
        <v>847</v>
      </c>
      <c r="L63" s="82">
        <f t="shared" si="15"/>
        <v>1133</v>
      </c>
      <c r="M63" s="82">
        <f>IF((7881-7759)*5.5&gt;0,(7881-7759)*5.5,0)</f>
        <v>671</v>
      </c>
      <c r="N63" s="82">
        <f>IF((N62-7881)*5.5&gt;0,(N62-7881)*5.5,0)</f>
        <v>1474</v>
      </c>
      <c r="O63" s="83">
        <f t="shared" si="15"/>
        <v>0</v>
      </c>
      <c r="P63" s="83">
        <f t="shared" si="15"/>
        <v>0</v>
      </c>
      <c r="Q63" s="83"/>
      <c r="R63" s="83">
        <f t="shared" si="15"/>
        <v>0</v>
      </c>
    </row>
    <row r="64" spans="1:28" ht="22.5" customHeight="1">
      <c r="A64" s="65"/>
      <c r="B64" s="65"/>
      <c r="C64" s="66"/>
      <c r="D64" s="67"/>
      <c r="E64" s="89" t="s">
        <v>51</v>
      </c>
      <c r="F64" s="68" t="s">
        <v>46</v>
      </c>
      <c r="G64" s="69">
        <v>4470</v>
      </c>
      <c r="H64" s="69">
        <v>4604</v>
      </c>
      <c r="I64" s="69">
        <v>4868</v>
      </c>
      <c r="J64" s="69">
        <v>4942</v>
      </c>
      <c r="K64" s="73">
        <v>5080</v>
      </c>
      <c r="L64" s="73">
        <v>5128</v>
      </c>
      <c r="M64" s="73">
        <v>5320</v>
      </c>
      <c r="N64" s="73">
        <v>5680</v>
      </c>
      <c r="O64" s="74"/>
      <c r="P64" s="73"/>
      <c r="Q64" s="73"/>
      <c r="R64" s="98"/>
    </row>
    <row r="65" spans="1:18" ht="22.5" customHeight="1">
      <c r="A65" s="65"/>
      <c r="B65" s="65"/>
      <c r="C65" s="66"/>
      <c r="D65" s="67"/>
      <c r="E65" s="88"/>
      <c r="F65" s="70" t="s">
        <v>47</v>
      </c>
      <c r="G65" s="113"/>
      <c r="H65" s="82">
        <f t="shared" ref="H65:R65" si="16">IF((H64-G64)*5.5&gt;0,(H64-G64)*5.5,0)</f>
        <v>737</v>
      </c>
      <c r="I65" s="82">
        <f t="shared" si="16"/>
        <v>1452</v>
      </c>
      <c r="J65" s="82">
        <f t="shared" si="16"/>
        <v>407</v>
      </c>
      <c r="K65" s="82">
        <f t="shared" si="16"/>
        <v>759</v>
      </c>
      <c r="L65" s="82">
        <f t="shared" si="16"/>
        <v>264</v>
      </c>
      <c r="M65" s="82">
        <f t="shared" si="16"/>
        <v>1056</v>
      </c>
      <c r="N65" s="82">
        <f t="shared" si="16"/>
        <v>1980</v>
      </c>
      <c r="O65" s="83">
        <f t="shared" si="16"/>
        <v>0</v>
      </c>
      <c r="P65" s="83">
        <f t="shared" si="16"/>
        <v>0</v>
      </c>
      <c r="Q65" s="83">
        <f t="shared" si="16"/>
        <v>0</v>
      </c>
      <c r="R65" s="83">
        <f t="shared" si="16"/>
        <v>0</v>
      </c>
    </row>
    <row r="66" spans="1:18" ht="22.5" customHeight="1">
      <c r="A66" s="2"/>
      <c r="B66" s="2"/>
      <c r="C66" s="2"/>
      <c r="D66" s="2"/>
      <c r="E66" s="93"/>
      <c r="F66" s="94" t="s">
        <v>48</v>
      </c>
      <c r="G66" s="95">
        <v>0</v>
      </c>
      <c r="H66" s="95">
        <f t="shared" ref="H66:R66" si="17">H57+H59+H61+H63+H65</f>
        <v>3509</v>
      </c>
      <c r="I66" s="95">
        <f t="shared" si="17"/>
        <v>5467</v>
      </c>
      <c r="J66" s="95">
        <f t="shared" si="17"/>
        <v>3223</v>
      </c>
      <c r="K66" s="95">
        <f t="shared" si="17"/>
        <v>3608</v>
      </c>
      <c r="L66" s="95">
        <f t="shared" si="17"/>
        <v>4378</v>
      </c>
      <c r="M66" s="95">
        <f t="shared" si="17"/>
        <v>4521</v>
      </c>
      <c r="N66" s="95">
        <f t="shared" si="17"/>
        <v>9801</v>
      </c>
      <c r="O66" s="95">
        <f t="shared" si="17"/>
        <v>0</v>
      </c>
      <c r="P66" s="95">
        <f t="shared" si="17"/>
        <v>539</v>
      </c>
      <c r="Q66" s="95">
        <f t="shared" si="17"/>
        <v>561</v>
      </c>
      <c r="R66" s="95">
        <f t="shared" si="17"/>
        <v>0</v>
      </c>
    </row>
    <row r="68" spans="1:18" ht="22.5" customHeight="1">
      <c r="A68" s="4" t="s">
        <v>126</v>
      </c>
      <c r="B68" s="5" t="s">
        <v>26</v>
      </c>
      <c r="C68" s="6" t="s">
        <v>27</v>
      </c>
      <c r="D68" s="43" t="s">
        <v>28</v>
      </c>
      <c r="E68" s="8" t="s">
        <v>29</v>
      </c>
      <c r="F68" s="4" t="s">
        <v>30</v>
      </c>
      <c r="G68" s="5" t="s">
        <v>14</v>
      </c>
      <c r="H68" s="5" t="s">
        <v>15</v>
      </c>
      <c r="I68" s="5" t="s">
        <v>16</v>
      </c>
      <c r="J68" s="5" t="s">
        <v>17</v>
      </c>
      <c r="K68" s="5" t="s">
        <v>18</v>
      </c>
      <c r="L68" s="5" t="s">
        <v>19</v>
      </c>
      <c r="M68" s="5" t="s">
        <v>20</v>
      </c>
      <c r="N68" s="5" t="s">
        <v>21</v>
      </c>
      <c r="O68" s="5" t="s">
        <v>22</v>
      </c>
      <c r="P68" s="5" t="s">
        <v>23</v>
      </c>
      <c r="Q68" s="5" t="s">
        <v>24</v>
      </c>
      <c r="R68" s="5" t="s">
        <v>25</v>
      </c>
    </row>
    <row r="69" spans="1:18" ht="22.5" customHeight="1">
      <c r="A69" s="9" t="s">
        <v>31</v>
      </c>
      <c r="B69" s="9" t="s">
        <v>120</v>
      </c>
      <c r="C69" s="9" t="s">
        <v>121</v>
      </c>
      <c r="D69" s="43">
        <v>25000</v>
      </c>
      <c r="E69" s="169">
        <v>50000</v>
      </c>
      <c r="F69" s="45"/>
      <c r="G69" s="9"/>
      <c r="H69" s="9"/>
      <c r="I69" s="9"/>
      <c r="J69" s="9" t="s">
        <v>83</v>
      </c>
      <c r="K69" s="12"/>
      <c r="L69" s="9">
        <v>42877</v>
      </c>
      <c r="M69" s="10">
        <v>42919</v>
      </c>
      <c r="N69" s="10">
        <v>42949</v>
      </c>
      <c r="O69" s="10">
        <v>42979</v>
      </c>
      <c r="P69" s="10">
        <v>43010</v>
      </c>
      <c r="Q69" s="10">
        <v>43040</v>
      </c>
      <c r="R69" s="10">
        <v>43072</v>
      </c>
    </row>
    <row r="70" spans="1:18" ht="22.5" customHeight="1">
      <c r="A70" s="4"/>
      <c r="B70" s="4"/>
      <c r="C70" s="6"/>
      <c r="D70" s="43"/>
      <c r="E70" s="9">
        <v>42877</v>
      </c>
      <c r="F70" s="46"/>
      <c r="G70" s="12"/>
      <c r="H70" s="12"/>
      <c r="I70" s="12"/>
      <c r="J70" s="12">
        <v>24300</v>
      </c>
      <c r="K70" s="12"/>
      <c r="L70" s="168">
        <v>25000</v>
      </c>
      <c r="M70" s="168">
        <v>25000</v>
      </c>
      <c r="N70" s="168">
        <v>25000</v>
      </c>
      <c r="O70" s="168">
        <v>25000</v>
      </c>
      <c r="P70" s="168">
        <v>25000</v>
      </c>
      <c r="Q70" s="168">
        <v>25000</v>
      </c>
      <c r="R70" s="168">
        <v>25000</v>
      </c>
    </row>
    <row r="71" spans="1:18" ht="22.5" customHeight="1">
      <c r="A71" s="9" t="s">
        <v>32</v>
      </c>
      <c r="B71" s="47" t="s">
        <v>120</v>
      </c>
      <c r="C71" s="47" t="s">
        <v>121</v>
      </c>
      <c r="D71" s="43">
        <v>25000</v>
      </c>
      <c r="E71" s="169">
        <v>50000</v>
      </c>
      <c r="F71" s="45"/>
      <c r="G71" s="9"/>
      <c r="H71" s="9"/>
      <c r="I71" s="9"/>
      <c r="J71" s="9"/>
      <c r="K71" s="12"/>
      <c r="L71" s="9">
        <v>42877</v>
      </c>
      <c r="M71" s="10">
        <v>42919</v>
      </c>
      <c r="N71" s="10">
        <v>42949</v>
      </c>
      <c r="O71" s="10">
        <v>42979</v>
      </c>
      <c r="P71" s="10">
        <v>43010</v>
      </c>
      <c r="Q71" s="10">
        <v>43040</v>
      </c>
      <c r="R71" s="10">
        <v>43072</v>
      </c>
    </row>
    <row r="72" spans="1:18" ht="22.5" customHeight="1">
      <c r="A72" s="4"/>
      <c r="B72" s="48"/>
      <c r="C72" s="49"/>
      <c r="D72" s="43"/>
      <c r="E72" s="9">
        <v>42877</v>
      </c>
      <c r="F72" s="50"/>
      <c r="G72" s="14"/>
      <c r="H72" s="14"/>
      <c r="I72" s="14"/>
      <c r="J72" s="14"/>
      <c r="K72" s="12"/>
      <c r="L72" s="168">
        <v>25000</v>
      </c>
      <c r="M72" s="168">
        <v>25000</v>
      </c>
      <c r="N72" s="168">
        <v>25000</v>
      </c>
      <c r="O72" s="168">
        <v>25000</v>
      </c>
      <c r="P72" s="168">
        <v>25000</v>
      </c>
      <c r="Q72" s="168">
        <v>25000</v>
      </c>
      <c r="R72" s="168">
        <v>25000</v>
      </c>
    </row>
    <row r="73" spans="1:18" ht="22.5" customHeight="1">
      <c r="A73" s="9" t="s">
        <v>33</v>
      </c>
      <c r="B73" s="47" t="s">
        <v>106</v>
      </c>
      <c r="C73" s="47" t="s">
        <v>107</v>
      </c>
      <c r="D73" s="43">
        <v>25000</v>
      </c>
      <c r="E73" s="169">
        <v>50000</v>
      </c>
      <c r="F73" s="45" t="s">
        <v>109</v>
      </c>
      <c r="G73" s="14"/>
      <c r="H73" s="9"/>
      <c r="I73" s="9"/>
      <c r="J73" s="9"/>
      <c r="K73" s="12"/>
      <c r="L73" s="9">
        <v>42889</v>
      </c>
      <c r="M73" s="9">
        <v>42925</v>
      </c>
      <c r="N73" s="9">
        <v>42955</v>
      </c>
      <c r="O73" s="10">
        <v>43000</v>
      </c>
      <c r="P73" s="12"/>
      <c r="Q73" s="10">
        <v>43049</v>
      </c>
      <c r="R73" s="10">
        <v>43080</v>
      </c>
    </row>
    <row r="74" spans="1:18" ht="22.5" customHeight="1">
      <c r="A74" s="4"/>
      <c r="B74" s="48"/>
      <c r="C74" s="80" t="s">
        <v>108</v>
      </c>
      <c r="D74" s="43"/>
      <c r="E74" s="8"/>
      <c r="F74" s="50"/>
      <c r="G74" s="14"/>
      <c r="H74" s="14"/>
      <c r="I74" s="14"/>
      <c r="J74" s="14"/>
      <c r="K74" s="12">
        <v>25000</v>
      </c>
      <c r="L74" s="11">
        <v>25000</v>
      </c>
      <c r="M74" s="11">
        <v>25000</v>
      </c>
      <c r="N74" s="11">
        <v>25000</v>
      </c>
      <c r="O74" s="11">
        <v>25000</v>
      </c>
      <c r="P74" s="11">
        <v>25000</v>
      </c>
      <c r="Q74" s="11">
        <v>25000</v>
      </c>
      <c r="R74" s="11">
        <v>25000</v>
      </c>
    </row>
    <row r="75" spans="1:18" ht="22.5" customHeight="1">
      <c r="A75" s="9" t="s">
        <v>37</v>
      </c>
      <c r="B75" s="47" t="s">
        <v>106</v>
      </c>
      <c r="C75" s="47" t="s">
        <v>107</v>
      </c>
      <c r="D75" s="43">
        <v>28000</v>
      </c>
      <c r="E75" s="169">
        <v>56000</v>
      </c>
      <c r="F75" s="45" t="s">
        <v>109</v>
      </c>
      <c r="G75" s="14"/>
      <c r="H75" s="14"/>
      <c r="I75" s="14"/>
      <c r="J75" s="14"/>
      <c r="K75" s="12"/>
      <c r="L75" s="9">
        <v>42889</v>
      </c>
      <c r="M75" s="9">
        <v>42925</v>
      </c>
      <c r="N75" s="9">
        <v>42955</v>
      </c>
      <c r="O75" s="10">
        <v>43000</v>
      </c>
      <c r="P75" s="12"/>
      <c r="Q75" s="10">
        <v>43049</v>
      </c>
      <c r="R75" s="10">
        <v>43080</v>
      </c>
    </row>
    <row r="76" spans="1:18" ht="22.5" customHeight="1">
      <c r="A76" s="78"/>
      <c r="B76" s="48"/>
      <c r="C76" s="80" t="s">
        <v>108</v>
      </c>
      <c r="D76" s="43"/>
      <c r="E76" s="8"/>
      <c r="F76" s="12"/>
      <c r="G76" s="14"/>
      <c r="H76" s="14"/>
      <c r="I76" s="14"/>
      <c r="J76" s="14"/>
      <c r="K76" s="12">
        <v>28000</v>
      </c>
      <c r="L76" s="11">
        <v>28000</v>
      </c>
      <c r="M76" s="11">
        <v>28000</v>
      </c>
      <c r="N76" s="11">
        <v>28000</v>
      </c>
      <c r="O76" s="11">
        <v>28000</v>
      </c>
      <c r="P76" s="11">
        <v>28000</v>
      </c>
      <c r="Q76" s="11">
        <v>28000</v>
      </c>
      <c r="R76" s="11">
        <v>28000</v>
      </c>
    </row>
    <row r="77" spans="1:18" ht="22.5" customHeight="1">
      <c r="A77" s="78" t="s">
        <v>51</v>
      </c>
      <c r="B77" s="47" t="s">
        <v>188</v>
      </c>
      <c r="C77" s="47" t="s">
        <v>110</v>
      </c>
      <c r="D77" s="43">
        <v>28000</v>
      </c>
      <c r="E77" s="169">
        <v>28000</v>
      </c>
      <c r="F77" s="45" t="s">
        <v>186</v>
      </c>
      <c r="G77" s="14"/>
      <c r="H77" s="9"/>
      <c r="I77" s="9"/>
      <c r="J77" s="9"/>
      <c r="K77" s="9">
        <v>42857</v>
      </c>
      <c r="L77" s="9">
        <v>42887</v>
      </c>
      <c r="M77" s="9">
        <v>42927</v>
      </c>
      <c r="N77" s="9">
        <v>42958</v>
      </c>
      <c r="O77" s="9">
        <v>42990</v>
      </c>
      <c r="P77" s="12"/>
      <c r="Q77" s="12"/>
      <c r="R77" s="12"/>
    </row>
    <row r="78" spans="1:18" ht="22.5" customHeight="1">
      <c r="A78" s="4"/>
      <c r="B78" s="48"/>
      <c r="C78" s="49"/>
      <c r="D78" s="43"/>
      <c r="E78" s="8"/>
      <c r="F78" s="50"/>
      <c r="G78" s="14"/>
      <c r="H78" s="14"/>
      <c r="I78" s="14"/>
      <c r="J78" s="14"/>
      <c r="K78" s="11">
        <v>25000</v>
      </c>
      <c r="L78" s="11">
        <v>25000</v>
      </c>
      <c r="M78" s="11">
        <v>28000</v>
      </c>
      <c r="N78" s="11">
        <v>28000</v>
      </c>
      <c r="O78" s="11">
        <v>28000</v>
      </c>
      <c r="P78" s="11">
        <v>5419</v>
      </c>
      <c r="Q78" s="12"/>
      <c r="R78" s="12"/>
    </row>
    <row r="79" spans="1:18" ht="22.5" customHeight="1">
      <c r="A79" s="52"/>
      <c r="B79" s="52"/>
      <c r="C79" s="53"/>
      <c r="D79" s="57">
        <f>D69+D71+D73+D75+D77</f>
        <v>131000</v>
      </c>
      <c r="E79" s="57">
        <f>E69+E71+E73+E75+E77</f>
        <v>234000</v>
      </c>
      <c r="F79" s="55" t="s">
        <v>41</v>
      </c>
      <c r="G79" s="56">
        <f t="shared" ref="G79:R79" si="18">G70+G72+G74+G76+G78</f>
        <v>0</v>
      </c>
      <c r="H79" s="56">
        <f t="shared" si="18"/>
        <v>0</v>
      </c>
      <c r="I79" s="56">
        <f t="shared" si="18"/>
        <v>0</v>
      </c>
      <c r="J79" s="56">
        <f t="shared" si="18"/>
        <v>24300</v>
      </c>
      <c r="K79" s="56">
        <f t="shared" si="18"/>
        <v>78000</v>
      </c>
      <c r="L79" s="56">
        <f t="shared" si="18"/>
        <v>128000</v>
      </c>
      <c r="M79" s="56">
        <f t="shared" si="18"/>
        <v>131000</v>
      </c>
      <c r="N79" s="56">
        <f t="shared" si="18"/>
        <v>131000</v>
      </c>
      <c r="O79" s="56">
        <f t="shared" si="18"/>
        <v>131000</v>
      </c>
      <c r="P79" s="56">
        <f t="shared" si="18"/>
        <v>108419</v>
      </c>
      <c r="Q79" s="56">
        <f t="shared" si="18"/>
        <v>103000</v>
      </c>
      <c r="R79" s="56">
        <f t="shared" si="18"/>
        <v>103000</v>
      </c>
    </row>
    <row r="80" spans="1:18" ht="22.5" customHeight="1" thickBot="1">
      <c r="A80" s="52"/>
      <c r="B80" s="52"/>
      <c r="C80" s="53"/>
      <c r="D80" s="329" t="s">
        <v>42</v>
      </c>
      <c r="E80" s="329"/>
      <c r="F80" s="58">
        <v>0.1</v>
      </c>
      <c r="G80" s="60">
        <f t="shared" ref="G80:R80" si="19">-G79*$F$80</f>
        <v>0</v>
      </c>
      <c r="H80" s="60">
        <f t="shared" si="19"/>
        <v>0</v>
      </c>
      <c r="I80" s="60">
        <f t="shared" si="19"/>
        <v>0</v>
      </c>
      <c r="J80" s="60">
        <f t="shared" si="19"/>
        <v>-2430</v>
      </c>
      <c r="K80" s="60">
        <f t="shared" si="19"/>
        <v>-7800</v>
      </c>
      <c r="L80" s="60">
        <f t="shared" si="19"/>
        <v>-12800</v>
      </c>
      <c r="M80" s="60">
        <f t="shared" si="19"/>
        <v>-13100</v>
      </c>
      <c r="N80" s="60">
        <f t="shared" si="19"/>
        <v>-13100</v>
      </c>
      <c r="O80" s="60">
        <f t="shared" si="19"/>
        <v>-13100</v>
      </c>
      <c r="P80" s="60">
        <f t="shared" si="19"/>
        <v>-10841.900000000001</v>
      </c>
      <c r="Q80" s="60">
        <f t="shared" si="19"/>
        <v>-10300</v>
      </c>
      <c r="R80" s="60">
        <f t="shared" si="19"/>
        <v>-10300</v>
      </c>
    </row>
    <row r="81" spans="1:18" ht="22.5" customHeight="1">
      <c r="A81" s="65"/>
      <c r="B81" s="65"/>
      <c r="C81" s="66"/>
      <c r="D81" s="67"/>
      <c r="E81" s="84"/>
      <c r="F81" s="63"/>
      <c r="G81" s="64" t="s">
        <v>14</v>
      </c>
      <c r="H81" s="64" t="s">
        <v>15</v>
      </c>
      <c r="I81" s="64" t="s">
        <v>16</v>
      </c>
      <c r="J81" s="64" t="s">
        <v>17</v>
      </c>
      <c r="K81" s="64" t="s">
        <v>18</v>
      </c>
      <c r="L81" s="64" t="s">
        <v>19</v>
      </c>
      <c r="M81" s="64" t="s">
        <v>20</v>
      </c>
      <c r="N81" s="64" t="s">
        <v>21</v>
      </c>
      <c r="O81" s="64" t="s">
        <v>22</v>
      </c>
      <c r="P81" s="64" t="s">
        <v>23</v>
      </c>
      <c r="Q81" s="64" t="s">
        <v>24</v>
      </c>
      <c r="R81" s="112" t="s">
        <v>25</v>
      </c>
    </row>
    <row r="82" spans="1:18" ht="22.5" customHeight="1">
      <c r="A82" s="65"/>
      <c r="B82" s="65"/>
      <c r="C82" s="66"/>
      <c r="D82" s="67"/>
      <c r="E82" s="85" t="s">
        <v>31</v>
      </c>
      <c r="F82" s="68" t="s">
        <v>46</v>
      </c>
      <c r="G82" s="69">
        <v>7715</v>
      </c>
      <c r="H82" s="69">
        <v>7715</v>
      </c>
      <c r="I82" s="69">
        <v>7715</v>
      </c>
      <c r="J82" s="2"/>
      <c r="K82" s="16">
        <v>7715</v>
      </c>
      <c r="L82" s="69">
        <v>7931</v>
      </c>
      <c r="M82" s="69">
        <v>8263</v>
      </c>
      <c r="N82" s="69">
        <v>8617</v>
      </c>
      <c r="O82" s="69">
        <v>8901</v>
      </c>
      <c r="P82" s="69">
        <v>9195</v>
      </c>
      <c r="Q82" s="97">
        <v>9373</v>
      </c>
      <c r="R82" s="97"/>
    </row>
    <row r="83" spans="1:18" ht="22.5" customHeight="1">
      <c r="A83" s="65"/>
      <c r="B83" s="65"/>
      <c r="C83" s="66"/>
      <c r="D83" s="67"/>
      <c r="E83" s="86"/>
      <c r="F83" s="70" t="s">
        <v>47</v>
      </c>
      <c r="G83" s="113"/>
      <c r="H83" s="83">
        <f>IF((H82-G82)*5.5&gt;0,(H82-G82)*5.5,0)</f>
        <v>0</v>
      </c>
      <c r="I83" s="83">
        <f>IF((I82-H82)*5.5&gt;0,(I82-H82)*5.5,0)</f>
        <v>0</v>
      </c>
      <c r="J83" s="83">
        <f>IF((K82-I82)*5.5&gt;0,(K82-I82)*5.5,0)</f>
        <v>0</v>
      </c>
      <c r="K83" s="83" t="e">
        <f>IF((#REF!-K84)*5.5&gt;0,(#REF!-K84)*5.5,0)</f>
        <v>#REF!</v>
      </c>
      <c r="L83" s="82">
        <f t="shared" ref="L83" si="20">IF((L82-K82)*5.5&gt;0,(L82-K82)*5.5,0)</f>
        <v>1188</v>
      </c>
      <c r="M83" s="82">
        <f t="shared" ref="M83" si="21">IF((M82-L82)*5.5&gt;0,(M82-L82)*5.5,0)</f>
        <v>1826</v>
      </c>
      <c r="N83" s="82">
        <f t="shared" ref="N83" si="22">IF((N82-M82)*5.5&gt;0,(N82-M82)*5.5,0)</f>
        <v>1947</v>
      </c>
      <c r="O83" s="82">
        <f t="shared" ref="O83" si="23">IF((O82-N82)*5.5&gt;0,(O82-N82)*5.5,0)</f>
        <v>1562</v>
      </c>
      <c r="P83" s="82">
        <f t="shared" ref="P83" si="24">IF((P82-O82)*5.5&gt;0,(P82-O82)*5.5,0)</f>
        <v>1617</v>
      </c>
      <c r="Q83" s="82">
        <f t="shared" ref="Q83" si="25">IF((Q82-P82)*5.5&gt;0,(Q82-P82)*5.5,0)</f>
        <v>979</v>
      </c>
      <c r="R83" s="83"/>
    </row>
    <row r="84" spans="1:18" ht="22.5" customHeight="1">
      <c r="A84" s="65"/>
      <c r="B84" s="65"/>
      <c r="C84" s="66"/>
      <c r="D84" s="67"/>
      <c r="E84" s="85" t="s">
        <v>32</v>
      </c>
      <c r="F84" s="68" t="s">
        <v>46</v>
      </c>
      <c r="G84" s="69"/>
      <c r="H84" s="69"/>
      <c r="I84" s="69"/>
      <c r="J84" s="2"/>
      <c r="K84" s="69">
        <v>8091</v>
      </c>
      <c r="L84" s="69">
        <v>8293</v>
      </c>
      <c r="M84" s="69">
        <v>8613</v>
      </c>
      <c r="N84" s="69">
        <v>8979</v>
      </c>
      <c r="O84" s="69">
        <v>9133</v>
      </c>
      <c r="P84" s="69">
        <v>9403</v>
      </c>
      <c r="Q84" s="97">
        <v>9635</v>
      </c>
      <c r="R84" s="97"/>
    </row>
    <row r="85" spans="1:18" ht="22.5" customHeight="1">
      <c r="A85" s="65"/>
      <c r="B85" s="65"/>
      <c r="C85" s="66"/>
      <c r="D85" s="67"/>
      <c r="E85" s="86"/>
      <c r="F85" s="70" t="s">
        <v>47</v>
      </c>
      <c r="G85" s="113"/>
      <c r="H85" s="83">
        <f>IF((H84-G84)*5.5&gt;0,(H84-G84)*5.5,0)</f>
        <v>0</v>
      </c>
      <c r="I85" s="83">
        <f>IF((I84-H84)*5.5&gt;0,(I84-H84)*5.5,0)</f>
        <v>0</v>
      </c>
      <c r="J85" s="83" t="e">
        <f>IF((#REF!-I84)*5.5&gt;0,(#REF!-I84)*5.5,0)</f>
        <v>#REF!</v>
      </c>
      <c r="K85" s="83" t="e">
        <f>IF((#REF!-#REF!)*5.5&gt;0,(#REF!-#REF!)*5.5,0)</f>
        <v>#REF!</v>
      </c>
      <c r="L85" s="82">
        <f t="shared" ref="L85" si="26">IF((L84-K84)*5.5&gt;0,(L84-K84)*5.5,0)</f>
        <v>1111</v>
      </c>
      <c r="M85" s="82">
        <f t="shared" ref="M85" si="27">IF((M84-L84)*5.5&gt;0,(M84-L84)*5.5,0)</f>
        <v>1760</v>
      </c>
      <c r="N85" s="82">
        <f t="shared" ref="N85" si="28">IF((N84-M84)*5.5&gt;0,(N84-M84)*5.5,0)</f>
        <v>2013</v>
      </c>
      <c r="O85" s="82">
        <f t="shared" ref="O85" si="29">IF((O84-N84)*5.5&gt;0,(O84-N84)*5.5,0)</f>
        <v>847</v>
      </c>
      <c r="P85" s="82">
        <f t="shared" ref="P85" si="30">IF((P84-O84)*5.5&gt;0,(P84-O84)*5.5,0)</f>
        <v>1485</v>
      </c>
      <c r="Q85" s="82">
        <f t="shared" ref="Q85" si="31">IF((Q84-P84)*5.5&gt;0,(Q84-P84)*5.5,0)</f>
        <v>1276</v>
      </c>
      <c r="R85" s="83"/>
    </row>
    <row r="86" spans="1:18" ht="22.5" customHeight="1">
      <c r="A86" s="65"/>
      <c r="B86" s="65"/>
      <c r="C86" s="66"/>
      <c r="D86" s="67"/>
      <c r="E86" s="87" t="s">
        <v>33</v>
      </c>
      <c r="F86" s="68" t="s">
        <v>46</v>
      </c>
      <c r="G86" s="72"/>
      <c r="H86" s="72"/>
      <c r="I86" s="72"/>
      <c r="J86" s="73">
        <v>7217</v>
      </c>
      <c r="K86" s="73">
        <v>7283</v>
      </c>
      <c r="L86" s="73">
        <v>7417</v>
      </c>
      <c r="M86" s="73">
        <v>7519</v>
      </c>
      <c r="N86" s="74">
        <v>7687</v>
      </c>
      <c r="O86" s="73">
        <v>7791</v>
      </c>
      <c r="P86" s="73">
        <v>7979</v>
      </c>
      <c r="Q86" s="98">
        <v>8063</v>
      </c>
      <c r="R86" s="98"/>
    </row>
    <row r="87" spans="1:18" ht="22.5" customHeight="1">
      <c r="A87" s="65"/>
      <c r="B87" s="65"/>
      <c r="C87" s="66"/>
      <c r="D87" s="67"/>
      <c r="E87" s="86"/>
      <c r="F87" s="70" t="s">
        <v>47</v>
      </c>
      <c r="G87" s="113"/>
      <c r="H87" s="83">
        <f>IF((H86-G86)*5.5&gt;0,(H86-G86)*5.5,0)</f>
        <v>0</v>
      </c>
      <c r="I87" s="83">
        <f>IF((I86-H86)*5.5&gt;0,(I86-H86)*5.5,0)</f>
        <v>0</v>
      </c>
      <c r="J87" s="83"/>
      <c r="K87" s="82">
        <f t="shared" ref="K87" si="32">IF((K86-J86)*5.5&gt;0,(K86-J86)*5.5,0)</f>
        <v>363</v>
      </c>
      <c r="L87" s="82">
        <f t="shared" ref="L87" si="33">IF((L86-K86)*5.5&gt;0,(L86-K86)*5.5,0)</f>
        <v>737</v>
      </c>
      <c r="M87" s="82">
        <f t="shared" ref="M87" si="34">IF((M86-L86)*5.5&gt;0,(M86-L86)*5.5,0)</f>
        <v>561</v>
      </c>
      <c r="N87" s="82">
        <f t="shared" ref="N87" si="35">IF((N86-M86)*5.5&gt;0,(N86-M86)*5.5,0)</f>
        <v>924</v>
      </c>
      <c r="O87" s="82">
        <f t="shared" ref="O87" si="36">IF((O86-N86)*5.5&gt;0,(O86-N86)*5.5,0)</f>
        <v>572</v>
      </c>
      <c r="P87" s="82">
        <f t="shared" ref="P87" si="37">IF((P86-O86)*5.5&gt;0,(P86-O86)*5.5,0)</f>
        <v>1034</v>
      </c>
      <c r="Q87" s="82">
        <f t="shared" ref="Q87" si="38">IF((Q86-P86)*5.5&gt;0,(Q86-P86)*5.5,0)</f>
        <v>462</v>
      </c>
      <c r="R87" s="83"/>
    </row>
    <row r="88" spans="1:18" ht="22.5" customHeight="1">
      <c r="A88" s="65"/>
      <c r="B88" s="65"/>
      <c r="C88" s="66"/>
      <c r="D88" s="67"/>
      <c r="E88" s="87" t="s">
        <v>37</v>
      </c>
      <c r="F88" s="68" t="s">
        <v>46</v>
      </c>
      <c r="G88" s="73"/>
      <c r="H88" s="73"/>
      <c r="I88" s="73"/>
      <c r="J88" s="73">
        <v>8924</v>
      </c>
      <c r="K88" s="73">
        <v>8938</v>
      </c>
      <c r="L88" s="73">
        <v>9076</v>
      </c>
      <c r="M88" s="73">
        <v>9118</v>
      </c>
      <c r="N88" s="74">
        <v>9428</v>
      </c>
      <c r="O88" s="73">
        <v>9508</v>
      </c>
      <c r="P88" s="73">
        <v>9736</v>
      </c>
      <c r="Q88" s="98">
        <v>9850</v>
      </c>
      <c r="R88" s="98"/>
    </row>
    <row r="89" spans="1:18" ht="22.5" customHeight="1">
      <c r="A89" s="65"/>
      <c r="B89" s="65"/>
      <c r="C89" s="66"/>
      <c r="D89" s="67"/>
      <c r="E89" s="88"/>
      <c r="F89" s="70" t="s">
        <v>47</v>
      </c>
      <c r="G89" s="73"/>
      <c r="H89" s="83">
        <f>IF((H88-G88)*5.5&gt;0,(H88-G88)*5.5,0)</f>
        <v>0</v>
      </c>
      <c r="I89" s="83">
        <f>IF((I88-H88)*5.5&gt;0,(I88-H88)*5.5,0)</f>
        <v>0</v>
      </c>
      <c r="J89" s="83"/>
      <c r="K89" s="82">
        <f t="shared" ref="K89" si="39">IF((K88-J88)*5.5&gt;0,(K88-J88)*5.5,0)</f>
        <v>77</v>
      </c>
      <c r="L89" s="82">
        <f t="shared" ref="L89" si="40">IF((L88-K88)*5.5&gt;0,(L88-K88)*5.5,0)</f>
        <v>759</v>
      </c>
      <c r="M89" s="82">
        <f t="shared" ref="M89" si="41">IF((M88-L88)*5.5&gt;0,(M88-L88)*5.5,0)</f>
        <v>231</v>
      </c>
      <c r="N89" s="82">
        <f t="shared" ref="N89" si="42">IF((N88-M88)*5.5&gt;0,(N88-M88)*5.5,0)</f>
        <v>1705</v>
      </c>
      <c r="O89" s="82">
        <f t="shared" ref="O89" si="43">IF((O88-N88)*5.5&gt;0,(O88-N88)*5.5,0)</f>
        <v>440</v>
      </c>
      <c r="P89" s="82">
        <f t="shared" ref="P89" si="44">IF((P88-O88)*5.5&gt;0,(P88-O88)*5.5,0)</f>
        <v>1254</v>
      </c>
      <c r="Q89" s="82">
        <f t="shared" ref="Q89" si="45">IF((Q88-P88)*5.5&gt;0,(Q88-P88)*5.5,0)</f>
        <v>627</v>
      </c>
      <c r="R89" s="83"/>
    </row>
    <row r="90" spans="1:18" ht="22.5" customHeight="1">
      <c r="A90" s="65"/>
      <c r="B90" s="65"/>
      <c r="C90" s="66"/>
      <c r="D90" s="67"/>
      <c r="E90" s="89" t="s">
        <v>51</v>
      </c>
      <c r="F90" s="68" t="s">
        <v>46</v>
      </c>
      <c r="G90" s="69"/>
      <c r="H90" s="69"/>
      <c r="I90" s="69"/>
      <c r="J90" s="73">
        <v>9200</v>
      </c>
      <c r="K90" s="73">
        <v>9733</v>
      </c>
      <c r="L90" s="2"/>
      <c r="M90" s="73">
        <v>9865</v>
      </c>
      <c r="N90" s="74">
        <v>10107</v>
      </c>
      <c r="O90" s="73">
        <v>10313</v>
      </c>
      <c r="P90" s="73"/>
      <c r="Q90" s="98"/>
      <c r="R90" s="98"/>
    </row>
    <row r="91" spans="1:18" ht="22.5" customHeight="1">
      <c r="A91" s="65"/>
      <c r="B91" s="65"/>
      <c r="C91" s="66"/>
      <c r="D91" s="67"/>
      <c r="E91" s="88"/>
      <c r="F91" s="70" t="s">
        <v>47</v>
      </c>
      <c r="G91" s="113"/>
      <c r="H91" s="83">
        <f>IF((H90-G90)*5.5&gt;0,(H90-G90)*5.5,0)</f>
        <v>0</v>
      </c>
      <c r="I91" s="83">
        <f>IF((I90-H90)*5.5&gt;0,(I90-H90)*5.5,0)</f>
        <v>0</v>
      </c>
      <c r="J91" s="83"/>
      <c r="K91" s="83"/>
      <c r="L91" s="83"/>
      <c r="M91" s="82">
        <f>IF((M90-K90)*5.5&gt;0,(M90-K90)*5.5,0)</f>
        <v>726</v>
      </c>
      <c r="N91" s="82">
        <f t="shared" ref="N91" si="46">IF((N90-M90)*5.5&gt;0,(N90-M90)*5.5,0)</f>
        <v>1331</v>
      </c>
      <c r="O91" s="82">
        <f t="shared" ref="O91" si="47">IF((O90-N90)*5.5&gt;0,(O90-N90)*5.5,0)</f>
        <v>1133</v>
      </c>
      <c r="P91" s="83">
        <f t="shared" ref="P91" si="48">IF((P90-O90)*5.5&gt;0,(P90-O90)*5.5,0)</f>
        <v>0</v>
      </c>
      <c r="Q91" s="83">
        <f t="shared" ref="Q91" si="49">IF((Q90-P90)*5.5&gt;0,(Q90-P90)*5.5,0)</f>
        <v>0</v>
      </c>
      <c r="R91" s="83">
        <f t="shared" ref="R91" si="50">IF((R90-Q90)*5.5&gt;0,(R90-Q90)*5.5,0)</f>
        <v>0</v>
      </c>
    </row>
    <row r="92" spans="1:18" ht="22.5" customHeight="1">
      <c r="A92" s="2"/>
      <c r="B92" s="2"/>
      <c r="C92" s="2"/>
      <c r="D92" s="2"/>
      <c r="E92" s="93"/>
      <c r="F92" s="94" t="s">
        <v>48</v>
      </c>
      <c r="G92" s="95">
        <v>0</v>
      </c>
      <c r="H92" s="95">
        <f t="shared" ref="H92:R92" si="51">H83+H85+H87+H89+H91</f>
        <v>0</v>
      </c>
      <c r="I92" s="95">
        <f t="shared" si="51"/>
        <v>0</v>
      </c>
      <c r="J92" s="95" t="e">
        <f t="shared" si="51"/>
        <v>#REF!</v>
      </c>
      <c r="K92" s="95" t="e">
        <f t="shared" si="51"/>
        <v>#REF!</v>
      </c>
      <c r="L92" s="95">
        <f t="shared" si="51"/>
        <v>3795</v>
      </c>
      <c r="M92" s="95">
        <f t="shared" si="51"/>
        <v>5104</v>
      </c>
      <c r="N92" s="95">
        <f t="shared" si="51"/>
        <v>7920</v>
      </c>
      <c r="O92" s="95">
        <f t="shared" si="51"/>
        <v>4554</v>
      </c>
      <c r="P92" s="95">
        <f t="shared" si="51"/>
        <v>5390</v>
      </c>
      <c r="Q92" s="95">
        <f t="shared" si="51"/>
        <v>3344</v>
      </c>
      <c r="R92" s="95">
        <f t="shared" si="51"/>
        <v>0</v>
      </c>
    </row>
    <row r="94" spans="1:18" ht="22.5" customHeight="1">
      <c r="A94" s="4" t="s">
        <v>127</v>
      </c>
      <c r="B94" s="5" t="s">
        <v>26</v>
      </c>
      <c r="C94" s="6" t="s">
        <v>27</v>
      </c>
      <c r="D94" s="43" t="s">
        <v>28</v>
      </c>
      <c r="E94" s="8" t="s">
        <v>29</v>
      </c>
      <c r="F94" s="4" t="s">
        <v>30</v>
      </c>
      <c r="G94" s="5" t="s">
        <v>14</v>
      </c>
      <c r="H94" s="5" t="s">
        <v>15</v>
      </c>
      <c r="I94" s="5" t="s">
        <v>16</v>
      </c>
      <c r="J94" s="5" t="s">
        <v>17</v>
      </c>
      <c r="K94" s="5" t="s">
        <v>18</v>
      </c>
      <c r="L94" s="5" t="s">
        <v>19</v>
      </c>
      <c r="M94" s="5" t="s">
        <v>20</v>
      </c>
      <c r="N94" s="5" t="s">
        <v>21</v>
      </c>
      <c r="O94" s="5" t="s">
        <v>22</v>
      </c>
      <c r="P94" s="5" t="s">
        <v>23</v>
      </c>
      <c r="Q94" s="5" t="s">
        <v>24</v>
      </c>
      <c r="R94" s="5" t="s">
        <v>25</v>
      </c>
    </row>
    <row r="95" spans="1:18" ht="22.5" customHeight="1">
      <c r="A95" s="9" t="s">
        <v>31</v>
      </c>
      <c r="B95" s="9" t="s">
        <v>191</v>
      </c>
      <c r="C95" s="44"/>
      <c r="D95" s="43">
        <v>21000</v>
      </c>
      <c r="E95" s="8">
        <v>42000</v>
      </c>
      <c r="F95" s="45" t="s">
        <v>192</v>
      </c>
      <c r="G95" s="9"/>
      <c r="H95" s="9"/>
      <c r="I95" s="9"/>
      <c r="J95" s="9"/>
      <c r="K95" s="10">
        <v>42858</v>
      </c>
      <c r="L95" s="10">
        <v>42886</v>
      </c>
      <c r="M95" s="10">
        <v>42908</v>
      </c>
      <c r="N95" s="10">
        <v>42951</v>
      </c>
      <c r="O95" s="10">
        <v>42978</v>
      </c>
      <c r="P95" s="10">
        <v>43010</v>
      </c>
      <c r="Q95" s="10">
        <v>43039</v>
      </c>
      <c r="R95" s="10">
        <v>43077</v>
      </c>
    </row>
    <row r="96" spans="1:18" ht="22.5" customHeight="1">
      <c r="A96" s="4"/>
      <c r="B96" s="4"/>
      <c r="C96" s="6"/>
      <c r="D96" s="43"/>
      <c r="E96" s="8"/>
      <c r="F96" s="46"/>
      <c r="G96" s="12"/>
      <c r="H96" s="12"/>
      <c r="I96" s="12"/>
      <c r="J96" s="12"/>
      <c r="K96" s="168">
        <v>20000</v>
      </c>
      <c r="L96" s="168">
        <v>20000</v>
      </c>
      <c r="M96" s="168">
        <v>20000</v>
      </c>
      <c r="N96" s="168">
        <v>21000</v>
      </c>
      <c r="O96" s="168">
        <v>21000</v>
      </c>
      <c r="P96" s="168">
        <v>21000</v>
      </c>
      <c r="Q96" s="168">
        <v>21000</v>
      </c>
      <c r="R96" s="168">
        <v>21000</v>
      </c>
    </row>
    <row r="97" spans="1:18" ht="22.5" customHeight="1">
      <c r="A97" s="9" t="s">
        <v>32</v>
      </c>
      <c r="B97" s="47" t="s">
        <v>91</v>
      </c>
      <c r="C97" s="47" t="s">
        <v>92</v>
      </c>
      <c r="D97" s="43">
        <v>16000</v>
      </c>
      <c r="E97" s="8">
        <v>34000</v>
      </c>
      <c r="F97" s="45" t="s">
        <v>93</v>
      </c>
      <c r="G97" s="9"/>
      <c r="H97" s="9"/>
      <c r="I97" s="9"/>
      <c r="J97" s="9"/>
      <c r="K97" s="10"/>
      <c r="L97" s="10">
        <v>42885</v>
      </c>
      <c r="M97" s="10">
        <v>42918</v>
      </c>
      <c r="N97" s="10">
        <v>42950</v>
      </c>
      <c r="O97" s="10">
        <v>42979</v>
      </c>
      <c r="P97" s="10">
        <v>43009</v>
      </c>
      <c r="Q97" s="10">
        <v>43041</v>
      </c>
      <c r="R97" s="10">
        <v>43072</v>
      </c>
    </row>
    <row r="98" spans="1:18" ht="22.5" customHeight="1">
      <c r="A98" s="4"/>
      <c r="B98" s="48"/>
      <c r="C98" s="80"/>
      <c r="D98" s="43"/>
      <c r="E98" s="8"/>
      <c r="F98" s="50"/>
      <c r="G98" s="12"/>
      <c r="H98" s="12"/>
      <c r="I98" s="12"/>
      <c r="J98" s="12"/>
      <c r="K98" s="11">
        <v>16000</v>
      </c>
      <c r="L98" s="11">
        <v>16000</v>
      </c>
      <c r="M98" s="11">
        <v>16000</v>
      </c>
      <c r="N98" s="11">
        <v>16000</v>
      </c>
      <c r="O98" s="11">
        <v>16000</v>
      </c>
      <c r="P98" s="11">
        <v>16000</v>
      </c>
      <c r="Q98" s="11">
        <v>16000</v>
      </c>
      <c r="R98" s="11">
        <v>16000</v>
      </c>
    </row>
    <row r="99" spans="1:18" ht="22.5" customHeight="1">
      <c r="A99" s="9" t="s">
        <v>33</v>
      </c>
      <c r="B99" s="65" t="s">
        <v>117</v>
      </c>
      <c r="C99" s="47" t="s">
        <v>111</v>
      </c>
      <c r="D99" s="43">
        <v>17500</v>
      </c>
      <c r="E99" s="169">
        <v>35000</v>
      </c>
      <c r="F99" s="45"/>
      <c r="G99" s="14"/>
      <c r="H99" s="9"/>
      <c r="I99" s="9"/>
      <c r="J99" s="9"/>
      <c r="K99" s="10">
        <v>42860</v>
      </c>
      <c r="L99" s="10">
        <v>42885</v>
      </c>
      <c r="M99" s="10">
        <v>42919</v>
      </c>
      <c r="N99" s="10">
        <v>42944</v>
      </c>
      <c r="O99" s="10">
        <v>42983</v>
      </c>
      <c r="P99" s="10">
        <v>43011</v>
      </c>
      <c r="Q99" s="10">
        <v>43038</v>
      </c>
      <c r="R99" s="10">
        <v>43069</v>
      </c>
    </row>
    <row r="100" spans="1:18" ht="22.5" customHeight="1">
      <c r="A100" s="4"/>
      <c r="B100" s="1"/>
      <c r="C100" s="80" t="s">
        <v>118</v>
      </c>
      <c r="D100" s="43"/>
      <c r="E100" s="8"/>
      <c r="F100" s="50"/>
      <c r="G100" s="14"/>
      <c r="H100" s="14"/>
      <c r="I100" s="14"/>
      <c r="J100" s="14"/>
      <c r="K100" s="11">
        <v>14600</v>
      </c>
      <c r="L100" s="11">
        <v>17500</v>
      </c>
      <c r="M100" s="11">
        <v>17500</v>
      </c>
      <c r="N100" s="11">
        <v>17500</v>
      </c>
      <c r="O100" s="11">
        <v>17500</v>
      </c>
      <c r="P100" s="11">
        <v>17500</v>
      </c>
      <c r="Q100" s="11">
        <v>17500</v>
      </c>
      <c r="R100" s="11">
        <v>17500</v>
      </c>
    </row>
    <row r="101" spans="1:18" ht="22.5" customHeight="1">
      <c r="A101" s="9" t="s">
        <v>37</v>
      </c>
      <c r="B101" s="47" t="s">
        <v>203</v>
      </c>
      <c r="C101" s="51"/>
      <c r="D101" s="43">
        <v>17000</v>
      </c>
      <c r="E101" s="8">
        <v>34000</v>
      </c>
      <c r="F101" s="45" t="s">
        <v>215</v>
      </c>
      <c r="G101" s="14"/>
      <c r="H101" s="9"/>
      <c r="I101" s="9"/>
      <c r="J101" s="9"/>
      <c r="K101" s="12"/>
      <c r="L101" s="10">
        <v>42900</v>
      </c>
      <c r="M101" s="10">
        <v>42921</v>
      </c>
      <c r="N101" s="10">
        <v>42956</v>
      </c>
      <c r="O101" s="10">
        <v>42984</v>
      </c>
      <c r="P101" s="10">
        <v>43014</v>
      </c>
      <c r="Q101" s="10">
        <v>43050</v>
      </c>
      <c r="R101" s="10">
        <v>43080</v>
      </c>
    </row>
    <row r="102" spans="1:18" ht="22.5" customHeight="1">
      <c r="A102" s="4"/>
      <c r="B102" s="48"/>
      <c r="C102" s="80"/>
      <c r="D102" s="43"/>
      <c r="E102" s="8"/>
      <c r="F102" s="50"/>
      <c r="G102" s="14"/>
      <c r="H102" s="14"/>
      <c r="I102" s="14"/>
      <c r="J102" s="14"/>
      <c r="K102" s="11">
        <v>17000</v>
      </c>
      <c r="L102" s="11">
        <v>17000</v>
      </c>
      <c r="M102" s="11">
        <v>17000</v>
      </c>
      <c r="N102" s="11">
        <v>17000</v>
      </c>
      <c r="O102" s="11">
        <v>17000</v>
      </c>
      <c r="P102" s="11">
        <v>17000</v>
      </c>
      <c r="Q102" s="11">
        <v>17000</v>
      </c>
      <c r="R102" s="11">
        <v>17000</v>
      </c>
    </row>
    <row r="103" spans="1:18" ht="22.5" customHeight="1">
      <c r="A103" s="52"/>
      <c r="B103" s="52"/>
      <c r="C103" s="53"/>
      <c r="D103" s="57">
        <f>SUBTOTAL(109,D94:D102)</f>
        <v>71500</v>
      </c>
      <c r="E103" s="57">
        <f>SUBTOTAL(109,E94:E102)</f>
        <v>145000</v>
      </c>
      <c r="F103" s="55" t="s">
        <v>41</v>
      </c>
      <c r="G103" s="56">
        <f t="shared" ref="G103:R103" si="52">G96+G98+G100+G102</f>
        <v>0</v>
      </c>
      <c r="H103" s="56">
        <f t="shared" si="52"/>
        <v>0</v>
      </c>
      <c r="I103" s="56">
        <f t="shared" si="52"/>
        <v>0</v>
      </c>
      <c r="J103" s="56">
        <f t="shared" si="52"/>
        <v>0</v>
      </c>
      <c r="K103" s="56">
        <f t="shared" si="52"/>
        <v>67600</v>
      </c>
      <c r="L103" s="56">
        <f t="shared" si="52"/>
        <v>70500</v>
      </c>
      <c r="M103" s="56">
        <f t="shared" si="52"/>
        <v>70500</v>
      </c>
      <c r="N103" s="56">
        <f t="shared" si="52"/>
        <v>71500</v>
      </c>
      <c r="O103" s="56">
        <f>O96+O98+O100+O102</f>
        <v>71500</v>
      </c>
      <c r="P103" s="56">
        <f t="shared" si="52"/>
        <v>71500</v>
      </c>
      <c r="Q103" s="56">
        <f t="shared" si="52"/>
        <v>71500</v>
      </c>
      <c r="R103" s="56">
        <f t="shared" si="52"/>
        <v>71500</v>
      </c>
    </row>
    <row r="104" spans="1:18" ht="22.5" customHeight="1" thickBot="1">
      <c r="A104" s="328" t="s">
        <v>94</v>
      </c>
      <c r="B104" s="328"/>
      <c r="C104" s="328"/>
      <c r="D104" s="329" t="s">
        <v>42</v>
      </c>
      <c r="E104" s="329"/>
      <c r="F104" s="58">
        <v>0.1</v>
      </c>
      <c r="G104" s="60">
        <f t="shared" ref="G104:R104" si="53">-G103*$F$104</f>
        <v>0</v>
      </c>
      <c r="H104" s="60">
        <f t="shared" si="53"/>
        <v>0</v>
      </c>
      <c r="I104" s="60">
        <f t="shared" si="53"/>
        <v>0</v>
      </c>
      <c r="J104" s="60">
        <f t="shared" si="53"/>
        <v>0</v>
      </c>
      <c r="K104" s="60">
        <f t="shared" si="53"/>
        <v>-6760</v>
      </c>
      <c r="L104" s="60">
        <f t="shared" si="53"/>
        <v>-7050</v>
      </c>
      <c r="M104" s="60">
        <f t="shared" si="53"/>
        <v>-7050</v>
      </c>
      <c r="N104" s="60">
        <f t="shared" si="53"/>
        <v>-7150</v>
      </c>
      <c r="O104" s="60">
        <f t="shared" si="53"/>
        <v>-7150</v>
      </c>
      <c r="P104" s="60">
        <f t="shared" si="53"/>
        <v>-7150</v>
      </c>
      <c r="Q104" s="60">
        <f t="shared" si="53"/>
        <v>-7150</v>
      </c>
      <c r="R104" s="60">
        <f t="shared" si="53"/>
        <v>-7150</v>
      </c>
    </row>
    <row r="105" spans="1:18" ht="22.5" customHeight="1">
      <c r="A105" s="65"/>
      <c r="B105" s="65"/>
      <c r="C105" s="66"/>
      <c r="D105" s="67"/>
      <c r="E105" s="84"/>
      <c r="F105" s="63"/>
      <c r="G105" s="64" t="s">
        <v>14</v>
      </c>
      <c r="H105" s="64" t="s">
        <v>15</v>
      </c>
      <c r="I105" s="64" t="s">
        <v>16</v>
      </c>
      <c r="J105" s="64" t="s">
        <v>17</v>
      </c>
      <c r="K105" s="64" t="s">
        <v>18</v>
      </c>
      <c r="L105" s="64" t="s">
        <v>19</v>
      </c>
      <c r="M105" s="64" t="s">
        <v>20</v>
      </c>
      <c r="N105" s="64" t="s">
        <v>21</v>
      </c>
      <c r="O105" s="64" t="s">
        <v>22</v>
      </c>
      <c r="P105" s="64" t="s">
        <v>23</v>
      </c>
      <c r="Q105" s="64" t="s">
        <v>24</v>
      </c>
      <c r="R105" s="112" t="s">
        <v>25</v>
      </c>
    </row>
    <row r="106" spans="1:18" ht="22.5" customHeight="1">
      <c r="A106" s="65"/>
      <c r="B106" s="123"/>
      <c r="C106" s="66"/>
      <c r="D106" s="67"/>
      <c r="E106" s="85" t="s">
        <v>31</v>
      </c>
      <c r="F106" s="68" t="s">
        <v>46</v>
      </c>
      <c r="G106" s="69">
        <v>6621</v>
      </c>
      <c r="H106" s="69">
        <v>6987</v>
      </c>
      <c r="I106" s="69">
        <v>7055</v>
      </c>
      <c r="J106" s="69">
        <v>7117</v>
      </c>
      <c r="K106" s="69"/>
      <c r="L106" s="69"/>
      <c r="M106" s="69">
        <v>7485</v>
      </c>
      <c r="N106" s="69" t="s">
        <v>198</v>
      </c>
      <c r="O106" s="69">
        <v>7765</v>
      </c>
      <c r="P106" s="69">
        <v>7897</v>
      </c>
      <c r="Q106" s="69">
        <v>8009</v>
      </c>
      <c r="R106" s="97"/>
    </row>
    <row r="107" spans="1:18" ht="22.5" customHeight="1">
      <c r="A107" s="65"/>
      <c r="B107" s="65"/>
      <c r="C107" s="66"/>
      <c r="D107" s="67"/>
      <c r="E107" s="86"/>
      <c r="F107" s="70" t="s">
        <v>47</v>
      </c>
      <c r="G107" s="121" t="s">
        <v>104</v>
      </c>
      <c r="H107" s="82">
        <f t="shared" ref="H107:R107" si="54">IF((H106-G106)*5.5&gt;0,(H106-G106)*5.5,0)</f>
        <v>2013</v>
      </c>
      <c r="I107" s="82">
        <f t="shared" si="54"/>
        <v>374</v>
      </c>
      <c r="J107" s="82">
        <f t="shared" si="54"/>
        <v>341</v>
      </c>
      <c r="K107" s="83">
        <f t="shared" si="54"/>
        <v>0</v>
      </c>
      <c r="L107" s="83">
        <f t="shared" si="54"/>
        <v>0</v>
      </c>
      <c r="M107" s="83">
        <f>IF((M106-J106)*5.5&gt;0,(M106-J106)*5.5,0)</f>
        <v>2024</v>
      </c>
      <c r="N107" s="82">
        <f>IF((7603-7497)*5.5&gt;0,(7603-7497)*5.5,0)</f>
        <v>583</v>
      </c>
      <c r="O107" s="82">
        <f>IF((O106-7603)*5.5&gt;0,(O106-7603)*5.5,0)</f>
        <v>891</v>
      </c>
      <c r="P107" s="82">
        <f t="shared" si="54"/>
        <v>726</v>
      </c>
      <c r="Q107" s="82">
        <f t="shared" si="54"/>
        <v>616</v>
      </c>
      <c r="R107" s="83">
        <f t="shared" si="54"/>
        <v>0</v>
      </c>
    </row>
    <row r="108" spans="1:18" ht="22.5" customHeight="1">
      <c r="A108" s="65"/>
      <c r="B108" s="65"/>
      <c r="C108" s="66"/>
      <c r="D108" s="67"/>
      <c r="E108" s="85" t="s">
        <v>32</v>
      </c>
      <c r="F108" s="68" t="s">
        <v>46</v>
      </c>
      <c r="G108" s="69"/>
      <c r="H108" s="69"/>
      <c r="I108" s="69"/>
      <c r="J108" s="69">
        <v>6628</v>
      </c>
      <c r="K108" s="69">
        <v>6738</v>
      </c>
      <c r="L108" s="69">
        <v>6882</v>
      </c>
      <c r="M108" s="69">
        <v>7042</v>
      </c>
      <c r="N108" s="69">
        <v>7226</v>
      </c>
      <c r="O108" s="69">
        <v>7372</v>
      </c>
      <c r="P108" s="69">
        <v>7512</v>
      </c>
      <c r="Q108" s="69">
        <v>7628</v>
      </c>
      <c r="R108" s="97"/>
    </row>
    <row r="109" spans="1:18" ht="22.5" customHeight="1">
      <c r="A109" s="65"/>
      <c r="B109" s="65"/>
      <c r="C109" s="66"/>
      <c r="D109" s="67"/>
      <c r="E109" s="86"/>
      <c r="F109" s="70" t="s">
        <v>47</v>
      </c>
      <c r="G109" s="113"/>
      <c r="H109" s="83">
        <f t="shared" ref="H109:R109" si="55">IF((H108-G108)*5.5&gt;0,(H108-G108)*5.5,0)</f>
        <v>0</v>
      </c>
      <c r="I109" s="83">
        <f t="shared" si="55"/>
        <v>0</v>
      </c>
      <c r="J109" s="83"/>
      <c r="K109" s="82">
        <f t="shared" si="55"/>
        <v>605</v>
      </c>
      <c r="L109" s="82">
        <f t="shared" si="55"/>
        <v>792</v>
      </c>
      <c r="M109" s="82">
        <f t="shared" si="55"/>
        <v>880</v>
      </c>
      <c r="N109" s="82">
        <f t="shared" si="55"/>
        <v>1012</v>
      </c>
      <c r="O109" s="82">
        <f t="shared" si="55"/>
        <v>803</v>
      </c>
      <c r="P109" s="82">
        <f t="shared" si="55"/>
        <v>770</v>
      </c>
      <c r="Q109" s="82">
        <f t="shared" si="55"/>
        <v>638</v>
      </c>
      <c r="R109" s="83">
        <f t="shared" si="55"/>
        <v>0</v>
      </c>
    </row>
    <row r="110" spans="1:18" ht="22.5" customHeight="1">
      <c r="A110" s="65"/>
      <c r="B110" s="65"/>
      <c r="C110" s="66"/>
      <c r="D110" s="67"/>
      <c r="E110" s="87" t="s">
        <v>33</v>
      </c>
      <c r="F110" s="68" t="s">
        <v>46</v>
      </c>
      <c r="G110" s="72"/>
      <c r="H110" s="72"/>
      <c r="I110" s="72"/>
      <c r="J110" s="72">
        <v>11444</v>
      </c>
      <c r="K110" s="73">
        <v>11585</v>
      </c>
      <c r="L110" s="73">
        <v>11735</v>
      </c>
      <c r="M110" s="73">
        <v>11987</v>
      </c>
      <c r="N110" s="73">
        <v>12157</v>
      </c>
      <c r="O110" s="73">
        <v>12381</v>
      </c>
      <c r="P110" s="73">
        <v>12515</v>
      </c>
      <c r="Q110" s="73">
        <v>12619</v>
      </c>
      <c r="R110" s="98"/>
    </row>
    <row r="111" spans="1:18" ht="22.5" customHeight="1">
      <c r="A111" s="65"/>
      <c r="B111" s="65"/>
      <c r="C111" s="66"/>
      <c r="D111" s="67"/>
      <c r="E111" s="86"/>
      <c r="F111" s="70" t="s">
        <v>47</v>
      </c>
      <c r="G111" s="113"/>
      <c r="H111" s="83">
        <f>IF((H110-G110)*5.5&gt;0,(H110-G110)*5.5,0)</f>
        <v>0</v>
      </c>
      <c r="I111" s="83">
        <f>IF((I110-H110)*5.5&gt;0,(I110-H110)*5.5,0)</f>
        <v>0</v>
      </c>
      <c r="J111" s="83"/>
      <c r="K111" s="82">
        <f t="shared" ref="K111:R111" si="56">IF((K110-J110)*5.5&gt;0,(K110-J110)*5.5,0)</f>
        <v>775.5</v>
      </c>
      <c r="L111" s="82">
        <f t="shared" si="56"/>
        <v>825</v>
      </c>
      <c r="M111" s="82">
        <f t="shared" si="56"/>
        <v>1386</v>
      </c>
      <c r="N111" s="82">
        <f t="shared" si="56"/>
        <v>935</v>
      </c>
      <c r="O111" s="82">
        <f t="shared" si="56"/>
        <v>1232</v>
      </c>
      <c r="P111" s="82">
        <f t="shared" si="56"/>
        <v>737</v>
      </c>
      <c r="Q111" s="82">
        <f t="shared" si="56"/>
        <v>572</v>
      </c>
      <c r="R111" s="83">
        <f t="shared" si="56"/>
        <v>0</v>
      </c>
    </row>
    <row r="112" spans="1:18" ht="22.5" customHeight="1">
      <c r="A112" s="65"/>
      <c r="B112" s="65"/>
      <c r="C112" s="66"/>
      <c r="D112" s="67"/>
      <c r="E112" s="87" t="s">
        <v>37</v>
      </c>
      <c r="F112" s="68" t="s">
        <v>46</v>
      </c>
      <c r="G112" s="69"/>
      <c r="H112" s="69"/>
      <c r="I112" s="69"/>
      <c r="J112" s="69">
        <v>8046</v>
      </c>
      <c r="K112" s="73">
        <v>8188</v>
      </c>
      <c r="L112" s="73">
        <v>8352</v>
      </c>
      <c r="M112" s="73">
        <v>8560</v>
      </c>
      <c r="N112" s="73">
        <v>8802</v>
      </c>
      <c r="O112" s="74">
        <v>9016</v>
      </c>
      <c r="P112" s="73">
        <v>9206</v>
      </c>
      <c r="Q112" s="73">
        <v>9344</v>
      </c>
      <c r="R112" s="98"/>
    </row>
    <row r="113" spans="1:18" ht="22.5" customHeight="1">
      <c r="A113" s="65"/>
      <c r="B113" s="65"/>
      <c r="C113" s="66"/>
      <c r="D113" s="67"/>
      <c r="E113" s="88"/>
      <c r="F113" s="70" t="s">
        <v>47</v>
      </c>
      <c r="G113" s="113"/>
      <c r="H113" s="83">
        <f t="shared" ref="H113:R113" si="57">IF((H112-G112)*5.5&gt;0,(H112-G112)*5.5,0)</f>
        <v>0</v>
      </c>
      <c r="I113" s="83">
        <f t="shared" si="57"/>
        <v>0</v>
      </c>
      <c r="J113" s="83"/>
      <c r="K113" s="82">
        <f t="shared" si="57"/>
        <v>781</v>
      </c>
      <c r="L113" s="82">
        <f t="shared" si="57"/>
        <v>902</v>
      </c>
      <c r="M113" s="82">
        <f t="shared" si="57"/>
        <v>1144</v>
      </c>
      <c r="N113" s="82">
        <f t="shared" si="57"/>
        <v>1331</v>
      </c>
      <c r="O113" s="82">
        <f t="shared" si="57"/>
        <v>1177</v>
      </c>
      <c r="P113" s="82">
        <f t="shared" si="57"/>
        <v>1045</v>
      </c>
      <c r="Q113" s="82">
        <f t="shared" si="57"/>
        <v>759</v>
      </c>
      <c r="R113" s="83">
        <f t="shared" si="57"/>
        <v>0</v>
      </c>
    </row>
    <row r="114" spans="1:18" ht="22.15" customHeight="1">
      <c r="A114" s="122"/>
      <c r="B114" s="122"/>
      <c r="C114" s="122"/>
      <c r="D114" s="122"/>
      <c r="E114" s="93"/>
      <c r="F114" s="94" t="s">
        <v>48</v>
      </c>
      <c r="G114" s="95">
        <v>0</v>
      </c>
      <c r="H114" s="95">
        <f t="shared" ref="H114:R114" si="58">H107+H109+H111+H113</f>
        <v>2013</v>
      </c>
      <c r="I114" s="95">
        <f t="shared" si="58"/>
        <v>374</v>
      </c>
      <c r="J114" s="95">
        <f t="shared" si="58"/>
        <v>341</v>
      </c>
      <c r="K114" s="95">
        <f t="shared" si="58"/>
        <v>2161.5</v>
      </c>
      <c r="L114" s="95">
        <f t="shared" si="58"/>
        <v>2519</v>
      </c>
      <c r="M114" s="95">
        <f t="shared" si="58"/>
        <v>5434</v>
      </c>
      <c r="N114" s="95">
        <f t="shared" si="58"/>
        <v>3861</v>
      </c>
      <c r="O114" s="95">
        <f t="shared" si="58"/>
        <v>4103</v>
      </c>
      <c r="P114" s="95">
        <f t="shared" si="58"/>
        <v>3278</v>
      </c>
      <c r="Q114" s="95">
        <f t="shared" si="58"/>
        <v>2585</v>
      </c>
      <c r="R114" s="95">
        <f t="shared" si="58"/>
        <v>0</v>
      </c>
    </row>
    <row r="116" spans="1:18" ht="22.15" customHeight="1">
      <c r="A116" s="4" t="s">
        <v>128</v>
      </c>
      <c r="B116" s="5" t="s">
        <v>26</v>
      </c>
      <c r="C116" s="6" t="s">
        <v>27</v>
      </c>
      <c r="D116" s="7" t="s">
        <v>28</v>
      </c>
      <c r="E116" s="8" t="s">
        <v>29</v>
      </c>
      <c r="F116" s="4" t="s">
        <v>30</v>
      </c>
      <c r="G116" s="5" t="s">
        <v>14</v>
      </c>
      <c r="H116" s="5" t="s">
        <v>15</v>
      </c>
      <c r="I116" s="5" t="s">
        <v>16</v>
      </c>
      <c r="J116" s="5" t="s">
        <v>17</v>
      </c>
      <c r="K116" s="5" t="s">
        <v>18</v>
      </c>
      <c r="L116" s="5" t="s">
        <v>19</v>
      </c>
      <c r="M116" s="5" t="s">
        <v>20</v>
      </c>
      <c r="N116" s="5" t="s">
        <v>21</v>
      </c>
      <c r="O116" s="5" t="s">
        <v>22</v>
      </c>
      <c r="P116" s="5" t="s">
        <v>23</v>
      </c>
      <c r="Q116" s="5" t="s">
        <v>24</v>
      </c>
      <c r="R116" s="5" t="s">
        <v>25</v>
      </c>
    </row>
    <row r="117" spans="1:18" ht="22.5" customHeight="1">
      <c r="A117" s="4" t="s">
        <v>31</v>
      </c>
      <c r="B117" s="4" t="s">
        <v>98</v>
      </c>
      <c r="C117" s="6" t="s">
        <v>99</v>
      </c>
      <c r="D117" s="7">
        <v>25000</v>
      </c>
      <c r="E117" s="8">
        <v>50000</v>
      </c>
      <c r="F117" s="45" t="s">
        <v>100</v>
      </c>
      <c r="G117" s="9"/>
      <c r="H117" s="9"/>
      <c r="I117" s="9"/>
      <c r="J117" s="9">
        <v>42830</v>
      </c>
      <c r="K117" s="10"/>
      <c r="L117" s="10">
        <v>42887</v>
      </c>
      <c r="M117" s="10">
        <v>42919</v>
      </c>
      <c r="N117" s="10">
        <v>42949</v>
      </c>
      <c r="O117" s="10">
        <v>42979</v>
      </c>
      <c r="P117" s="10">
        <v>43010</v>
      </c>
      <c r="Q117" s="10">
        <v>43040</v>
      </c>
      <c r="R117" s="10">
        <v>43072</v>
      </c>
    </row>
    <row r="118" spans="1:18" ht="22.15" customHeight="1">
      <c r="A118" s="4"/>
      <c r="B118" s="4"/>
      <c r="C118" s="6"/>
      <c r="D118" s="7"/>
      <c r="E118" s="8"/>
      <c r="F118" s="46"/>
      <c r="G118" s="12">
        <v>25000</v>
      </c>
      <c r="H118" s="12">
        <v>25000</v>
      </c>
      <c r="I118" s="12">
        <v>25000</v>
      </c>
      <c r="J118" s="11">
        <v>25000</v>
      </c>
      <c r="K118" s="168">
        <v>25000</v>
      </c>
      <c r="L118" s="168">
        <v>25000</v>
      </c>
      <c r="M118" s="168">
        <v>25000</v>
      </c>
      <c r="N118" s="168">
        <v>25000</v>
      </c>
      <c r="O118" s="168">
        <v>25000</v>
      </c>
      <c r="P118" s="168">
        <v>25000</v>
      </c>
      <c r="Q118" s="168">
        <v>25000</v>
      </c>
      <c r="R118" s="168">
        <v>25000</v>
      </c>
    </row>
    <row r="119" spans="1:18" ht="22.5" customHeight="1">
      <c r="A119" s="4" t="s">
        <v>32</v>
      </c>
      <c r="B119" s="52" t="s">
        <v>98</v>
      </c>
      <c r="C119" s="6" t="s">
        <v>99</v>
      </c>
      <c r="D119" s="7">
        <v>25000</v>
      </c>
      <c r="E119" s="8">
        <v>50000</v>
      </c>
      <c r="F119" s="45" t="s">
        <v>100</v>
      </c>
      <c r="G119" s="9"/>
      <c r="H119" s="9"/>
      <c r="I119" s="9"/>
      <c r="J119" s="9">
        <v>42830</v>
      </c>
      <c r="K119" s="10"/>
      <c r="L119" s="10">
        <v>42887</v>
      </c>
      <c r="M119" s="10">
        <v>42919</v>
      </c>
      <c r="N119" s="10">
        <v>42949</v>
      </c>
      <c r="O119" s="10">
        <v>42979</v>
      </c>
      <c r="P119" s="10">
        <v>43010</v>
      </c>
      <c r="Q119" s="10">
        <v>43040</v>
      </c>
      <c r="R119" s="10">
        <v>43072</v>
      </c>
    </row>
    <row r="120" spans="1:18" ht="22.5" customHeight="1">
      <c r="A120" s="4"/>
      <c r="B120" s="52"/>
      <c r="C120" s="126"/>
      <c r="D120" s="7"/>
      <c r="E120" s="8"/>
      <c r="F120" s="50"/>
      <c r="G120" s="14">
        <v>25000</v>
      </c>
      <c r="H120" s="14">
        <v>25000</v>
      </c>
      <c r="I120" s="14">
        <v>25000</v>
      </c>
      <c r="J120" s="15">
        <v>25000</v>
      </c>
      <c r="K120" s="11">
        <v>25000</v>
      </c>
      <c r="L120" s="168">
        <v>25000</v>
      </c>
      <c r="M120" s="168">
        <v>25000</v>
      </c>
      <c r="N120" s="168">
        <v>25000</v>
      </c>
      <c r="O120" s="168">
        <v>25000</v>
      </c>
      <c r="P120" s="168">
        <v>25000</v>
      </c>
      <c r="Q120" s="168">
        <v>25000</v>
      </c>
      <c r="R120" s="168">
        <v>25000</v>
      </c>
    </row>
    <row r="121" spans="1:18" ht="22.5" customHeight="1">
      <c r="A121" s="4" t="s">
        <v>33</v>
      </c>
      <c r="B121" s="52"/>
      <c r="C121" s="124"/>
      <c r="D121" s="7" t="s">
        <v>87</v>
      </c>
      <c r="E121" s="8"/>
      <c r="F121" s="125"/>
      <c r="G121" s="9"/>
      <c r="H121" s="9"/>
      <c r="I121" s="9"/>
      <c r="J121" s="9"/>
      <c r="K121" s="12"/>
      <c r="L121" s="12"/>
      <c r="M121" s="12"/>
      <c r="N121" s="12"/>
      <c r="O121" s="12"/>
      <c r="P121" s="12"/>
      <c r="Q121" s="12"/>
      <c r="R121" s="12"/>
    </row>
    <row r="122" spans="1:18" ht="22.5" customHeight="1">
      <c r="A122" s="4"/>
      <c r="B122" s="52"/>
      <c r="C122" s="126"/>
      <c r="D122" s="7"/>
      <c r="E122" s="8"/>
      <c r="F122" s="127"/>
      <c r="G122" s="14">
        <v>30000</v>
      </c>
      <c r="H122" s="14">
        <v>30000</v>
      </c>
      <c r="I122" s="14">
        <v>30000</v>
      </c>
      <c r="J122" s="15">
        <v>30000</v>
      </c>
      <c r="K122" s="11">
        <v>38936</v>
      </c>
      <c r="L122" s="11">
        <v>38693</v>
      </c>
      <c r="M122" s="11">
        <v>44594</v>
      </c>
      <c r="N122" s="11">
        <f>10280+8785+13754</f>
        <v>32819</v>
      </c>
      <c r="O122" s="11">
        <v>37511</v>
      </c>
      <c r="P122" s="11">
        <v>38761</v>
      </c>
      <c r="Q122" s="12">
        <v>37511</v>
      </c>
      <c r="R122" s="12">
        <f>2500</f>
        <v>2500</v>
      </c>
    </row>
    <row r="123" spans="1:18" ht="22.5" customHeight="1">
      <c r="A123" s="52"/>
      <c r="B123" s="52"/>
      <c r="C123" s="53"/>
      <c r="D123" s="57">
        <v>0</v>
      </c>
      <c r="E123" s="54">
        <v>0</v>
      </c>
      <c r="F123" s="55" t="s">
        <v>41</v>
      </c>
      <c r="G123" s="56">
        <f t="shared" ref="G123:R123" si="59">G118+G120+G122</f>
        <v>80000</v>
      </c>
      <c r="H123" s="56">
        <f t="shared" si="59"/>
        <v>80000</v>
      </c>
      <c r="I123" s="56">
        <f t="shared" si="59"/>
        <v>80000</v>
      </c>
      <c r="J123" s="56">
        <f t="shared" si="59"/>
        <v>80000</v>
      </c>
      <c r="K123" s="56">
        <f t="shared" si="59"/>
        <v>88936</v>
      </c>
      <c r="L123" s="56">
        <f t="shared" si="59"/>
        <v>88693</v>
      </c>
      <c r="M123" s="56">
        <f>M118+M120</f>
        <v>50000</v>
      </c>
      <c r="N123" s="56">
        <f t="shared" si="59"/>
        <v>82819</v>
      </c>
      <c r="O123" s="56">
        <f t="shared" si="59"/>
        <v>87511</v>
      </c>
      <c r="P123" s="56">
        <f t="shared" si="59"/>
        <v>88761</v>
      </c>
      <c r="Q123" s="56">
        <f t="shared" si="59"/>
        <v>87511</v>
      </c>
      <c r="R123" s="56">
        <f t="shared" si="59"/>
        <v>52500</v>
      </c>
    </row>
    <row r="124" spans="1:18" ht="22.5" customHeight="1">
      <c r="A124" s="324" t="s">
        <v>96</v>
      </c>
      <c r="B124" s="324"/>
      <c r="C124" s="324"/>
      <c r="D124" s="329" t="s">
        <v>42</v>
      </c>
      <c r="E124" s="329"/>
      <c r="F124" s="58"/>
      <c r="G124" s="36">
        <f t="shared" ref="G124:R124" si="60">G125+G126</f>
        <v>-8000</v>
      </c>
      <c r="H124" s="36">
        <f t="shared" si="60"/>
        <v>-8000</v>
      </c>
      <c r="I124" s="36">
        <f t="shared" si="60"/>
        <v>-8000</v>
      </c>
      <c r="J124" s="36">
        <f t="shared" si="60"/>
        <v>-8000</v>
      </c>
      <c r="K124" s="36">
        <f t="shared" si="60"/>
        <v>-10840.4</v>
      </c>
      <c r="L124" s="36">
        <f t="shared" si="60"/>
        <v>-10803.95</v>
      </c>
      <c r="M124" s="36">
        <f t="shared" si="60"/>
        <v>-11689.099999999999</v>
      </c>
      <c r="N124" s="36">
        <f>N125+N126</f>
        <v>-9922.8499999999985</v>
      </c>
      <c r="O124" s="36">
        <f t="shared" si="60"/>
        <v>-10626.65</v>
      </c>
      <c r="P124" s="36">
        <f t="shared" si="60"/>
        <v>-10814.15</v>
      </c>
      <c r="Q124" s="36">
        <f t="shared" si="60"/>
        <v>-10626.65</v>
      </c>
      <c r="R124" s="36">
        <f t="shared" si="60"/>
        <v>-5375</v>
      </c>
    </row>
    <row r="125" spans="1:18" ht="22.5" customHeight="1">
      <c r="A125" s="52"/>
      <c r="B125" s="52"/>
      <c r="C125" s="53"/>
      <c r="D125" s="329" t="s">
        <v>88</v>
      </c>
      <c r="E125" s="329"/>
      <c r="F125" s="58">
        <v>0.1</v>
      </c>
      <c r="G125" s="60">
        <f t="shared" ref="G125:R125" si="61">-(G118+G120)*$F$125</f>
        <v>-5000</v>
      </c>
      <c r="H125" s="60">
        <f t="shared" si="61"/>
        <v>-5000</v>
      </c>
      <c r="I125" s="60">
        <f t="shared" si="61"/>
        <v>-5000</v>
      </c>
      <c r="J125" s="60">
        <f t="shared" si="61"/>
        <v>-5000</v>
      </c>
      <c r="K125" s="60">
        <f t="shared" si="61"/>
        <v>-5000</v>
      </c>
      <c r="L125" s="60">
        <f t="shared" si="61"/>
        <v>-5000</v>
      </c>
      <c r="M125" s="60">
        <f t="shared" si="61"/>
        <v>-5000</v>
      </c>
      <c r="N125" s="60">
        <f t="shared" si="61"/>
        <v>-5000</v>
      </c>
      <c r="O125" s="60">
        <f t="shared" si="61"/>
        <v>-5000</v>
      </c>
      <c r="P125" s="60">
        <f t="shared" si="61"/>
        <v>-5000</v>
      </c>
      <c r="Q125" s="60">
        <f t="shared" si="61"/>
        <v>-5000</v>
      </c>
      <c r="R125" s="60">
        <f t="shared" si="61"/>
        <v>-5000</v>
      </c>
    </row>
    <row r="126" spans="1:18" ht="22.5" customHeight="1">
      <c r="A126" s="52"/>
      <c r="B126" s="52"/>
      <c r="C126" s="53"/>
      <c r="D126" s="329" t="s">
        <v>89</v>
      </c>
      <c r="E126" s="329"/>
      <c r="F126" s="58">
        <v>0.15</v>
      </c>
      <c r="G126" s="60">
        <f>-G122*$F$125</f>
        <v>-3000</v>
      </c>
      <c r="H126" s="60">
        <f>-H122*$F$125</f>
        <v>-3000</v>
      </c>
      <c r="I126" s="60">
        <f>-I122*$F$125</f>
        <v>-3000</v>
      </c>
      <c r="J126" s="60">
        <f>-J122*$F$125</f>
        <v>-3000</v>
      </c>
      <c r="K126" s="60">
        <f t="shared" ref="K126:R126" si="62">-K122*$F$126</f>
        <v>-5840.4</v>
      </c>
      <c r="L126" s="60">
        <f t="shared" si="62"/>
        <v>-5803.95</v>
      </c>
      <c r="M126" s="60">
        <f t="shared" si="62"/>
        <v>-6689.0999999999995</v>
      </c>
      <c r="N126" s="60">
        <f t="shared" si="62"/>
        <v>-4922.8499999999995</v>
      </c>
      <c r="O126" s="60">
        <f t="shared" si="62"/>
        <v>-5626.65</v>
      </c>
      <c r="P126" s="60">
        <f t="shared" si="62"/>
        <v>-5814.15</v>
      </c>
      <c r="Q126" s="60">
        <f t="shared" si="62"/>
        <v>-5626.65</v>
      </c>
      <c r="R126" s="60">
        <f t="shared" si="62"/>
        <v>-375</v>
      </c>
    </row>
    <row r="127" spans="1:18" ht="22.5" customHeight="1" thickBot="1">
      <c r="A127" s="52"/>
      <c r="B127" s="52"/>
      <c r="C127" s="53"/>
      <c r="D127" s="329"/>
      <c r="E127" s="329"/>
      <c r="F127" s="58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</row>
    <row r="128" spans="1:18" ht="22.5" customHeight="1">
      <c r="A128" s="65"/>
      <c r="B128" s="65"/>
      <c r="C128" s="66"/>
      <c r="D128" s="67"/>
      <c r="E128" s="84"/>
      <c r="F128" s="63"/>
      <c r="G128" s="64" t="s">
        <v>14</v>
      </c>
      <c r="H128" s="64" t="s">
        <v>15</v>
      </c>
      <c r="I128" s="64" t="s">
        <v>16</v>
      </c>
      <c r="J128" s="64" t="s">
        <v>17</v>
      </c>
      <c r="K128" s="64" t="s">
        <v>18</v>
      </c>
      <c r="L128" s="64" t="s">
        <v>19</v>
      </c>
      <c r="M128" s="64" t="s">
        <v>20</v>
      </c>
      <c r="N128" s="64" t="s">
        <v>21</v>
      </c>
      <c r="O128" s="64" t="s">
        <v>22</v>
      </c>
      <c r="P128" s="64" t="s">
        <v>23</v>
      </c>
      <c r="Q128" s="64" t="s">
        <v>24</v>
      </c>
      <c r="R128" s="112" t="s">
        <v>25</v>
      </c>
    </row>
    <row r="129" spans="1:18" ht="22.5" customHeight="1">
      <c r="A129" s="65"/>
      <c r="B129" s="65"/>
      <c r="C129" s="66"/>
      <c r="D129" s="67"/>
      <c r="E129" s="85" t="s">
        <v>31</v>
      </c>
      <c r="F129" s="68" t="s">
        <v>46</v>
      </c>
      <c r="G129" s="69">
        <v>6593</v>
      </c>
      <c r="H129" s="69">
        <v>6593</v>
      </c>
      <c r="I129" s="69">
        <v>6593</v>
      </c>
      <c r="J129" s="69">
        <v>6709</v>
      </c>
      <c r="K129" s="69">
        <v>6932</v>
      </c>
      <c r="L129" s="69">
        <v>7254</v>
      </c>
      <c r="M129" s="69">
        <v>7574</v>
      </c>
      <c r="N129" s="69">
        <v>7992</v>
      </c>
      <c r="O129" s="69">
        <v>8338</v>
      </c>
      <c r="P129" s="69">
        <v>8610</v>
      </c>
      <c r="Q129" s="69">
        <v>8804</v>
      </c>
      <c r="R129" s="97"/>
    </row>
    <row r="130" spans="1:18" ht="22.5" customHeight="1">
      <c r="A130" s="65"/>
      <c r="B130" s="65"/>
      <c r="C130" s="66"/>
      <c r="D130" s="67"/>
      <c r="E130" s="86"/>
      <c r="F130" s="70" t="s">
        <v>47</v>
      </c>
      <c r="G130" s="128"/>
      <c r="H130" s="83">
        <f t="shared" ref="H130:R130" si="63">IF((H129-G129)*5.5&gt;0,(H129-G129)*5.5,0)</f>
        <v>0</v>
      </c>
      <c r="I130" s="83">
        <f t="shared" si="63"/>
        <v>0</v>
      </c>
      <c r="J130" s="82">
        <f t="shared" si="63"/>
        <v>638</v>
      </c>
      <c r="K130" s="82">
        <f t="shared" si="63"/>
        <v>1226.5</v>
      </c>
      <c r="L130" s="82">
        <f t="shared" si="63"/>
        <v>1771</v>
      </c>
      <c r="M130" s="82">
        <f t="shared" si="63"/>
        <v>1760</v>
      </c>
      <c r="N130" s="82">
        <f t="shared" si="63"/>
        <v>2299</v>
      </c>
      <c r="O130" s="82">
        <f t="shared" si="63"/>
        <v>1903</v>
      </c>
      <c r="P130" s="82">
        <f t="shared" si="63"/>
        <v>1496</v>
      </c>
      <c r="Q130" s="82">
        <f t="shared" si="63"/>
        <v>1067</v>
      </c>
      <c r="R130" s="83">
        <f t="shared" si="63"/>
        <v>0</v>
      </c>
    </row>
    <row r="131" spans="1:18" ht="22.5" customHeight="1">
      <c r="A131" s="65"/>
      <c r="B131" s="65"/>
      <c r="C131" s="66"/>
      <c r="D131" s="67"/>
      <c r="E131" s="85" t="s">
        <v>32</v>
      </c>
      <c r="F131" s="68" t="s">
        <v>46</v>
      </c>
      <c r="G131" s="69">
        <v>6797</v>
      </c>
      <c r="H131" s="69">
        <v>6797</v>
      </c>
      <c r="I131" s="69">
        <v>6797</v>
      </c>
      <c r="J131" s="69">
        <v>6965</v>
      </c>
      <c r="K131" s="69">
        <v>7198</v>
      </c>
      <c r="L131" s="69">
        <v>7472</v>
      </c>
      <c r="M131" s="69">
        <v>7908</v>
      </c>
      <c r="N131" s="69">
        <v>8210</v>
      </c>
      <c r="O131" s="69">
        <v>8536</v>
      </c>
      <c r="P131" s="69">
        <v>8852</v>
      </c>
      <c r="Q131" s="69">
        <v>9002</v>
      </c>
      <c r="R131" s="97"/>
    </row>
    <row r="132" spans="1:18" ht="22.5" customHeight="1">
      <c r="A132" s="65"/>
      <c r="B132" s="65"/>
      <c r="C132" s="66"/>
      <c r="D132" s="67"/>
      <c r="E132" s="86"/>
      <c r="F132" s="70" t="s">
        <v>47</v>
      </c>
      <c r="G132" s="128"/>
      <c r="H132" s="83">
        <f t="shared" ref="H132:R132" si="64">IF((H131-G131)*5.5&gt;0,(H131-G131)*5.5,0)</f>
        <v>0</v>
      </c>
      <c r="I132" s="83">
        <f t="shared" si="64"/>
        <v>0</v>
      </c>
      <c r="J132" s="82">
        <f t="shared" si="64"/>
        <v>924</v>
      </c>
      <c r="K132" s="82">
        <f t="shared" si="64"/>
        <v>1281.5</v>
      </c>
      <c r="L132" s="82">
        <f t="shared" si="64"/>
        <v>1507</v>
      </c>
      <c r="M132" s="82">
        <f t="shared" si="64"/>
        <v>2398</v>
      </c>
      <c r="N132" s="82">
        <f t="shared" si="64"/>
        <v>1661</v>
      </c>
      <c r="O132" s="82">
        <f t="shared" si="64"/>
        <v>1793</v>
      </c>
      <c r="P132" s="82">
        <f t="shared" si="64"/>
        <v>1738</v>
      </c>
      <c r="Q132" s="82">
        <f t="shared" si="64"/>
        <v>825</v>
      </c>
      <c r="R132" s="83">
        <f t="shared" si="64"/>
        <v>0</v>
      </c>
    </row>
    <row r="133" spans="1:18" ht="22.5" customHeight="1">
      <c r="A133" s="65"/>
      <c r="B133" s="65"/>
      <c r="C133" s="66"/>
      <c r="D133" s="67"/>
      <c r="E133" s="87" t="s">
        <v>33</v>
      </c>
      <c r="F133" s="68" t="s">
        <v>46</v>
      </c>
      <c r="G133" s="69"/>
      <c r="H133" s="69"/>
      <c r="I133" s="72"/>
      <c r="J133" s="72"/>
      <c r="K133" s="73"/>
      <c r="L133" s="73"/>
      <c r="M133" s="73"/>
      <c r="N133" s="73"/>
      <c r="O133" s="74"/>
      <c r="P133" s="73"/>
      <c r="Q133" s="73"/>
      <c r="R133" s="98"/>
    </row>
    <row r="134" spans="1:18" ht="22.5" customHeight="1">
      <c r="A134" s="65"/>
      <c r="B134" s="65"/>
      <c r="C134" s="66"/>
      <c r="D134" s="67"/>
      <c r="E134" s="86"/>
      <c r="F134" s="70" t="s">
        <v>47</v>
      </c>
      <c r="G134" s="128"/>
      <c r="H134" s="83">
        <f t="shared" ref="H134:R134" si="65">IF((H133-G133)*5.5&gt;0,(H133-G133)*5.5,0)</f>
        <v>0</v>
      </c>
      <c r="I134" s="83">
        <f t="shared" si="65"/>
        <v>0</v>
      </c>
      <c r="J134" s="83">
        <f t="shared" si="65"/>
        <v>0</v>
      </c>
      <c r="K134" s="83">
        <f t="shared" si="65"/>
        <v>0</v>
      </c>
      <c r="L134" s="83">
        <f t="shared" si="65"/>
        <v>0</v>
      </c>
      <c r="M134" s="83">
        <f t="shared" si="65"/>
        <v>0</v>
      </c>
      <c r="N134" s="83">
        <f t="shared" si="65"/>
        <v>0</v>
      </c>
      <c r="O134" s="83">
        <f t="shared" si="65"/>
        <v>0</v>
      </c>
      <c r="P134" s="83">
        <f t="shared" si="65"/>
        <v>0</v>
      </c>
      <c r="Q134" s="83">
        <f t="shared" si="65"/>
        <v>0</v>
      </c>
      <c r="R134" s="83">
        <f t="shared" si="65"/>
        <v>0</v>
      </c>
    </row>
    <row r="135" spans="1:18" ht="22.5" customHeight="1">
      <c r="A135" s="65"/>
      <c r="B135" s="65"/>
      <c r="C135" s="66"/>
      <c r="D135" s="67"/>
      <c r="E135" s="93"/>
      <c r="F135" s="94" t="s">
        <v>48</v>
      </c>
      <c r="G135" s="95">
        <v>0</v>
      </c>
      <c r="H135" s="95">
        <v>0</v>
      </c>
      <c r="I135" s="95">
        <v>0</v>
      </c>
      <c r="J135" s="95">
        <f>J130+J132+J134</f>
        <v>1562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9">
        <v>0</v>
      </c>
    </row>
  </sheetData>
  <mergeCells count="13">
    <mergeCell ref="D125:E125"/>
    <mergeCell ref="D126:E126"/>
    <mergeCell ref="D127:E127"/>
    <mergeCell ref="D80:E80"/>
    <mergeCell ref="D104:E104"/>
    <mergeCell ref="A104:C104"/>
    <mergeCell ref="A124:C124"/>
    <mergeCell ref="D124:E124"/>
    <mergeCell ref="E19:F19"/>
    <mergeCell ref="D10:E10"/>
    <mergeCell ref="D30:E30"/>
    <mergeCell ref="D54:E54"/>
    <mergeCell ref="A54:C54"/>
  </mergeCells>
  <phoneticPr fontId="5" type="noConversion"/>
  <hyperlinks>
    <hyperlink ref="C22" r:id="rId1" xr:uid="{00000000-0004-0000-0400-000000000000}"/>
  </hyperlinks>
  <pageMargins left="0.7" right="0.7" top="0.75" bottom="0.75" header="0.3" footer="0.3"/>
  <pageSetup paperSize="9" orientation="portrait"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彙總</vt:lpstr>
      <vt:lpstr>彙總查詢</vt:lpstr>
      <vt:lpstr>總表</vt:lpstr>
      <vt:lpstr>代1-南山</vt:lpstr>
      <vt:lpstr>代2-景平</vt:lpstr>
      <vt:lpstr>代3-天母雅砌</vt:lpstr>
      <vt:lpstr>代-張宇音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昌 小</cp:lastModifiedBy>
  <cp:lastPrinted>2017-07-15T02:39:46Z</cp:lastPrinted>
  <dcterms:created xsi:type="dcterms:W3CDTF">2017-04-19T05:13:08Z</dcterms:created>
  <dcterms:modified xsi:type="dcterms:W3CDTF">2024-04-30T12:02:53Z</dcterms:modified>
</cp:coreProperties>
</file>